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drawings/drawing4.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drawings/drawing5.xml" ContentType="application/vnd.openxmlformats-officedocument.drawing+xml"/>
  <Override PartName="/xl/ctrlProps/ctrlProp11.xml" ContentType="application/vnd.ms-excel.controlproperties+xml"/>
  <Override PartName="/xl/drawings/drawing6.xml" ContentType="application/vnd.openxmlformats-officedocument.drawing+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drawings/drawing7.xml" ContentType="application/vnd.openxmlformats-officedocument.drawing+xml"/>
  <Override PartName="/xl/drawings/drawing8.xml" ContentType="application/vnd.openxmlformats-officedocument.drawing+xml"/>
  <Override PartName="/xl/ctrlProps/ctrlProp16.xml" ContentType="application/vnd.ms-excel.controlproperties+xml"/>
  <Override PartName="/xl/ctrlProps/ctrlProp17.xml" ContentType="application/vnd.ms-excel.controlproperties+xml"/>
  <Override PartName="/xl/drawings/drawing9.xml" ContentType="application/vnd.openxmlformats-officedocument.drawing+xml"/>
  <Override PartName="/xl/ctrlProps/ctrlProp18.xml" ContentType="application/vnd.ms-excel.controlproperties+xml"/>
  <Override PartName="/xl/ctrlProps/ctrlProp19.xml" ContentType="application/vnd.ms-excel.controlproperties+xml"/>
  <Override PartName="/xl/drawings/drawing10.xml" ContentType="application/vnd.openxmlformats-officedocument.drawing+xml"/>
  <Override PartName="/xl/ctrlProps/ctrlProp20.xml" ContentType="application/vnd.ms-excel.controlproperties+xml"/>
  <Override PartName="/xl/ctrlProps/ctrlProp21.xml" ContentType="application/vnd.ms-excel.controlproperties+xml"/>
  <Override PartName="/xl/drawings/drawing11.xml" ContentType="application/vnd.openxmlformats-officedocument.drawing+xml"/>
  <Override PartName="/xl/ctrlProps/ctrlProp22.xml" ContentType="application/vnd.ms-excel.controlproperties+xml"/>
  <Override PartName="/xl/ctrlProps/ctrlProp23.xml" ContentType="application/vnd.ms-excel.controlproperties+xml"/>
  <Override PartName="/xl/drawings/drawing12.xml" ContentType="application/vnd.openxmlformats-officedocument.drawing+xml"/>
  <Override PartName="/xl/ctrlProps/ctrlProp24.xml" ContentType="application/vnd.ms-excel.controlproperties+xml"/>
  <Override PartName="/xl/ctrlProps/ctrlProp25.xml" ContentType="application/vnd.ms-excel.controlproperties+xml"/>
  <Override PartName="/xl/drawings/drawing13.xml" ContentType="application/vnd.openxmlformats-officedocument.drawing+xml"/>
  <Override PartName="/xl/ctrlProps/ctrlProp26.xml" ContentType="application/vnd.ms-excel.controlproperties+xml"/>
  <Override PartName="/xl/ctrlProps/ctrlProp27.xml" ContentType="application/vnd.ms-excel.controlproperties+xml"/>
  <Override PartName="/xl/drawings/drawing14.xml" ContentType="application/vnd.openxmlformats-officedocument.drawing+xml"/>
  <Override PartName="/xl/ctrlProps/ctrlProp28.xml" ContentType="application/vnd.ms-excel.controlproperties+xml"/>
  <Override PartName="/xl/ctrlProps/ctrlProp29.xml" ContentType="application/vnd.ms-excel.controlproperties+xml"/>
  <Override PartName="/xl/drawings/drawing15.xml" ContentType="application/vnd.openxmlformats-officedocument.drawing+xml"/>
  <Override PartName="/xl/ctrlProps/ctrlProp30.xml" ContentType="application/vnd.ms-excel.controlproperties+xml"/>
  <Override PartName="/xl/ctrlProps/ctrlProp31.xml" ContentType="application/vnd.ms-excel.controlproperties+xml"/>
  <Override PartName="/xl/drawings/drawing16.xml" ContentType="application/vnd.openxmlformats-officedocument.drawing+xml"/>
  <Override PartName="/xl/ctrlProps/ctrlProp32.xml" ContentType="application/vnd.ms-excel.controlproperties+xml"/>
  <Override PartName="/xl/ctrlProps/ctrlProp33.xml" ContentType="application/vnd.ms-excel.controlproperties+xml"/>
  <Override PartName="/xl/drawings/drawing17.xml" ContentType="application/vnd.openxmlformats-officedocument.drawing+xml"/>
  <Override PartName="/xl/ctrlProps/ctrlProp34.xml" ContentType="application/vnd.ms-excel.controlproperties+xml"/>
  <Override PartName="/xl/ctrlProps/ctrlProp35.xml" ContentType="application/vnd.ms-excel.controlproperties+xml"/>
  <Override PartName="/xl/drawings/drawing18.xml" ContentType="application/vnd.openxmlformats-officedocument.drawing+xml"/>
  <Override PartName="/xl/ctrlProps/ctrlProp36.xml" ContentType="application/vnd.ms-excel.controlproperties+xml"/>
  <Override PartName="/xl/drawings/drawing19.xml" ContentType="application/vnd.openxmlformats-officedocument.drawing+xml"/>
  <Override PartName="/xl/ctrlProps/ctrlProp37.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backupFile="1" codeName="ThisWorkbook"/>
  <mc:AlternateContent xmlns:mc="http://schemas.openxmlformats.org/markup-compatibility/2006">
    <mc:Choice Requires="x15">
      <x15ac:absPath xmlns:x15ac="http://schemas.microsoft.com/office/spreadsheetml/2010/11/ac" url="F:\1_Requests\1_Active\Rose\DOI-2026-008186_CR\4_Response\4d_Sent to Requester\"/>
    </mc:Choice>
  </mc:AlternateContent>
  <xr:revisionPtr revIDLastSave="0" documentId="8_{BF5DD4F9-C653-4DC7-99C4-0577F76F2278}" xr6:coauthVersionLast="47" xr6:coauthVersionMax="47" xr10:uidLastSave="{00000000-0000-0000-0000-000000000000}"/>
  <bookViews>
    <workbookView xWindow="28680" yWindow="-120" windowWidth="16440" windowHeight="28320" tabRatio="764" firstSheet="18" xr2:uid="{00000000-000D-0000-FFFF-FFFF00000000}"/>
  </bookViews>
  <sheets>
    <sheet name="Table of Contents" sheetId="34933" r:id="rId1"/>
    <sheet name="Update Directions" sheetId="35395" r:id="rId2"/>
    <sheet name="Model Run Interface" sheetId="34908" r:id="rId3"/>
    <sheet name="Detailed Results" sheetId="35391" r:id="rId4"/>
    <sheet name="Inflation" sheetId="35393" r:id="rId5"/>
    <sheet name="Oil supply projection" sheetId="34999" r:id="rId6"/>
    <sheet name="Gas supply projection" sheetId="35002" r:id="rId7"/>
    <sheet name="Electricity supply projection" sheetId="35005" r:id="rId8"/>
    <sheet name="Coal supply projection" sheetId="35010" r:id="rId9"/>
    <sheet name="Oil demand projection" sheetId="34961" r:id="rId10"/>
    <sheet name="Gas demand projection" sheetId="34958" r:id="rId11"/>
    <sheet name="Electricity demand projection" sheetId="34968" r:id="rId12"/>
    <sheet name="Coal demand projection" sheetId="34977" r:id="rId13"/>
    <sheet name="Oil supply SIM" sheetId="35015" r:id="rId14"/>
    <sheet name="Gas supply SIM" sheetId="35016" r:id="rId15"/>
    <sheet name="Electricity supply SIM" sheetId="35017" r:id="rId16"/>
    <sheet name="Coal supply SIM" sheetId="35018" r:id="rId17"/>
    <sheet name="OCS Refined Product Data" sheetId="35399" r:id="rId18"/>
    <sheet name="API Production and Imports" sheetId="35397" r:id="rId19"/>
    <sheet name="OCS Oil API" sheetId="35396" r:id="rId20"/>
    <sheet name="OCS Crude Exports" sheetId="35398" r:id="rId21"/>
    <sheet name="Data Import" sheetId="35063" r:id="rId22"/>
    <sheet name="OCS Oil SIM" sheetId="34996" r:id="rId23"/>
    <sheet name="OCS Gas SIM" sheetId="34998" r:id="rId24"/>
    <sheet name="OCS Percentage BOE" sheetId="35392" r:id="rId25"/>
    <sheet name="Oil demand SIM" sheetId="34980" r:id="rId26"/>
    <sheet name="Gas demand SIM" sheetId="34984" r:id="rId27"/>
    <sheet name="Electricity demand SIM" sheetId="34985" r:id="rId28"/>
    <sheet name="Coal demand SIM" sheetId="34986" r:id="rId29"/>
    <sheet name="Oil demand elasticities" sheetId="34935" r:id="rId30"/>
    <sheet name="Gas demand elasticities" sheetId="34934" r:id="rId31"/>
    <sheet name="Electricity demand elasticities" sheetId="34951" r:id="rId32"/>
    <sheet name="Coal demand elasticities" sheetId="34946" r:id="rId33"/>
    <sheet name="Defaults" sheetId="35043" r:id="rId34"/>
    <sheet name="Oil supply elasticities" sheetId="35023" r:id="rId35"/>
    <sheet name="Gas supply elasticities" sheetId="35024" r:id="rId36"/>
    <sheet name="Electricity supply elasticities" sheetId="35028" r:id="rId37"/>
    <sheet name="Coal supply elasticities" sheetId="35027" r:id="rId38"/>
    <sheet name="Consumer surplus" sheetId="35036" r:id="rId39"/>
    <sheet name="Prices" sheetId="35035" r:id="rId40"/>
    <sheet name="Adjustment" sheetId="34992" r:id="rId41"/>
    <sheet name="Parameters demand" sheetId="34987" r:id="rId42"/>
    <sheet name="Parameters supply" sheetId="34993" r:id="rId43"/>
    <sheet name="Data Export" sheetId="35062" r:id="rId44"/>
    <sheet name="Historical exports" sheetId="35400" r:id="rId45"/>
    <sheet name="Crude Exp Dist" sheetId="35401" r:id="rId46"/>
    <sheet name="Refined Petro Exp Dist" sheetId="35404" r:id="rId47"/>
    <sheet name="Oil Export OECM" sheetId="35405" r:id="rId48"/>
  </sheets>
  <externalReferences>
    <externalReference r:id="rId49"/>
  </externalReferences>
  <definedNames>
    <definedName name="_xlnm._FilterDatabase" localSheetId="22" hidden="1">'OCS Oil SIM'!$AE$10:$AF$36</definedName>
    <definedName name="a_coa_exp">'Parameters demand'!$Y$11:$Y$84</definedName>
    <definedName name="a_coa_ind">'Parameters demand'!$V$11:$V$84</definedName>
    <definedName name="a_coa_oth">'Parameters demand'!$X$11:$X$84</definedName>
    <definedName name="a_ele_com">'Parameters demand'!$R$11:$R$84</definedName>
    <definedName name="a_ele_ind">'Parameters demand'!$S$11:$S$84</definedName>
    <definedName name="a_ele_oth">'Parameters demand'!$U$11:$U$84</definedName>
    <definedName name="a_ele_res">'Parameters demand'!$Q$11:$Q$84</definedName>
    <definedName name="a_ele_tra">'Parameters demand'!$T$11:$T$84</definedName>
    <definedName name="a_gas_com">'Parameters demand'!$L$11:$L$84</definedName>
    <definedName name="a_gas_exp">'Parameters demand'!$P$11:$P$84</definedName>
    <definedName name="a_gas_ind">'Parameters demand'!$M$11:$M$84</definedName>
    <definedName name="a_gas_res">'Parameters demand'!$K$11:$K$84</definedName>
    <definedName name="a_gas_tra">'Parameters demand'!$N$11:$N$84</definedName>
    <definedName name="a_oil_com">'Parameters demand'!$D$11:$D$84</definedName>
    <definedName name="a_oil_ind">'Parameters demand'!$E$11:$E$84</definedName>
    <definedName name="a_oil_res">'Parameters demand'!$C$11:$C$84</definedName>
    <definedName name="a_oil_row_crude">'Parameters demand'!$H$11:$H$84</definedName>
    <definedName name="a_oil_row_non_us">'Parameters demand'!$J$11:$J$84</definedName>
    <definedName name="a_oil_row_ref">'Parameters demand'!$I$11:$I$84</definedName>
    <definedName name="a_oil_tra">'Parameters demand'!$F$11:$F$84</definedName>
    <definedName name="aeo_dem_coa_2010">'Coal demand projection'!$C$10:$G$10</definedName>
    <definedName name="aeo_dem_coa_ele">'Coal demand projection'!$D$10:$D$84</definedName>
    <definedName name="aeo_dem_coa_exp">'Coal demand projection'!$F$10:$F$84</definedName>
    <definedName name="aeo_dem_coa_ind">'Coal demand projection'!$C$10:$C$84</definedName>
    <definedName name="aeo_dem_coa_oth">'Coal demand projection'!$E$10:$E$84</definedName>
    <definedName name="aeo_dem_coa_tot">'Coal demand projection'!$G$10:$G$84</definedName>
    <definedName name="aeo_dem_ele_2010">'Electricity demand projection'!$C$10:$H$10</definedName>
    <definedName name="aeo_dem_ele_com">'Electricity demand projection'!$D$10:$D$84</definedName>
    <definedName name="aeo_dem_ele_ind">'Electricity demand projection'!$E$10:$E$84</definedName>
    <definedName name="aeo_dem_ele_oth">'Electricity demand projection'!$G$10:$G$84</definedName>
    <definedName name="aeo_dem_ele_res">'Electricity demand projection'!$C$10:$C$84</definedName>
    <definedName name="aeo_dem_ele_tot">'Electricity demand projection'!$H$10:$H$84</definedName>
    <definedName name="aeo_dem_ele_tra">'Electricity demand projection'!$F$10:$F$84</definedName>
    <definedName name="aeo_dem_gas_2010">'Gas demand projection'!$C$10:$I$10</definedName>
    <definedName name="aeo_dem_gas_com">'Gas demand projection'!$D$10:$D$84</definedName>
    <definedName name="aeo_dem_gas_ele">'Gas demand projection'!$G$10:$G$84</definedName>
    <definedName name="aeo_dem_gas_exp">'Gas demand projection'!$H$10:$H$84</definedName>
    <definedName name="aeo_dem_gas_ind">'Gas demand projection'!$E$10:$E$84</definedName>
    <definedName name="aeo_dem_gas_res">'Gas demand projection'!$C$10:$C$84</definedName>
    <definedName name="aeo_dem_gas_tot">'Gas demand projection'!$I$10:$I$84</definedName>
    <definedName name="aeo_dem_gas_tra">'Gas demand projection'!$F$10:$F$84</definedName>
    <definedName name="aeo_dem_oil_2010">'Oil demand projection'!$C$10:$K$10</definedName>
    <definedName name="aeo_dem_oil_com">'Oil demand projection'!$D$10:$D$84</definedName>
    <definedName name="aeo_dem_oil_ele">'Oil demand projection'!$G$10:$G$84</definedName>
    <definedName name="aeo_dem_oil_ind">'Oil demand projection'!$E$10:$E$84</definedName>
    <definedName name="aeo_dem_oil_res">'Oil demand projection'!$C$10:$C$84</definedName>
    <definedName name="aeo_dem_oil_row">'Oil demand projection'!$M$10:$M$84</definedName>
    <definedName name="aeo_dem_oil_row_2010">'Oil demand projection'!$H$10:$J$10</definedName>
    <definedName name="aeo_dem_oil_row_crude">'Oil demand projection'!$H$10:$H$84</definedName>
    <definedName name="aeo_dem_oil_row_non_us">'Oil demand projection'!$J$10:$J$84</definedName>
    <definedName name="aeo_dem_oil_row_ref">'Oil demand projection'!$I$10:$I$84</definedName>
    <definedName name="aeo_dem_oil_tot">'Oil demand projection'!$K$10:$K$84</definedName>
    <definedName name="aeo_dem_oil_tra">'Oil demand projection'!$F$10:$F$84</definedName>
    <definedName name="aeo_price_2010">Prices!$C$10:$F$10</definedName>
    <definedName name="aeo_price_coa">Prices!$E$10:$E$84</definedName>
    <definedName name="aeo_price_ele">Prices!$F$10:$F$84</definedName>
    <definedName name="aeo_price_gas">Prices!$D$10:$D$84</definedName>
    <definedName name="aeo_price_oil">Prices!$C$10:$C$84</definedName>
    <definedName name="aeo_prices">Prices!$C$10:$F$84</definedName>
    <definedName name="aeo_sup_coa_2010">'Coal supply projection'!$C$10:$E$10</definedName>
    <definedName name="aeo_sup_coa_dom">'Coal supply projection'!$C$10:$C$84</definedName>
    <definedName name="aeo_sup_coa_imp">'Coal supply projection'!$D$10:$D$84</definedName>
    <definedName name="aeo_sup_coa_tot">'Coal supply projection'!$E$10:$E$84</definedName>
    <definedName name="aeo_sup_ele_2010">'Electricity supply projection'!$C$10:$M$10</definedName>
    <definedName name="aeo_sup_ele_coa">'Electricity supply projection'!$E$10:$E$84</definedName>
    <definedName name="aeo_sup_ele_gas">'Electricity supply projection'!$D$10:$D$84</definedName>
    <definedName name="aeo_sup_ele_hyd">'Electricity supply projection'!$G$10:$G$84</definedName>
    <definedName name="aeo_sup_ele_imp">'Electricity supply projection'!$L$10:$L$84</definedName>
    <definedName name="aeo_sup_ele_nuc">'Electricity supply projection'!$F$10:$F$84</definedName>
    <definedName name="aeo_sup_ele_oil">'Electricity supply projection'!$C$10:$C$84</definedName>
    <definedName name="aeo_sup_ele_oth">'Electricity supply projection'!$K$10:$K$84</definedName>
    <definedName name="aeo_sup_ele_sol">'Electricity supply projection'!$H$10:$H$84</definedName>
    <definedName name="aeo_sup_ele_tot">'Electricity supply projection'!$M$10:$M$84</definedName>
    <definedName name="aeo_sup_ele_wof">'Electricity supply projection'!$J$10:$J$84</definedName>
    <definedName name="aeo_sup_ele_won">'Electricity supply projection'!$I$10:$I$84</definedName>
    <definedName name="aeo_sup_gas_2010">'Gas supply projection'!$C$10:$K$10</definedName>
    <definedName name="aeo_sup_gas_ala_off">'Gas supply projection'!$G$10:$G$84</definedName>
    <definedName name="aeo_sup_gas_ala_on">'Gas supply projection'!$F$10:$F$84</definedName>
    <definedName name="aeo_sup_gas_con">'Gas supply projection'!$C$10:$C$84</definedName>
    <definedName name="aeo_sup_gas_lng">'Gas supply projection'!$J$10:$J$84</definedName>
    <definedName name="aeo_sup_gas_off">'Gas supply projection'!$E$10:$E$84</definedName>
    <definedName name="aeo_sup_gas_oth">'Gas supply projection'!$H$10:$H$84</definedName>
    <definedName name="aeo_sup_gas_pip">'Gas supply projection'!$I$10:$I$84</definedName>
    <definedName name="aeo_sup_gas_tot">'Gas supply projection'!$K$10:$K$84</definedName>
    <definedName name="aeo_sup_gas_unc">'Gas supply projection'!$D$10:$D$84</definedName>
    <definedName name="aeo_sup_oil_2010">'Oil supply projection'!$C$10:$L$10</definedName>
    <definedName name="aeo_sup_oil_ala_off">'Oil supply projection'!$G$10:$G$84</definedName>
    <definedName name="aeo_sup_oil_ala_on">'Oil supply projection'!$F$10:$F$84</definedName>
    <definedName name="aeo_sup_oil_bio">'Oil supply projection'!$H$10:$H$84</definedName>
    <definedName name="aeo_sup_oil_can">'Oil supply projection'!$L$10:$L$84</definedName>
    <definedName name="aeo_sup_oil_l48">'Oil supply projection'!$D$10:$D$84</definedName>
    <definedName name="aeo_sup_oil_l48_t">'Oil supply projection'!$C$10:$C$84</definedName>
    <definedName name="aeo_sup_oil_off">'Oil supply projection'!$E$10:$E$84</definedName>
    <definedName name="aeo_sup_oil_oth">'Oil supply projection'!$I$10:$I$84</definedName>
    <definedName name="aeo_sup_oil_row">'Oil supply projection'!$J$10:$J$84</definedName>
    <definedName name="aeo_sup_oil_tot">'Oil supply projection'!$K$10:$K$84</definedName>
    <definedName name="ak_crude_exp_propensity">'Historical exports'!$D$8</definedName>
    <definedName name="ak_ref_exp_propensity">'Historical exports'!$D$17</definedName>
    <definedName name="akcorrections">'Detailed Results'!$AE$9</definedName>
    <definedName name="atlantic_crude_exp_propensity">'Historical exports'!$D$5</definedName>
    <definedName name="atlantic_ref_exp_propensity">'Historical exports'!$D$14</definedName>
    <definedName name="b_coa_dom">'Parameters supply'!$AD$11:$AD$84</definedName>
    <definedName name="b_coa_imp">'Parameters supply'!$AE$11:$AE$84</definedName>
    <definedName name="b_gas_ala_off">'Parameters supply'!$P$11:$P$84</definedName>
    <definedName name="b_gas_ala_on">'Parameters supply'!$O$11:$O$84</definedName>
    <definedName name="b_gas_con">'Parameters supply'!$L$11:$L$84</definedName>
    <definedName name="b_gas_lng">'Parameters supply'!$S$11:$S$84</definedName>
    <definedName name="b_gas_off">'Parameters supply'!$N$11:$N$84</definedName>
    <definedName name="b_gas_oth">'Parameters supply'!$Q$11:$Q$84</definedName>
    <definedName name="b_gas_pip">'Parameters supply'!$R$11:$R$84</definedName>
    <definedName name="b_gas_unc">'Parameters supply'!$M$11:$M$84</definedName>
    <definedName name="b_oil_ala_off">'Parameters supply'!$G$11:$G$84</definedName>
    <definedName name="b_oil_ala_on">'Parameters supply'!$F$11:$F$84</definedName>
    <definedName name="b_oil_bio">'Parameters supply'!$H$11:$H$84</definedName>
    <definedName name="b_oil_can">'Parameters supply'!$K$11:$K$84</definedName>
    <definedName name="b_oil_l48">'Parameters supply'!$D$11:$D$84</definedName>
    <definedName name="b_oil_l48_t">'Parameters supply'!$C$11:$C$84</definedName>
    <definedName name="b_oil_off">'Parameters supply'!$E$11:$E$84</definedName>
    <definedName name="b_oil_oth">'Parameters supply'!$I$11:$I$84</definedName>
    <definedName name="b_oil_row">'Parameters supply'!$J$11:$J$84</definedName>
    <definedName name="base_year" localSheetId="20">'Model Run Interface'!#REF!</definedName>
    <definedName name="base_year" localSheetId="46">'Model Run Interface'!#REF!</definedName>
    <definedName name="base_year" localSheetId="1">'Update Directions'!#REF!</definedName>
    <definedName name="base_year">'Model Run Interface'!#REF!</definedName>
    <definedName name="baseline_aeo_end_year">'Update Directions'!$D$11</definedName>
    <definedName name="baseline_start_year">'Update Directions'!$D$10</definedName>
    <definedName name="begin_year">'Model Run Interface'!$F$16</definedName>
    <definedName name="c_ele_coa">'Parameters supply'!$V$11:$V$84</definedName>
    <definedName name="c_ele_gas">'Parameters supply'!$U$11:$U$84</definedName>
    <definedName name="c_ele_hyd">'Parameters supply'!$X$11:$X$84</definedName>
    <definedName name="c_ele_imp">'Parameters supply'!$AC$11:$AC$84</definedName>
    <definedName name="c_ele_nuc">'Parameters supply'!$W$11:$W$84</definedName>
    <definedName name="c_ele_oil">'Parameters supply'!$T$11:$T$84</definedName>
    <definedName name="c_ele_oth">'Parameters supply'!$AB$11:$AB$84</definedName>
    <definedName name="c_ele_sol">'Parameters supply'!$AA$11:$AA$84</definedName>
    <definedName name="c_ele_wof">'Parameters supply'!$Z$11:$Z$84</definedName>
    <definedName name="c_ele_won">'Parameters supply'!$Y$11:$Y$84</definedName>
    <definedName name="coal_forecast">'Coal supply projection'!$G$10</definedName>
    <definedName name="coal_growth">'[1]Coal Demand'!$J$1</definedName>
    <definedName name="coal_price_growth">Prices!$J$4</definedName>
    <definedName name="crude_exp_by_year">'Data Export'!$J$6:$J$78</definedName>
    <definedName name="crude_exp_dist">'Crude Exp Dist'!$AD$6:$BC$78</definedName>
    <definedName name="current_AK_begin" localSheetId="20">'Detailed Results'!#REF!</definedName>
    <definedName name="current_AK_begin" localSheetId="46">'Detailed Results'!#REF!</definedName>
    <definedName name="current_AK_begin" localSheetId="1">'Detailed Results'!#REF!</definedName>
    <definedName name="current_AK_begin">'Detailed Results'!#REF!</definedName>
    <definedName name="current_AK_end" localSheetId="20">'Detailed Results'!#REF!</definedName>
    <definedName name="current_AK_end" localSheetId="46">'Detailed Results'!#REF!</definedName>
    <definedName name="current_AK_end" localSheetId="1">'Detailed Results'!#REF!</definedName>
    <definedName name="current_AK_end">'Detailed Results'!#REF!</definedName>
    <definedName name="dcs_coa">'Consumer surplus'!$GH$10:$GH$84</definedName>
    <definedName name="dcs_ele">'Consumer surplus'!$FJ$10:$FJ$84</definedName>
    <definedName name="dcs_gas">'Consumer surplus'!$CZ$10:$CZ$84</definedName>
    <definedName name="dcs_oil">'Consumer surplus'!$BB$10:$BB$84</definedName>
    <definedName name="dcs_tot">'Consumer surplus'!$D$10:$D$84</definedName>
    <definedName name="def_coa_ele_gas" localSheetId="20">Defaults!#REF!</definedName>
    <definedName name="def_coa_ele_gas" localSheetId="46">Defaults!#REF!</definedName>
    <definedName name="def_coa_ele_gas" localSheetId="1">Defaults!#REF!</definedName>
    <definedName name="def_coa_ele_gas">Defaults!#REF!</definedName>
    <definedName name="def_coa_ele_oil" localSheetId="20">Defaults!#REF!</definedName>
    <definedName name="def_coa_ele_oil" localSheetId="46">Defaults!#REF!</definedName>
    <definedName name="def_coa_ele_oil" localSheetId="1">Defaults!#REF!</definedName>
    <definedName name="def_coa_ele_oil">Defaults!#REF!</definedName>
    <definedName name="def_coa_ind_ele">Defaults!$E$104</definedName>
    <definedName name="def_coa_ind_gas">Defaults!$E$103</definedName>
    <definedName name="def_coa_ind_oil">Defaults!$E$102</definedName>
    <definedName name="def_coa_oth_ele">Defaults!$E$105</definedName>
    <definedName name="def_coa_oth_gas">Defaults!$E$101</definedName>
    <definedName name="def_coa_oth_oil">Defaults!$E$100</definedName>
    <definedName name="def_dem_coa_ele" localSheetId="20">Defaults!#REF!</definedName>
    <definedName name="def_dem_coa_ele" localSheetId="46">Defaults!#REF!</definedName>
    <definedName name="def_dem_coa_ele" localSheetId="1">Defaults!#REF!</definedName>
    <definedName name="def_dem_coa_ele">Defaults!#REF!</definedName>
    <definedName name="def_dem_coa_exp">Defaults!$D$21</definedName>
    <definedName name="def_dem_coa_ind">Defaults!$D$23</definedName>
    <definedName name="def_dem_coa_oth">Defaults!$D$22</definedName>
    <definedName name="def_dem_ele_com">Defaults!$D$17</definedName>
    <definedName name="def_dem_ele_ind">Defaults!$D$18</definedName>
    <definedName name="def_dem_ele_oth">Defaults!$D$20</definedName>
    <definedName name="def_dem_ele_res">Defaults!$D$16</definedName>
    <definedName name="def_dem_ele_tra">Defaults!$D$19</definedName>
    <definedName name="def_dem_gas_com">Defaults!$D$12</definedName>
    <definedName name="def_dem_gas_exp">Defaults!$D$15</definedName>
    <definedName name="def_dem_gas_ind">Defaults!$D$13</definedName>
    <definedName name="def_dem_gas_res">Defaults!$D$11</definedName>
    <definedName name="def_dem_gas_tra">Defaults!$D$14</definedName>
    <definedName name="def_dem_oil_com">Defaults!$D$5</definedName>
    <definedName name="def_dem_oil_ele" localSheetId="20">Defaults!#REF!</definedName>
    <definedName name="def_dem_oil_ele" localSheetId="46">Defaults!#REF!</definedName>
    <definedName name="def_dem_oil_ele" localSheetId="1">Defaults!#REF!</definedName>
    <definedName name="def_dem_oil_ele">Defaults!#REF!</definedName>
    <definedName name="def_dem_oil_ind">Defaults!$D$6</definedName>
    <definedName name="def_dem_oil_res">Defaults!$D$4</definedName>
    <definedName name="def_dem_oil_row_crude">Defaults!$D$8</definedName>
    <definedName name="def_dem_oil_row_non_us">Defaults!$D$10</definedName>
    <definedName name="def_dem_oil_row_nonus">Defaults!$D$10</definedName>
    <definedName name="def_dem_oil_row_ref">Defaults!$D$9</definedName>
    <definedName name="def_dem_oil_tra">Defaults!$D$7</definedName>
    <definedName name="def_ele_com_gas">Defaults!$E$93</definedName>
    <definedName name="def_ele_com_oil">Defaults!$E$89</definedName>
    <definedName name="def_ele_ind_coa">Defaults!$E$96</definedName>
    <definedName name="def_ele_ind_gas">Defaults!$E$94</definedName>
    <definedName name="def_ele_ind_oil">Defaults!$E$90</definedName>
    <definedName name="def_ele_oth_coa">Defaults!$E$97</definedName>
    <definedName name="def_ele_oth_gas">Defaults!$E$99</definedName>
    <definedName name="def_ele_oth_oil">Defaults!$E$98</definedName>
    <definedName name="def_ele_res_gas">Defaults!$E$92</definedName>
    <definedName name="def_ele_res_oil">Defaults!$E$88</definedName>
    <definedName name="def_ele_tra_coa" localSheetId="20">Defaults!#REF!</definedName>
    <definedName name="def_ele_tra_coa" localSheetId="46">Defaults!#REF!</definedName>
    <definedName name="def_ele_tra_coa" localSheetId="1">Defaults!#REF!</definedName>
    <definedName name="def_ele_tra_coa">Defaults!#REF!</definedName>
    <definedName name="def_ele_tra_gas">Defaults!$E$95</definedName>
    <definedName name="def_ele_tra_oil">Defaults!$E$91</definedName>
    <definedName name="def_g_dem_coa_exp">Defaults!$E$116</definedName>
    <definedName name="def_g_dem_coa_ind">Defaults!$E$117</definedName>
    <definedName name="def_g_dem_coa_oth">Defaults!$E$118</definedName>
    <definedName name="def_g_dem_ele_com">Defaults!$E$119</definedName>
    <definedName name="def_g_dem_ele_ind">Defaults!$E$120</definedName>
    <definedName name="def_g_dem_ele_oth">Defaults!$E$121</definedName>
    <definedName name="def_g_dem_ele_res">Defaults!$E$122</definedName>
    <definedName name="def_g_dem_ele_tra">Defaults!$E$123</definedName>
    <definedName name="def_g_dem_gas_com">Defaults!$E$124</definedName>
    <definedName name="def_g_dem_gas_exp">Defaults!$E$125</definedName>
    <definedName name="def_g_dem_gas_ind">Defaults!$E$126</definedName>
    <definedName name="def_g_dem_gas_res">Defaults!$E$127</definedName>
    <definedName name="def_g_dem_gas_tra">Defaults!$E$128</definedName>
    <definedName name="def_g_dem_oil_com">Defaults!$E$129</definedName>
    <definedName name="def_g_dem_oil_ind">Defaults!$E$130</definedName>
    <definedName name="def_g_dem_oil_res">Defaults!$E$131</definedName>
    <definedName name="def_g_dem_oil_row_crude">Defaults!$E$132</definedName>
    <definedName name="def_g_dem_oil_row_non_us">Defaults!$E$134</definedName>
    <definedName name="def_g_dem_oil_row_nonus">Defaults!$E$134</definedName>
    <definedName name="def_g_dem_oil_row_ref">Defaults!$E$133</definedName>
    <definedName name="def_g_dem_oil_tra">Defaults!$E$135</definedName>
    <definedName name="def_g_sup_coa_dom">Defaults!$E$166</definedName>
    <definedName name="def_g_sup_coa_imp">Defaults!$E$167</definedName>
    <definedName name="def_g_sup_ele_coa">Defaults!$E$140</definedName>
    <definedName name="def_g_sup_ele_gas">Defaults!$E$141</definedName>
    <definedName name="def_g_sup_ele_hyd">Defaults!$E$142</definedName>
    <definedName name="def_g_sup_ele_imp">Defaults!$E$143</definedName>
    <definedName name="def_g_sup_ele_nuc">Defaults!$E$144</definedName>
    <definedName name="def_g_sup_ele_oil">Defaults!$E$145</definedName>
    <definedName name="def_g_sup_ele_oth">Defaults!$E$146</definedName>
    <definedName name="def_g_sup_ele_sol">Defaults!$E$147</definedName>
    <definedName name="def_g_sup_ele_wof">Defaults!$E$148</definedName>
    <definedName name="def_g_sup_ele_won">Defaults!$E$149</definedName>
    <definedName name="def_g_sup_gas_ala_off">Defaults!$E$151</definedName>
    <definedName name="def_g_sup_gas_ala_on">Defaults!$E$150</definedName>
    <definedName name="def_g_sup_gas_con">Defaults!$E$152</definedName>
    <definedName name="def_g_sup_gas_lng">Defaults!$E$153</definedName>
    <definedName name="def_g_sup_gas_off">Defaults!$E$154</definedName>
    <definedName name="def_g_sup_gas_oth">Defaults!$E$155</definedName>
    <definedName name="def_g_sup_gas_pip">Defaults!$E$156</definedName>
    <definedName name="def_g_sup_gas_unc">Defaults!$E$157</definedName>
    <definedName name="def_g_sup_oil_ala_off">Defaults!$E$159</definedName>
    <definedName name="def_g_sup_oil_ala_on">Defaults!$E$158</definedName>
    <definedName name="def_g_sup_oil_bio">Defaults!$E$160</definedName>
    <definedName name="def_g_sup_oil_can">Defaults!$E$165</definedName>
    <definedName name="def_g_sup_oil_l48">Defaults!$E$161</definedName>
    <definedName name="def_g_sup_oil_l48_t">Defaults!$E$168</definedName>
    <definedName name="def_g_sup_oil_off">Defaults!$E$162</definedName>
    <definedName name="def_g_sup_oil_oth">Defaults!$E$163</definedName>
    <definedName name="def_g_sup_oil_row">Defaults!$E$164</definedName>
    <definedName name="def_gas_com_ele">Defaults!$E$84</definedName>
    <definedName name="def_gas_com_oil">Defaults!$E$80</definedName>
    <definedName name="def_gas_ind_coa">Defaults!$E$87</definedName>
    <definedName name="def_gas_ind_ele">Defaults!$E$85</definedName>
    <definedName name="def_gas_ind_oil">Defaults!$E$81</definedName>
    <definedName name="def_gas_res_ele">Defaults!$E$83</definedName>
    <definedName name="def_gas_res_oil">Defaults!$E$79</definedName>
    <definedName name="def_gas_tra_ele">Defaults!$E$86</definedName>
    <definedName name="def_gas_tra_oil">Defaults!$E$82</definedName>
    <definedName name="def_oil_com_ele">Defaults!$E$75</definedName>
    <definedName name="def_oil_com_gas">Defaults!$E$71</definedName>
    <definedName name="def_oil_ele_coa" localSheetId="20">Defaults!#REF!</definedName>
    <definedName name="def_oil_ele_coa" localSheetId="46">Defaults!#REF!</definedName>
    <definedName name="def_oil_ele_coa" localSheetId="1">Defaults!#REF!</definedName>
    <definedName name="def_oil_ele_coa">Defaults!#REF!</definedName>
    <definedName name="def_oil_ele_gas" localSheetId="20">Defaults!#REF!</definedName>
    <definedName name="def_oil_ele_gas" localSheetId="46">Defaults!#REF!</definedName>
    <definedName name="def_oil_ele_gas" localSheetId="1">Defaults!#REF!</definedName>
    <definedName name="def_oil_ele_gas">Defaults!#REF!</definedName>
    <definedName name="def_oil_ind_coa">Defaults!$E$78</definedName>
    <definedName name="def_oil_ind_ele">Defaults!$E$76</definedName>
    <definedName name="def_oil_ind_gas">Defaults!$E$72</definedName>
    <definedName name="def_oil_res_ele">Defaults!$E$74</definedName>
    <definedName name="def_oil_res_gas">Defaults!$E$70</definedName>
    <definedName name="def_oil_tra_ele">Defaults!$E$77</definedName>
    <definedName name="def_oil_tra_gas">Defaults!$E$73</definedName>
    <definedName name="def_sup_coa_dom">Defaults!$D$58</definedName>
    <definedName name="def_sup_coa_imp">Defaults!$D$59</definedName>
    <definedName name="def_sup_ele_coa">Defaults!$D$48</definedName>
    <definedName name="def_sup_ele_gas">Defaults!$D$49</definedName>
    <definedName name="def_sup_ele_hyd">Defaults!$D$50</definedName>
    <definedName name="def_sup_ele_imp">Defaults!$D$51</definedName>
    <definedName name="def_sup_ele_nuc">Defaults!$D$52</definedName>
    <definedName name="def_sup_ele_oil">Defaults!$D$53</definedName>
    <definedName name="def_sup_ele_ral" localSheetId="20">Defaults!#REF!</definedName>
    <definedName name="def_sup_ele_ral" localSheetId="46">Defaults!#REF!</definedName>
    <definedName name="def_sup_ele_ral" localSheetId="1">Defaults!#REF!</definedName>
    <definedName name="def_sup_ele_ral">Defaults!#REF!</definedName>
    <definedName name="def_sup_ele_rnh">Defaults!$D$54</definedName>
    <definedName name="def_sup_ele_sol">Defaults!$D$55</definedName>
    <definedName name="def_sup_ele_win" localSheetId="20">Defaults!#REF!</definedName>
    <definedName name="def_sup_ele_win" localSheetId="46">Defaults!#REF!</definedName>
    <definedName name="def_sup_ele_win" localSheetId="1">Defaults!#REF!</definedName>
    <definedName name="def_sup_ele_win">Defaults!#REF!</definedName>
    <definedName name="def_sup_ele_wof">Defaults!$D$56</definedName>
    <definedName name="def_sup_ele_won">Defaults!$D$57</definedName>
    <definedName name="def_sup_gas_ala">Defaults!$D$42</definedName>
    <definedName name="def_sup_gas_ala_off">Defaults!$D$43</definedName>
    <definedName name="def_sup_gas_ala_on">Defaults!$D$42</definedName>
    <definedName name="def_sup_gas_con">Defaults!$D$44</definedName>
    <definedName name="def_sup_gas_dom" localSheetId="20">Defaults!#REF!</definedName>
    <definedName name="def_sup_gas_dom" localSheetId="46">Defaults!#REF!</definedName>
    <definedName name="def_sup_gas_dom" localSheetId="1">Defaults!#REF!</definedName>
    <definedName name="def_sup_gas_dom">Defaults!#REF!</definedName>
    <definedName name="def_sup_gas_lng">Defaults!$D$41</definedName>
    <definedName name="def_sup_gas_off">Defaults!$D$45</definedName>
    <definedName name="def_sup_gas_oth">Defaults!$D$46</definedName>
    <definedName name="def_sup_gas_pip">Defaults!$D$40</definedName>
    <definedName name="def_sup_gas_unc">Defaults!$D$47</definedName>
    <definedName name="def_sup_oil_ala_off">Defaults!$D$35</definedName>
    <definedName name="def_sup_oil_ala_on">Defaults!$D$34</definedName>
    <definedName name="def_sup_oil_bio">Defaults!$D$33</definedName>
    <definedName name="def_sup_oil_can">Defaults!$D$31</definedName>
    <definedName name="def_sup_oil_dom" localSheetId="20">Defaults!#REF!</definedName>
    <definedName name="def_sup_oil_dom" localSheetId="46">Defaults!#REF!</definedName>
    <definedName name="def_sup_oil_dom" localSheetId="1">Defaults!#REF!</definedName>
    <definedName name="def_sup_oil_dom">Defaults!#REF!</definedName>
    <definedName name="def_sup_oil_l48">Defaults!$D$36</definedName>
    <definedName name="def_sup_oil_l48_t">Defaults!$D$39</definedName>
    <definedName name="def_sup_oil_off">Defaults!$D$37</definedName>
    <definedName name="def_sup_oil_oth">Defaults!$D$38</definedName>
    <definedName name="def_sup_oil_row">Defaults!$D$32</definedName>
    <definedName name="dis_dem_ele_tot">'Electricity demand projection'!$W$10:$W$84</definedName>
    <definedName name="discount_rate" localSheetId="1">'Update Directions'!$F$28</definedName>
    <definedName name="discount_rate">'Model Run Interface'!$F$20</definedName>
    <definedName name="display">'Data Import'!$A$5:$A$78</definedName>
    <definedName name="display_ocs">'Data Import'!$A$4:$A$78</definedName>
    <definedName name="dollars_year" localSheetId="1">'Update Directions'!$F$29</definedName>
    <definedName name="dollars_year">'Model Run Interface'!$F$21</definedName>
    <definedName name="e_coa_ind_ele">'Coal demand elasticities'!$C$13</definedName>
    <definedName name="e_coa_ind_gas">'Coal demand elasticities'!$C$12</definedName>
    <definedName name="e_coa_ind_oil">'Coal demand elasticities'!$C$11</definedName>
    <definedName name="e_coa_oth_ele">'Coal demand elasticities'!$D$13</definedName>
    <definedName name="e_coa_oth_gas">'Coal demand elasticities'!$D$12</definedName>
    <definedName name="e_coa_oth_oil">'Coal demand elasticities'!$D$11</definedName>
    <definedName name="e_dem_coa_exp">'Coal demand elasticities'!$D$7</definedName>
    <definedName name="e_dem_coa_ind">'Coal demand elasticities'!$B$7</definedName>
    <definedName name="e_dem_coa_oth">'Coal demand elasticities'!$C$7</definedName>
    <definedName name="e_dem_ele_com">'Electricity demand elasticities'!$C$7</definedName>
    <definedName name="e_dem_ele_ind">'Electricity demand elasticities'!$D$7</definedName>
    <definedName name="e_dem_ele_oth">'Electricity demand elasticities'!$F$7</definedName>
    <definedName name="e_dem_ele_res">'Electricity demand elasticities'!$B$7</definedName>
    <definedName name="e_dem_ele_tra">'Electricity demand elasticities'!$E$7</definedName>
    <definedName name="e_dem_gas_com">'Gas demand elasticities'!$C$7</definedName>
    <definedName name="e_dem_gas_exp">'Gas demand elasticities'!$F$7</definedName>
    <definedName name="e_dem_gas_ind">'Gas demand elasticities'!$D$7</definedName>
    <definedName name="e_dem_gas_res">'Gas demand elasticities'!$B$7</definedName>
    <definedName name="e_dem_gas_tra">'Gas demand elasticities'!$E$7</definedName>
    <definedName name="e_dem_oil_com">'Oil demand elasticities'!$C$7</definedName>
    <definedName name="e_dem_oil_ind">'Oil demand elasticities'!$D$7</definedName>
    <definedName name="e_dem_oil_res">'Oil demand elasticities'!$B$7</definedName>
    <definedName name="e_dem_oil_row_crude">'Oil demand elasticities'!$F$7</definedName>
    <definedName name="e_dem_oil_row_non_us">'Oil demand elasticities'!$H$7</definedName>
    <definedName name="e_dem_oil_row_nonus">'Oil demand elasticities'!$H$7</definedName>
    <definedName name="e_dem_oil_row_ref">'Oil demand elasticities'!$G$7</definedName>
    <definedName name="e_dem_oil_tra">'Oil demand elasticities'!$E$7</definedName>
    <definedName name="e_ele_com_gas">'Electricity demand elasticities'!$D$12</definedName>
    <definedName name="e_ele_com_oil">'Electricity demand elasticities'!$D$11</definedName>
    <definedName name="e_ele_ind_coa">'Electricity demand elasticities'!$E$13</definedName>
    <definedName name="e_ele_ind_gas">'Electricity demand elasticities'!$E$12</definedName>
    <definedName name="e_ele_ind_oil">'Electricity demand elasticities'!$E$11</definedName>
    <definedName name="e_ele_oth_coa">'Electricity demand elasticities'!$G$13</definedName>
    <definedName name="e_ele_oth_gas">'Electricity demand elasticities'!$G$12</definedName>
    <definedName name="e_ele_oth_oil">'Electricity demand elasticities'!$G$11</definedName>
    <definedName name="e_ele_res_gas">'Electricity demand elasticities'!$C$12</definedName>
    <definedName name="e_ele_res_oil">'Electricity demand elasticities'!$C$11</definedName>
    <definedName name="e_ele_tra_gas">'Electricity demand elasticities'!$F$12</definedName>
    <definedName name="e_ele_tra_oil">'Electricity demand elasticities'!$F$11</definedName>
    <definedName name="e_gas_com_ele">'Gas demand elasticities'!$D$13</definedName>
    <definedName name="e_gas_com_oil">'Gas demand elasticities'!$D$11</definedName>
    <definedName name="e_gas_ind_coa">'Gas demand elasticities'!$E$12</definedName>
    <definedName name="e_gas_ind_ele">'Gas demand elasticities'!$E$13</definedName>
    <definedName name="e_gas_ind_oil">'Gas demand elasticities'!$E$11</definedName>
    <definedName name="e_gas_res_ele">'Gas demand elasticities'!$C$13</definedName>
    <definedName name="e_gas_res_oil">'Gas demand elasticities'!$C$11</definedName>
    <definedName name="e_gas_tra_ele">'Gas demand elasticities'!$F$13</definedName>
    <definedName name="e_gas_tra_oil">'Gas demand elasticities'!$F$11</definedName>
    <definedName name="e_oil_com_ele">'Oil demand elasticities'!$D$13</definedName>
    <definedName name="e_oil_com_gas">'Oil demand elasticities'!$D$11</definedName>
    <definedName name="e_oil_ind_coa">'Oil demand elasticities'!$E$12</definedName>
    <definedName name="e_oil_ind_ele">'Oil demand elasticities'!$E$13</definedName>
    <definedName name="e_oil_ind_gas">'Oil demand elasticities'!$E$11</definedName>
    <definedName name="e_oil_res_ele">'Oil demand elasticities'!$C$13</definedName>
    <definedName name="e_oil_res_gas">'Oil demand elasticities'!$C$11</definedName>
    <definedName name="e_oil_tra_ele">'Oil demand elasticities'!$F$13</definedName>
    <definedName name="e_oil_tra_gas">'Oil demand elasticities'!$F$11</definedName>
    <definedName name="e_sup_coa_dom">'Coal supply elasticities'!$B$7</definedName>
    <definedName name="e_sup_coa_imp">'Coal supply elasticities'!$C$7</definedName>
    <definedName name="e_sup_ele_coa">'Electricity supply elasticities'!$D$7</definedName>
    <definedName name="e_sup_ele_gas">'Electricity supply elasticities'!$C$7</definedName>
    <definedName name="e_sup_ele_hyd">'Electricity supply elasticities'!$G$7</definedName>
    <definedName name="e_sup_ele_imp">'Electricity supply elasticities'!$K$7</definedName>
    <definedName name="e_sup_ele_nuc">'Electricity supply elasticities'!$E$7</definedName>
    <definedName name="e_sup_ele_oil">'Electricity supply elasticities'!$B$7</definedName>
    <definedName name="e_sup_ele_rnh">'Electricity supply elasticities'!$F$7</definedName>
    <definedName name="e_sup_ele_sol">'Electricity supply elasticities'!$J$7</definedName>
    <definedName name="e_sup_ele_wof">'Electricity supply elasticities'!$I$7</definedName>
    <definedName name="e_sup_ele_won">'Electricity supply elasticities'!$H$7</definedName>
    <definedName name="e_sup_gas_ala_off">'Gas supply elasticities'!$F$7</definedName>
    <definedName name="e_sup_gas_ala_on">'Gas supply elasticities'!$E$7</definedName>
    <definedName name="e_sup_gas_con">'Gas supply elasticities'!$B$7</definedName>
    <definedName name="e_sup_gas_lng">'Gas supply elasticities'!$I$7</definedName>
    <definedName name="e_sup_gas_off">'Gas supply elasticities'!$D$7</definedName>
    <definedName name="e_sup_gas_oth">'Gas supply elasticities'!$G$7</definedName>
    <definedName name="e_sup_gas_pip">'Gas supply elasticities'!$H$7</definedName>
    <definedName name="e_sup_gas_unc">'Gas supply elasticities'!$C$7</definedName>
    <definedName name="e_sup_oil_ala_off">'Oil supply elasticities'!$F$7</definedName>
    <definedName name="e_sup_oil_ala_on">'Oil supply elasticities'!$E$7</definedName>
    <definedName name="e_sup_oil_bio">'Oil supply elasticities'!$H$7</definedName>
    <definedName name="e_sup_oil_can">'Oil supply elasticities'!$J$7</definedName>
    <definedName name="e_sup_oil_l48">'Oil supply elasticities'!$C$7</definedName>
    <definedName name="e_sup_oil_l48_t">'Oil supply elasticities'!$B$7</definedName>
    <definedName name="e_sup_oil_off">'Oil supply elasticities'!$D$7</definedName>
    <definedName name="e_sup_oil_oth">'Oil supply elasticities'!$G$7</definedName>
    <definedName name="e_sup_oil_row">'Oil supply elasticities'!$I$7</definedName>
    <definedName name="ed_ocs_gas">'Data Import'!$AD$4</definedName>
    <definedName name="ed_ocs_oil">'Data Import'!$D$4</definedName>
    <definedName name="elapsed_time">Prices!$K$3</definedName>
    <definedName name="ele_equil">'Electricity demand projection'!$F$4</definedName>
    <definedName name="elec_dem_growth">'[1]Electricity Demand'!$L$1</definedName>
    <definedName name="elect_forecast">'Electricity supply projection'!$O$10</definedName>
    <definedName name="electricity_price_growth">Prices!$J$5</definedName>
    <definedName name="end_time">Prices!$K$2</definedName>
    <definedName name="end_year" localSheetId="1">'Update Directions'!$F$25</definedName>
    <definedName name="end_year">'Model Run Interface'!$F$17</definedName>
    <definedName name="equ_dem_ele_com">'Electricity demand projection'!$Y$10:$Y$84</definedName>
    <definedName name="equ_dem_ele_ind">'Electricity demand projection'!$Z$10:$Z$84</definedName>
    <definedName name="equ_dem_ele_oth">'Electricity demand projection'!$AB$10:$AB$84</definedName>
    <definedName name="equ_dem_ele_res">'Electricity demand projection'!$X$10:$X$84</definedName>
    <definedName name="equ_dem_ele_tra">'Electricity demand projection'!$AA$10:$AA$84</definedName>
    <definedName name="g_dem_coa_exp">Adjustment!$F$11</definedName>
    <definedName name="g_dem_coa_ind">Adjustment!$F$9</definedName>
    <definedName name="g_dem_coa_oth">Adjustment!$F$12</definedName>
    <definedName name="g_dem_ele_com">Adjustment!$E$8</definedName>
    <definedName name="g_dem_ele_ind">Adjustment!$E$9</definedName>
    <definedName name="g_dem_ele_oth">Adjustment!$E$12</definedName>
    <definedName name="g_dem_ele_res">Adjustment!$E$7</definedName>
    <definedName name="g_dem_ele_tra">Adjustment!$E$10</definedName>
    <definedName name="g_dem_gas_com">Adjustment!$D$8</definedName>
    <definedName name="g_dem_gas_exp">Adjustment!$D$11</definedName>
    <definedName name="g_dem_gas_ind">Adjustment!$D$9</definedName>
    <definedName name="g_dem_gas_res">Adjustment!$D$7</definedName>
    <definedName name="g_dem_gas_tra">Adjustment!$D$10</definedName>
    <definedName name="g_dem_oil_com">Adjustment!$C$8</definedName>
    <definedName name="g_dem_oil_ind">Adjustment!$C$9</definedName>
    <definedName name="g_dem_oil_res">Adjustment!$C$7</definedName>
    <definedName name="g_dem_oil_row_crude">Adjustment!$C$13</definedName>
    <definedName name="g_dem_oil_row_non_us">Adjustment!$C$15</definedName>
    <definedName name="g_dem_oil_row_ref">Adjustment!$C$14</definedName>
    <definedName name="g_dem_oil_tra">Adjustment!$C$10</definedName>
    <definedName name="g_sup_coa_dom">Adjustment!$B$39</definedName>
    <definedName name="g_sup_coa_imp">Adjustment!$D$39</definedName>
    <definedName name="g_sup_ele_coa">Adjustment!$D$33</definedName>
    <definedName name="g_sup_ele_gas">Adjustment!$C$33</definedName>
    <definedName name="g_sup_ele_hyd">Adjustment!$F$33</definedName>
    <definedName name="g_sup_ele_imp">Adjustment!$K$33</definedName>
    <definedName name="g_sup_ele_nuc">Adjustment!$E$33</definedName>
    <definedName name="g_sup_ele_oil">Adjustment!$B$33</definedName>
    <definedName name="g_sup_ele_oth">Adjustment!$J$33</definedName>
    <definedName name="g_sup_ele_sol">Adjustment!$I$33</definedName>
    <definedName name="g_sup_ele_wof">Adjustment!$G$33</definedName>
    <definedName name="g_sup_ele_won">Adjustment!$H$33</definedName>
    <definedName name="g_sup_gas_ala_off">Adjustment!$F$27</definedName>
    <definedName name="g_sup_gas_ala_on">Adjustment!$E$27</definedName>
    <definedName name="g_sup_gas_con">Adjustment!$B$27</definedName>
    <definedName name="g_sup_gas_lng">Adjustment!$I$27</definedName>
    <definedName name="g_sup_gas_off">Adjustment!$D$27</definedName>
    <definedName name="g_sup_gas_oth">Adjustment!$G$27</definedName>
    <definedName name="g_sup_gas_pip">Adjustment!$H$27</definedName>
    <definedName name="g_sup_gas_unc">Adjustment!$C$27</definedName>
    <definedName name="g_sup_oil_ala_off">Adjustment!$F$21</definedName>
    <definedName name="g_sup_oil_ala_on">Adjustment!$E$21</definedName>
    <definedName name="g_sup_oil_bio">Adjustment!$H$21</definedName>
    <definedName name="g_sup_oil_can">Adjustment!$J$21</definedName>
    <definedName name="g_sup_oil_l48">Adjustment!$C$21</definedName>
    <definedName name="g_sup_oil_l48_t">Adjustment!$B$21</definedName>
    <definedName name="g_sup_oil_off">Adjustment!$D$21</definedName>
    <definedName name="g_sup_oil_oth">Adjustment!$G$21</definedName>
    <definedName name="g_sup_oil_row">Adjustment!$I$21</definedName>
    <definedName name="gas_ala" localSheetId="20">'Data Import'!#REF!</definedName>
    <definedName name="gas_ala" localSheetId="46">'Data Import'!#REF!</definedName>
    <definedName name="gas_ala" localSheetId="1">'Data Import'!#REF!</definedName>
    <definedName name="gas_ala">'Data Import'!#REF!</definedName>
    <definedName name="gas_atl" localSheetId="20">'Data Import'!#REF!</definedName>
    <definedName name="gas_atl" localSheetId="46">'Data Import'!#REF!</definedName>
    <definedName name="gas_atl" localSheetId="1">'Data Import'!#REF!</definedName>
    <definedName name="gas_atl">'Data Import'!#REF!</definedName>
    <definedName name="gas_boe" localSheetId="1">'Update Directions'!#REF!</definedName>
    <definedName name="gas_boe">'Model Run Interface'!$P$20</definedName>
    <definedName name="gas_conversion">Prices!$J$7</definedName>
    <definedName name="gas_coo" localSheetId="20">'Data Import'!#REF!</definedName>
    <definedName name="gas_coo" localSheetId="46">'Data Import'!#REF!</definedName>
    <definedName name="gas_coo" localSheetId="1">'Data Import'!#REF!</definedName>
    <definedName name="gas_coo">'Data Import'!#REF!</definedName>
    <definedName name="gas_forecast">'Gas supply projection'!$M$10</definedName>
    <definedName name="gas_goa" localSheetId="20">'Data Import'!#REF!</definedName>
    <definedName name="gas_goa" localSheetId="46">'Data Import'!#REF!</definedName>
    <definedName name="gas_goa" localSheetId="1">'Data Import'!#REF!</definedName>
    <definedName name="gas_goa">'Data Import'!#REF!</definedName>
    <definedName name="gas_gom" localSheetId="20">'Data Import'!#REF!</definedName>
    <definedName name="gas_gom" localSheetId="46">'Data Import'!#REF!</definedName>
    <definedName name="gas_gom" localSheetId="1">'Data Import'!#REF!</definedName>
    <definedName name="gas_gom">'Data Import'!#REF!</definedName>
    <definedName name="gas_growth">'[1]Gas Demand'!$K$1</definedName>
    <definedName name="gas_pac" localSheetId="20">'Data Import'!#REF!</definedName>
    <definedName name="gas_pac" localSheetId="46">'Data Import'!#REF!</definedName>
    <definedName name="gas_pac" localSheetId="1">'Data Import'!#REF!</definedName>
    <definedName name="gas_pac">'Data Import'!#REF!</definedName>
    <definedName name="gas_price_growth">Prices!$J$3</definedName>
    <definedName name="gom_crude_exp_propensity">'Historical exports'!$D$6</definedName>
    <definedName name="gom_ref_exp_propensity">'Historical exports'!$D$15</definedName>
    <definedName name="import_gas">'Data Import'!$AD$4:$BC$78</definedName>
    <definedName name="import_oil">'Data Import'!$D$4:$AC$78</definedName>
    <definedName name="indices">Inflation!$C$8:$F$48</definedName>
    <definedName name="inflation_index" localSheetId="1">'Update Directions'!$F$30</definedName>
    <definedName name="inflation_index">'Model Run Interface'!$F$22</definedName>
    <definedName name="inflation_multiplier">Inflation!$H$16</definedName>
    <definedName name="inflator_year" localSheetId="1">'Update Directions'!$F$31</definedName>
    <definedName name="inflator_year">'Model Run Interface'!$F$23</definedName>
    <definedName name="k_coa_ele">'Parameters demand'!$W$11:$W$84</definedName>
    <definedName name="k_gas_ele">'Parameters demand'!$O$11:$O$84</definedName>
    <definedName name="k_oil_ele">'Parameters demand'!$G$11:$G$84</definedName>
    <definedName name="length_year" localSheetId="1">'Update Directions'!$F$26</definedName>
    <definedName name="length_year">'Model Run Interface'!$F$18</definedName>
    <definedName name="market_equil" localSheetId="1">'Update Directions'!#REF!</definedName>
    <definedName name="market_equil">'Model Run Interface'!$F$42</definedName>
    <definedName name="nem_dem_ele_com">'Electricity demand projection'!$M$10:$M$84</definedName>
    <definedName name="nem_dem_ele_ind">'Electricity demand projection'!$N$10:$N$84</definedName>
    <definedName name="nem_dem_ele_oth">'Electricity demand projection'!$P$10:$P$84</definedName>
    <definedName name="nem_dem_ele_res">'Electricity demand projection'!$L$10:$L$84</definedName>
    <definedName name="nem_dem_ele_tot">'Electricity demand projection'!$Q$10:$Q$84</definedName>
    <definedName name="nem_dem_ele_tra">'Electricity demand projection'!$O$10:$O$84</definedName>
    <definedName name="nps_coa">'Consumer surplus'!$GI$10:$GI$84</definedName>
    <definedName name="nps_ele">'Consumer surplus'!$FK$10:$FK$84</definedName>
    <definedName name="nps_gas">'Consumer surplus'!$DA$10:$DA$84</definedName>
    <definedName name="nps_oil">'Consumer surplus'!$BC$10:$BC$84</definedName>
    <definedName name="npv_base_year" localSheetId="1">'Update Directions'!$F$27</definedName>
    <definedName name="npv_base_year">'Model Run Interface'!$F$19</definedName>
    <definedName name="ocs_crude_export_high">'OCS Crude Exports'!$AC$19</definedName>
    <definedName name="ocs_crude_export_low">'OCS Crude Exports'!$AC$15</definedName>
    <definedName name="ocs_feedstock_percent">'OCS Refined Product Data'!$C$11</definedName>
    <definedName name="ocs_oil_export_heavy">'API Production and Imports'!$G$5</definedName>
    <definedName name="ocs_oil_export_heavy_high">'OCS Crude Exports'!$C$16:$AB$16</definedName>
    <definedName name="ocs_oil_export_heavy_low">'OCS Crude Exports'!$C$12:$AB$12</definedName>
    <definedName name="ocs_oil_export_light">'API Production and Imports'!$G$7</definedName>
    <definedName name="ocs_oil_export_light_high">'OCS Crude Exports'!$C$18:$AB$18</definedName>
    <definedName name="ocs_oil_export_medium">'API Production and Imports'!$G$6</definedName>
    <definedName name="ocs_oil_export_medium_high">'OCS Crude Exports'!$C$17:$AB$17</definedName>
    <definedName name="ocs_oil_export_medium_low">'OCS Crude Exports'!$C$13:$AB$13</definedName>
    <definedName name="ocs_oil_percent_export_high">'API Production and Imports'!$I$5:$I$7</definedName>
    <definedName name="ocs_oil_percent_export_low">'API Production and Imports'!$H$5:$H$7</definedName>
    <definedName name="ocs_oil_percent_heavy">'OCS Oil API'!$C$12:$AB$12</definedName>
    <definedName name="ocs_oil_percent_light">'OCS Oil API'!$C$14:$AB$14</definedName>
    <definedName name="ocs_oil_percent_medium">'OCS Oil API'!$C$13:$AB$13</definedName>
    <definedName name="ocs_oil_sim_plan_area">'OCS Oil SIM'!$C$85:$AB$85</definedName>
    <definedName name="oil_ala" localSheetId="20">'Data Import'!#REF!</definedName>
    <definedName name="oil_ala" localSheetId="46">'Data Import'!#REF!</definedName>
    <definedName name="oil_ala" localSheetId="1">'Data Import'!#REF!</definedName>
    <definedName name="oil_ala">'Data Import'!#REF!</definedName>
    <definedName name="oil_atl" localSheetId="20">'Data Import'!#REF!</definedName>
    <definedName name="oil_atl" localSheetId="46">'Data Import'!#REF!</definedName>
    <definedName name="oil_atl" localSheetId="1">'Data Import'!#REF!</definedName>
    <definedName name="oil_atl">'Data Import'!#REF!</definedName>
    <definedName name="oil_coo" localSheetId="20">'Data Import'!#REF!</definedName>
    <definedName name="oil_coo" localSheetId="46">'Data Import'!#REF!</definedName>
    <definedName name="oil_coo" localSheetId="1">'Data Import'!#REF!</definedName>
    <definedName name="oil_coo">'Data Import'!#REF!</definedName>
    <definedName name="oil_forecast">'Oil supply projection'!$T$10</definedName>
    <definedName name="oil_goa" localSheetId="20">'Data Import'!#REF!</definedName>
    <definedName name="oil_goa" localSheetId="46">'Data Import'!#REF!</definedName>
    <definedName name="oil_goa" localSheetId="1">'Data Import'!#REF!</definedName>
    <definedName name="oil_goa">'Data Import'!#REF!</definedName>
    <definedName name="oil_gom" localSheetId="20">'Data Import'!#REF!</definedName>
    <definedName name="oil_gom" localSheetId="46">'Data Import'!#REF!</definedName>
    <definedName name="oil_gom" localSheetId="1">'Data Import'!#REF!</definedName>
    <definedName name="oil_gom">'Data Import'!#REF!</definedName>
    <definedName name="oil_growth">'[1]Oil Demand'!$K$1</definedName>
    <definedName name="oil_pac" localSheetId="20">'Data Import'!#REF!</definedName>
    <definedName name="oil_pac" localSheetId="46">'Data Import'!#REF!</definedName>
    <definedName name="oil_pac" localSheetId="1">'Data Import'!#REF!</definedName>
    <definedName name="oil_pac">'Data Import'!#REF!</definedName>
    <definedName name="oil_price_growth">Prices!$J$2</definedName>
    <definedName name="pacific_crude_exp_propensity">'Historical exports'!$D$7</definedName>
    <definedName name="pacific_ref_exp_propensity">'Historical exports'!$D$16</definedName>
    <definedName name="per_dem_ele_com">'Electricity demand projection'!$S$10:$S$84</definedName>
    <definedName name="per_dem_ele_ind">'Electricity demand projection'!$T$10:$T$84</definedName>
    <definedName name="per_dem_ele_oth">'Electricity demand projection'!$V$10:$V$84</definedName>
    <definedName name="per_dem_ele_res">'Electricity demand projection'!$R$10:$R$84</definedName>
    <definedName name="per_dem_ele_tra">'Electricity demand projection'!$U$10:$U$84</definedName>
    <definedName name="ref_exp_by_year">'Data Export'!$K$6:$K$78</definedName>
    <definedName name="ref_exp_dist">'Refined Petro Exp Dist'!$AD$6:$BC$78</definedName>
    <definedName name="scenario_equilibrium">Prices!$Y$11:$Y$84</definedName>
    <definedName name="scenario_name" localSheetId="1">'Update Directions'!$F$23</definedName>
    <definedName name="scenario_name">'Model Run Interface'!$F$15</definedName>
    <definedName name="schedule_ala">'Data Import'!$G$4:$G$78</definedName>
    <definedName name="schedule_atl">'Data Import'!$D$4:$D$78</definedName>
    <definedName name="schedule_coo">'Data Import'!$H$4:$H$78</definedName>
    <definedName name="schedule_gom">'Data Import'!$E$4:$E$78</definedName>
    <definedName name="schedule_pac">'Data Import'!$F$4:$F$78</definedName>
    <definedName name="scn_sup_gas" localSheetId="20">'Data Import'!#REF!</definedName>
    <definedName name="scn_sup_gas" localSheetId="46">'Data Import'!#REF!</definedName>
    <definedName name="scn_sup_gas" localSheetId="1">'Data Import'!#REF!</definedName>
    <definedName name="scn_sup_gas">'Data Import'!#REF!</definedName>
    <definedName name="scn_sup_oil" localSheetId="20">'Data Import'!#REF!</definedName>
    <definedName name="scn_sup_oil" localSheetId="46">'Data Import'!#REF!</definedName>
    <definedName name="scn_sup_oil" localSheetId="1">'Data Import'!#REF!</definedName>
    <definedName name="scn_sup_oil">'Data Import'!#REF!</definedName>
    <definedName name="sim_dem_coa_ele">'Coal demand SIM'!$D$11:$D$84</definedName>
    <definedName name="sim_dem_coa_exp">'Coal demand SIM'!$F$11:$F$84</definedName>
    <definedName name="sim_dem_coa_ind">'Coal demand SIM'!$C$11:$C$84</definedName>
    <definedName name="sim_dem_coa_oth">'Coal demand SIM'!$E$11:$E$84</definedName>
    <definedName name="sim_dem_coa_tot">'Coal demand SIM'!$G$11:$G$84</definedName>
    <definedName name="sim_dem_ele_com">'Electricity demand SIM'!$D$11:$D$84</definedName>
    <definedName name="sim_dem_ele_ind">'Electricity demand SIM'!$E$11:$E$84</definedName>
    <definedName name="sim_dem_ele_oth">'Electricity demand SIM'!$G$11:$G$84</definedName>
    <definedName name="sim_dem_ele_res">'Electricity demand SIM'!$C$11:$C$84</definedName>
    <definedName name="sim_dem_ele_tot">'Electricity demand SIM'!$H$11:$H$84</definedName>
    <definedName name="sim_dem_ele_tra">'Electricity demand SIM'!$F$11:$F$84</definedName>
    <definedName name="sim_dem_gas_com">'Gas demand SIM'!$D$11:$D$84</definedName>
    <definedName name="sim_dem_gas_ele">'Gas demand SIM'!$G$11:$G$84</definedName>
    <definedName name="sim_dem_gas_exp">'Gas demand SIM'!$H$11:$H$84</definedName>
    <definedName name="sim_dem_gas_ind">'Gas demand SIM'!$E$11:$E$84</definedName>
    <definedName name="sim_dem_gas_res">'Gas demand SIM'!$C$11:$C$84</definedName>
    <definedName name="sim_dem_gas_tot">'Gas demand SIM'!$I$11:$I$84</definedName>
    <definedName name="sim_dem_gas_tra">'Gas demand SIM'!$F$11:$F$84</definedName>
    <definedName name="sim_dem_oil_com">'Oil demand SIM'!$D$11:$D$84</definedName>
    <definedName name="sim_dem_oil_ele">'Oil demand SIM'!$G$11:$G$84</definedName>
    <definedName name="sim_dem_oil_ind">'Oil demand SIM'!$E$11:$E$84</definedName>
    <definedName name="sim_dem_oil_res">'Oil demand SIM'!$C$11:$C$84</definedName>
    <definedName name="sim_dem_oil_row">'Oil demand SIM'!$M$11:$M$84</definedName>
    <definedName name="sim_dem_oil_row_crude">'Oil demand SIM'!$H$11:$H$84</definedName>
    <definedName name="sim_dem_oil_row_non_us">'Oil demand SIM'!$J$11:$J$84</definedName>
    <definedName name="sim_dem_oil_row_ref">'Oil demand SIM'!$I$11:$I$84</definedName>
    <definedName name="sim_dem_oil_tot">'Oil demand SIM'!$K$11:$K$84</definedName>
    <definedName name="sim_dem_oil_tra">'Oil demand SIM'!$F$11:$F$84</definedName>
    <definedName name="sim_price_coa">Prices!$I$11:$I$84</definedName>
    <definedName name="sim_price_ele">Prices!$J$11:$J$84</definedName>
    <definedName name="sim_price_gas">Prices!$H$11:$H$84</definedName>
    <definedName name="sim_price_oil">Prices!$G$11:$G$84</definedName>
    <definedName name="sim_prices">Prices!$G$11:$J$84</definedName>
    <definedName name="sim_sup_coa_dom">'Coal supply SIM'!$C$11:$C$84</definedName>
    <definedName name="sim_sup_coa_imp">'Coal supply SIM'!$D$11:$D$84</definedName>
    <definedName name="sim_sup_coa_tot">'Coal supply SIM'!$E$11:$E$84</definedName>
    <definedName name="sim_sup_ele_coa">'Electricity supply SIM'!$E$11:$E$84</definedName>
    <definedName name="sim_sup_ele_gas">'Electricity supply SIM'!$D$11:$D$84</definedName>
    <definedName name="sim_sup_ele_hyd">'Electricity supply SIM'!$G$11:$G$84</definedName>
    <definedName name="sim_sup_ele_imp">'Electricity supply SIM'!$L$11:$L$84</definedName>
    <definedName name="sim_sup_ele_nuc">'Electricity supply SIM'!$F$11:$F$84</definedName>
    <definedName name="sim_sup_ele_oil">'Electricity supply SIM'!$C$11:$C$84</definedName>
    <definedName name="sim_sup_ele_oth">'Electricity supply SIM'!$K$11:$K$84</definedName>
    <definedName name="sim_sup_ele_sol">'Electricity supply SIM'!$H$11:$H$84</definedName>
    <definedName name="sim_sup_ele_tot">'Electricity supply SIM'!$M$11:$M$84</definedName>
    <definedName name="sim_sup_ele_wof">'Electricity supply SIM'!$J$11:$J$84</definedName>
    <definedName name="sim_sup_ele_won">'Electricity supply SIM'!$I$11:$I$84</definedName>
    <definedName name="sim_sup_gas_ala_off">'Gas supply SIM'!$G$11:$G$84</definedName>
    <definedName name="sim_sup_gas_ala_on">'Gas supply SIM'!$F$11:$F$84</definedName>
    <definedName name="sim_sup_gas_con">'Gas supply SIM'!$C$11:$C$84</definedName>
    <definedName name="sim_sup_gas_lng">'Gas supply SIM'!$J$11:$J$84</definedName>
    <definedName name="sim_sup_gas_ocs">'OCS Gas SIM'!$AC$10:$AC$84</definedName>
    <definedName name="sim_sup_gas_ocs_ala">'OCS Gas SIM'!$S$10:$S$84</definedName>
    <definedName name="sim_sup_gas_ocs_alb">'OCS Gas SIM'!$W$10:$W$84</definedName>
    <definedName name="sim_sup_gas_ocs_all">'OCS Gas SIM'!$C$10:$AB$84</definedName>
    <definedName name="sim_sup_gas_ocs_atf">'OCS Gas SIM'!$F$10:$F$84</definedName>
    <definedName name="sim_sup_gas_ocs_atm">'OCS Gas SIM'!$D$10:$D$84</definedName>
    <definedName name="sim_sup_gas_ocs_atn">'OCS Gas SIM'!$C$10:$C$84</definedName>
    <definedName name="sim_sup_gas_ocs_ats">'OCS Gas SIM'!$E$10:$E$84</definedName>
    <definedName name="sim_sup_gas_ocs_bea">'OCS Gas SIM'!$AB$10:$AB$84</definedName>
    <definedName name="sim_sup_gas_ocs_bow">'OCS Gas SIM'!$V$10:$V$84</definedName>
    <definedName name="sim_sup_gas_ocs_chu">'OCS Gas SIM'!$AA$10:$AA$84</definedName>
    <definedName name="sim_sup_gas_ocs_coo">'OCS Gas SIM'!$O$10:$O$84</definedName>
    <definedName name="sim_sup_gas_ocs_gmc">'OCS Gas SIM'!$H$10:$H$84</definedName>
    <definedName name="sim_sup_gas_ocs_gme">'OCS Gas SIM'!$G$10:$G$84</definedName>
    <definedName name="sim_sup_gas_ocs_gmw">'OCS Gas SIM'!$I$10:$I$84</definedName>
    <definedName name="sim_sup_gas_ocs_goa">'OCS Gas SIM'!$N$10:$N$84</definedName>
    <definedName name="sim_sup_gas_ocs_hop">'OCS Gas SIM'!$Z$10:$Z$84</definedName>
    <definedName name="sim_sup_gas_ocs_kod">'OCS Gas SIM'!$P$10:$P$84</definedName>
    <definedName name="sim_sup_gas_ocs_nab">'OCS Gas SIM'!$R$10:$R$84</definedName>
    <definedName name="sim_sup_gas_ocs_nav">'OCS Gas SIM'!$X$10:$X$84</definedName>
    <definedName name="sim_sup_gas_ocs_nor">'OCS Gas SIM'!$Y$10:$Y$84</definedName>
    <definedName name="sim_sup_gas_ocs_pac">'OCS Gas SIM'!$K$10:$K$84</definedName>
    <definedName name="sim_sup_gas_ocs_pan">'OCS Gas SIM'!$L$10:$L$84</definedName>
    <definedName name="sim_sup_gas_ocs_pas">'OCS Gas SIM'!$J$10:$J$84</definedName>
    <definedName name="sim_sup_gas_ocs_paw">'OCS Gas SIM'!$M$10:$M$84</definedName>
    <definedName name="sim_sup_gas_ocs_sgb">'OCS Gas SIM'!$T$10:$T$84</definedName>
    <definedName name="sim_sup_gas_ocs_shu">'OCS Gas SIM'!$Q$10:$Q$84</definedName>
    <definedName name="sim_sup_gas_ocs_smh">'OCS Gas SIM'!$U$10:$U$84</definedName>
    <definedName name="sim_sup_gas_off">'Gas supply SIM'!$E$11:$E$84</definedName>
    <definedName name="sim_sup_gas_oth">'Gas supply SIM'!$H$11:$H$84</definedName>
    <definedName name="sim_sup_gas_pip">'Gas supply SIM'!$I$11:$I$84</definedName>
    <definedName name="sim_sup_gas_tot">'Gas supply SIM'!$K$11:$K$84</definedName>
    <definedName name="sim_sup_gas_unc">'Gas supply SIM'!$D$11:$D$84</definedName>
    <definedName name="sim_sup_oil_ala_off">'Oil supply SIM'!$G$11:$G$84</definedName>
    <definedName name="sim_sup_oil_ala_on">'Oil supply SIM'!$F$11:$F$84</definedName>
    <definedName name="sim_sup_oil_bio">'Oil supply SIM'!$H$11:$H$84</definedName>
    <definedName name="sim_sup_oil_can">'Oil supply SIM'!$L$11:$L$84</definedName>
    <definedName name="sim_sup_oil_l48">'Oil supply SIM'!$D$11:$D$84</definedName>
    <definedName name="sim_sup_oil_l48_t">'Oil supply SIM'!$C$11:$C$84</definedName>
    <definedName name="sim_sup_oil_ocs">'OCS Oil SIM'!$AC$10:$AC$84</definedName>
    <definedName name="sim_sup_oil_ocs_ala">'OCS Oil SIM'!$S$10:$S$84</definedName>
    <definedName name="sim_sup_oil_ocs_alb">'OCS Oil SIM'!$W$10:$W$84</definedName>
    <definedName name="sim_sup_oil_ocs_all">'OCS Oil SIM'!$C$10:$AB$84</definedName>
    <definedName name="sim_sup_oil_ocs_atf">'OCS Oil SIM'!$F$10:$F$84</definedName>
    <definedName name="sim_sup_oil_ocs_atm">'OCS Oil SIM'!$D$10:$D$84</definedName>
    <definedName name="sim_sup_oil_ocs_atn">'OCS Oil SIM'!$C$10:$C$84</definedName>
    <definedName name="sim_sup_oil_ocs_ats">'OCS Oil SIM'!$E$10:$E$84</definedName>
    <definedName name="sim_sup_oil_ocs_bea">'OCS Oil SIM'!$AB$10:$AB$84</definedName>
    <definedName name="sim_sup_oil_ocs_bow">'OCS Oil SIM'!$V$10:$V$84</definedName>
    <definedName name="sim_sup_oil_ocs_chu">'OCS Oil SIM'!$AA$10:$AA$84</definedName>
    <definedName name="sim_sup_oil_ocs_coo">'OCS Oil SIM'!$O$10:$O$84</definedName>
    <definedName name="sim_sup_oil_ocs_gmc">'OCS Oil SIM'!$H$10:$H$84</definedName>
    <definedName name="sim_sup_oil_ocs_gme">'OCS Oil SIM'!$G$10:$G$84</definedName>
    <definedName name="sim_sup_oil_ocs_gmw">'OCS Oil SIM'!$I$10:$I$84</definedName>
    <definedName name="sim_sup_oil_ocs_goa">'OCS Oil SIM'!$N$10:$N$84</definedName>
    <definedName name="sim_sup_oil_ocs_hop">'OCS Oil SIM'!$Z$10:$Z$84</definedName>
    <definedName name="sim_sup_oil_ocs_kod">'OCS Oil SIM'!$P$10:$P$84</definedName>
    <definedName name="sim_sup_oil_ocs_nab">'OCS Oil SIM'!$R$10:$R$84</definedName>
    <definedName name="sim_sup_oil_ocs_nav">'OCS Oil SIM'!$X$10:$X$84</definedName>
    <definedName name="sim_sup_oil_ocs_nor">'OCS Oil SIM'!$Y$10:$Y$84</definedName>
    <definedName name="sim_sup_oil_ocs_pac">'OCS Oil SIM'!$K$10:$K$84</definedName>
    <definedName name="sim_sup_oil_ocs_pan">'OCS Oil SIM'!$L$10:$L$84</definedName>
    <definedName name="sim_sup_oil_ocs_pas">'OCS Oil SIM'!$J$10:$J$84</definedName>
    <definedName name="sim_sup_oil_ocs_paw">'OCS Oil SIM'!$M$10:$M$84</definedName>
    <definedName name="sim_sup_oil_ocs_sgb">'OCS Oil SIM'!$T$10:$T$84</definedName>
    <definedName name="sim_sup_oil_ocs_shu">'OCS Oil SIM'!$Q$10:$Q$84</definedName>
    <definedName name="sim_sup_oil_ocs_smh">'OCS Oil SIM'!$U$10:$U$84</definedName>
    <definedName name="sim_sup_oil_off">'Oil supply SIM'!$E$11:$E$84</definedName>
    <definedName name="sim_sup_oil_oth">'Oil supply SIM'!$I$11:$I$84</definedName>
    <definedName name="sim_sup_oil_row">'Oil supply SIM'!$J$11:$J$84</definedName>
    <definedName name="sim_sup_oil_tot">'Oil supply SIM'!$K$11:$K$84</definedName>
    <definedName name="sim_sup_per_ocs_ala">'OCS Percentage BOE'!$S$10:$S$84</definedName>
    <definedName name="sim_sup_per_ocs_alb">'OCS Percentage BOE'!$W$10:$W$84</definedName>
    <definedName name="sim_sup_per_ocs_atf">'OCS Percentage BOE'!$F$10:$F$84</definedName>
    <definedName name="sim_sup_per_ocs_atm">'OCS Percentage BOE'!$D$10:$D$84</definedName>
    <definedName name="sim_sup_per_ocs_atn">'OCS Percentage BOE'!$C$10:$C$84</definedName>
    <definedName name="sim_sup_per_ocs_ats">'OCS Percentage BOE'!$E$10:$E$84</definedName>
    <definedName name="sim_sup_per_ocs_bea">'OCS Percentage BOE'!$AB$10:$AB$84</definedName>
    <definedName name="sim_sup_per_ocs_bow">'OCS Percentage BOE'!$V$10:$V$84</definedName>
    <definedName name="sim_sup_per_ocs_chu">'OCS Percentage BOE'!$AA$10:$AA$84</definedName>
    <definedName name="sim_sup_per_ocs_coo">'OCS Percentage BOE'!$O$10:$O$84</definedName>
    <definedName name="sim_sup_per_ocs_gmc">'OCS Percentage BOE'!$H$10:$H$84</definedName>
    <definedName name="sim_sup_per_ocs_gme">'OCS Percentage BOE'!$G$10:$G$84</definedName>
    <definedName name="sim_sup_per_ocs_gmw">'OCS Percentage BOE'!$I$10:$I$84</definedName>
    <definedName name="sim_sup_per_ocs_goa">'OCS Percentage BOE'!$N$10:$N$84</definedName>
    <definedName name="sim_sup_per_ocs_hop">'OCS Percentage BOE'!$Z$10:$Z$84</definedName>
    <definedName name="sim_sup_per_ocs_kod">'OCS Percentage BOE'!$P$10:$P$84</definedName>
    <definedName name="sim_sup_per_ocs_nab">'OCS Percentage BOE'!$R$10:$R$84</definedName>
    <definedName name="sim_sup_per_ocs_nav">'OCS Percentage BOE'!$X$10:$X$84</definedName>
    <definedName name="sim_sup_per_ocs_nor">'OCS Percentage BOE'!$Y$10:$Y$84</definedName>
    <definedName name="sim_sup_per_ocs_pac">'OCS Percentage BOE'!$K$10:$K$84</definedName>
    <definedName name="sim_sup_per_ocs_pan">'OCS Percentage BOE'!$L$10:$L$84</definedName>
    <definedName name="sim_sup_per_ocs_pas">'OCS Percentage BOE'!$J$10:$J$84</definedName>
    <definedName name="sim_sup_per_ocs_paw">'OCS Percentage BOE'!$M$10:$M$84</definedName>
    <definedName name="sim_sup_per_ocs_sgb">'OCS Percentage BOE'!$T$10:$T$84</definedName>
    <definedName name="sim_sup_per_ocs_shu">'OCS Percentage BOE'!$Q$10:$Q$84</definedName>
    <definedName name="sim_sup_per_ocs_smh">'OCS Percentage BOE'!$U$10:$U$84</definedName>
    <definedName name="sim_sup_tot_ocs_ala">'OCS Percentage BOE'!$S$85</definedName>
    <definedName name="sim_sup_tot_ocs_alb">'OCS Percentage BOE'!$W$85</definedName>
    <definedName name="sim_sup_tot_ocs_atf">'OCS Percentage BOE'!$F$85</definedName>
    <definedName name="sim_sup_tot_ocs_atm">'OCS Percentage BOE'!$D$85</definedName>
    <definedName name="sim_sup_tot_ocs_atn">'OCS Percentage BOE'!$C$85</definedName>
    <definedName name="sim_sup_tot_ocs_ats">'OCS Percentage BOE'!$E$85</definedName>
    <definedName name="sim_sup_tot_ocs_bea">'OCS Percentage BOE'!$AB$85</definedName>
    <definedName name="sim_sup_tot_ocs_bow">'OCS Percentage BOE'!$V$85</definedName>
    <definedName name="sim_sup_tot_ocs_chu">'OCS Percentage BOE'!$AA$85</definedName>
    <definedName name="sim_sup_tot_ocs_coo">'OCS Percentage BOE'!$O$85</definedName>
    <definedName name="sim_sup_tot_ocs_gmc">'OCS Percentage BOE'!$H$85</definedName>
    <definedName name="sim_sup_tot_ocs_gme">'OCS Percentage BOE'!$G$85</definedName>
    <definedName name="sim_sup_tot_ocs_gmw">'OCS Percentage BOE'!$I$85</definedName>
    <definedName name="sim_sup_tot_ocs_goa">'OCS Percentage BOE'!$N$85</definedName>
    <definedName name="sim_sup_tot_ocs_hop">'OCS Percentage BOE'!$Z$85</definedName>
    <definedName name="sim_sup_tot_ocs_kod">'OCS Percentage BOE'!$P$85</definedName>
    <definedName name="sim_sup_tot_ocs_nab">'OCS Percentage BOE'!$R$85</definedName>
    <definedName name="sim_sup_tot_ocs_nav">'OCS Percentage BOE'!$X$85</definedName>
    <definedName name="sim_sup_tot_ocs_nor">'OCS Percentage BOE'!$Y$85</definedName>
    <definedName name="sim_sup_tot_ocs_pac">'OCS Percentage BOE'!$K$85</definedName>
    <definedName name="sim_sup_tot_ocs_pan">'OCS Percentage BOE'!$L$85</definedName>
    <definedName name="sim_sup_tot_ocs_pas">'OCS Percentage BOE'!$J$85</definedName>
    <definedName name="sim_sup_tot_ocs_paw">'OCS Percentage BOE'!$M$85</definedName>
    <definedName name="sim_sup_tot_ocs_sgb">'OCS Percentage BOE'!$T$85</definedName>
    <definedName name="sim_sup_tot_ocs_shu">'OCS Percentage BOE'!$Q$85</definedName>
    <definedName name="sim_sup_tot_ocs_smh">'OCS Percentage BOE'!$U$85</definedName>
    <definedName name="solver_adj" localSheetId="39" hidden="1">Prices!$G$35:$J$35</definedName>
    <definedName name="solver_cvg" localSheetId="39" hidden="1">0.0000000001</definedName>
    <definedName name="solver_drv" localSheetId="39" hidden="1">2</definedName>
    <definedName name="solver_eng" localSheetId="39" hidden="1">1</definedName>
    <definedName name="solver_est" localSheetId="39" hidden="1">2</definedName>
    <definedName name="solver_itr" localSheetId="39" hidden="1">1000</definedName>
    <definedName name="solver_lhs1" localSheetId="39" hidden="1">Prices!$O$11</definedName>
    <definedName name="solver_lhs2" localSheetId="39" hidden="1">Prices!$R$11</definedName>
    <definedName name="solver_lhs3" localSheetId="39" hidden="1">Prices!$U$11</definedName>
    <definedName name="solver_lhs4" localSheetId="39" hidden="1">Prices!$X$11</definedName>
    <definedName name="solver_lhs5" localSheetId="39" hidden="1">Prices!$O$11</definedName>
    <definedName name="solver_lhs6" localSheetId="39" hidden="1">Prices!$R$11</definedName>
    <definedName name="solver_lhs7" localSheetId="39" hidden="1">Prices!$U$11</definedName>
    <definedName name="solver_lhs8" localSheetId="39" hidden="1">Prices!$X$11</definedName>
    <definedName name="solver_lin" localSheetId="39" hidden="1">2</definedName>
    <definedName name="solver_neg" localSheetId="39" hidden="1">1</definedName>
    <definedName name="solver_num" localSheetId="39" hidden="1">0</definedName>
    <definedName name="solver_nwt" localSheetId="39" hidden="1">1</definedName>
    <definedName name="solver_opt" localSheetId="39" hidden="1">Prices!$Y$35</definedName>
    <definedName name="solver_pre" localSheetId="39" hidden="1">0.00000001</definedName>
    <definedName name="solver_rel1" localSheetId="39" hidden="1">1</definedName>
    <definedName name="solver_rel2" localSheetId="39" hidden="1">1</definedName>
    <definedName name="solver_rel3" localSheetId="39" hidden="1">1</definedName>
    <definedName name="solver_rel4" localSheetId="39" hidden="1">1</definedName>
    <definedName name="solver_rel5" localSheetId="39" hidden="1">3</definedName>
    <definedName name="solver_rel6" localSheetId="39" hidden="1">3</definedName>
    <definedName name="solver_rel7" localSheetId="39" hidden="1">3</definedName>
    <definedName name="solver_rel8" localSheetId="39" hidden="1">3</definedName>
    <definedName name="solver_rhs1" localSheetId="39" hidden="1">0.0025</definedName>
    <definedName name="solver_rhs2" localSheetId="39" hidden="1">0.0025</definedName>
    <definedName name="solver_rhs3" localSheetId="39" hidden="1">0.0025</definedName>
    <definedName name="solver_rhs4" localSheetId="39" hidden="1">0.0025</definedName>
    <definedName name="solver_rhs5" localSheetId="39" hidden="1">-0.0025</definedName>
    <definedName name="solver_rhs6" localSheetId="39" hidden="1">-0.0025</definedName>
    <definedName name="solver_rhs7" localSheetId="39" hidden="1">-0.0025</definedName>
    <definedName name="solver_rhs8" localSheetId="39" hidden="1">-0.0025</definedName>
    <definedName name="solver_scl" localSheetId="39" hidden="1">0</definedName>
    <definedName name="solver_sho" localSheetId="39" hidden="1">2</definedName>
    <definedName name="solver_tim" localSheetId="39" hidden="1">1000</definedName>
    <definedName name="solver_tol" localSheetId="39" hidden="1">0</definedName>
    <definedName name="solver_typ" localSheetId="39" hidden="1">3</definedName>
    <definedName name="solver_val" localSheetId="39" hidden="1">0</definedName>
    <definedName name="solver_ver" localSheetId="39" hidden="1">3</definedName>
    <definedName name="sou_coa_ind_ele">Defaults!$F$104</definedName>
    <definedName name="sou_coa_ind_gas">Defaults!$F$103</definedName>
    <definedName name="sou_coa_ind_oil">Defaults!$F$102</definedName>
    <definedName name="sou_coa_oth_ele">Defaults!$F$105</definedName>
    <definedName name="sou_coa_oth_gas">Defaults!$F$101</definedName>
    <definedName name="sou_coa_oth_oil">Defaults!$F$100</definedName>
    <definedName name="sou_dem_coa_ele" localSheetId="20">Defaults!#REF!</definedName>
    <definedName name="sou_dem_coa_ele" localSheetId="46">Defaults!#REF!</definedName>
    <definedName name="sou_dem_coa_ele" localSheetId="1">Defaults!#REF!</definedName>
    <definedName name="sou_dem_coa_ele">Defaults!#REF!</definedName>
    <definedName name="sou_dem_coa_exp">Defaults!$E$21</definedName>
    <definedName name="sou_dem_coa_ind">Defaults!$E$23</definedName>
    <definedName name="sou_dem_coa_oth">Defaults!$E$22</definedName>
    <definedName name="sou_dem_ele_com">Defaults!$E$17</definedName>
    <definedName name="sou_dem_ele_ind">Defaults!$E$18</definedName>
    <definedName name="sou_dem_ele_oth">Defaults!$E$20</definedName>
    <definedName name="sou_dem_ele_res">Defaults!$E$16</definedName>
    <definedName name="sou_dem_ele_tra">Defaults!$E$19</definedName>
    <definedName name="sou_dem_gas_com">Defaults!$E$12</definedName>
    <definedName name="sou_dem_gas_exp">Defaults!$E$15</definedName>
    <definedName name="sou_dem_gas_ind">Defaults!$E$13</definedName>
    <definedName name="sou_dem_gas_res">Defaults!$E$11</definedName>
    <definedName name="sou_dem_gas_tra">Defaults!$E$14</definedName>
    <definedName name="sou_dem_oil_com">Defaults!$E$5</definedName>
    <definedName name="sou_dem_oil_ele" localSheetId="20">Defaults!#REF!</definedName>
    <definedName name="sou_dem_oil_ele" localSheetId="46">Defaults!#REF!</definedName>
    <definedName name="sou_dem_oil_ele" localSheetId="1">Defaults!#REF!</definedName>
    <definedName name="sou_dem_oil_ele">Defaults!#REF!</definedName>
    <definedName name="sou_dem_oil_ind">Defaults!$E$6</definedName>
    <definedName name="sou_dem_oil_res">Defaults!$E$4</definedName>
    <definedName name="sou_dem_oil_row_crude">Defaults!$E$8</definedName>
    <definedName name="sou_dem_oil_row_non_us">Defaults!$E$10</definedName>
    <definedName name="sou_dem_oil_row_ref">Defaults!$E$9</definedName>
    <definedName name="sou_dem_oil_tra">Defaults!$E$7</definedName>
    <definedName name="sou_ele_com_gas">Defaults!$F$93</definedName>
    <definedName name="sou_ele_com_oil">Defaults!$F$89</definedName>
    <definedName name="sou_ele_ind_coa">Defaults!$F$96</definedName>
    <definedName name="sou_ele_ind_gas">Defaults!$F$94</definedName>
    <definedName name="sou_ele_ind_oil">Defaults!$F$90</definedName>
    <definedName name="sou_ele_oth_coa">Defaults!$F$97</definedName>
    <definedName name="sou_ele_oth_gas">Defaults!$F$99</definedName>
    <definedName name="sou_ele_oth_oil">Defaults!$F$98</definedName>
    <definedName name="sou_ele_res_gas">Defaults!$F$92</definedName>
    <definedName name="sou_ele_res_oil">Defaults!$F$88</definedName>
    <definedName name="sou_ele_tra_gas">Defaults!$F$95</definedName>
    <definedName name="sou_ele_tra_oil">Defaults!$F$91</definedName>
    <definedName name="sou_export_ban" localSheetId="20">Defaults!#REF!</definedName>
    <definedName name="sou_export_ban" localSheetId="46">Defaults!#REF!</definedName>
    <definedName name="sou_export_ban">Defaults!#REF!</definedName>
    <definedName name="sou_g_dem_coa_exp">Defaults!$F$116</definedName>
    <definedName name="sou_g_dem_coa_ind">Defaults!$F$117</definedName>
    <definedName name="sou_g_dem_coa_oth">Defaults!$F$118</definedName>
    <definedName name="sou_g_dem_ele_com">Defaults!$F$119</definedName>
    <definedName name="sou_g_dem_ele_ind">Defaults!$F$120</definedName>
    <definedName name="sou_g_dem_ele_oth">Defaults!$F$121</definedName>
    <definedName name="sou_g_dem_ele_res">Defaults!$F$122</definedName>
    <definedName name="sou_g_dem_ele_tra">Defaults!$F$123</definedName>
    <definedName name="sou_g_dem_gas_com">Defaults!$F$124</definedName>
    <definedName name="sou_g_dem_gas_exp">Defaults!$F$125</definedName>
    <definedName name="sou_g_dem_gas_ind">Defaults!$F$126</definedName>
    <definedName name="sou_g_dem_gas_res">Defaults!$F$127</definedName>
    <definedName name="sou_g_dem_gas_tra">Defaults!$F$128</definedName>
    <definedName name="sou_g_dem_oil_com">Defaults!$F$129</definedName>
    <definedName name="sou_g_dem_oil_ind">Defaults!$F$130</definedName>
    <definedName name="sou_g_dem_oil_res">Defaults!$F$131</definedName>
    <definedName name="sou_g_dem_oil_row_crude">Defaults!$F$132</definedName>
    <definedName name="sou_g_dem_oil_row_non_us">Defaults!$F$134</definedName>
    <definedName name="sou_g_dem_oil_row_ref">Defaults!$F$133</definedName>
    <definedName name="sou_g_dem_oil_tra">Defaults!$F$135</definedName>
    <definedName name="sou_g_sup_coa_dom">Defaults!$F$166</definedName>
    <definedName name="sou_g_sup_coa_imp">Defaults!$F$167</definedName>
    <definedName name="sou_g_sup_ele_coa">Defaults!$F$140</definedName>
    <definedName name="sou_g_sup_ele_gas">Defaults!$F$141</definedName>
    <definedName name="sou_g_sup_ele_hyd">Defaults!$F$142</definedName>
    <definedName name="sou_g_sup_ele_imp">Defaults!$F$143</definedName>
    <definedName name="sou_g_sup_ele_nuc">Defaults!$F$144</definedName>
    <definedName name="sou_g_sup_ele_oil">Defaults!$F$145</definedName>
    <definedName name="sou_g_sup_ele_oth">Defaults!$F$146</definedName>
    <definedName name="sou_g_sup_ele_sol">Defaults!$F$147</definedName>
    <definedName name="sou_g_sup_ele_wof">Defaults!$F$148</definedName>
    <definedName name="sou_g_sup_ele_won">Defaults!$F$149</definedName>
    <definedName name="sou_g_sup_gas_ala_off">Defaults!$F$151</definedName>
    <definedName name="sou_g_sup_gas_ala_on">Defaults!$F$150</definedName>
    <definedName name="sou_g_sup_gas_con">Defaults!$F$152</definedName>
    <definedName name="sou_g_sup_gas_lng">Defaults!$F$153</definedName>
    <definedName name="sou_g_sup_gas_off">Defaults!$F$154</definedName>
    <definedName name="sou_g_sup_gas_oth">Defaults!$F$155</definedName>
    <definedName name="sou_g_sup_gas_pip">Defaults!$F$156</definedName>
    <definedName name="sou_g_sup_gas_unc">Defaults!$F$157</definedName>
    <definedName name="sou_g_sup_oil_ala_off">Defaults!$F$159</definedName>
    <definedName name="sou_g_sup_oil_ala_on">Defaults!$F$158</definedName>
    <definedName name="sou_g_sup_oil_bio">Defaults!$F$160</definedName>
    <definedName name="sou_g_sup_oil_can">Defaults!$F$165</definedName>
    <definedName name="sou_g_sup_oil_l48">Defaults!$F$161</definedName>
    <definedName name="sou_g_sup_oil_l48_t">Defaults!$F$168</definedName>
    <definedName name="sou_g_sup_oil_off">Defaults!$F$162</definedName>
    <definedName name="sou_g_sup_oil_oth">Defaults!$F$163</definedName>
    <definedName name="sou_g_sup_oil_row">Defaults!$F$164</definedName>
    <definedName name="sou_gas_com_ele">Defaults!$F$84</definedName>
    <definedName name="sou_gas_com_oil">Defaults!$F$80</definedName>
    <definedName name="sou_gas_ind_coa">Defaults!$F$87</definedName>
    <definedName name="sou_gas_ind_ele">Defaults!$F$85</definedName>
    <definedName name="sou_gas_ind_oil">Defaults!$F$81</definedName>
    <definedName name="sou_gas_res_ele">Defaults!$F$83</definedName>
    <definedName name="sou_gas_res_oil">Defaults!$F$79</definedName>
    <definedName name="sou_gas_tra_ele">Defaults!$F$86</definedName>
    <definedName name="sou_gas_tra_oil">Defaults!$F$82</definedName>
    <definedName name="sou_oil_com_ele">Defaults!$F$75</definedName>
    <definedName name="sou_oil_com_gas">Defaults!$F$71</definedName>
    <definedName name="sou_oil_ind_coa">Defaults!$F$78</definedName>
    <definedName name="sou_oil_ind_ele">Defaults!$F$76</definedName>
    <definedName name="sou_oil_ind_gas">Defaults!$F$72</definedName>
    <definedName name="sou_oil_res_ele">Defaults!$F$74</definedName>
    <definedName name="sou_oil_res_gas">Defaults!$F$70</definedName>
    <definedName name="sou_oil_tra_ele">Defaults!$F$77</definedName>
    <definedName name="sou_oil_tra_gas">Defaults!$F$73</definedName>
    <definedName name="sou_sup_coa_dom">Defaults!$E$58</definedName>
    <definedName name="sou_sup_coa_imp">Defaults!$E$59</definedName>
    <definedName name="sou_sup_ele_coa">Defaults!$E$48</definedName>
    <definedName name="sou_sup_ele_gas">Defaults!$E$49</definedName>
    <definedName name="sou_sup_ele_hyd">Defaults!$E$50</definedName>
    <definedName name="sou_sup_ele_imp">Defaults!$E$51</definedName>
    <definedName name="sou_sup_ele_nuc">Defaults!$E$52</definedName>
    <definedName name="sou_sup_ele_oil">Defaults!$E$53</definedName>
    <definedName name="sou_sup_ele_ral" localSheetId="20">Defaults!#REF!</definedName>
    <definedName name="sou_sup_ele_ral" localSheetId="46">Defaults!#REF!</definedName>
    <definedName name="sou_sup_ele_ral" localSheetId="1">Defaults!#REF!</definedName>
    <definedName name="sou_sup_ele_ral">Defaults!#REF!</definedName>
    <definedName name="sou_sup_ele_rnh">Defaults!$E$54</definedName>
    <definedName name="sou_sup_ele_sol">Defaults!$E$55</definedName>
    <definedName name="sou_sup_ele_wof">Defaults!$E$56</definedName>
    <definedName name="sou_sup_ele_won">Defaults!$E$57</definedName>
    <definedName name="sou_sup_gas_ala">Defaults!$E$42</definedName>
    <definedName name="sou_sup_gas_ala_off">Defaults!$E$43</definedName>
    <definedName name="sou_sup_gas_ala_on">Defaults!$E$42</definedName>
    <definedName name="sou_sup_gas_con">Defaults!$E$44</definedName>
    <definedName name="sou_sup_gas_lng">Defaults!$E$41</definedName>
    <definedName name="sou_sup_gas_off">Defaults!$E$45</definedName>
    <definedName name="sou_sup_gas_oth">Defaults!$E$46</definedName>
    <definedName name="sou_sup_gas_pip">Defaults!$E$40</definedName>
    <definedName name="sou_sup_gas_unc">Defaults!$E$47</definedName>
    <definedName name="sou_sup_oil_ala_off">Defaults!$E$35</definedName>
    <definedName name="sou_sup_oil_ala_on">Defaults!$E$34</definedName>
    <definedName name="sou_sup_oil_bio">Defaults!$E$33</definedName>
    <definedName name="sou_sup_oil_can">Defaults!$E$31</definedName>
    <definedName name="sou_sup_oil_l48">Defaults!$E$36</definedName>
    <definedName name="sou_sup_oil_l48_t">Defaults!$E$39</definedName>
    <definedName name="sou_sup_oil_off">Defaults!$E$37</definedName>
    <definedName name="sou_sup_oil_oth">Defaults!$E$38</definedName>
    <definedName name="sou_sup_oil_row">Defaults!$E$32</definedName>
    <definedName name="start_time">Prices!$K$1</definedName>
    <definedName name="year_gas">'OCS Gas SIM'!$B$10:$B$84</definedName>
    <definedName name="year_oil">'OCS Oil SIM'!$B$10:$B$84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5035" l="1"/>
  <c r="C10" i="34998" l="1" a="1"/>
  <c r="C10" i="34998" s="1"/>
  <c r="L10" i="34998"/>
  <c r="M10" i="34998"/>
  <c r="N10" i="34998"/>
  <c r="O10" i="34998"/>
  <c r="P10" i="34998"/>
  <c r="V10" i="34998"/>
  <c r="Z10" i="34998"/>
  <c r="AA10" i="34998"/>
  <c r="AB10" i="34998"/>
  <c r="C11" i="34998"/>
  <c r="D11" i="34998"/>
  <c r="J11" i="34998"/>
  <c r="N11" i="34998"/>
  <c r="O11" i="34998"/>
  <c r="P11" i="34998"/>
  <c r="Q11" i="34998"/>
  <c r="R11" i="34998"/>
  <c r="X11" i="34998"/>
  <c r="AB11" i="34998"/>
  <c r="C12" i="34998"/>
  <c r="D12" i="34998"/>
  <c r="E12" i="34998"/>
  <c r="F12" i="34998"/>
  <c r="J12" i="34998"/>
  <c r="L12" i="34998"/>
  <c r="P12" i="34998"/>
  <c r="Q12" i="34998"/>
  <c r="R12" i="34998"/>
  <c r="S12" i="34998"/>
  <c r="T12" i="34998"/>
  <c r="X12" i="34998"/>
  <c r="Y12" i="34998"/>
  <c r="Z12" i="34998"/>
  <c r="D13" i="34998"/>
  <c r="E13" i="34998"/>
  <c r="F13" i="34998"/>
  <c r="G13" i="34998"/>
  <c r="H13" i="34998"/>
  <c r="L13" i="34998"/>
  <c r="M13" i="34998"/>
  <c r="N13" i="34998"/>
  <c r="R13" i="34998"/>
  <c r="S13" i="34998"/>
  <c r="T13" i="34998"/>
  <c r="U13" i="34998"/>
  <c r="V13" i="34998"/>
  <c r="Z13" i="34998"/>
  <c r="AA13" i="34998"/>
  <c r="AB13" i="34998"/>
  <c r="F14" i="34998"/>
  <c r="G14" i="34998"/>
  <c r="H14" i="34998"/>
  <c r="I14" i="34998"/>
  <c r="J14" i="34998"/>
  <c r="K14" i="34998"/>
  <c r="N14" i="34998"/>
  <c r="O14" i="34998"/>
  <c r="P14" i="34998"/>
  <c r="T14" i="34998"/>
  <c r="U14" i="34998"/>
  <c r="V14" i="34998"/>
  <c r="W14" i="34998"/>
  <c r="X14" i="34998"/>
  <c r="Y14" i="34998"/>
  <c r="AB14" i="34998"/>
  <c r="C15" i="34998"/>
  <c r="D15" i="34998"/>
  <c r="H15" i="34998"/>
  <c r="I15" i="34998"/>
  <c r="J15" i="34998"/>
  <c r="K15" i="34998"/>
  <c r="L15" i="34998"/>
  <c r="M15" i="34998"/>
  <c r="P15" i="34998"/>
  <c r="Q15" i="34998"/>
  <c r="R15" i="34998"/>
  <c r="V15" i="34998"/>
  <c r="W15" i="34998"/>
  <c r="X15" i="34998"/>
  <c r="Y15" i="34998"/>
  <c r="Z15" i="34998"/>
  <c r="AA15" i="34998"/>
  <c r="D16" i="34998"/>
  <c r="E16" i="34998"/>
  <c r="F16" i="34998"/>
  <c r="J16" i="34998"/>
  <c r="K16" i="34998"/>
  <c r="L16" i="34998"/>
  <c r="M16" i="34998"/>
  <c r="N16" i="34998"/>
  <c r="O16" i="34998"/>
  <c r="R16" i="34998"/>
  <c r="S16" i="34998"/>
  <c r="T16" i="34998"/>
  <c r="X16" i="34998"/>
  <c r="Y16" i="34998"/>
  <c r="Z16" i="34998"/>
  <c r="AA16" i="34998"/>
  <c r="AB16" i="34998"/>
  <c r="C17" i="34998"/>
  <c r="F17" i="34998"/>
  <c r="G17" i="34998"/>
  <c r="H17" i="34998"/>
  <c r="L17" i="34998"/>
  <c r="M17" i="34998"/>
  <c r="N17" i="34998"/>
  <c r="O17" i="34998"/>
  <c r="P17" i="34998"/>
  <c r="Q17" i="34998"/>
  <c r="R17" i="34998"/>
  <c r="S17" i="34998"/>
  <c r="T17" i="34998"/>
  <c r="U17" i="34998"/>
  <c r="V17" i="34998"/>
  <c r="Z17" i="34998"/>
  <c r="AA17" i="34998"/>
  <c r="AB17" i="34998"/>
  <c r="C18" i="34998"/>
  <c r="D18" i="34998"/>
  <c r="E18" i="34998"/>
  <c r="F18" i="34998"/>
  <c r="G18" i="34998"/>
  <c r="H18" i="34998"/>
  <c r="I18" i="34998"/>
  <c r="J18" i="34998"/>
  <c r="N18" i="34998"/>
  <c r="O18" i="34998"/>
  <c r="P18" i="34998"/>
  <c r="Q18" i="34998"/>
  <c r="R18" i="34998"/>
  <c r="S18" i="34998"/>
  <c r="T18" i="34998"/>
  <c r="U18" i="34998"/>
  <c r="V18" i="34998"/>
  <c r="W18" i="34998"/>
  <c r="X18" i="34998"/>
  <c r="AB18" i="34998"/>
  <c r="C19" i="34998"/>
  <c r="D19" i="34998"/>
  <c r="E19" i="34998"/>
  <c r="F19" i="34998"/>
  <c r="G19" i="34998"/>
  <c r="H19" i="34998"/>
  <c r="I19" i="34998"/>
  <c r="J19" i="34998"/>
  <c r="K19" i="34998"/>
  <c r="L19" i="34998"/>
  <c r="P19" i="34998"/>
  <c r="Q19" i="34998"/>
  <c r="R19" i="34998"/>
  <c r="S19" i="34998"/>
  <c r="T19" i="34998"/>
  <c r="U19" i="34998"/>
  <c r="V19" i="34998"/>
  <c r="W19" i="34998"/>
  <c r="X19" i="34998"/>
  <c r="Y19" i="34998"/>
  <c r="Z19" i="34998"/>
  <c r="D20" i="34998"/>
  <c r="E20" i="34998"/>
  <c r="F20" i="34998"/>
  <c r="G20" i="34998"/>
  <c r="H20" i="34998"/>
  <c r="I20" i="34998"/>
  <c r="J20" i="34998"/>
  <c r="K20" i="34998"/>
  <c r="L20" i="34998"/>
  <c r="M20" i="34998"/>
  <c r="N20" i="34998"/>
  <c r="Q20" i="34998"/>
  <c r="R20" i="34998"/>
  <c r="S20" i="34998"/>
  <c r="T20" i="34998"/>
  <c r="U20" i="34998"/>
  <c r="V20" i="34998"/>
  <c r="W20" i="34998"/>
  <c r="X20" i="34998"/>
  <c r="Y20" i="34998"/>
  <c r="Z20" i="34998"/>
  <c r="AA20" i="34998"/>
  <c r="AB20" i="34998"/>
  <c r="E21" i="34998"/>
  <c r="F21" i="34998"/>
  <c r="G21" i="34998"/>
  <c r="H21" i="34998"/>
  <c r="I21" i="34998"/>
  <c r="J21" i="34998"/>
  <c r="K21" i="34998"/>
  <c r="L21" i="34998"/>
  <c r="M21" i="34998"/>
  <c r="N21" i="34998"/>
  <c r="O21" i="34998"/>
  <c r="P21" i="34998"/>
  <c r="S21" i="34998"/>
  <c r="T21" i="34998"/>
  <c r="U21" i="34998"/>
  <c r="V21" i="34998"/>
  <c r="W21" i="34998"/>
  <c r="X21" i="34998"/>
  <c r="Y21" i="34998"/>
  <c r="Z21" i="34998"/>
  <c r="AA21" i="34998"/>
  <c r="AB21" i="34998"/>
  <c r="C22" i="34998"/>
  <c r="D22" i="34998"/>
  <c r="G22" i="34998"/>
  <c r="H22" i="34998"/>
  <c r="I22" i="34998"/>
  <c r="J22" i="34998"/>
  <c r="K22" i="34998"/>
  <c r="L22" i="34998"/>
  <c r="M22" i="34998"/>
  <c r="N22" i="34998"/>
  <c r="O22" i="34998"/>
  <c r="P22" i="34998"/>
  <c r="Q22" i="34998"/>
  <c r="R22" i="34998"/>
  <c r="U22" i="34998"/>
  <c r="V22" i="34998"/>
  <c r="W22" i="34998"/>
  <c r="X22" i="34998"/>
  <c r="Y22" i="34998"/>
  <c r="Z22" i="34998"/>
  <c r="AA22" i="34998"/>
  <c r="AB22" i="34998"/>
  <c r="C23" i="34998"/>
  <c r="D23" i="34998"/>
  <c r="E23" i="34998"/>
  <c r="F23" i="34998"/>
  <c r="I23" i="34998"/>
  <c r="J23" i="34998"/>
  <c r="K23" i="34998"/>
  <c r="L23" i="34998"/>
  <c r="M23" i="34998"/>
  <c r="N23" i="34998"/>
  <c r="O23" i="34998"/>
  <c r="P23" i="34998"/>
  <c r="Q23" i="34998"/>
  <c r="R23" i="34998"/>
  <c r="S23" i="34998"/>
  <c r="T23" i="34998"/>
  <c r="W23" i="34998"/>
  <c r="X23" i="34998"/>
  <c r="Y23" i="34998"/>
  <c r="Z23" i="34998"/>
  <c r="AA23" i="34998"/>
  <c r="AB23" i="34998"/>
  <c r="C24" i="34998"/>
  <c r="D24" i="34998"/>
  <c r="E24" i="34998"/>
  <c r="F24" i="34998"/>
  <c r="G24" i="34998"/>
  <c r="H24" i="34998"/>
  <c r="K24" i="34998"/>
  <c r="L24" i="34998"/>
  <c r="M24" i="34998"/>
  <c r="N24" i="34998"/>
  <c r="O24" i="34998"/>
  <c r="P24" i="34998"/>
  <c r="Q24" i="34998"/>
  <c r="R24" i="34998"/>
  <c r="S24" i="34998"/>
  <c r="T24" i="34998"/>
  <c r="U24" i="34998"/>
  <c r="V24" i="34998"/>
  <c r="Y24" i="34998"/>
  <c r="Z24" i="34998"/>
  <c r="AA24" i="34998"/>
  <c r="AB24" i="34998"/>
  <c r="C25" i="34998"/>
  <c r="D25" i="34998"/>
  <c r="E25" i="34998"/>
  <c r="F25" i="34998"/>
  <c r="G25" i="34998"/>
  <c r="H25" i="34998"/>
  <c r="I25" i="34998"/>
  <c r="J25" i="34998"/>
  <c r="M25" i="34998"/>
  <c r="N25" i="34998"/>
  <c r="O25" i="34998"/>
  <c r="P25" i="34998"/>
  <c r="Q25" i="34998"/>
  <c r="R25" i="34998"/>
  <c r="S25" i="34998"/>
  <c r="T25" i="34998"/>
  <c r="U25" i="34998"/>
  <c r="V25" i="34998"/>
  <c r="W25" i="34998"/>
  <c r="X25" i="34998"/>
  <c r="AA25" i="34998"/>
  <c r="AB25" i="34998"/>
  <c r="C26" i="34998"/>
  <c r="D26" i="34998"/>
  <c r="E26" i="34998"/>
  <c r="F26" i="34998"/>
  <c r="G26" i="34998"/>
  <c r="H26" i="34998"/>
  <c r="I26" i="34998"/>
  <c r="J26" i="34998"/>
  <c r="K26" i="34998"/>
  <c r="L26" i="34998"/>
  <c r="O26" i="34998"/>
  <c r="P26" i="34998"/>
  <c r="Q26" i="34998"/>
  <c r="R26" i="34998"/>
  <c r="S26" i="34998"/>
  <c r="T26" i="34998"/>
  <c r="U26" i="34998"/>
  <c r="V26" i="34998"/>
  <c r="W26" i="34998"/>
  <c r="X26" i="34998"/>
  <c r="Y26" i="34998"/>
  <c r="Z26" i="34998"/>
  <c r="C27" i="34998"/>
  <c r="D27" i="34998"/>
  <c r="E27" i="34998"/>
  <c r="F27" i="34998"/>
  <c r="G27" i="34998"/>
  <c r="H27" i="34998"/>
  <c r="I27" i="34998"/>
  <c r="J27" i="34998"/>
  <c r="K27" i="34998"/>
  <c r="L27" i="34998"/>
  <c r="M27" i="34998"/>
  <c r="N27" i="34998"/>
  <c r="Q27" i="34998"/>
  <c r="R27" i="34998"/>
  <c r="S27" i="34998"/>
  <c r="T27" i="34998"/>
  <c r="U27" i="34998"/>
  <c r="V27" i="34998"/>
  <c r="W27" i="34998"/>
  <c r="X27" i="34998"/>
  <c r="Y27" i="34998"/>
  <c r="Z27" i="34998"/>
  <c r="AA27" i="34998"/>
  <c r="AB27" i="34998"/>
  <c r="E28" i="34998"/>
  <c r="F28" i="34998"/>
  <c r="G28" i="34998"/>
  <c r="H28" i="34998"/>
  <c r="I28" i="34998"/>
  <c r="J28" i="34998"/>
  <c r="K28" i="34998"/>
  <c r="L28" i="34998"/>
  <c r="M28" i="34998"/>
  <c r="N28" i="34998"/>
  <c r="O28" i="34998"/>
  <c r="P28" i="34998"/>
  <c r="S28" i="34998"/>
  <c r="T28" i="34998"/>
  <c r="U28" i="34998"/>
  <c r="V28" i="34998"/>
  <c r="W28" i="34998"/>
  <c r="X28" i="34998"/>
  <c r="Y28" i="34998"/>
  <c r="Z28" i="34998"/>
  <c r="AA28" i="34998"/>
  <c r="AB28" i="34998"/>
  <c r="C29" i="34998"/>
  <c r="D29" i="34998"/>
  <c r="G29" i="34998"/>
  <c r="H29" i="34998"/>
  <c r="I29" i="34998"/>
  <c r="J29" i="34998"/>
  <c r="K29" i="34998"/>
  <c r="L29" i="34998"/>
  <c r="M29" i="34998"/>
  <c r="N29" i="34998"/>
  <c r="O29" i="34998"/>
  <c r="P29" i="34998"/>
  <c r="Q29" i="34998"/>
  <c r="R29" i="34998"/>
  <c r="U29" i="34998"/>
  <c r="V29" i="34998"/>
  <c r="W29" i="34998"/>
  <c r="X29" i="34998"/>
  <c r="Y29" i="34998"/>
  <c r="Z29" i="34998"/>
  <c r="AA29" i="34998"/>
  <c r="AB29" i="34998"/>
  <c r="C30" i="34998"/>
  <c r="D30" i="34998"/>
  <c r="E30" i="34998"/>
  <c r="F30" i="34998"/>
  <c r="I30" i="34998"/>
  <c r="J30" i="34998"/>
  <c r="K30" i="34998"/>
  <c r="L30" i="34998"/>
  <c r="M30" i="34998"/>
  <c r="N30" i="34998"/>
  <c r="O30" i="34998"/>
  <c r="P30" i="34998"/>
  <c r="Q30" i="34998"/>
  <c r="R30" i="34998"/>
  <c r="S30" i="34998"/>
  <c r="T30" i="34998"/>
  <c r="W30" i="34998"/>
  <c r="X30" i="34998"/>
  <c r="Y30" i="34998"/>
  <c r="Z30" i="34998"/>
  <c r="AA30" i="34998"/>
  <c r="AB30" i="34998"/>
  <c r="C31" i="34998"/>
  <c r="D31" i="34998"/>
  <c r="E31" i="34998"/>
  <c r="F31" i="34998"/>
  <c r="G31" i="34998"/>
  <c r="H31" i="34998"/>
  <c r="K31" i="34998"/>
  <c r="L31" i="34998"/>
  <c r="M31" i="34998"/>
  <c r="N31" i="34998"/>
  <c r="O31" i="34998"/>
  <c r="P31" i="34998"/>
  <c r="Q31" i="34998"/>
  <c r="R31" i="34998"/>
  <c r="S31" i="34998"/>
  <c r="T31" i="34998"/>
  <c r="U31" i="34998"/>
  <c r="V31" i="34998"/>
  <c r="Y31" i="34998"/>
  <c r="Z31" i="34998"/>
  <c r="AA31" i="34998"/>
  <c r="AB31" i="34998"/>
  <c r="C32" i="34998"/>
  <c r="D32" i="34998"/>
  <c r="E32" i="34998"/>
  <c r="F32" i="34998"/>
  <c r="G32" i="34998"/>
  <c r="H32" i="34998"/>
  <c r="I32" i="34998"/>
  <c r="J32" i="34998"/>
  <c r="M32" i="34998"/>
  <c r="N32" i="34998"/>
  <c r="O32" i="34998"/>
  <c r="P32" i="34998"/>
  <c r="Q32" i="34998"/>
  <c r="R32" i="34998"/>
  <c r="S32" i="34998"/>
  <c r="T32" i="34998"/>
  <c r="U32" i="34998"/>
  <c r="V32" i="34998"/>
  <c r="W32" i="34998"/>
  <c r="X32" i="34998"/>
  <c r="AA32" i="34998"/>
  <c r="AB32" i="34998"/>
  <c r="C33" i="34998"/>
  <c r="D33" i="34998"/>
  <c r="E33" i="34998"/>
  <c r="F33" i="34998"/>
  <c r="G33" i="34998"/>
  <c r="H33" i="34998"/>
  <c r="I33" i="34998"/>
  <c r="J33" i="34998"/>
  <c r="K33" i="34998"/>
  <c r="L33" i="34998"/>
  <c r="O33" i="34998"/>
  <c r="P33" i="34998"/>
  <c r="Q33" i="34998"/>
  <c r="R33" i="34998"/>
  <c r="S33" i="34998"/>
  <c r="T33" i="34998"/>
  <c r="U33" i="34998"/>
  <c r="V33" i="34998"/>
  <c r="W33" i="34998"/>
  <c r="X33" i="34998"/>
  <c r="Y33" i="34998"/>
  <c r="Z33" i="34998"/>
  <c r="C34" i="34998"/>
  <c r="D34" i="34998"/>
  <c r="E34" i="34998"/>
  <c r="F34" i="34998"/>
  <c r="G34" i="34998"/>
  <c r="H34" i="34998"/>
  <c r="I34" i="34998"/>
  <c r="J34" i="34998"/>
  <c r="K34" i="34998"/>
  <c r="L34" i="34998"/>
  <c r="M34" i="34998"/>
  <c r="N34" i="34998"/>
  <c r="Q34" i="34998"/>
  <c r="R34" i="34998"/>
  <c r="S34" i="34998"/>
  <c r="T34" i="34998"/>
  <c r="U34" i="34998"/>
  <c r="V34" i="34998"/>
  <c r="W34" i="34998"/>
  <c r="X34" i="34998"/>
  <c r="Y34" i="34998"/>
  <c r="Z34" i="34998"/>
  <c r="AA34" i="34998"/>
  <c r="AB34" i="34998"/>
  <c r="E35" i="34998"/>
  <c r="F35" i="34998"/>
  <c r="G35" i="34998"/>
  <c r="H35" i="34998"/>
  <c r="I35" i="34998"/>
  <c r="J35" i="34998"/>
  <c r="K35" i="34998"/>
  <c r="L35" i="34998"/>
  <c r="M35" i="34998"/>
  <c r="N35" i="34998"/>
  <c r="O35" i="34998"/>
  <c r="P35" i="34998"/>
  <c r="S35" i="34998"/>
  <c r="T35" i="34998"/>
  <c r="U35" i="34998"/>
  <c r="V35" i="34998"/>
  <c r="W35" i="34998"/>
  <c r="X35" i="34998"/>
  <c r="Y35" i="34998"/>
  <c r="Z35" i="34998"/>
  <c r="AA35" i="34998"/>
  <c r="AB35" i="34998"/>
  <c r="C36" i="34998"/>
  <c r="D36" i="34998"/>
  <c r="G36" i="34998"/>
  <c r="H36" i="34998"/>
  <c r="I36" i="34998"/>
  <c r="J36" i="34998"/>
  <c r="K36" i="34998"/>
  <c r="L36" i="34998"/>
  <c r="M36" i="34998"/>
  <c r="N36" i="34998"/>
  <c r="O36" i="34998"/>
  <c r="P36" i="34998"/>
  <c r="Q36" i="34998"/>
  <c r="R36" i="34998"/>
  <c r="U36" i="34998"/>
  <c r="V36" i="34998"/>
  <c r="W36" i="34998"/>
  <c r="X36" i="34998"/>
  <c r="Y36" i="34998"/>
  <c r="Z36" i="34998"/>
  <c r="AA36" i="34998"/>
  <c r="AB36" i="34998"/>
  <c r="C37" i="34998"/>
  <c r="D37" i="34998"/>
  <c r="E37" i="34998"/>
  <c r="F37" i="34998"/>
  <c r="I37" i="34998"/>
  <c r="J37" i="34998"/>
  <c r="K37" i="34998"/>
  <c r="L37" i="34998"/>
  <c r="M37" i="34998"/>
  <c r="N37" i="34998"/>
  <c r="O37" i="34998"/>
  <c r="P37" i="34998"/>
  <c r="Q37" i="34998"/>
  <c r="R37" i="34998"/>
  <c r="S37" i="34998"/>
  <c r="T37" i="34998"/>
  <c r="W37" i="34998"/>
  <c r="X37" i="34998"/>
  <c r="Y37" i="34998"/>
  <c r="Z37" i="34998"/>
  <c r="AA37" i="34998"/>
  <c r="AB37" i="34998"/>
  <c r="C38" i="34998"/>
  <c r="D38" i="34998"/>
  <c r="E38" i="34998"/>
  <c r="F38" i="34998"/>
  <c r="G38" i="34998"/>
  <c r="H38" i="34998"/>
  <c r="K38" i="34998"/>
  <c r="L38" i="34998"/>
  <c r="M38" i="34998"/>
  <c r="N38" i="34998"/>
  <c r="O38" i="34998"/>
  <c r="P38" i="34998"/>
  <c r="Q38" i="34998"/>
  <c r="R38" i="34998"/>
  <c r="S38" i="34998"/>
  <c r="T38" i="34998"/>
  <c r="U38" i="34998"/>
  <c r="V38" i="34998"/>
  <c r="Y38" i="34998"/>
  <c r="Z38" i="34998"/>
  <c r="AA38" i="34998"/>
  <c r="AB38" i="34998"/>
  <c r="C39" i="34998"/>
  <c r="D39" i="34998"/>
  <c r="E39" i="34998"/>
  <c r="F39" i="34998"/>
  <c r="G39" i="34998"/>
  <c r="H39" i="34998"/>
  <c r="I39" i="34998"/>
  <c r="J39" i="34998"/>
  <c r="M39" i="34998"/>
  <c r="N39" i="34998"/>
  <c r="O39" i="34998"/>
  <c r="P39" i="34998"/>
  <c r="Q39" i="34998"/>
  <c r="R39" i="34998"/>
  <c r="S39" i="34998"/>
  <c r="T39" i="34998"/>
  <c r="U39" i="34998"/>
  <c r="V39" i="34998"/>
  <c r="W39" i="34998"/>
  <c r="X39" i="34998"/>
  <c r="AA39" i="34998"/>
  <c r="AB39" i="34998"/>
  <c r="C40" i="34998"/>
  <c r="D40" i="34998"/>
  <c r="E40" i="34998"/>
  <c r="F40" i="34998"/>
  <c r="G40" i="34998"/>
  <c r="H40" i="34998"/>
  <c r="I40" i="34998"/>
  <c r="J40" i="34998"/>
  <c r="K40" i="34998"/>
  <c r="L40" i="34998"/>
  <c r="O40" i="34998"/>
  <c r="P40" i="34998"/>
  <c r="Q40" i="34998"/>
  <c r="R40" i="34998"/>
  <c r="S40" i="34998"/>
  <c r="T40" i="34998"/>
  <c r="U40" i="34998"/>
  <c r="V40" i="34998"/>
  <c r="W40" i="34998"/>
  <c r="X40" i="34998"/>
  <c r="Y40" i="34998"/>
  <c r="Z40" i="34998"/>
  <c r="AA40" i="34998"/>
  <c r="C41" i="34998"/>
  <c r="D41" i="34998"/>
  <c r="E41" i="34998"/>
  <c r="F41" i="34998"/>
  <c r="G41" i="34998"/>
  <c r="H41" i="34998"/>
  <c r="I41" i="34998"/>
  <c r="J41" i="34998"/>
  <c r="K41" i="34998"/>
  <c r="L41" i="34998"/>
  <c r="M41" i="34998"/>
  <c r="N41" i="34998"/>
  <c r="O41" i="34998"/>
  <c r="Q41" i="34998"/>
  <c r="R41" i="34998"/>
  <c r="S41" i="34998"/>
  <c r="T41" i="34998"/>
  <c r="U41" i="34998"/>
  <c r="V41" i="34998"/>
  <c r="W41" i="34998"/>
  <c r="X41" i="34998"/>
  <c r="Y41" i="34998"/>
  <c r="Z41" i="34998"/>
  <c r="AA41" i="34998"/>
  <c r="AB41" i="34998"/>
  <c r="C42" i="34998"/>
  <c r="E42" i="34998"/>
  <c r="F42" i="34998"/>
  <c r="G42" i="34998"/>
  <c r="H42" i="34998"/>
  <c r="I42" i="34998"/>
  <c r="J42" i="34998"/>
  <c r="K42" i="34998"/>
  <c r="L42" i="34998"/>
  <c r="M42" i="34998"/>
  <c r="N42" i="34998"/>
  <c r="O42" i="34998"/>
  <c r="P42" i="34998"/>
  <c r="Q42" i="34998"/>
  <c r="S42" i="34998"/>
  <c r="T42" i="34998"/>
  <c r="U42" i="34998"/>
  <c r="V42" i="34998"/>
  <c r="W42" i="34998"/>
  <c r="X42" i="34998"/>
  <c r="Y42" i="34998"/>
  <c r="Z42" i="34998"/>
  <c r="AA42" i="34998"/>
  <c r="AB42" i="34998"/>
  <c r="C43" i="34998"/>
  <c r="D43" i="34998"/>
  <c r="E43" i="34998"/>
  <c r="G43" i="34998"/>
  <c r="H43" i="34998"/>
  <c r="I43" i="34998"/>
  <c r="J43" i="34998"/>
  <c r="K43" i="34998"/>
  <c r="L43" i="34998"/>
  <c r="M43" i="34998"/>
  <c r="N43" i="34998"/>
  <c r="O43" i="34998"/>
  <c r="P43" i="34998"/>
  <c r="Q43" i="34998"/>
  <c r="R43" i="34998"/>
  <c r="S43" i="34998"/>
  <c r="U43" i="34998"/>
  <c r="V43" i="34998"/>
  <c r="W43" i="34998"/>
  <c r="X43" i="34998"/>
  <c r="Y43" i="34998"/>
  <c r="Z43" i="34998"/>
  <c r="AA43" i="34998"/>
  <c r="AB43" i="34998"/>
  <c r="C44" i="34998"/>
  <c r="D44" i="34998"/>
  <c r="E44" i="34998"/>
  <c r="F44" i="34998"/>
  <c r="G44" i="34998"/>
  <c r="I44" i="34998"/>
  <c r="J44" i="34998"/>
  <c r="K44" i="34998"/>
  <c r="L44" i="34998"/>
  <c r="M44" i="34998"/>
  <c r="N44" i="34998"/>
  <c r="O44" i="34998"/>
  <c r="P44" i="34998"/>
  <c r="Q44" i="34998"/>
  <c r="R44" i="34998"/>
  <c r="S44" i="34998"/>
  <c r="T44" i="34998"/>
  <c r="U44" i="34998"/>
  <c r="W44" i="34998"/>
  <c r="X44" i="34998"/>
  <c r="Y44" i="34998"/>
  <c r="Z44" i="34998"/>
  <c r="AA44" i="34998"/>
  <c r="AB44" i="34998"/>
  <c r="C45" i="34998"/>
  <c r="D45" i="34998"/>
  <c r="E45" i="34998"/>
  <c r="F45" i="34998"/>
  <c r="G45" i="34998"/>
  <c r="H45" i="34998"/>
  <c r="I45" i="34998"/>
  <c r="K45" i="34998"/>
  <c r="L45" i="34998"/>
  <c r="M45" i="34998"/>
  <c r="N45" i="34998"/>
  <c r="O45" i="34998"/>
  <c r="P45" i="34998"/>
  <c r="Q45" i="34998"/>
  <c r="R45" i="34998"/>
  <c r="S45" i="34998"/>
  <c r="T45" i="34998"/>
  <c r="U45" i="34998"/>
  <c r="V45" i="34998"/>
  <c r="W45" i="34998"/>
  <c r="Y45" i="34998"/>
  <c r="Z45" i="34998"/>
  <c r="AA45" i="34998"/>
  <c r="AB45" i="34998"/>
  <c r="C46" i="34998"/>
  <c r="D46" i="34998"/>
  <c r="E46" i="34998"/>
  <c r="F46" i="34998"/>
  <c r="G46" i="34998"/>
  <c r="H46" i="34998"/>
  <c r="I46" i="34998"/>
  <c r="J46" i="34998"/>
  <c r="K46" i="34998"/>
  <c r="M46" i="34998"/>
  <c r="N46" i="34998"/>
  <c r="O46" i="34998"/>
  <c r="P46" i="34998"/>
  <c r="Q46" i="34998"/>
  <c r="R46" i="34998"/>
  <c r="S46" i="34998"/>
  <c r="T46" i="34998"/>
  <c r="U46" i="34998"/>
  <c r="V46" i="34998"/>
  <c r="W46" i="34998"/>
  <c r="X46" i="34998"/>
  <c r="Y46" i="34998"/>
  <c r="AA46" i="34998"/>
  <c r="AB46" i="34998"/>
  <c r="C47" i="34998"/>
  <c r="D47" i="34998"/>
  <c r="E47" i="34998"/>
  <c r="F47" i="34998"/>
  <c r="G47" i="34998"/>
  <c r="H47" i="34998"/>
  <c r="I47" i="34998"/>
  <c r="J47" i="34998"/>
  <c r="K47" i="34998"/>
  <c r="L47" i="34998"/>
  <c r="M47" i="34998"/>
  <c r="O47" i="34998"/>
  <c r="P47" i="34998"/>
  <c r="Q47" i="34998"/>
  <c r="R47" i="34998"/>
  <c r="S47" i="34998"/>
  <c r="T47" i="34998"/>
  <c r="U47" i="34998"/>
  <c r="V47" i="34998"/>
  <c r="W47" i="34998"/>
  <c r="X47" i="34998"/>
  <c r="Y47" i="34998"/>
  <c r="Z47" i="34998"/>
  <c r="AA47" i="34998"/>
  <c r="C48" i="34998"/>
  <c r="D48" i="34998"/>
  <c r="E48" i="34998"/>
  <c r="F48" i="34998"/>
  <c r="G48" i="34998"/>
  <c r="H48" i="34998"/>
  <c r="I48" i="34998"/>
  <c r="J48" i="34998"/>
  <c r="K48" i="34998"/>
  <c r="L48" i="34998"/>
  <c r="M48" i="34998"/>
  <c r="N48" i="34998"/>
  <c r="O48" i="34998"/>
  <c r="Q48" i="34998"/>
  <c r="R48" i="34998"/>
  <c r="S48" i="34998"/>
  <c r="T48" i="34998"/>
  <c r="U48" i="34998"/>
  <c r="V48" i="34998"/>
  <c r="W48" i="34998"/>
  <c r="X48" i="34998"/>
  <c r="Y48" i="34998"/>
  <c r="Z48" i="34998"/>
  <c r="AA48" i="34998"/>
  <c r="AB48" i="34998"/>
  <c r="C49" i="34998"/>
  <c r="E49" i="34998"/>
  <c r="F49" i="34998"/>
  <c r="G49" i="34998"/>
  <c r="H49" i="34998"/>
  <c r="I49" i="34998"/>
  <c r="J49" i="34998"/>
  <c r="K49" i="34998"/>
  <c r="L49" i="34998"/>
  <c r="M49" i="34998"/>
  <c r="N49" i="34998"/>
  <c r="O49" i="34998"/>
  <c r="P49" i="34998"/>
  <c r="Q49" i="34998"/>
  <c r="S49" i="34998"/>
  <c r="T49" i="34998"/>
  <c r="U49" i="34998"/>
  <c r="V49" i="34998"/>
  <c r="W49" i="34998"/>
  <c r="X49" i="34998"/>
  <c r="Y49" i="34998"/>
  <c r="Z49" i="34998"/>
  <c r="AA49" i="34998"/>
  <c r="AB49" i="34998"/>
  <c r="C50" i="34998"/>
  <c r="D50" i="34998"/>
  <c r="E50" i="34998"/>
  <c r="G50" i="34998"/>
  <c r="H50" i="34998"/>
  <c r="I50" i="34998"/>
  <c r="J50" i="34998"/>
  <c r="K50" i="34998"/>
  <c r="L50" i="34998"/>
  <c r="M50" i="34998"/>
  <c r="N50" i="34998"/>
  <c r="O50" i="34998"/>
  <c r="P50" i="34998"/>
  <c r="Q50" i="34998"/>
  <c r="R50" i="34998"/>
  <c r="S50" i="34998"/>
  <c r="U50" i="34998"/>
  <c r="V50" i="34998"/>
  <c r="W50" i="34998"/>
  <c r="X50" i="34998"/>
  <c r="Y50" i="34998"/>
  <c r="Z50" i="34998"/>
  <c r="AA50" i="34998"/>
  <c r="AB50" i="34998"/>
  <c r="C51" i="34998"/>
  <c r="D51" i="34998"/>
  <c r="E51" i="34998"/>
  <c r="F51" i="34998"/>
  <c r="G51" i="34998"/>
  <c r="I51" i="34998"/>
  <c r="J51" i="34998"/>
  <c r="K51" i="34998"/>
  <c r="L51" i="34998"/>
  <c r="M51" i="34998"/>
  <c r="N51" i="34998"/>
  <c r="O51" i="34998"/>
  <c r="P51" i="34998"/>
  <c r="Q51" i="34998"/>
  <c r="R51" i="34998"/>
  <c r="S51" i="34998"/>
  <c r="T51" i="34998"/>
  <c r="U51" i="34998"/>
  <c r="W51" i="34998"/>
  <c r="X51" i="34998"/>
  <c r="Y51" i="34998"/>
  <c r="Z51" i="34998"/>
  <c r="AA51" i="34998"/>
  <c r="AB51" i="34998"/>
  <c r="C52" i="34998"/>
  <c r="D52" i="34998"/>
  <c r="E52" i="34998"/>
  <c r="F52" i="34998"/>
  <c r="G52" i="34998"/>
  <c r="H52" i="34998"/>
  <c r="I52" i="34998"/>
  <c r="K52" i="34998"/>
  <c r="L52" i="34998"/>
  <c r="M52" i="34998"/>
  <c r="N52" i="34998"/>
  <c r="O52" i="34998"/>
  <c r="P52" i="34998"/>
  <c r="Q52" i="34998"/>
  <c r="R52" i="34998"/>
  <c r="S52" i="34998"/>
  <c r="T52" i="34998"/>
  <c r="U52" i="34998"/>
  <c r="V52" i="34998"/>
  <c r="W52" i="34998"/>
  <c r="Y52" i="34998"/>
  <c r="Z52" i="34998"/>
  <c r="AA52" i="34998"/>
  <c r="AB52" i="34998"/>
  <c r="C53" i="34998"/>
  <c r="D53" i="34998"/>
  <c r="E53" i="34998"/>
  <c r="F53" i="34998"/>
  <c r="G53" i="34998"/>
  <c r="H53" i="34998"/>
  <c r="I53" i="34998"/>
  <c r="J53" i="34998"/>
  <c r="K53" i="34998"/>
  <c r="M53" i="34998"/>
  <c r="N53" i="34998"/>
  <c r="O53" i="34998"/>
  <c r="P53" i="34998"/>
  <c r="Q53" i="34998"/>
  <c r="R53" i="34998"/>
  <c r="S53" i="34998"/>
  <c r="T53" i="34998"/>
  <c r="U53" i="34998"/>
  <c r="V53" i="34998"/>
  <c r="W53" i="34998"/>
  <c r="X53" i="34998"/>
  <c r="Y53" i="34998"/>
  <c r="AA53" i="34998"/>
  <c r="AB53" i="34998"/>
  <c r="C54" i="34998"/>
  <c r="D54" i="34998"/>
  <c r="E54" i="34998"/>
  <c r="F54" i="34998"/>
  <c r="G54" i="34998"/>
  <c r="H54" i="34998"/>
  <c r="I54" i="34998"/>
  <c r="J54" i="34998"/>
  <c r="K54" i="34998"/>
  <c r="L54" i="34998"/>
  <c r="M54" i="34998"/>
  <c r="O54" i="34998"/>
  <c r="P54" i="34998"/>
  <c r="Q54" i="34998"/>
  <c r="R54" i="34998"/>
  <c r="S54" i="34998"/>
  <c r="T54" i="34998"/>
  <c r="U54" i="34998"/>
  <c r="V54" i="34998"/>
  <c r="W54" i="34998"/>
  <c r="X54" i="34998"/>
  <c r="Y54" i="34998"/>
  <c r="Z54" i="34998"/>
  <c r="AA54" i="34998"/>
  <c r="C55" i="34998"/>
  <c r="D55" i="34998"/>
  <c r="E55" i="34998"/>
  <c r="F55" i="34998"/>
  <c r="G55" i="34998"/>
  <c r="H55" i="34998"/>
  <c r="I55" i="34998"/>
  <c r="J55" i="34998"/>
  <c r="K55" i="34998"/>
  <c r="L55" i="34998"/>
  <c r="M55" i="34998"/>
  <c r="N55" i="34998"/>
  <c r="O55" i="34998"/>
  <c r="Q55" i="34998"/>
  <c r="R55" i="34998"/>
  <c r="S55" i="34998"/>
  <c r="T55" i="34998"/>
  <c r="U55" i="34998"/>
  <c r="V55" i="34998"/>
  <c r="W55" i="34998"/>
  <c r="X55" i="34998"/>
  <c r="Y55" i="34998"/>
  <c r="Z55" i="34998"/>
  <c r="AA55" i="34998"/>
  <c r="AB55" i="34998"/>
  <c r="C56" i="34998"/>
  <c r="D56" i="34998"/>
  <c r="E56" i="34998"/>
  <c r="F56" i="34998"/>
  <c r="G56" i="34998"/>
  <c r="H56" i="34998"/>
  <c r="I56" i="34998"/>
  <c r="J56" i="34998"/>
  <c r="K56" i="34998"/>
  <c r="L56" i="34998"/>
  <c r="M56" i="34998"/>
  <c r="N56" i="34998"/>
  <c r="O56" i="34998"/>
  <c r="P56" i="34998"/>
  <c r="Q56" i="34998"/>
  <c r="R56" i="34998"/>
  <c r="S56" i="34998"/>
  <c r="T56" i="34998"/>
  <c r="U56" i="34998"/>
  <c r="V56" i="34998"/>
  <c r="W56" i="34998"/>
  <c r="X56" i="34998"/>
  <c r="Y56" i="34998"/>
  <c r="Z56" i="34998"/>
  <c r="AA56" i="34998"/>
  <c r="AB56" i="34998"/>
  <c r="C57" i="34998"/>
  <c r="D57" i="34998"/>
  <c r="E57" i="34998"/>
  <c r="F57" i="34998"/>
  <c r="G57" i="34998"/>
  <c r="H57" i="34998"/>
  <c r="I57" i="34998"/>
  <c r="J57" i="34998"/>
  <c r="K57" i="34998"/>
  <c r="L57" i="34998"/>
  <c r="M57" i="34998"/>
  <c r="N57" i="34998"/>
  <c r="O57" i="34998"/>
  <c r="P57" i="34998"/>
  <c r="Q57" i="34998"/>
  <c r="R57" i="34998"/>
  <c r="S57" i="34998"/>
  <c r="T57" i="34998"/>
  <c r="U57" i="34998"/>
  <c r="V57" i="34998"/>
  <c r="W57" i="34998"/>
  <c r="X57" i="34998"/>
  <c r="Y57" i="34998"/>
  <c r="Z57" i="34998"/>
  <c r="AA57" i="34998"/>
  <c r="AB57" i="34998"/>
  <c r="C58" i="34998"/>
  <c r="D58" i="34998"/>
  <c r="E58" i="34998"/>
  <c r="F58" i="34998"/>
  <c r="G58" i="34998"/>
  <c r="H58" i="34998"/>
  <c r="I58" i="34998"/>
  <c r="J58" i="34998"/>
  <c r="K58" i="34998"/>
  <c r="L58" i="34998"/>
  <c r="M58" i="34998"/>
  <c r="N58" i="34998"/>
  <c r="O58" i="34998"/>
  <c r="P58" i="34998"/>
  <c r="Q58" i="34998"/>
  <c r="R58" i="34998"/>
  <c r="S58" i="34998"/>
  <c r="T58" i="34998"/>
  <c r="U58" i="34998"/>
  <c r="V58" i="34998"/>
  <c r="W58" i="34998"/>
  <c r="X58" i="34998"/>
  <c r="Y58" i="34998"/>
  <c r="Z58" i="34998"/>
  <c r="AA58" i="34998"/>
  <c r="AB58" i="34998"/>
  <c r="C59" i="34998"/>
  <c r="D59" i="34998"/>
  <c r="E59" i="34998"/>
  <c r="F59" i="34998"/>
  <c r="G59" i="34998"/>
  <c r="H59" i="34998"/>
  <c r="I59" i="34998"/>
  <c r="J59" i="34998"/>
  <c r="K59" i="34998"/>
  <c r="L59" i="34998"/>
  <c r="M59" i="34998"/>
  <c r="N59" i="34998"/>
  <c r="O59" i="34998"/>
  <c r="P59" i="34998"/>
  <c r="Q59" i="34998"/>
  <c r="R59" i="34998"/>
  <c r="S59" i="34998"/>
  <c r="T59" i="34998"/>
  <c r="U59" i="34998"/>
  <c r="V59" i="34998"/>
  <c r="W59" i="34998"/>
  <c r="X59" i="34998"/>
  <c r="Y59" i="34998"/>
  <c r="Z59" i="34998"/>
  <c r="AA59" i="34998"/>
  <c r="AB59" i="34998"/>
  <c r="C60" i="34998"/>
  <c r="D60" i="34998"/>
  <c r="E60" i="34998"/>
  <c r="F60" i="34998"/>
  <c r="G60" i="34998"/>
  <c r="H60" i="34998"/>
  <c r="I60" i="34998"/>
  <c r="J60" i="34998"/>
  <c r="K60" i="34998"/>
  <c r="L60" i="34998"/>
  <c r="M60" i="34998"/>
  <c r="N60" i="34998"/>
  <c r="O60" i="34998"/>
  <c r="P60" i="34998"/>
  <c r="Q60" i="34998"/>
  <c r="R60" i="34998"/>
  <c r="S60" i="34998"/>
  <c r="T60" i="34998"/>
  <c r="U60" i="34998"/>
  <c r="V60" i="34998"/>
  <c r="W60" i="34998"/>
  <c r="X60" i="34998"/>
  <c r="Y60" i="34998"/>
  <c r="Z60" i="34998"/>
  <c r="AA60" i="34998"/>
  <c r="AB60" i="34998"/>
  <c r="C61" i="34998"/>
  <c r="D61" i="34998"/>
  <c r="E61" i="34998"/>
  <c r="F61" i="34998"/>
  <c r="G61" i="34998"/>
  <c r="H61" i="34998"/>
  <c r="I61" i="34998"/>
  <c r="J61" i="34998"/>
  <c r="K61" i="34998"/>
  <c r="L61" i="34998"/>
  <c r="M61" i="34998"/>
  <c r="N61" i="34998"/>
  <c r="O61" i="34998"/>
  <c r="P61" i="34998"/>
  <c r="Q61" i="34998"/>
  <c r="R61" i="34998"/>
  <c r="S61" i="34998"/>
  <c r="T61" i="34998"/>
  <c r="U61" i="34998"/>
  <c r="V61" i="34998"/>
  <c r="W61" i="34998"/>
  <c r="X61" i="34998"/>
  <c r="Y61" i="34998"/>
  <c r="Z61" i="34998"/>
  <c r="AA61" i="34998"/>
  <c r="AB61" i="34998"/>
  <c r="C62" i="34998"/>
  <c r="D62" i="34998"/>
  <c r="E62" i="34998"/>
  <c r="F62" i="34998"/>
  <c r="G62" i="34998"/>
  <c r="H62" i="34998"/>
  <c r="I62" i="34998"/>
  <c r="J62" i="34998"/>
  <c r="K62" i="34998"/>
  <c r="L62" i="34998"/>
  <c r="M62" i="34998"/>
  <c r="N62" i="34998"/>
  <c r="O62" i="34998"/>
  <c r="P62" i="34998"/>
  <c r="Q62" i="34998"/>
  <c r="R62" i="34998"/>
  <c r="S62" i="34998"/>
  <c r="T62" i="34998"/>
  <c r="U62" i="34998"/>
  <c r="V62" i="34998"/>
  <c r="W62" i="34998"/>
  <c r="X62" i="34998"/>
  <c r="Y62" i="34998"/>
  <c r="Z62" i="34998"/>
  <c r="AA62" i="34998"/>
  <c r="AB62" i="34998"/>
  <c r="C63" i="34998"/>
  <c r="D63" i="34998"/>
  <c r="E63" i="34998"/>
  <c r="F63" i="34998"/>
  <c r="G63" i="34998"/>
  <c r="H63" i="34998"/>
  <c r="I63" i="34998"/>
  <c r="J63" i="34998"/>
  <c r="K63" i="34998"/>
  <c r="L63" i="34998"/>
  <c r="M63" i="34998"/>
  <c r="N63" i="34998"/>
  <c r="O63" i="34998"/>
  <c r="P63" i="34998"/>
  <c r="Q63" i="34998"/>
  <c r="R63" i="34998"/>
  <c r="S63" i="34998"/>
  <c r="T63" i="34998"/>
  <c r="U63" i="34998"/>
  <c r="V63" i="34998"/>
  <c r="W63" i="34998"/>
  <c r="X63" i="34998"/>
  <c r="Y63" i="34998"/>
  <c r="Z63" i="34998"/>
  <c r="AA63" i="34998"/>
  <c r="AB63" i="34998"/>
  <c r="C64" i="34998"/>
  <c r="D64" i="34998"/>
  <c r="E64" i="34998"/>
  <c r="F64" i="34998"/>
  <c r="G64" i="34998"/>
  <c r="H64" i="34998"/>
  <c r="I64" i="34998"/>
  <c r="J64" i="34998"/>
  <c r="K64" i="34998"/>
  <c r="L64" i="34998"/>
  <c r="M64" i="34998"/>
  <c r="N64" i="34998"/>
  <c r="O64" i="34998"/>
  <c r="P64" i="34998"/>
  <c r="Q64" i="34998"/>
  <c r="R64" i="34998"/>
  <c r="S64" i="34998"/>
  <c r="T64" i="34998"/>
  <c r="U64" i="34998"/>
  <c r="V64" i="34998"/>
  <c r="W64" i="34998"/>
  <c r="X64" i="34998"/>
  <c r="Y64" i="34998"/>
  <c r="Z64" i="34998"/>
  <c r="AA64" i="34998"/>
  <c r="AB64" i="34998"/>
  <c r="C65" i="34998"/>
  <c r="D65" i="34998"/>
  <c r="E65" i="34998"/>
  <c r="F65" i="34998"/>
  <c r="G65" i="34998"/>
  <c r="H65" i="34998"/>
  <c r="I65" i="34998"/>
  <c r="J65" i="34998"/>
  <c r="K65" i="34998"/>
  <c r="L65" i="34998"/>
  <c r="M65" i="34998"/>
  <c r="N65" i="34998"/>
  <c r="O65" i="34998"/>
  <c r="P65" i="34998"/>
  <c r="Q65" i="34998"/>
  <c r="R65" i="34998"/>
  <c r="S65" i="34998"/>
  <c r="T65" i="34998"/>
  <c r="U65" i="34998"/>
  <c r="V65" i="34998"/>
  <c r="W65" i="34998"/>
  <c r="X65" i="34998"/>
  <c r="Y65" i="34998"/>
  <c r="Z65" i="34998"/>
  <c r="AA65" i="34998"/>
  <c r="AB65" i="34998"/>
  <c r="C66" i="34998"/>
  <c r="D66" i="34998"/>
  <c r="E66" i="34998"/>
  <c r="F66" i="34998"/>
  <c r="G66" i="34998"/>
  <c r="H66" i="34998"/>
  <c r="I66" i="34998"/>
  <c r="J66" i="34998"/>
  <c r="K66" i="34998"/>
  <c r="L66" i="34998"/>
  <c r="M66" i="34998"/>
  <c r="N66" i="34998"/>
  <c r="O66" i="34998"/>
  <c r="P66" i="34998"/>
  <c r="Q66" i="34998"/>
  <c r="R66" i="34998"/>
  <c r="S66" i="34998"/>
  <c r="T66" i="34998"/>
  <c r="U66" i="34998"/>
  <c r="V66" i="34998"/>
  <c r="W66" i="34998"/>
  <c r="X66" i="34998"/>
  <c r="Y66" i="34998"/>
  <c r="Z66" i="34998"/>
  <c r="AA66" i="34998"/>
  <c r="AB66" i="34998"/>
  <c r="C67" i="34998"/>
  <c r="D67" i="34998"/>
  <c r="E67" i="34998"/>
  <c r="F67" i="34998"/>
  <c r="G67" i="34998"/>
  <c r="H67" i="34998"/>
  <c r="I67" i="34998"/>
  <c r="J67" i="34998"/>
  <c r="K67" i="34998"/>
  <c r="L67" i="34998"/>
  <c r="M67" i="34998"/>
  <c r="N67" i="34998"/>
  <c r="O67" i="34998"/>
  <c r="P67" i="34998"/>
  <c r="Q67" i="34998"/>
  <c r="R67" i="34998"/>
  <c r="S67" i="34998"/>
  <c r="T67" i="34998"/>
  <c r="U67" i="34998"/>
  <c r="V67" i="34998"/>
  <c r="W67" i="34998"/>
  <c r="X67" i="34998"/>
  <c r="Y67" i="34998"/>
  <c r="Z67" i="34998"/>
  <c r="AA67" i="34998"/>
  <c r="AB67" i="34998"/>
  <c r="C68" i="34998"/>
  <c r="D68" i="34998"/>
  <c r="E68" i="34998"/>
  <c r="F68" i="34998"/>
  <c r="G68" i="34998"/>
  <c r="H68" i="34998"/>
  <c r="I68" i="34998"/>
  <c r="J68" i="34998"/>
  <c r="K68" i="34998"/>
  <c r="L68" i="34998"/>
  <c r="M68" i="34998"/>
  <c r="N68" i="34998"/>
  <c r="O68" i="34998"/>
  <c r="P68" i="34998"/>
  <c r="Q68" i="34998"/>
  <c r="R68" i="34998"/>
  <c r="S68" i="34998"/>
  <c r="T68" i="34998"/>
  <c r="U68" i="34998"/>
  <c r="V68" i="34998"/>
  <c r="W68" i="34998"/>
  <c r="X68" i="34998"/>
  <c r="Y68" i="34998"/>
  <c r="Z68" i="34998"/>
  <c r="AA68" i="34998"/>
  <c r="AB68" i="34998"/>
  <c r="C69" i="34998"/>
  <c r="D69" i="34998"/>
  <c r="E69" i="34998"/>
  <c r="F69" i="34998"/>
  <c r="G69" i="34998"/>
  <c r="H69" i="34998"/>
  <c r="I69" i="34998"/>
  <c r="J69" i="34998"/>
  <c r="K69" i="34998"/>
  <c r="L69" i="34998"/>
  <c r="M69" i="34998"/>
  <c r="N69" i="34998"/>
  <c r="O69" i="34998"/>
  <c r="P69" i="34998"/>
  <c r="Q69" i="34998"/>
  <c r="R69" i="34998"/>
  <c r="S69" i="34998"/>
  <c r="T69" i="34998"/>
  <c r="U69" i="34998"/>
  <c r="V69" i="34998"/>
  <c r="W69" i="34998"/>
  <c r="X69" i="34998"/>
  <c r="Y69" i="34998"/>
  <c r="Z69" i="34998"/>
  <c r="AA69" i="34998"/>
  <c r="AB69" i="34998"/>
  <c r="C70" i="34998"/>
  <c r="D70" i="34998"/>
  <c r="E70" i="34998"/>
  <c r="F70" i="34998"/>
  <c r="G70" i="34998"/>
  <c r="H70" i="34998"/>
  <c r="I70" i="34998"/>
  <c r="J70" i="34998"/>
  <c r="K70" i="34998"/>
  <c r="L70" i="34998"/>
  <c r="M70" i="34998"/>
  <c r="N70" i="34998"/>
  <c r="O70" i="34998"/>
  <c r="P70" i="34998"/>
  <c r="Q70" i="34998"/>
  <c r="R70" i="34998"/>
  <c r="S70" i="34998"/>
  <c r="T70" i="34998"/>
  <c r="U70" i="34998"/>
  <c r="V70" i="34998"/>
  <c r="W70" i="34998"/>
  <c r="X70" i="34998"/>
  <c r="Y70" i="34998"/>
  <c r="Z70" i="34998"/>
  <c r="AA70" i="34998"/>
  <c r="AB70" i="34998"/>
  <c r="C71" i="34998"/>
  <c r="D71" i="34998"/>
  <c r="E71" i="34998"/>
  <c r="F71" i="34998"/>
  <c r="G71" i="34998"/>
  <c r="H71" i="34998"/>
  <c r="I71" i="34998"/>
  <c r="J71" i="34998"/>
  <c r="K71" i="34998"/>
  <c r="L71" i="34998"/>
  <c r="M71" i="34998"/>
  <c r="N71" i="34998"/>
  <c r="O71" i="34998"/>
  <c r="P71" i="34998"/>
  <c r="Q71" i="34998"/>
  <c r="R71" i="34998"/>
  <c r="S71" i="34998"/>
  <c r="T71" i="34998"/>
  <c r="U71" i="34998"/>
  <c r="V71" i="34998"/>
  <c r="W71" i="34998"/>
  <c r="X71" i="34998"/>
  <c r="Y71" i="34998"/>
  <c r="Z71" i="34998"/>
  <c r="AA71" i="34998"/>
  <c r="AB71" i="34998"/>
  <c r="C72" i="34998"/>
  <c r="D72" i="34998"/>
  <c r="E72" i="34998"/>
  <c r="F72" i="34998"/>
  <c r="G72" i="34998"/>
  <c r="H72" i="34998"/>
  <c r="I72" i="34998"/>
  <c r="J72" i="34998"/>
  <c r="K72" i="34998"/>
  <c r="L72" i="34998"/>
  <c r="M72" i="34998"/>
  <c r="N72" i="34998"/>
  <c r="O72" i="34998"/>
  <c r="P72" i="34998"/>
  <c r="Q72" i="34998"/>
  <c r="R72" i="34998"/>
  <c r="S72" i="34998"/>
  <c r="T72" i="34998"/>
  <c r="U72" i="34998"/>
  <c r="V72" i="34998"/>
  <c r="W72" i="34998"/>
  <c r="X72" i="34998"/>
  <c r="Y72" i="34998"/>
  <c r="Z72" i="34998"/>
  <c r="AA72" i="34998"/>
  <c r="AB72" i="34998"/>
  <c r="C73" i="34998"/>
  <c r="D73" i="34998"/>
  <c r="E73" i="34998"/>
  <c r="F73" i="34998"/>
  <c r="G73" i="34998"/>
  <c r="H73" i="34998"/>
  <c r="I73" i="34998"/>
  <c r="J73" i="34998"/>
  <c r="K73" i="34998"/>
  <c r="L73" i="34998"/>
  <c r="M73" i="34998"/>
  <c r="N73" i="34998"/>
  <c r="O73" i="34998"/>
  <c r="P73" i="34998"/>
  <c r="Q73" i="34998"/>
  <c r="R73" i="34998"/>
  <c r="S73" i="34998"/>
  <c r="T73" i="34998"/>
  <c r="U73" i="34998"/>
  <c r="V73" i="34998"/>
  <c r="W73" i="34998"/>
  <c r="X73" i="34998"/>
  <c r="Y73" i="34998"/>
  <c r="Z73" i="34998"/>
  <c r="AA73" i="34998"/>
  <c r="AB73" i="34998"/>
  <c r="C74" i="34998"/>
  <c r="D74" i="34998"/>
  <c r="E74" i="34998"/>
  <c r="F74" i="34998"/>
  <c r="G74" i="34998"/>
  <c r="H74" i="34998"/>
  <c r="I74" i="34998"/>
  <c r="J74" i="34998"/>
  <c r="K74" i="34998"/>
  <c r="L74" i="34998"/>
  <c r="M74" i="34998"/>
  <c r="N74" i="34998"/>
  <c r="O74" i="34998"/>
  <c r="P74" i="34998"/>
  <c r="Q74" i="34998"/>
  <c r="R74" i="34998"/>
  <c r="S74" i="34998"/>
  <c r="T74" i="34998"/>
  <c r="U74" i="34998"/>
  <c r="V74" i="34998"/>
  <c r="W74" i="34998"/>
  <c r="X74" i="34998"/>
  <c r="Y74" i="34998"/>
  <c r="Z74" i="34998"/>
  <c r="AA74" i="34998"/>
  <c r="AB74" i="34998"/>
  <c r="C75" i="34998"/>
  <c r="D75" i="34998"/>
  <c r="E75" i="34998"/>
  <c r="F75" i="34998"/>
  <c r="G75" i="34998"/>
  <c r="H75" i="34998"/>
  <c r="I75" i="34998"/>
  <c r="J75" i="34998"/>
  <c r="K75" i="34998"/>
  <c r="L75" i="34998"/>
  <c r="M75" i="34998"/>
  <c r="N75" i="34998"/>
  <c r="O75" i="34998"/>
  <c r="P75" i="34998"/>
  <c r="Q75" i="34998"/>
  <c r="R75" i="34998"/>
  <c r="S75" i="34998"/>
  <c r="T75" i="34998"/>
  <c r="U75" i="34998"/>
  <c r="V75" i="34998"/>
  <c r="W75" i="34998"/>
  <c r="X75" i="34998"/>
  <c r="Y75" i="34998"/>
  <c r="Z75" i="34998"/>
  <c r="AA75" i="34998"/>
  <c r="AB75" i="34998"/>
  <c r="C76" i="34998"/>
  <c r="D76" i="34998"/>
  <c r="E76" i="34998"/>
  <c r="F76" i="34998"/>
  <c r="G76" i="34998"/>
  <c r="H76" i="34998"/>
  <c r="I76" i="34998"/>
  <c r="J76" i="34998"/>
  <c r="K76" i="34998"/>
  <c r="L76" i="34998"/>
  <c r="M76" i="34998"/>
  <c r="N76" i="34998"/>
  <c r="O76" i="34998"/>
  <c r="P76" i="34998"/>
  <c r="Q76" i="34998"/>
  <c r="R76" i="34998"/>
  <c r="S76" i="34998"/>
  <c r="T76" i="34998"/>
  <c r="U76" i="34998"/>
  <c r="V76" i="34998"/>
  <c r="W76" i="34998"/>
  <c r="X76" i="34998"/>
  <c r="Y76" i="34998"/>
  <c r="Z76" i="34998"/>
  <c r="AA76" i="34998"/>
  <c r="AB76" i="34998"/>
  <c r="C77" i="34998"/>
  <c r="D77" i="34998"/>
  <c r="E77" i="34998"/>
  <c r="F77" i="34998"/>
  <c r="G77" i="34998"/>
  <c r="H77" i="34998"/>
  <c r="I77" i="34998"/>
  <c r="J77" i="34998"/>
  <c r="K77" i="34998"/>
  <c r="L77" i="34998"/>
  <c r="M77" i="34998"/>
  <c r="N77" i="34998"/>
  <c r="O77" i="34998"/>
  <c r="P77" i="34998"/>
  <c r="Q77" i="34998"/>
  <c r="R77" i="34998"/>
  <c r="S77" i="34998"/>
  <c r="T77" i="34998"/>
  <c r="U77" i="34998"/>
  <c r="V77" i="34998"/>
  <c r="W77" i="34998"/>
  <c r="X77" i="34998"/>
  <c r="Y77" i="34998"/>
  <c r="Z77" i="34998"/>
  <c r="AA77" i="34998"/>
  <c r="AB77" i="34998"/>
  <c r="C78" i="34998"/>
  <c r="D78" i="34998"/>
  <c r="E78" i="34998"/>
  <c r="F78" i="34998"/>
  <c r="G78" i="34998"/>
  <c r="H78" i="34998"/>
  <c r="I78" i="34998"/>
  <c r="J78" i="34998"/>
  <c r="K78" i="34998"/>
  <c r="L78" i="34998"/>
  <c r="M78" i="34998"/>
  <c r="N78" i="34998"/>
  <c r="O78" i="34998"/>
  <c r="P78" i="34998"/>
  <c r="Q78" i="34998"/>
  <c r="R78" i="34998"/>
  <c r="S78" i="34998"/>
  <c r="T78" i="34998"/>
  <c r="U78" i="34998"/>
  <c r="V78" i="34998"/>
  <c r="W78" i="34998"/>
  <c r="X78" i="34998"/>
  <c r="Y78" i="34998"/>
  <c r="Z78" i="34998"/>
  <c r="AA78" i="34998"/>
  <c r="AB78" i="34998"/>
  <c r="C79" i="34998"/>
  <c r="D79" i="34998"/>
  <c r="E79" i="34998"/>
  <c r="F79" i="34998"/>
  <c r="G79" i="34998"/>
  <c r="H79" i="34998"/>
  <c r="I79" i="34998"/>
  <c r="J79" i="34998"/>
  <c r="K79" i="34998"/>
  <c r="L79" i="34998"/>
  <c r="M79" i="34998"/>
  <c r="N79" i="34998"/>
  <c r="O79" i="34998"/>
  <c r="P79" i="34998"/>
  <c r="Q79" i="34998"/>
  <c r="R79" i="34998"/>
  <c r="S79" i="34998"/>
  <c r="T79" i="34998"/>
  <c r="U79" i="34998"/>
  <c r="V79" i="34998"/>
  <c r="W79" i="34998"/>
  <c r="X79" i="34998"/>
  <c r="Y79" i="34998"/>
  <c r="Z79" i="34998"/>
  <c r="AA79" i="34998"/>
  <c r="AB79" i="34998"/>
  <c r="C80" i="34998"/>
  <c r="D80" i="34998"/>
  <c r="E80" i="34998"/>
  <c r="F80" i="34998"/>
  <c r="G80" i="34998"/>
  <c r="H80" i="34998"/>
  <c r="I80" i="34998"/>
  <c r="J80" i="34998"/>
  <c r="K80" i="34998"/>
  <c r="L80" i="34998"/>
  <c r="M80" i="34998"/>
  <c r="N80" i="34998"/>
  <c r="O80" i="34998"/>
  <c r="P80" i="34998"/>
  <c r="Q80" i="34998"/>
  <c r="R80" i="34998"/>
  <c r="S80" i="34998"/>
  <c r="T80" i="34998"/>
  <c r="U80" i="34998"/>
  <c r="V80" i="34998"/>
  <c r="W80" i="34998"/>
  <c r="X80" i="34998"/>
  <c r="Y80" i="34998"/>
  <c r="Z80" i="34998"/>
  <c r="AA80" i="34998"/>
  <c r="AB80" i="34998"/>
  <c r="C81" i="34998"/>
  <c r="D81" i="34998"/>
  <c r="E81" i="34998"/>
  <c r="F81" i="34998"/>
  <c r="G81" i="34998"/>
  <c r="H81" i="34998"/>
  <c r="I81" i="34998"/>
  <c r="J81" i="34998"/>
  <c r="K81" i="34998"/>
  <c r="L81" i="34998"/>
  <c r="M81" i="34998"/>
  <c r="N81" i="34998"/>
  <c r="O81" i="34998"/>
  <c r="P81" i="34998"/>
  <c r="Q81" i="34998"/>
  <c r="R81" i="34998"/>
  <c r="S81" i="34998"/>
  <c r="T81" i="34998"/>
  <c r="U81" i="34998"/>
  <c r="V81" i="34998"/>
  <c r="W81" i="34998"/>
  <c r="X81" i="34998"/>
  <c r="Y81" i="34998"/>
  <c r="Z81" i="34998"/>
  <c r="AA81" i="34998"/>
  <c r="AB81" i="34998"/>
  <c r="C82" i="34998"/>
  <c r="D82" i="34998"/>
  <c r="E82" i="34998"/>
  <c r="F82" i="34998"/>
  <c r="G82" i="34998"/>
  <c r="H82" i="34998"/>
  <c r="I82" i="34998"/>
  <c r="J82" i="34998"/>
  <c r="K82" i="34998"/>
  <c r="L82" i="34998"/>
  <c r="M82" i="34998"/>
  <c r="N82" i="34998"/>
  <c r="O82" i="34998"/>
  <c r="P82" i="34998"/>
  <c r="Q82" i="34998"/>
  <c r="R82" i="34998"/>
  <c r="S82" i="34998"/>
  <c r="T82" i="34998"/>
  <c r="U82" i="34998"/>
  <c r="V82" i="34998"/>
  <c r="W82" i="34998"/>
  <c r="X82" i="34998"/>
  <c r="Y82" i="34998"/>
  <c r="Z82" i="34998"/>
  <c r="AA82" i="34998"/>
  <c r="AB82" i="34998"/>
  <c r="C83" i="34998"/>
  <c r="D83" i="34998"/>
  <c r="E83" i="34998"/>
  <c r="F83" i="34998"/>
  <c r="G83" i="34998"/>
  <c r="H83" i="34998"/>
  <c r="I83" i="34998"/>
  <c r="J83" i="34998"/>
  <c r="K83" i="34998"/>
  <c r="L83" i="34998"/>
  <c r="M83" i="34998"/>
  <c r="N83" i="34998"/>
  <c r="O83" i="34998"/>
  <c r="P83" i="34998"/>
  <c r="Q83" i="34998"/>
  <c r="R83" i="34998"/>
  <c r="S83" i="34998"/>
  <c r="T83" i="34998"/>
  <c r="U83" i="34998"/>
  <c r="V83" i="34998"/>
  <c r="W83" i="34998"/>
  <c r="X83" i="34998"/>
  <c r="Y83" i="34998"/>
  <c r="Z83" i="34998"/>
  <c r="AA83" i="34998"/>
  <c r="AB83" i="34998"/>
  <c r="C84" i="34998"/>
  <c r="D84" i="34998"/>
  <c r="E84" i="34998"/>
  <c r="F84" i="34998"/>
  <c r="G84" i="34998"/>
  <c r="H84" i="34998"/>
  <c r="I84" i="34998"/>
  <c r="J84" i="34998"/>
  <c r="K84" i="34998"/>
  <c r="L84" i="34998"/>
  <c r="M84" i="34998"/>
  <c r="N84" i="34998"/>
  <c r="O84" i="34998"/>
  <c r="P84" i="34998"/>
  <c r="Q84" i="34998"/>
  <c r="R84" i="34998"/>
  <c r="S84" i="34998"/>
  <c r="T84" i="34998"/>
  <c r="U84" i="34998"/>
  <c r="V84" i="34998"/>
  <c r="W84" i="34998"/>
  <c r="X84" i="34998"/>
  <c r="Y84" i="34998"/>
  <c r="Z84" i="34998"/>
  <c r="AA84" i="34998"/>
  <c r="AB84" i="34998"/>
  <c r="C10" i="34996" a="1"/>
  <c r="C10" i="34996" s="1"/>
  <c r="N10" i="34996"/>
  <c r="O10" i="34996"/>
  <c r="P10" i="34996"/>
  <c r="V10" i="34996"/>
  <c r="W10" i="34996"/>
  <c r="Y10" i="34996"/>
  <c r="Z10" i="34996"/>
  <c r="AB10" i="34996"/>
  <c r="C11" i="34996"/>
  <c r="D11" i="34996"/>
  <c r="J11" i="34996"/>
  <c r="K11" i="34996"/>
  <c r="M11" i="34996"/>
  <c r="N11" i="34996"/>
  <c r="P11" i="34996"/>
  <c r="Q11" i="34996"/>
  <c r="R11" i="34996"/>
  <c r="X11" i="34996"/>
  <c r="Y11" i="34996"/>
  <c r="AA11" i="34996"/>
  <c r="AB11" i="34996"/>
  <c r="D12" i="34996"/>
  <c r="E12" i="34996"/>
  <c r="F12" i="34996"/>
  <c r="L12" i="34996"/>
  <c r="M12" i="34996"/>
  <c r="O12" i="34996"/>
  <c r="P12" i="34996"/>
  <c r="R12" i="34996"/>
  <c r="S12" i="34996"/>
  <c r="T12" i="34996"/>
  <c r="Z12" i="34996"/>
  <c r="AA12" i="34996"/>
  <c r="C13" i="34996"/>
  <c r="D13" i="34996"/>
  <c r="F13" i="34996"/>
  <c r="G13" i="34996"/>
  <c r="H13" i="34996"/>
  <c r="N13" i="34996"/>
  <c r="O13" i="34996"/>
  <c r="Q13" i="34996"/>
  <c r="R13" i="34996"/>
  <c r="T13" i="34996"/>
  <c r="U13" i="34996"/>
  <c r="V13" i="34996"/>
  <c r="AB13" i="34996"/>
  <c r="C14" i="34996"/>
  <c r="E14" i="34996"/>
  <c r="F14" i="34996"/>
  <c r="G14" i="34996"/>
  <c r="H14" i="34996"/>
  <c r="I14" i="34996"/>
  <c r="J14" i="34996"/>
  <c r="P14" i="34996"/>
  <c r="Q14" i="34996"/>
  <c r="S14" i="34996"/>
  <c r="T14" i="34996"/>
  <c r="U14" i="34996"/>
  <c r="V14" i="34996"/>
  <c r="W14" i="34996"/>
  <c r="X14" i="34996"/>
  <c r="D15" i="34996"/>
  <c r="E15" i="34996"/>
  <c r="G15" i="34996"/>
  <c r="H15" i="34996"/>
  <c r="I15" i="34996"/>
  <c r="J15" i="34996"/>
  <c r="K15" i="34996"/>
  <c r="L15" i="34996"/>
  <c r="R15" i="34996"/>
  <c r="S15" i="34996"/>
  <c r="U15" i="34996"/>
  <c r="V15" i="34996"/>
  <c r="W15" i="34996"/>
  <c r="X15" i="34996"/>
  <c r="Y15" i="34996"/>
  <c r="Z15" i="34996"/>
  <c r="F16" i="34996"/>
  <c r="G16" i="34996"/>
  <c r="I16" i="34996"/>
  <c r="J16" i="34996"/>
  <c r="K16" i="34996"/>
  <c r="L16" i="34996"/>
  <c r="M16" i="34996"/>
  <c r="N16" i="34996"/>
  <c r="T16" i="34996"/>
  <c r="U16" i="34996"/>
  <c r="W16" i="34996"/>
  <c r="X16" i="34996"/>
  <c r="Y16" i="34996"/>
  <c r="Z16" i="34996"/>
  <c r="AA16" i="34996"/>
  <c r="AB16" i="34996"/>
  <c r="H17" i="34996"/>
  <c r="I17" i="34996"/>
  <c r="K17" i="34996"/>
  <c r="L17" i="34996"/>
  <c r="M17" i="34996"/>
  <c r="N17" i="34996"/>
  <c r="O17" i="34996"/>
  <c r="P17" i="34996"/>
  <c r="V17" i="34996"/>
  <c r="W17" i="34996"/>
  <c r="Y17" i="34996"/>
  <c r="Z17" i="34996"/>
  <c r="AA17" i="34996"/>
  <c r="AB17" i="34996"/>
  <c r="C18" i="34996"/>
  <c r="D18" i="34996"/>
  <c r="J18" i="34996"/>
  <c r="K18" i="34996"/>
  <c r="M18" i="34996"/>
  <c r="N18" i="34996"/>
  <c r="O18" i="34996"/>
  <c r="P18" i="34996"/>
  <c r="Q18" i="34996"/>
  <c r="R18" i="34996"/>
  <c r="X18" i="34996"/>
  <c r="Y18" i="34996"/>
  <c r="AA18" i="34996"/>
  <c r="AB18" i="34996"/>
  <c r="C19" i="34996"/>
  <c r="D19" i="34996"/>
  <c r="E19" i="34996"/>
  <c r="F19" i="34996"/>
  <c r="L19" i="34996"/>
  <c r="M19" i="34996"/>
  <c r="O19" i="34996"/>
  <c r="P19" i="34996"/>
  <c r="Q19" i="34996"/>
  <c r="R19" i="34996"/>
  <c r="S19" i="34996"/>
  <c r="T19" i="34996"/>
  <c r="Z19" i="34996"/>
  <c r="AA19" i="34996"/>
  <c r="C20" i="34996"/>
  <c r="D20" i="34996"/>
  <c r="E20" i="34996"/>
  <c r="F20" i="34996"/>
  <c r="G20" i="34996"/>
  <c r="H20" i="34996"/>
  <c r="N20" i="34996"/>
  <c r="O20" i="34996"/>
  <c r="Q20" i="34996"/>
  <c r="R20" i="34996"/>
  <c r="S20" i="34996"/>
  <c r="T20" i="34996"/>
  <c r="U20" i="34996"/>
  <c r="V20" i="34996"/>
  <c r="AB20" i="34996"/>
  <c r="C21" i="34996"/>
  <c r="E21" i="34996"/>
  <c r="F21" i="34996"/>
  <c r="G21" i="34996"/>
  <c r="H21" i="34996"/>
  <c r="I21" i="34996"/>
  <c r="J21" i="34996"/>
  <c r="P21" i="34996"/>
  <c r="Q21" i="34996"/>
  <c r="S21" i="34996"/>
  <c r="T21" i="34996"/>
  <c r="U21" i="34996"/>
  <c r="V21" i="34996"/>
  <c r="W21" i="34996"/>
  <c r="X21" i="34996"/>
  <c r="D22" i="34996"/>
  <c r="E22" i="34996"/>
  <c r="G22" i="34996"/>
  <c r="H22" i="34996"/>
  <c r="I22" i="34996"/>
  <c r="J22" i="34996"/>
  <c r="K22" i="34996"/>
  <c r="L22" i="34996"/>
  <c r="R22" i="34996"/>
  <c r="S22" i="34996"/>
  <c r="U22" i="34996"/>
  <c r="V22" i="34996"/>
  <c r="W22" i="34996"/>
  <c r="X22" i="34996"/>
  <c r="Y22" i="34996"/>
  <c r="Z22" i="34996"/>
  <c r="F23" i="34996"/>
  <c r="G23" i="34996"/>
  <c r="I23" i="34996"/>
  <c r="J23" i="34996"/>
  <c r="K23" i="34996"/>
  <c r="L23" i="34996"/>
  <c r="M23" i="34996"/>
  <c r="N23" i="34996"/>
  <c r="T23" i="34996"/>
  <c r="U23" i="34996"/>
  <c r="W23" i="34996"/>
  <c r="X23" i="34996"/>
  <c r="Y23" i="34996"/>
  <c r="Z23" i="34996"/>
  <c r="AA23" i="34996"/>
  <c r="AB23" i="34996"/>
  <c r="H24" i="34996"/>
  <c r="I24" i="34996"/>
  <c r="K24" i="34996"/>
  <c r="L24" i="34996"/>
  <c r="M24" i="34996"/>
  <c r="N24" i="34996"/>
  <c r="O24" i="34996"/>
  <c r="P24" i="34996"/>
  <c r="V24" i="34996"/>
  <c r="W24" i="34996"/>
  <c r="Y24" i="34996"/>
  <c r="Z24" i="34996"/>
  <c r="AA24" i="34996"/>
  <c r="AB24" i="34996"/>
  <c r="C25" i="34996"/>
  <c r="D25" i="34996"/>
  <c r="J25" i="34996"/>
  <c r="K25" i="34996"/>
  <c r="M25" i="34996"/>
  <c r="N25" i="34996"/>
  <c r="O25" i="34996"/>
  <c r="P25" i="34996"/>
  <c r="Q25" i="34996"/>
  <c r="R25" i="34996"/>
  <c r="X25" i="34996"/>
  <c r="Y25" i="34996"/>
  <c r="AA25" i="34996"/>
  <c r="AB25" i="34996"/>
  <c r="C26" i="34996"/>
  <c r="D26" i="34996"/>
  <c r="E26" i="34996"/>
  <c r="F26" i="34996"/>
  <c r="L26" i="34996"/>
  <c r="M26" i="34996"/>
  <c r="O26" i="34996"/>
  <c r="P26" i="34996"/>
  <c r="Q26" i="34996"/>
  <c r="R26" i="34996"/>
  <c r="S26" i="34996"/>
  <c r="T26" i="34996"/>
  <c r="Z26" i="34996"/>
  <c r="AA26" i="34996"/>
  <c r="C27" i="34996"/>
  <c r="D27" i="34996"/>
  <c r="E27" i="34996"/>
  <c r="F27" i="34996"/>
  <c r="G27" i="34996"/>
  <c r="H27" i="34996"/>
  <c r="N27" i="34996"/>
  <c r="O27" i="34996"/>
  <c r="Q27" i="34996"/>
  <c r="R27" i="34996"/>
  <c r="S27" i="34996"/>
  <c r="T27" i="34996"/>
  <c r="U27" i="34996"/>
  <c r="V27" i="34996"/>
  <c r="AB27" i="34996"/>
  <c r="C28" i="34996"/>
  <c r="E28" i="34996"/>
  <c r="F28" i="34996"/>
  <c r="G28" i="34996"/>
  <c r="H28" i="34996"/>
  <c r="I28" i="34996"/>
  <c r="J28" i="34996"/>
  <c r="P28" i="34996"/>
  <c r="Q28" i="34996"/>
  <c r="S28" i="34996"/>
  <c r="T28" i="34996"/>
  <c r="U28" i="34996"/>
  <c r="V28" i="34996"/>
  <c r="W28" i="34996"/>
  <c r="X28" i="34996"/>
  <c r="D29" i="34996"/>
  <c r="E29" i="34996"/>
  <c r="G29" i="34996"/>
  <c r="H29" i="34996"/>
  <c r="I29" i="34996"/>
  <c r="J29" i="34996"/>
  <c r="K29" i="34996"/>
  <c r="L29" i="34996"/>
  <c r="R29" i="34996"/>
  <c r="S29" i="34996"/>
  <c r="U29" i="34996"/>
  <c r="V29" i="34996"/>
  <c r="W29" i="34996"/>
  <c r="X29" i="34996"/>
  <c r="Y29" i="34996"/>
  <c r="Z29" i="34996"/>
  <c r="F30" i="34996"/>
  <c r="G30" i="34996"/>
  <c r="I30" i="34996"/>
  <c r="J30" i="34996"/>
  <c r="K30" i="34996"/>
  <c r="L30" i="34996"/>
  <c r="M30" i="34996"/>
  <c r="N30" i="34996"/>
  <c r="T30" i="34996"/>
  <c r="U30" i="34996"/>
  <c r="W30" i="34996"/>
  <c r="X30" i="34996"/>
  <c r="Y30" i="34996"/>
  <c r="Z30" i="34996"/>
  <c r="AA30" i="34996"/>
  <c r="AB30" i="34996"/>
  <c r="H31" i="34996"/>
  <c r="I31" i="34996"/>
  <c r="K31" i="34996"/>
  <c r="L31" i="34996"/>
  <c r="M31" i="34996"/>
  <c r="N31" i="34996"/>
  <c r="O31" i="34996"/>
  <c r="P31" i="34996"/>
  <c r="V31" i="34996"/>
  <c r="W31" i="34996"/>
  <c r="Y31" i="34996"/>
  <c r="Z31" i="34996"/>
  <c r="AA31" i="34996"/>
  <c r="AB31" i="34996"/>
  <c r="C32" i="34996"/>
  <c r="D32" i="34996"/>
  <c r="J32" i="34996"/>
  <c r="K32" i="34996"/>
  <c r="M32" i="34996"/>
  <c r="N32" i="34996"/>
  <c r="O32" i="34996"/>
  <c r="P32" i="34996"/>
  <c r="Q32" i="34996"/>
  <c r="R32" i="34996"/>
  <c r="X32" i="34996"/>
  <c r="Y32" i="34996"/>
  <c r="AA32" i="34996"/>
  <c r="AB32" i="34996"/>
  <c r="C33" i="34996"/>
  <c r="D33" i="34996"/>
  <c r="E33" i="34996"/>
  <c r="F33" i="34996"/>
  <c r="L33" i="34996"/>
  <c r="M33" i="34996"/>
  <c r="O33" i="34996"/>
  <c r="P33" i="34996"/>
  <c r="Q33" i="34996"/>
  <c r="R33" i="34996"/>
  <c r="S33" i="34996"/>
  <c r="T33" i="34996"/>
  <c r="Z33" i="34996"/>
  <c r="AA33" i="34996"/>
  <c r="C34" i="34996"/>
  <c r="D34" i="34996"/>
  <c r="E34" i="34996"/>
  <c r="F34" i="34996"/>
  <c r="G34" i="34996"/>
  <c r="H34" i="34996"/>
  <c r="N34" i="34996"/>
  <c r="O34" i="34996"/>
  <c r="Q34" i="34996"/>
  <c r="R34" i="34996"/>
  <c r="S34" i="34996"/>
  <c r="T34" i="34996"/>
  <c r="U34" i="34996"/>
  <c r="V34" i="34996"/>
  <c r="AB34" i="34996"/>
  <c r="C35" i="34996"/>
  <c r="E35" i="34996"/>
  <c r="F35" i="34996"/>
  <c r="G35" i="34996"/>
  <c r="H35" i="34996"/>
  <c r="I35" i="34996"/>
  <c r="J35" i="34996"/>
  <c r="P35" i="34996"/>
  <c r="Q35" i="34996"/>
  <c r="S35" i="34996"/>
  <c r="T35" i="34996"/>
  <c r="U35" i="34996"/>
  <c r="V35" i="34996"/>
  <c r="W35" i="34996"/>
  <c r="X35" i="34996"/>
  <c r="D36" i="34996"/>
  <c r="E36" i="34996"/>
  <c r="G36" i="34996"/>
  <c r="H36" i="34996"/>
  <c r="I36" i="34996"/>
  <c r="J36" i="34996"/>
  <c r="K36" i="34996"/>
  <c r="L36" i="34996"/>
  <c r="R36" i="34996"/>
  <c r="S36" i="34996"/>
  <c r="T36" i="34996"/>
  <c r="U36" i="34996"/>
  <c r="V36" i="34996"/>
  <c r="W36" i="34996"/>
  <c r="X36" i="34996"/>
  <c r="Y36" i="34996"/>
  <c r="Z36" i="34996"/>
  <c r="F37" i="34996"/>
  <c r="G37" i="34996"/>
  <c r="H37" i="34996"/>
  <c r="I37" i="34996"/>
  <c r="J37" i="34996"/>
  <c r="K37" i="34996"/>
  <c r="L37" i="34996"/>
  <c r="M37" i="34996"/>
  <c r="N37" i="34996"/>
  <c r="T37" i="34996"/>
  <c r="U37" i="34996"/>
  <c r="V37" i="34996"/>
  <c r="W37" i="34996"/>
  <c r="X37" i="34996"/>
  <c r="Y37" i="34996"/>
  <c r="Z37" i="34996"/>
  <c r="AA37" i="34996"/>
  <c r="AB37" i="34996"/>
  <c r="H38" i="34996"/>
  <c r="I38" i="34996"/>
  <c r="J38" i="34996"/>
  <c r="K38" i="34996"/>
  <c r="L38" i="34996"/>
  <c r="M38" i="34996"/>
  <c r="N38" i="34996"/>
  <c r="O38" i="34996"/>
  <c r="P38" i="34996"/>
  <c r="V38" i="34996"/>
  <c r="W38" i="34996"/>
  <c r="X38" i="34996"/>
  <c r="Y38" i="34996"/>
  <c r="Z38" i="34996"/>
  <c r="AA38" i="34996"/>
  <c r="AB38" i="34996"/>
  <c r="C39" i="34996"/>
  <c r="D39" i="34996"/>
  <c r="J39" i="34996"/>
  <c r="K39" i="34996"/>
  <c r="L39" i="34996"/>
  <c r="M39" i="34996"/>
  <c r="N39" i="34996"/>
  <c r="O39" i="34996"/>
  <c r="P39" i="34996"/>
  <c r="Q39" i="34996"/>
  <c r="R39" i="34996"/>
  <c r="X39" i="34996"/>
  <c r="Y39" i="34996"/>
  <c r="Z39" i="34996"/>
  <c r="AA39" i="34996"/>
  <c r="AB39" i="34996"/>
  <c r="C40" i="34996"/>
  <c r="D40" i="34996"/>
  <c r="E40" i="34996"/>
  <c r="F40" i="34996"/>
  <c r="L40" i="34996"/>
  <c r="M40" i="34996"/>
  <c r="N40" i="34996"/>
  <c r="O40" i="34996"/>
  <c r="P40" i="34996"/>
  <c r="Q40" i="34996"/>
  <c r="R40" i="34996"/>
  <c r="S40" i="34996"/>
  <c r="T40" i="34996"/>
  <c r="Z40" i="34996"/>
  <c r="AA40" i="34996"/>
  <c r="AB40" i="34996"/>
  <c r="C41" i="34996"/>
  <c r="D41" i="34996"/>
  <c r="E41" i="34996"/>
  <c r="F41" i="34996"/>
  <c r="G41" i="34996"/>
  <c r="H41" i="34996"/>
  <c r="N41" i="34996"/>
  <c r="O41" i="34996"/>
  <c r="P41" i="34996"/>
  <c r="Q41" i="34996"/>
  <c r="R41" i="34996"/>
  <c r="S41" i="34996"/>
  <c r="T41" i="34996"/>
  <c r="U41" i="34996"/>
  <c r="V41" i="34996"/>
  <c r="AB41" i="34996"/>
  <c r="C42" i="34996"/>
  <c r="D42" i="34996"/>
  <c r="E42" i="34996"/>
  <c r="F42" i="34996"/>
  <c r="G42" i="34996"/>
  <c r="H42" i="34996"/>
  <c r="I42" i="34996"/>
  <c r="J42" i="34996"/>
  <c r="P42" i="34996"/>
  <c r="Q42" i="34996"/>
  <c r="R42" i="34996"/>
  <c r="S42" i="34996"/>
  <c r="T42" i="34996"/>
  <c r="U42" i="34996"/>
  <c r="V42" i="34996"/>
  <c r="W42" i="34996"/>
  <c r="X42" i="34996"/>
  <c r="D43" i="34996"/>
  <c r="E43" i="34996"/>
  <c r="F43" i="34996"/>
  <c r="G43" i="34996"/>
  <c r="H43" i="34996"/>
  <c r="I43" i="34996"/>
  <c r="J43" i="34996"/>
  <c r="K43" i="34996"/>
  <c r="L43" i="34996"/>
  <c r="R43" i="34996"/>
  <c r="S43" i="34996"/>
  <c r="T43" i="34996"/>
  <c r="U43" i="34996"/>
  <c r="V43" i="34996"/>
  <c r="W43" i="34996"/>
  <c r="X43" i="34996"/>
  <c r="Y43" i="34996"/>
  <c r="Z43" i="34996"/>
  <c r="F44" i="34996"/>
  <c r="G44" i="34996"/>
  <c r="H44" i="34996"/>
  <c r="I44" i="34996"/>
  <c r="J44" i="34996"/>
  <c r="K44" i="34996"/>
  <c r="L44" i="34996"/>
  <c r="M44" i="34996"/>
  <c r="N44" i="34996"/>
  <c r="T44" i="34996"/>
  <c r="U44" i="34996"/>
  <c r="V44" i="34996"/>
  <c r="W44" i="34996"/>
  <c r="X44" i="34996"/>
  <c r="Y44" i="34996"/>
  <c r="Z44" i="34996"/>
  <c r="AA44" i="34996"/>
  <c r="AB44" i="34996"/>
  <c r="H45" i="34996"/>
  <c r="I45" i="34996"/>
  <c r="J45" i="34996"/>
  <c r="K45" i="34996"/>
  <c r="L45" i="34996"/>
  <c r="M45" i="34996"/>
  <c r="N45" i="34996"/>
  <c r="O45" i="34996"/>
  <c r="P45" i="34996"/>
  <c r="V45" i="34996"/>
  <c r="W45" i="34996"/>
  <c r="X45" i="34996"/>
  <c r="Y45" i="34996"/>
  <c r="Z45" i="34996"/>
  <c r="AA45" i="34996"/>
  <c r="AB45" i="34996"/>
  <c r="C46" i="34996"/>
  <c r="D46" i="34996"/>
  <c r="J46" i="34996"/>
  <c r="K46" i="34996"/>
  <c r="L46" i="34996"/>
  <c r="M46" i="34996"/>
  <c r="N46" i="34996"/>
  <c r="O46" i="34996"/>
  <c r="P46" i="34996"/>
  <c r="Q46" i="34996"/>
  <c r="R46" i="34996"/>
  <c r="X46" i="34996"/>
  <c r="Y46" i="34996"/>
  <c r="Z46" i="34996"/>
  <c r="AA46" i="34996"/>
  <c r="AB46" i="34996"/>
  <c r="C47" i="34996"/>
  <c r="D47" i="34996"/>
  <c r="E47" i="34996"/>
  <c r="F47" i="34996"/>
  <c r="L47" i="34996"/>
  <c r="M47" i="34996"/>
  <c r="N47" i="34996"/>
  <c r="O47" i="34996"/>
  <c r="P47" i="34996"/>
  <c r="Q47" i="34996"/>
  <c r="R47" i="34996"/>
  <c r="S47" i="34996"/>
  <c r="T47" i="34996"/>
  <c r="Z47" i="34996"/>
  <c r="AA47" i="34996"/>
  <c r="AB47" i="34996"/>
  <c r="C48" i="34996"/>
  <c r="D48" i="34996"/>
  <c r="E48" i="34996"/>
  <c r="F48" i="34996"/>
  <c r="G48" i="34996"/>
  <c r="H48" i="34996"/>
  <c r="N48" i="34996"/>
  <c r="O48" i="34996"/>
  <c r="P48" i="34996"/>
  <c r="Q48" i="34996"/>
  <c r="R48" i="34996"/>
  <c r="S48" i="34996"/>
  <c r="T48" i="34996"/>
  <c r="U48" i="34996"/>
  <c r="V48" i="34996"/>
  <c r="AB48" i="34996"/>
  <c r="C49" i="34996"/>
  <c r="D49" i="34996"/>
  <c r="E49" i="34996"/>
  <c r="F49" i="34996"/>
  <c r="G49" i="34996"/>
  <c r="H49" i="34996"/>
  <c r="I49" i="34996"/>
  <c r="J49" i="34996"/>
  <c r="P49" i="34996"/>
  <c r="Q49" i="34996"/>
  <c r="R49" i="34996"/>
  <c r="S49" i="34996"/>
  <c r="T49" i="34996"/>
  <c r="U49" i="34996"/>
  <c r="V49" i="34996"/>
  <c r="W49" i="34996"/>
  <c r="X49" i="34996"/>
  <c r="D50" i="34996"/>
  <c r="E50" i="34996"/>
  <c r="F50" i="34996"/>
  <c r="G50" i="34996"/>
  <c r="H50" i="34996"/>
  <c r="I50" i="34996"/>
  <c r="J50" i="34996"/>
  <c r="K50" i="34996"/>
  <c r="L50" i="34996"/>
  <c r="R50" i="34996"/>
  <c r="S50" i="34996"/>
  <c r="T50" i="34996"/>
  <c r="U50" i="34996"/>
  <c r="V50" i="34996"/>
  <c r="W50" i="34996"/>
  <c r="X50" i="34996"/>
  <c r="Y50" i="34996"/>
  <c r="Z50" i="34996"/>
  <c r="F51" i="34996"/>
  <c r="G51" i="34996"/>
  <c r="H51" i="34996"/>
  <c r="I51" i="34996"/>
  <c r="J51" i="34996"/>
  <c r="K51" i="34996"/>
  <c r="L51" i="34996"/>
  <c r="M51" i="34996"/>
  <c r="N51" i="34996"/>
  <c r="T51" i="34996"/>
  <c r="U51" i="34996"/>
  <c r="V51" i="34996"/>
  <c r="W51" i="34996"/>
  <c r="X51" i="34996"/>
  <c r="Y51" i="34996"/>
  <c r="Z51" i="34996"/>
  <c r="AA51" i="34996"/>
  <c r="AB51" i="34996"/>
  <c r="H52" i="34996"/>
  <c r="I52" i="34996"/>
  <c r="J52" i="34996"/>
  <c r="K52" i="34996"/>
  <c r="L52" i="34996"/>
  <c r="M52" i="34996"/>
  <c r="N52" i="34996"/>
  <c r="O52" i="34996"/>
  <c r="P52" i="34996"/>
  <c r="V52" i="34996"/>
  <c r="W52" i="34996"/>
  <c r="X52" i="34996"/>
  <c r="Y52" i="34996"/>
  <c r="Z52" i="34996"/>
  <c r="AA52" i="34996"/>
  <c r="AB52" i="34996"/>
  <c r="C53" i="34996"/>
  <c r="D53" i="34996"/>
  <c r="J53" i="34996"/>
  <c r="K53" i="34996"/>
  <c r="L53" i="34996"/>
  <c r="M53" i="34996"/>
  <c r="N53" i="34996"/>
  <c r="O53" i="34996"/>
  <c r="P53" i="34996"/>
  <c r="Q53" i="34996"/>
  <c r="R53" i="34996"/>
  <c r="V53" i="34996"/>
  <c r="X53" i="34996"/>
  <c r="Y53" i="34996"/>
  <c r="Z53" i="34996"/>
  <c r="AA53" i="34996"/>
  <c r="AB53" i="34996"/>
  <c r="C54" i="34996"/>
  <c r="D54" i="34996"/>
  <c r="E54" i="34996"/>
  <c r="F54" i="34996"/>
  <c r="J54" i="34996"/>
  <c r="L54" i="34996"/>
  <c r="M54" i="34996"/>
  <c r="N54" i="34996"/>
  <c r="O54" i="34996"/>
  <c r="P54" i="34996"/>
  <c r="Q54" i="34996"/>
  <c r="R54" i="34996"/>
  <c r="S54" i="34996"/>
  <c r="T54" i="34996"/>
  <c r="X54" i="34996"/>
  <c r="Y54" i="34996"/>
  <c r="Z54" i="34996"/>
  <c r="AA54" i="34996"/>
  <c r="AB54" i="34996"/>
  <c r="C55" i="34996"/>
  <c r="D55" i="34996"/>
  <c r="E55" i="34996"/>
  <c r="F55" i="34996"/>
  <c r="G55" i="34996"/>
  <c r="H55" i="34996"/>
  <c r="I55" i="34996"/>
  <c r="L55" i="34996"/>
  <c r="M55" i="34996"/>
  <c r="N55" i="34996"/>
  <c r="O55" i="34996"/>
  <c r="P55" i="34996"/>
  <c r="Q55" i="34996"/>
  <c r="R55" i="34996"/>
  <c r="S55" i="34996"/>
  <c r="T55" i="34996"/>
  <c r="U55" i="34996"/>
  <c r="V55" i="34996"/>
  <c r="W55" i="34996"/>
  <c r="X55" i="34996"/>
  <c r="Y55" i="34996"/>
  <c r="Z55" i="34996"/>
  <c r="AA55" i="34996"/>
  <c r="AB55" i="34996"/>
  <c r="C56" i="34996"/>
  <c r="D56" i="34996"/>
  <c r="E56" i="34996"/>
  <c r="F56" i="34996"/>
  <c r="G56" i="34996"/>
  <c r="H56" i="34996"/>
  <c r="I56" i="34996"/>
  <c r="J56" i="34996"/>
  <c r="K56" i="34996"/>
  <c r="L56" i="34996"/>
  <c r="M56" i="34996"/>
  <c r="N56" i="34996"/>
  <c r="O56" i="34996"/>
  <c r="P56" i="34996"/>
  <c r="Q56" i="34996"/>
  <c r="R56" i="34996"/>
  <c r="S56" i="34996"/>
  <c r="T56" i="34996"/>
  <c r="U56" i="34996"/>
  <c r="V56" i="34996"/>
  <c r="W56" i="34996"/>
  <c r="X56" i="34996"/>
  <c r="Y56" i="34996"/>
  <c r="Z56" i="34996"/>
  <c r="AA56" i="34996"/>
  <c r="AB56" i="34996"/>
  <c r="C57" i="34996"/>
  <c r="D57" i="34996"/>
  <c r="E57" i="34996"/>
  <c r="F57" i="34996"/>
  <c r="G57" i="34996"/>
  <c r="H57" i="34996"/>
  <c r="I57" i="34996"/>
  <c r="J57" i="34996"/>
  <c r="K57" i="34996"/>
  <c r="L57" i="34996"/>
  <c r="M57" i="34996"/>
  <c r="N57" i="34996"/>
  <c r="O57" i="34996"/>
  <c r="P57" i="34996"/>
  <c r="Q57" i="34996"/>
  <c r="R57" i="34996"/>
  <c r="S57" i="34996"/>
  <c r="T57" i="34996"/>
  <c r="U57" i="34996"/>
  <c r="V57" i="34996"/>
  <c r="W57" i="34996"/>
  <c r="X57" i="34996"/>
  <c r="Y57" i="34996"/>
  <c r="Z57" i="34996"/>
  <c r="AA57" i="34996"/>
  <c r="AB57" i="34996"/>
  <c r="C58" i="34996"/>
  <c r="D58" i="34996"/>
  <c r="E58" i="34996"/>
  <c r="F58" i="34996"/>
  <c r="G58" i="34996"/>
  <c r="H58" i="34996"/>
  <c r="I58" i="34996"/>
  <c r="J58" i="34996"/>
  <c r="K58" i="34996"/>
  <c r="L58" i="34996"/>
  <c r="M58" i="34996"/>
  <c r="N58" i="34996"/>
  <c r="O58" i="34996"/>
  <c r="P58" i="34996"/>
  <c r="Q58" i="34996"/>
  <c r="R58" i="34996"/>
  <c r="S58" i="34996"/>
  <c r="T58" i="34996"/>
  <c r="U58" i="34996"/>
  <c r="V58" i="34996"/>
  <c r="W58" i="34996"/>
  <c r="X58" i="34996"/>
  <c r="Y58" i="34996"/>
  <c r="Z58" i="34996"/>
  <c r="AA58" i="34996"/>
  <c r="AB58" i="34996"/>
  <c r="C59" i="34996"/>
  <c r="D59" i="34996"/>
  <c r="E59" i="34996"/>
  <c r="F59" i="34996"/>
  <c r="G59" i="34996"/>
  <c r="H59" i="34996"/>
  <c r="I59" i="34996"/>
  <c r="J59" i="34996"/>
  <c r="K59" i="34996"/>
  <c r="L59" i="34996"/>
  <c r="M59" i="34996"/>
  <c r="N59" i="34996"/>
  <c r="O59" i="34996"/>
  <c r="P59" i="34996"/>
  <c r="Q59" i="34996"/>
  <c r="R59" i="34996"/>
  <c r="S59" i="34996"/>
  <c r="T59" i="34996"/>
  <c r="U59" i="34996"/>
  <c r="V59" i="34996"/>
  <c r="W59" i="34996"/>
  <c r="X59" i="34996"/>
  <c r="Y59" i="34996"/>
  <c r="Z59" i="34996"/>
  <c r="AA59" i="34996"/>
  <c r="AB59" i="34996"/>
  <c r="C60" i="34996"/>
  <c r="D60" i="34996"/>
  <c r="E60" i="34996"/>
  <c r="F60" i="34996"/>
  <c r="G60" i="34996"/>
  <c r="H60" i="34996"/>
  <c r="I60" i="34996"/>
  <c r="J60" i="34996"/>
  <c r="K60" i="34996"/>
  <c r="L60" i="34996"/>
  <c r="M60" i="34996"/>
  <c r="N60" i="34996"/>
  <c r="O60" i="34996"/>
  <c r="P60" i="34996"/>
  <c r="Q60" i="34996"/>
  <c r="R60" i="34996"/>
  <c r="S60" i="34996"/>
  <c r="T60" i="34996"/>
  <c r="U60" i="34996"/>
  <c r="V60" i="34996"/>
  <c r="W60" i="34996"/>
  <c r="X60" i="34996"/>
  <c r="Y60" i="34996"/>
  <c r="Z60" i="34996"/>
  <c r="AA60" i="34996"/>
  <c r="AB60" i="34996"/>
  <c r="C61" i="34996"/>
  <c r="D61" i="34996"/>
  <c r="E61" i="34996"/>
  <c r="F61" i="34996"/>
  <c r="G61" i="34996"/>
  <c r="H61" i="34996"/>
  <c r="I61" i="34996"/>
  <c r="J61" i="34996"/>
  <c r="K61" i="34996"/>
  <c r="L61" i="34996"/>
  <c r="M61" i="34996"/>
  <c r="N61" i="34996"/>
  <c r="O61" i="34996"/>
  <c r="P61" i="34996"/>
  <c r="Q61" i="34996"/>
  <c r="R61" i="34996"/>
  <c r="S61" i="34996"/>
  <c r="T61" i="34996"/>
  <c r="U61" i="34996"/>
  <c r="V61" i="34996"/>
  <c r="W61" i="34996"/>
  <c r="X61" i="34996"/>
  <c r="Y61" i="34996"/>
  <c r="Z61" i="34996"/>
  <c r="AA61" i="34996"/>
  <c r="AB61" i="34996"/>
  <c r="C62" i="34996"/>
  <c r="D62" i="34996"/>
  <c r="E62" i="34996"/>
  <c r="F62" i="34996"/>
  <c r="G62" i="34996"/>
  <c r="H62" i="34996"/>
  <c r="I62" i="34996"/>
  <c r="J62" i="34996"/>
  <c r="K62" i="34996"/>
  <c r="L62" i="34996"/>
  <c r="M62" i="34996"/>
  <c r="N62" i="34996"/>
  <c r="O62" i="34996"/>
  <c r="P62" i="34996"/>
  <c r="Q62" i="34996"/>
  <c r="R62" i="34996"/>
  <c r="S62" i="34996"/>
  <c r="T62" i="34996"/>
  <c r="U62" i="34996"/>
  <c r="V62" i="34996"/>
  <c r="W62" i="34996"/>
  <c r="X62" i="34996"/>
  <c r="Y62" i="34996"/>
  <c r="Z62" i="34996"/>
  <c r="AA62" i="34996"/>
  <c r="AB62" i="34996"/>
  <c r="C63" i="34996"/>
  <c r="D63" i="34996"/>
  <c r="E63" i="34996"/>
  <c r="F63" i="34996"/>
  <c r="G63" i="34996"/>
  <c r="H63" i="34996"/>
  <c r="I63" i="34996"/>
  <c r="J63" i="34996"/>
  <c r="K63" i="34996"/>
  <c r="L63" i="34996"/>
  <c r="M63" i="34996"/>
  <c r="N63" i="34996"/>
  <c r="O63" i="34996"/>
  <c r="P63" i="34996"/>
  <c r="Q63" i="34996"/>
  <c r="R63" i="34996"/>
  <c r="S63" i="34996"/>
  <c r="T63" i="34996"/>
  <c r="U63" i="34996"/>
  <c r="V63" i="34996"/>
  <c r="W63" i="34996"/>
  <c r="X63" i="34996"/>
  <c r="Y63" i="34996"/>
  <c r="Z63" i="34996"/>
  <c r="AA63" i="34996"/>
  <c r="AB63" i="34996"/>
  <c r="C64" i="34996"/>
  <c r="D64" i="34996"/>
  <c r="E64" i="34996"/>
  <c r="F64" i="34996"/>
  <c r="G64" i="34996"/>
  <c r="H64" i="34996"/>
  <c r="I64" i="34996"/>
  <c r="J64" i="34996"/>
  <c r="K64" i="34996"/>
  <c r="L64" i="34996"/>
  <c r="M64" i="34996"/>
  <c r="N64" i="34996"/>
  <c r="O64" i="34996"/>
  <c r="P64" i="34996"/>
  <c r="Q64" i="34996"/>
  <c r="R64" i="34996"/>
  <c r="S64" i="34996"/>
  <c r="T64" i="34996"/>
  <c r="U64" i="34996"/>
  <c r="V64" i="34996"/>
  <c r="W64" i="34996"/>
  <c r="X64" i="34996"/>
  <c r="Y64" i="34996"/>
  <c r="Z64" i="34996"/>
  <c r="AA64" i="34996"/>
  <c r="AB64" i="34996"/>
  <c r="C65" i="34996"/>
  <c r="D65" i="34996"/>
  <c r="E65" i="34996"/>
  <c r="F65" i="34996"/>
  <c r="G65" i="34996"/>
  <c r="H65" i="34996"/>
  <c r="I65" i="34996"/>
  <c r="J65" i="34996"/>
  <c r="K65" i="34996"/>
  <c r="L65" i="34996"/>
  <c r="M65" i="34996"/>
  <c r="N65" i="34996"/>
  <c r="O65" i="34996"/>
  <c r="P65" i="34996"/>
  <c r="Q65" i="34996"/>
  <c r="R65" i="34996"/>
  <c r="S65" i="34996"/>
  <c r="T65" i="34996"/>
  <c r="U65" i="34996"/>
  <c r="V65" i="34996"/>
  <c r="W65" i="34996"/>
  <c r="X65" i="34996"/>
  <c r="Y65" i="34996"/>
  <c r="Z65" i="34996"/>
  <c r="AA65" i="34996"/>
  <c r="AB65" i="34996"/>
  <c r="C66" i="34996"/>
  <c r="D66" i="34996"/>
  <c r="E66" i="34996"/>
  <c r="F66" i="34996"/>
  <c r="G66" i="34996"/>
  <c r="H66" i="34996"/>
  <c r="I66" i="34996"/>
  <c r="J66" i="34996"/>
  <c r="K66" i="34996"/>
  <c r="L66" i="34996"/>
  <c r="M66" i="34996"/>
  <c r="N66" i="34996"/>
  <c r="O66" i="34996"/>
  <c r="P66" i="34996"/>
  <c r="Q66" i="34996"/>
  <c r="R66" i="34996"/>
  <c r="S66" i="34996"/>
  <c r="T66" i="34996"/>
  <c r="U66" i="34996"/>
  <c r="V66" i="34996"/>
  <c r="W66" i="34996"/>
  <c r="X66" i="34996"/>
  <c r="Y66" i="34996"/>
  <c r="Z66" i="34996"/>
  <c r="AA66" i="34996"/>
  <c r="AB66" i="34996"/>
  <c r="C67" i="34996"/>
  <c r="D67" i="34996"/>
  <c r="E67" i="34996"/>
  <c r="F67" i="34996"/>
  <c r="G67" i="34996"/>
  <c r="H67" i="34996"/>
  <c r="I67" i="34996"/>
  <c r="J67" i="34996"/>
  <c r="K67" i="34996"/>
  <c r="L67" i="34996"/>
  <c r="M67" i="34996"/>
  <c r="N67" i="34996"/>
  <c r="O67" i="34996"/>
  <c r="P67" i="34996"/>
  <c r="Q67" i="34996"/>
  <c r="R67" i="34996"/>
  <c r="S67" i="34996"/>
  <c r="T67" i="34996"/>
  <c r="U67" i="34996"/>
  <c r="V67" i="34996"/>
  <c r="W67" i="34996"/>
  <c r="X67" i="34996"/>
  <c r="Y67" i="34996"/>
  <c r="Z67" i="34996"/>
  <c r="AA67" i="34996"/>
  <c r="AB67" i="34996"/>
  <c r="C68" i="34996"/>
  <c r="D68" i="34996"/>
  <c r="E68" i="34996"/>
  <c r="F68" i="34996"/>
  <c r="G68" i="34996"/>
  <c r="H68" i="34996"/>
  <c r="I68" i="34996"/>
  <c r="J68" i="34996"/>
  <c r="K68" i="34996"/>
  <c r="L68" i="34996"/>
  <c r="M68" i="34996"/>
  <c r="N68" i="34996"/>
  <c r="O68" i="34996"/>
  <c r="P68" i="34996"/>
  <c r="Q68" i="34996"/>
  <c r="R68" i="34996"/>
  <c r="S68" i="34996"/>
  <c r="T68" i="34996"/>
  <c r="U68" i="34996"/>
  <c r="V68" i="34996"/>
  <c r="W68" i="34996"/>
  <c r="X68" i="34996"/>
  <c r="Y68" i="34996"/>
  <c r="Z68" i="34996"/>
  <c r="AA68" i="34996"/>
  <c r="AB68" i="34996"/>
  <c r="C69" i="34996"/>
  <c r="D69" i="34996"/>
  <c r="E69" i="34996"/>
  <c r="F69" i="34996"/>
  <c r="G69" i="34996"/>
  <c r="H69" i="34996"/>
  <c r="I69" i="34996"/>
  <c r="J69" i="34996"/>
  <c r="K69" i="34996"/>
  <c r="L69" i="34996"/>
  <c r="M69" i="34996"/>
  <c r="N69" i="34996"/>
  <c r="O69" i="34996"/>
  <c r="P69" i="34996"/>
  <c r="Q69" i="34996"/>
  <c r="R69" i="34996"/>
  <c r="S69" i="34996"/>
  <c r="T69" i="34996"/>
  <c r="U69" i="34996"/>
  <c r="V69" i="34996"/>
  <c r="W69" i="34996"/>
  <c r="X69" i="34996"/>
  <c r="Y69" i="34996"/>
  <c r="Z69" i="34996"/>
  <c r="AA69" i="34996"/>
  <c r="AB69" i="34996"/>
  <c r="C70" i="34996"/>
  <c r="D70" i="34996"/>
  <c r="E70" i="34996"/>
  <c r="F70" i="34996"/>
  <c r="G70" i="34996"/>
  <c r="H70" i="34996"/>
  <c r="I70" i="34996"/>
  <c r="J70" i="34996"/>
  <c r="K70" i="34996"/>
  <c r="L70" i="34996"/>
  <c r="M70" i="34996"/>
  <c r="N70" i="34996"/>
  <c r="O70" i="34996"/>
  <c r="P70" i="34996"/>
  <c r="Q70" i="34996"/>
  <c r="R70" i="34996"/>
  <c r="S70" i="34996"/>
  <c r="T70" i="34996"/>
  <c r="U70" i="34996"/>
  <c r="V70" i="34996"/>
  <c r="W70" i="34996"/>
  <c r="X70" i="34996"/>
  <c r="Y70" i="34996"/>
  <c r="Z70" i="34996"/>
  <c r="AA70" i="34996"/>
  <c r="AB70" i="34996"/>
  <c r="C71" i="34996"/>
  <c r="D71" i="34996"/>
  <c r="E71" i="34996"/>
  <c r="F71" i="34996"/>
  <c r="G71" i="34996"/>
  <c r="H71" i="34996"/>
  <c r="I71" i="34996"/>
  <c r="J71" i="34996"/>
  <c r="K71" i="34996"/>
  <c r="L71" i="34996"/>
  <c r="M71" i="34996"/>
  <c r="N71" i="34996"/>
  <c r="O71" i="34996"/>
  <c r="P71" i="34996"/>
  <c r="Q71" i="34996"/>
  <c r="R71" i="34996"/>
  <c r="S71" i="34996"/>
  <c r="T71" i="34996"/>
  <c r="U71" i="34996"/>
  <c r="V71" i="34996"/>
  <c r="W71" i="34996"/>
  <c r="X71" i="34996"/>
  <c r="Y71" i="34996"/>
  <c r="Z71" i="34996"/>
  <c r="AA71" i="34996"/>
  <c r="AB71" i="34996"/>
  <c r="C72" i="34996"/>
  <c r="D72" i="34996"/>
  <c r="E72" i="34996"/>
  <c r="F72" i="34996"/>
  <c r="G72" i="34996"/>
  <c r="H72" i="34996"/>
  <c r="I72" i="34996"/>
  <c r="J72" i="34996"/>
  <c r="K72" i="34996"/>
  <c r="L72" i="34996"/>
  <c r="M72" i="34996"/>
  <c r="N72" i="34996"/>
  <c r="O72" i="34996"/>
  <c r="P72" i="34996"/>
  <c r="Q72" i="34996"/>
  <c r="R72" i="34996"/>
  <c r="S72" i="34996"/>
  <c r="T72" i="34996"/>
  <c r="U72" i="34996"/>
  <c r="V72" i="34996"/>
  <c r="W72" i="34996"/>
  <c r="X72" i="34996"/>
  <c r="Y72" i="34996"/>
  <c r="Z72" i="34996"/>
  <c r="AA72" i="34996"/>
  <c r="AB72" i="34996"/>
  <c r="C73" i="34996"/>
  <c r="D73" i="34996"/>
  <c r="E73" i="34996"/>
  <c r="F73" i="34996"/>
  <c r="G73" i="34996"/>
  <c r="H73" i="34996"/>
  <c r="I73" i="34996"/>
  <c r="J73" i="34996"/>
  <c r="K73" i="34996"/>
  <c r="L73" i="34996"/>
  <c r="M73" i="34996"/>
  <c r="N73" i="34996"/>
  <c r="O73" i="34996"/>
  <c r="P73" i="34996"/>
  <c r="Q73" i="34996"/>
  <c r="R73" i="34996"/>
  <c r="S73" i="34996"/>
  <c r="T73" i="34996"/>
  <c r="U73" i="34996"/>
  <c r="V73" i="34996"/>
  <c r="W73" i="34996"/>
  <c r="X73" i="34996"/>
  <c r="Y73" i="34996"/>
  <c r="Z73" i="34996"/>
  <c r="AA73" i="34996"/>
  <c r="AB73" i="34996"/>
  <c r="C74" i="34996"/>
  <c r="D74" i="34996"/>
  <c r="E74" i="34996"/>
  <c r="F74" i="34996"/>
  <c r="G74" i="34996"/>
  <c r="H74" i="34996"/>
  <c r="I74" i="34996"/>
  <c r="J74" i="34996"/>
  <c r="K74" i="34996"/>
  <c r="L74" i="34996"/>
  <c r="M74" i="34996"/>
  <c r="N74" i="34996"/>
  <c r="O74" i="34996"/>
  <c r="P74" i="34996"/>
  <c r="Q74" i="34996"/>
  <c r="R74" i="34996"/>
  <c r="S74" i="34996"/>
  <c r="T74" i="34996"/>
  <c r="U74" i="34996"/>
  <c r="V74" i="34996"/>
  <c r="W74" i="34996"/>
  <c r="X74" i="34996"/>
  <c r="Y74" i="34996"/>
  <c r="Z74" i="34996"/>
  <c r="AA74" i="34996"/>
  <c r="AB74" i="34996"/>
  <c r="C75" i="34996"/>
  <c r="D75" i="34996"/>
  <c r="E75" i="34996"/>
  <c r="F75" i="34996"/>
  <c r="G75" i="34996"/>
  <c r="H75" i="34996"/>
  <c r="I75" i="34996"/>
  <c r="J75" i="34996"/>
  <c r="K75" i="34996"/>
  <c r="L75" i="34996"/>
  <c r="M75" i="34996"/>
  <c r="N75" i="34996"/>
  <c r="O75" i="34996"/>
  <c r="P75" i="34996"/>
  <c r="Q75" i="34996"/>
  <c r="R75" i="34996"/>
  <c r="S75" i="34996"/>
  <c r="T75" i="34996"/>
  <c r="U75" i="34996"/>
  <c r="V75" i="34996"/>
  <c r="W75" i="34996"/>
  <c r="X75" i="34996"/>
  <c r="Y75" i="34996"/>
  <c r="Z75" i="34996"/>
  <c r="AA75" i="34996"/>
  <c r="AB75" i="34996"/>
  <c r="C76" i="34996"/>
  <c r="D76" i="34996"/>
  <c r="E76" i="34996"/>
  <c r="F76" i="34996"/>
  <c r="G76" i="34996"/>
  <c r="H76" i="34996"/>
  <c r="I76" i="34996"/>
  <c r="J76" i="34996"/>
  <c r="K76" i="34996"/>
  <c r="L76" i="34996"/>
  <c r="M76" i="34996"/>
  <c r="N76" i="34996"/>
  <c r="O76" i="34996"/>
  <c r="P76" i="34996"/>
  <c r="Q76" i="34996"/>
  <c r="R76" i="34996"/>
  <c r="S76" i="34996"/>
  <c r="T76" i="34996"/>
  <c r="U76" i="34996"/>
  <c r="V76" i="34996"/>
  <c r="W76" i="34996"/>
  <c r="X76" i="34996"/>
  <c r="Y76" i="34996"/>
  <c r="Z76" i="34996"/>
  <c r="AA76" i="34996"/>
  <c r="AB76" i="34996"/>
  <c r="C77" i="34996"/>
  <c r="D77" i="34996"/>
  <c r="E77" i="34996"/>
  <c r="F77" i="34996"/>
  <c r="G77" i="34996"/>
  <c r="H77" i="34996"/>
  <c r="I77" i="34996"/>
  <c r="J77" i="34996"/>
  <c r="K77" i="34996"/>
  <c r="L77" i="34996"/>
  <c r="M77" i="34996"/>
  <c r="N77" i="34996"/>
  <c r="O77" i="34996"/>
  <c r="P77" i="34996"/>
  <c r="Q77" i="34996"/>
  <c r="R77" i="34996"/>
  <c r="S77" i="34996"/>
  <c r="T77" i="34996"/>
  <c r="U77" i="34996"/>
  <c r="V77" i="34996"/>
  <c r="W77" i="34996"/>
  <c r="X77" i="34996"/>
  <c r="Y77" i="34996"/>
  <c r="Z77" i="34996"/>
  <c r="AA77" i="34996"/>
  <c r="AB77" i="34996"/>
  <c r="C78" i="34996"/>
  <c r="D78" i="34996"/>
  <c r="E78" i="34996"/>
  <c r="F78" i="34996"/>
  <c r="G78" i="34996"/>
  <c r="H78" i="34996"/>
  <c r="I78" i="34996"/>
  <c r="J78" i="34996"/>
  <c r="K78" i="34996"/>
  <c r="L78" i="34996"/>
  <c r="M78" i="34996"/>
  <c r="N78" i="34996"/>
  <c r="O78" i="34996"/>
  <c r="P78" i="34996"/>
  <c r="Q78" i="34996"/>
  <c r="R78" i="34996"/>
  <c r="S78" i="34996"/>
  <c r="T78" i="34996"/>
  <c r="U78" i="34996"/>
  <c r="V78" i="34996"/>
  <c r="W78" i="34996"/>
  <c r="X78" i="34996"/>
  <c r="Y78" i="34996"/>
  <c r="Z78" i="34996"/>
  <c r="AA78" i="34996"/>
  <c r="AB78" i="34996"/>
  <c r="C79" i="34996"/>
  <c r="D79" i="34996"/>
  <c r="E79" i="34996"/>
  <c r="F79" i="34996"/>
  <c r="G79" i="34996"/>
  <c r="H79" i="34996"/>
  <c r="I79" i="34996"/>
  <c r="J79" i="34996"/>
  <c r="K79" i="34996"/>
  <c r="L79" i="34996"/>
  <c r="M79" i="34996"/>
  <c r="N79" i="34996"/>
  <c r="O79" i="34996"/>
  <c r="P79" i="34996"/>
  <c r="Q79" i="34996"/>
  <c r="R79" i="34996"/>
  <c r="S79" i="34996"/>
  <c r="T79" i="34996"/>
  <c r="U79" i="34996"/>
  <c r="V79" i="34996"/>
  <c r="W79" i="34996"/>
  <c r="X79" i="34996"/>
  <c r="Y79" i="34996"/>
  <c r="Z79" i="34996"/>
  <c r="AA79" i="34996"/>
  <c r="AB79" i="34996"/>
  <c r="C80" i="34996"/>
  <c r="D80" i="34996"/>
  <c r="E80" i="34996"/>
  <c r="F80" i="34996"/>
  <c r="G80" i="34996"/>
  <c r="H80" i="34996"/>
  <c r="I80" i="34996"/>
  <c r="J80" i="34996"/>
  <c r="K80" i="34996"/>
  <c r="L80" i="34996"/>
  <c r="M80" i="34996"/>
  <c r="N80" i="34996"/>
  <c r="O80" i="34996"/>
  <c r="P80" i="34996"/>
  <c r="Q80" i="34996"/>
  <c r="R80" i="34996"/>
  <c r="S80" i="34996"/>
  <c r="T80" i="34996"/>
  <c r="U80" i="34996"/>
  <c r="V80" i="34996"/>
  <c r="W80" i="34996"/>
  <c r="X80" i="34996"/>
  <c r="Y80" i="34996"/>
  <c r="Z80" i="34996"/>
  <c r="AA80" i="34996"/>
  <c r="AB80" i="34996"/>
  <c r="C81" i="34996"/>
  <c r="D81" i="34996"/>
  <c r="E81" i="34996"/>
  <c r="F81" i="34996"/>
  <c r="G81" i="34996"/>
  <c r="H81" i="34996"/>
  <c r="I81" i="34996"/>
  <c r="J81" i="34996"/>
  <c r="K81" i="34996"/>
  <c r="L81" i="34996"/>
  <c r="M81" i="34996"/>
  <c r="N81" i="34996"/>
  <c r="O81" i="34996"/>
  <c r="P81" i="34996"/>
  <c r="Q81" i="34996"/>
  <c r="R81" i="34996"/>
  <c r="S81" i="34996"/>
  <c r="T81" i="34996"/>
  <c r="U81" i="34996"/>
  <c r="V81" i="34996"/>
  <c r="W81" i="34996"/>
  <c r="X81" i="34996"/>
  <c r="Y81" i="34996"/>
  <c r="Z81" i="34996"/>
  <c r="AA81" i="34996"/>
  <c r="AB81" i="34996"/>
  <c r="C82" i="34996"/>
  <c r="D82" i="34996"/>
  <c r="E82" i="34996"/>
  <c r="F82" i="34996"/>
  <c r="G82" i="34996"/>
  <c r="H82" i="34996"/>
  <c r="I82" i="34996"/>
  <c r="J82" i="34996"/>
  <c r="K82" i="34996"/>
  <c r="L82" i="34996"/>
  <c r="M82" i="34996"/>
  <c r="N82" i="34996"/>
  <c r="O82" i="34996"/>
  <c r="P82" i="34996"/>
  <c r="Q82" i="34996"/>
  <c r="R82" i="34996"/>
  <c r="S82" i="34996"/>
  <c r="T82" i="34996"/>
  <c r="U82" i="34996"/>
  <c r="V82" i="34996"/>
  <c r="W82" i="34996"/>
  <c r="X82" i="34996"/>
  <c r="Y82" i="34996"/>
  <c r="Z82" i="34996"/>
  <c r="AA82" i="34996"/>
  <c r="AB82" i="34996"/>
  <c r="C83" i="34996"/>
  <c r="D83" i="34996"/>
  <c r="E83" i="34996"/>
  <c r="F83" i="34996"/>
  <c r="G83" i="34996"/>
  <c r="H83" i="34996"/>
  <c r="I83" i="34996"/>
  <c r="J83" i="34996"/>
  <c r="K83" i="34996"/>
  <c r="L83" i="34996"/>
  <c r="M83" i="34996"/>
  <c r="N83" i="34996"/>
  <c r="O83" i="34996"/>
  <c r="P83" i="34996"/>
  <c r="Q83" i="34996"/>
  <c r="R83" i="34996"/>
  <c r="S83" i="34996"/>
  <c r="T83" i="34996"/>
  <c r="U83" i="34996"/>
  <c r="V83" i="34996"/>
  <c r="W83" i="34996"/>
  <c r="X83" i="34996"/>
  <c r="Y83" i="34996"/>
  <c r="Z83" i="34996"/>
  <c r="AA83" i="34996"/>
  <c r="AB83" i="34996"/>
  <c r="C84" i="34996"/>
  <c r="D84" i="34996"/>
  <c r="E84" i="34996"/>
  <c r="F84" i="34996"/>
  <c r="G84" i="34996"/>
  <c r="H84" i="34996"/>
  <c r="I84" i="34996"/>
  <c r="J84" i="34996"/>
  <c r="K84" i="34996"/>
  <c r="L84" i="34996"/>
  <c r="M84" i="34996"/>
  <c r="N84" i="34996"/>
  <c r="O84" i="34996"/>
  <c r="P84" i="34996"/>
  <c r="Q84" i="34996"/>
  <c r="R84" i="34996"/>
  <c r="S84" i="34996"/>
  <c r="T84" i="34996"/>
  <c r="U84" i="34996"/>
  <c r="V84" i="34996"/>
  <c r="W84" i="34996"/>
  <c r="X84" i="34996"/>
  <c r="Y84" i="34996"/>
  <c r="Z84" i="34996"/>
  <c r="AA84" i="34996"/>
  <c r="AB84" i="34996"/>
  <c r="C20" i="34998" l="1"/>
  <c r="O19" i="34998"/>
  <c r="AA18" i="34998"/>
  <c r="M18" i="34998"/>
  <c r="Y17" i="34998"/>
  <c r="K17" i="34998"/>
  <c r="W16" i="34998"/>
  <c r="I16" i="34998"/>
  <c r="U15" i="34998"/>
  <c r="G15" i="34998"/>
  <c r="S14" i="34998"/>
  <c r="E14" i="34998"/>
  <c r="Q13" i="34998"/>
  <c r="C13" i="34998"/>
  <c r="O12" i="34998"/>
  <c r="AA11" i="34998"/>
  <c r="M11" i="34998"/>
  <c r="Y10" i="34998"/>
  <c r="K10" i="34998"/>
  <c r="P55" i="34998"/>
  <c r="AB54" i="34998"/>
  <c r="N54" i="34998"/>
  <c r="Z53" i="34998"/>
  <c r="L53" i="34998"/>
  <c r="X52" i="34998"/>
  <c r="J52" i="34998"/>
  <c r="V51" i="34998"/>
  <c r="H51" i="34998"/>
  <c r="T50" i="34998"/>
  <c r="F50" i="34998"/>
  <c r="R49" i="34998"/>
  <c r="D49" i="34998"/>
  <c r="P48" i="34998"/>
  <c r="AB47" i="34998"/>
  <c r="N47" i="34998"/>
  <c r="Z46" i="34998"/>
  <c r="L46" i="34998"/>
  <c r="X45" i="34998"/>
  <c r="J45" i="34998"/>
  <c r="V44" i="34998"/>
  <c r="H44" i="34998"/>
  <c r="T43" i="34998"/>
  <c r="F43" i="34998"/>
  <c r="R42" i="34998"/>
  <c r="D42" i="34998"/>
  <c r="P41" i="34998"/>
  <c r="AB40" i="34998"/>
  <c r="N40" i="34998"/>
  <c r="Z39" i="34998"/>
  <c r="L39" i="34998"/>
  <c r="X38" i="34998"/>
  <c r="J38" i="34998"/>
  <c r="V37" i="34998"/>
  <c r="H37" i="34998"/>
  <c r="T36" i="34998"/>
  <c r="F36" i="34998"/>
  <c r="R35" i="34998"/>
  <c r="D35" i="34998"/>
  <c r="P34" i="34998"/>
  <c r="AB33" i="34998"/>
  <c r="N33" i="34998"/>
  <c r="Z32" i="34998"/>
  <c r="L32" i="34998"/>
  <c r="X31" i="34998"/>
  <c r="J31" i="34998"/>
  <c r="V30" i="34998"/>
  <c r="H30" i="34998"/>
  <c r="T29" i="34998"/>
  <c r="F29" i="34998"/>
  <c r="R28" i="34998"/>
  <c r="D28" i="34998"/>
  <c r="P27" i="34998"/>
  <c r="AB26" i="34998"/>
  <c r="N26" i="34998"/>
  <c r="Z25" i="34998"/>
  <c r="L25" i="34998"/>
  <c r="X24" i="34998"/>
  <c r="J24" i="34998"/>
  <c r="V23" i="34998"/>
  <c r="H23" i="34998"/>
  <c r="T22" i="34998"/>
  <c r="F22" i="34998"/>
  <c r="R21" i="34998"/>
  <c r="D21" i="34998"/>
  <c r="P20" i="34998"/>
  <c r="AB19" i="34998"/>
  <c r="N19" i="34998"/>
  <c r="Z18" i="34998"/>
  <c r="L18" i="34998"/>
  <c r="X17" i="34998"/>
  <c r="J17" i="34998"/>
  <c r="V16" i="34998"/>
  <c r="H16" i="34998"/>
  <c r="T15" i="34998"/>
  <c r="F15" i="34998"/>
  <c r="R14" i="34998"/>
  <c r="D14" i="34998"/>
  <c r="P13" i="34998"/>
  <c r="AB12" i="34998"/>
  <c r="N12" i="34998"/>
  <c r="Z11" i="34998"/>
  <c r="L11" i="34998"/>
  <c r="X10" i="34998"/>
  <c r="J10" i="34998"/>
  <c r="M40" i="34998"/>
  <c r="Y39" i="34998"/>
  <c r="K39" i="34998"/>
  <c r="W38" i="34998"/>
  <c r="I38" i="34998"/>
  <c r="U37" i="34998"/>
  <c r="G37" i="34998"/>
  <c r="S36" i="34998"/>
  <c r="E36" i="34998"/>
  <c r="Q35" i="34998"/>
  <c r="C35" i="34998"/>
  <c r="O34" i="34998"/>
  <c r="AA33" i="34998"/>
  <c r="M33" i="34998"/>
  <c r="Y32" i="34998"/>
  <c r="K32" i="34998"/>
  <c r="W31" i="34998"/>
  <c r="I31" i="34998"/>
  <c r="U30" i="34998"/>
  <c r="G30" i="34998"/>
  <c r="S29" i="34998"/>
  <c r="E29" i="34998"/>
  <c r="Q28" i="34998"/>
  <c r="C28" i="34998"/>
  <c r="O27" i="34998"/>
  <c r="AA26" i="34998"/>
  <c r="M26" i="34998"/>
  <c r="Y25" i="34998"/>
  <c r="K25" i="34998"/>
  <c r="W24" i="34998"/>
  <c r="I24" i="34998"/>
  <c r="U23" i="34998"/>
  <c r="G23" i="34998"/>
  <c r="S22" i="34998"/>
  <c r="E22" i="34998"/>
  <c r="Q21" i="34998"/>
  <c r="C21" i="34998"/>
  <c r="O20" i="34998"/>
  <c r="AA19" i="34998"/>
  <c r="M19" i="34998"/>
  <c r="Y18" i="34998"/>
  <c r="K18" i="34998"/>
  <c r="W17" i="34998"/>
  <c r="I17" i="34998"/>
  <c r="U16" i="34998"/>
  <c r="G16" i="34998"/>
  <c r="S15" i="34998"/>
  <c r="E15" i="34998"/>
  <c r="Q14" i="34998"/>
  <c r="C14" i="34998"/>
  <c r="O13" i="34998"/>
  <c r="AA12" i="34998"/>
  <c r="M12" i="34998"/>
  <c r="Y11" i="34998"/>
  <c r="K11" i="34998"/>
  <c r="W10" i="34998"/>
  <c r="I10" i="34998"/>
  <c r="H10" i="34998"/>
  <c r="K12" i="34998"/>
  <c r="W11" i="34998"/>
  <c r="I11" i="34998"/>
  <c r="U10" i="34998"/>
  <c r="G10" i="34998"/>
  <c r="V11" i="34998"/>
  <c r="H11" i="34998"/>
  <c r="T10" i="34998"/>
  <c r="F10" i="34998"/>
  <c r="E17" i="34998"/>
  <c r="Q16" i="34998"/>
  <c r="C16" i="34998"/>
  <c r="O15" i="34998"/>
  <c r="AA14" i="34998"/>
  <c r="M14" i="34998"/>
  <c r="Y13" i="34998"/>
  <c r="K13" i="34998"/>
  <c r="W12" i="34998"/>
  <c r="I12" i="34998"/>
  <c r="U11" i="34998"/>
  <c r="G11" i="34998"/>
  <c r="S10" i="34998"/>
  <c r="E10" i="34998"/>
  <c r="D17" i="34998"/>
  <c r="P16" i="34998"/>
  <c r="AB15" i="34998"/>
  <c r="N15" i="34998"/>
  <c r="Z14" i="34998"/>
  <c r="L14" i="34998"/>
  <c r="X13" i="34998"/>
  <c r="J13" i="34998"/>
  <c r="V12" i="34998"/>
  <c r="H12" i="34998"/>
  <c r="T11" i="34998"/>
  <c r="F11" i="34998"/>
  <c r="R10" i="34998"/>
  <c r="D10" i="34998"/>
  <c r="W13" i="34998"/>
  <c r="I13" i="34998"/>
  <c r="U12" i="34998"/>
  <c r="G12" i="34998"/>
  <c r="S11" i="34998"/>
  <c r="E11" i="34998"/>
  <c r="Q10" i="34998"/>
  <c r="S13" i="34996"/>
  <c r="E13" i="34996"/>
  <c r="Q12" i="34996"/>
  <c r="C12" i="34996"/>
  <c r="O11" i="34996"/>
  <c r="AA10" i="34996"/>
  <c r="M10" i="34996"/>
  <c r="L10" i="34996"/>
  <c r="K10" i="34996"/>
  <c r="F36" i="34996"/>
  <c r="R35" i="34996"/>
  <c r="D35" i="34996"/>
  <c r="P34" i="34996"/>
  <c r="AB33" i="34996"/>
  <c r="N33" i="34996"/>
  <c r="Z32" i="34996"/>
  <c r="L32" i="34996"/>
  <c r="X31" i="34996"/>
  <c r="J31" i="34996"/>
  <c r="V30" i="34996"/>
  <c r="H30" i="34996"/>
  <c r="T29" i="34996"/>
  <c r="F29" i="34996"/>
  <c r="R28" i="34996"/>
  <c r="D28" i="34996"/>
  <c r="P27" i="34996"/>
  <c r="AB26" i="34996"/>
  <c r="N26" i="34996"/>
  <c r="Z25" i="34996"/>
  <c r="L25" i="34996"/>
  <c r="X24" i="34996"/>
  <c r="J24" i="34996"/>
  <c r="V23" i="34996"/>
  <c r="H23" i="34996"/>
  <c r="T22" i="34996"/>
  <c r="F22" i="34996"/>
  <c r="R21" i="34996"/>
  <c r="D21" i="34996"/>
  <c r="P20" i="34996"/>
  <c r="AB19" i="34996"/>
  <c r="N19" i="34996"/>
  <c r="Z18" i="34996"/>
  <c r="L18" i="34996"/>
  <c r="X17" i="34996"/>
  <c r="J17" i="34996"/>
  <c r="V16" i="34996"/>
  <c r="H16" i="34996"/>
  <c r="T15" i="34996"/>
  <c r="F15" i="34996"/>
  <c r="R14" i="34996"/>
  <c r="D14" i="34996"/>
  <c r="P13" i="34996"/>
  <c r="AB12" i="34996"/>
  <c r="N12" i="34996"/>
  <c r="Z11" i="34996"/>
  <c r="L11" i="34996"/>
  <c r="X10" i="34996"/>
  <c r="J10" i="34996"/>
  <c r="I10" i="34996"/>
  <c r="H10" i="34996"/>
  <c r="K54" i="34996"/>
  <c r="W53" i="34996"/>
  <c r="I53" i="34996"/>
  <c r="U52" i="34996"/>
  <c r="G52" i="34996"/>
  <c r="S51" i="34996"/>
  <c r="E51" i="34996"/>
  <c r="Q50" i="34996"/>
  <c r="C50" i="34996"/>
  <c r="O49" i="34996"/>
  <c r="AA48" i="34996"/>
  <c r="M48" i="34996"/>
  <c r="Y47" i="34996"/>
  <c r="K47" i="34996"/>
  <c r="W46" i="34996"/>
  <c r="I46" i="34996"/>
  <c r="U45" i="34996"/>
  <c r="G45" i="34996"/>
  <c r="S44" i="34996"/>
  <c r="E44" i="34996"/>
  <c r="Q43" i="34996"/>
  <c r="C43" i="34996"/>
  <c r="O42" i="34996"/>
  <c r="AA41" i="34996"/>
  <c r="M41" i="34996"/>
  <c r="Y40" i="34996"/>
  <c r="K40" i="34996"/>
  <c r="W39" i="34996"/>
  <c r="I39" i="34996"/>
  <c r="U38" i="34996"/>
  <c r="G38" i="34996"/>
  <c r="S37" i="34996"/>
  <c r="E37" i="34996"/>
  <c r="Q36" i="34996"/>
  <c r="C36" i="34996"/>
  <c r="O35" i="34996"/>
  <c r="AA34" i="34996"/>
  <c r="M34" i="34996"/>
  <c r="Y33" i="34996"/>
  <c r="K33" i="34996"/>
  <c r="W32" i="34996"/>
  <c r="I32" i="34996"/>
  <c r="U31" i="34996"/>
  <c r="G31" i="34996"/>
  <c r="S30" i="34996"/>
  <c r="E30" i="34996"/>
  <c r="Q29" i="34996"/>
  <c r="C29" i="34996"/>
  <c r="O28" i="34996"/>
  <c r="AA27" i="34996"/>
  <c r="M27" i="34996"/>
  <c r="Y26" i="34996"/>
  <c r="K26" i="34996"/>
  <c r="W25" i="34996"/>
  <c r="I25" i="34996"/>
  <c r="U24" i="34996"/>
  <c r="G24" i="34996"/>
  <c r="S23" i="34996"/>
  <c r="E23" i="34996"/>
  <c r="Q22" i="34996"/>
  <c r="C22" i="34996"/>
  <c r="O21" i="34996"/>
  <c r="AA20" i="34996"/>
  <c r="M20" i="34996"/>
  <c r="Y19" i="34996"/>
  <c r="K19" i="34996"/>
  <c r="W18" i="34996"/>
  <c r="I18" i="34996"/>
  <c r="U17" i="34996"/>
  <c r="G17" i="34996"/>
  <c r="S16" i="34996"/>
  <c r="E16" i="34996"/>
  <c r="Q15" i="34996"/>
  <c r="C15" i="34996"/>
  <c r="O14" i="34996"/>
  <c r="AA13" i="34996"/>
  <c r="M13" i="34996"/>
  <c r="Y12" i="34996"/>
  <c r="K12" i="34996"/>
  <c r="W11" i="34996"/>
  <c r="I11" i="34996"/>
  <c r="U10" i="34996"/>
  <c r="G10" i="34996"/>
  <c r="H53" i="34996"/>
  <c r="T52" i="34996"/>
  <c r="F52" i="34996"/>
  <c r="R51" i="34996"/>
  <c r="D51" i="34996"/>
  <c r="P50" i="34996"/>
  <c r="AB49" i="34996"/>
  <c r="N49" i="34996"/>
  <c r="Z48" i="34996"/>
  <c r="L48" i="34996"/>
  <c r="X47" i="34996"/>
  <c r="J47" i="34996"/>
  <c r="V46" i="34996"/>
  <c r="H46" i="34996"/>
  <c r="T45" i="34996"/>
  <c r="F45" i="34996"/>
  <c r="R44" i="34996"/>
  <c r="D44" i="34996"/>
  <c r="P43" i="34996"/>
  <c r="AB42" i="34996"/>
  <c r="N42" i="34996"/>
  <c r="Z41" i="34996"/>
  <c r="L41" i="34996"/>
  <c r="X40" i="34996"/>
  <c r="J40" i="34996"/>
  <c r="V39" i="34996"/>
  <c r="H39" i="34996"/>
  <c r="T38" i="34996"/>
  <c r="F38" i="34996"/>
  <c r="R37" i="34996"/>
  <c r="D37" i="34996"/>
  <c r="P36" i="34996"/>
  <c r="AB35" i="34996"/>
  <c r="N35" i="34996"/>
  <c r="Z34" i="34996"/>
  <c r="L34" i="34996"/>
  <c r="X33" i="34996"/>
  <c r="J33" i="34996"/>
  <c r="V32" i="34996"/>
  <c r="H32" i="34996"/>
  <c r="T31" i="34996"/>
  <c r="F31" i="34996"/>
  <c r="R30" i="34996"/>
  <c r="D30" i="34996"/>
  <c r="P29" i="34996"/>
  <c r="AB28" i="34996"/>
  <c r="N28" i="34996"/>
  <c r="Z27" i="34996"/>
  <c r="L27" i="34996"/>
  <c r="X26" i="34996"/>
  <c r="J26" i="34996"/>
  <c r="V25" i="34996"/>
  <c r="H25" i="34996"/>
  <c r="T24" i="34996"/>
  <c r="F24" i="34996"/>
  <c r="R23" i="34996"/>
  <c r="D23" i="34996"/>
  <c r="P22" i="34996"/>
  <c r="AB21" i="34996"/>
  <c r="N21" i="34996"/>
  <c r="Z20" i="34996"/>
  <c r="L20" i="34996"/>
  <c r="X19" i="34996"/>
  <c r="J19" i="34996"/>
  <c r="V18" i="34996"/>
  <c r="H18" i="34996"/>
  <c r="T17" i="34996"/>
  <c r="F17" i="34996"/>
  <c r="R16" i="34996"/>
  <c r="D16" i="34996"/>
  <c r="P15" i="34996"/>
  <c r="AB14" i="34996"/>
  <c r="N14" i="34996"/>
  <c r="Z13" i="34996"/>
  <c r="L13" i="34996"/>
  <c r="X12" i="34996"/>
  <c r="J12" i="34996"/>
  <c r="V11" i="34996"/>
  <c r="H11" i="34996"/>
  <c r="T10" i="34996"/>
  <c r="F10" i="34996"/>
  <c r="K55" i="34996"/>
  <c r="W54" i="34996"/>
  <c r="I54" i="34996"/>
  <c r="U53" i="34996"/>
  <c r="G53" i="34996"/>
  <c r="S52" i="34996"/>
  <c r="E52" i="34996"/>
  <c r="Q51" i="34996"/>
  <c r="C51" i="34996"/>
  <c r="O50" i="34996"/>
  <c r="AA49" i="34996"/>
  <c r="M49" i="34996"/>
  <c r="Y48" i="34996"/>
  <c r="K48" i="34996"/>
  <c r="W47" i="34996"/>
  <c r="I47" i="34996"/>
  <c r="U46" i="34996"/>
  <c r="G46" i="34996"/>
  <c r="S45" i="34996"/>
  <c r="E45" i="34996"/>
  <c r="Q44" i="34996"/>
  <c r="C44" i="34996"/>
  <c r="O43" i="34996"/>
  <c r="AA42" i="34996"/>
  <c r="M42" i="34996"/>
  <c r="Y41" i="34996"/>
  <c r="K41" i="34996"/>
  <c r="W40" i="34996"/>
  <c r="I40" i="34996"/>
  <c r="U39" i="34996"/>
  <c r="G39" i="34996"/>
  <c r="S38" i="34996"/>
  <c r="E38" i="34996"/>
  <c r="Q37" i="34996"/>
  <c r="C37" i="34996"/>
  <c r="O36" i="34996"/>
  <c r="AA35" i="34996"/>
  <c r="M35" i="34996"/>
  <c r="Y34" i="34996"/>
  <c r="K34" i="34996"/>
  <c r="W33" i="34996"/>
  <c r="I33" i="34996"/>
  <c r="U32" i="34996"/>
  <c r="G32" i="34996"/>
  <c r="S31" i="34996"/>
  <c r="E31" i="34996"/>
  <c r="Q30" i="34996"/>
  <c r="C30" i="34996"/>
  <c r="O29" i="34996"/>
  <c r="AA28" i="34996"/>
  <c r="M28" i="34996"/>
  <c r="Y27" i="34996"/>
  <c r="K27" i="34996"/>
  <c r="W26" i="34996"/>
  <c r="I26" i="34996"/>
  <c r="U25" i="34996"/>
  <c r="G25" i="34996"/>
  <c r="S24" i="34996"/>
  <c r="E24" i="34996"/>
  <c r="Q23" i="34996"/>
  <c r="C23" i="34996"/>
  <c r="O22" i="34996"/>
  <c r="AA21" i="34996"/>
  <c r="M21" i="34996"/>
  <c r="Y20" i="34996"/>
  <c r="K20" i="34996"/>
  <c r="W19" i="34996"/>
  <c r="I19" i="34996"/>
  <c r="U18" i="34996"/>
  <c r="G18" i="34996"/>
  <c r="S17" i="34996"/>
  <c r="E17" i="34996"/>
  <c r="Q16" i="34996"/>
  <c r="C16" i="34996"/>
  <c r="O15" i="34996"/>
  <c r="AA14" i="34996"/>
  <c r="M14" i="34996"/>
  <c r="Y13" i="34996"/>
  <c r="K13" i="34996"/>
  <c r="W12" i="34996"/>
  <c r="I12" i="34996"/>
  <c r="U11" i="34996"/>
  <c r="G11" i="34996"/>
  <c r="S10" i="34996"/>
  <c r="E10" i="34996"/>
  <c r="J55" i="34996"/>
  <c r="V54" i="34996"/>
  <c r="H54" i="34996"/>
  <c r="T53" i="34996"/>
  <c r="F53" i="34996"/>
  <c r="R52" i="34996"/>
  <c r="D52" i="34996"/>
  <c r="P51" i="34996"/>
  <c r="AB50" i="34996"/>
  <c r="N50" i="34996"/>
  <c r="Z49" i="34996"/>
  <c r="L49" i="34996"/>
  <c r="X48" i="34996"/>
  <c r="J48" i="34996"/>
  <c r="V47" i="34996"/>
  <c r="H47" i="34996"/>
  <c r="T46" i="34996"/>
  <c r="F46" i="34996"/>
  <c r="R45" i="34996"/>
  <c r="D45" i="34996"/>
  <c r="P44" i="34996"/>
  <c r="AB43" i="34996"/>
  <c r="N43" i="34996"/>
  <c r="Z42" i="34996"/>
  <c r="L42" i="34996"/>
  <c r="X41" i="34996"/>
  <c r="J41" i="34996"/>
  <c r="V40" i="34996"/>
  <c r="H40" i="34996"/>
  <c r="T39" i="34996"/>
  <c r="F39" i="34996"/>
  <c r="R38" i="34996"/>
  <c r="D38" i="34996"/>
  <c r="P37" i="34996"/>
  <c r="AB36" i="34996"/>
  <c r="N36" i="34996"/>
  <c r="Z35" i="34996"/>
  <c r="L35" i="34996"/>
  <c r="X34" i="34996"/>
  <c r="J34" i="34996"/>
  <c r="V33" i="34996"/>
  <c r="H33" i="34996"/>
  <c r="T32" i="34996"/>
  <c r="F32" i="34996"/>
  <c r="R31" i="34996"/>
  <c r="D31" i="34996"/>
  <c r="P30" i="34996"/>
  <c r="AB29" i="34996"/>
  <c r="N29" i="34996"/>
  <c r="Z28" i="34996"/>
  <c r="L28" i="34996"/>
  <c r="X27" i="34996"/>
  <c r="J27" i="34996"/>
  <c r="V26" i="34996"/>
  <c r="H26" i="34996"/>
  <c r="T25" i="34996"/>
  <c r="F25" i="34996"/>
  <c r="R24" i="34996"/>
  <c r="D24" i="34996"/>
  <c r="P23" i="34996"/>
  <c r="AB22" i="34996"/>
  <c r="N22" i="34996"/>
  <c r="Z21" i="34996"/>
  <c r="L21" i="34996"/>
  <c r="X20" i="34996"/>
  <c r="J20" i="34996"/>
  <c r="V19" i="34996"/>
  <c r="H19" i="34996"/>
  <c r="T18" i="34996"/>
  <c r="F18" i="34996"/>
  <c r="R17" i="34996"/>
  <c r="D17" i="34996"/>
  <c r="P16" i="34996"/>
  <c r="AB15" i="34996"/>
  <c r="N15" i="34996"/>
  <c r="Z14" i="34996"/>
  <c r="L14" i="34996"/>
  <c r="X13" i="34996"/>
  <c r="J13" i="34996"/>
  <c r="V12" i="34996"/>
  <c r="H12" i="34996"/>
  <c r="T11" i="34996"/>
  <c r="F11" i="34996"/>
  <c r="R10" i="34996"/>
  <c r="D10" i="34996"/>
  <c r="U54" i="34996"/>
  <c r="G54" i="34996"/>
  <c r="S53" i="34996"/>
  <c r="E53" i="34996"/>
  <c r="Q52" i="34996"/>
  <c r="C52" i="34996"/>
  <c r="O51" i="34996"/>
  <c r="AA50" i="34996"/>
  <c r="M50" i="34996"/>
  <c r="Y49" i="34996"/>
  <c r="K49" i="34996"/>
  <c r="W48" i="34996"/>
  <c r="I48" i="34996"/>
  <c r="U47" i="34996"/>
  <c r="G47" i="34996"/>
  <c r="S46" i="34996"/>
  <c r="E46" i="34996"/>
  <c r="Q45" i="34996"/>
  <c r="C45" i="34996"/>
  <c r="O44" i="34996"/>
  <c r="AA43" i="34996"/>
  <c r="M43" i="34996"/>
  <c r="Y42" i="34996"/>
  <c r="K42" i="34996"/>
  <c r="W41" i="34996"/>
  <c r="I41" i="34996"/>
  <c r="U40" i="34996"/>
  <c r="G40" i="34996"/>
  <c r="S39" i="34996"/>
  <c r="E39" i="34996"/>
  <c r="Q38" i="34996"/>
  <c r="C38" i="34996"/>
  <c r="O37" i="34996"/>
  <c r="AA36" i="34996"/>
  <c r="M36" i="34996"/>
  <c r="Y35" i="34996"/>
  <c r="K35" i="34996"/>
  <c r="W34" i="34996"/>
  <c r="I34" i="34996"/>
  <c r="U33" i="34996"/>
  <c r="G33" i="34996"/>
  <c r="S32" i="34996"/>
  <c r="E32" i="34996"/>
  <c r="Q31" i="34996"/>
  <c r="C31" i="34996"/>
  <c r="O30" i="34996"/>
  <c r="AA29" i="34996"/>
  <c r="M29" i="34996"/>
  <c r="Y28" i="34996"/>
  <c r="K28" i="34996"/>
  <c r="W27" i="34996"/>
  <c r="I27" i="34996"/>
  <c r="U26" i="34996"/>
  <c r="G26" i="34996"/>
  <c r="S25" i="34996"/>
  <c r="E25" i="34996"/>
  <c r="Q24" i="34996"/>
  <c r="C24" i="34996"/>
  <c r="O23" i="34996"/>
  <c r="AA22" i="34996"/>
  <c r="M22" i="34996"/>
  <c r="Y21" i="34996"/>
  <c r="K21" i="34996"/>
  <c r="W20" i="34996"/>
  <c r="I20" i="34996"/>
  <c r="U19" i="34996"/>
  <c r="G19" i="34996"/>
  <c r="S18" i="34996"/>
  <c r="E18" i="34996"/>
  <c r="Q17" i="34996"/>
  <c r="C17" i="34996"/>
  <c r="O16" i="34996"/>
  <c r="AA15" i="34996"/>
  <c r="M15" i="34996"/>
  <c r="Y14" i="34996"/>
  <c r="K14" i="34996"/>
  <c r="W13" i="34996"/>
  <c r="I13" i="34996"/>
  <c r="U12" i="34996"/>
  <c r="G12" i="34996"/>
  <c r="S11" i="34996"/>
  <c r="E11" i="34996"/>
  <c r="Q10" i="34996"/>
  <c r="C96" i="35035"/>
  <c r="D42" i="35035" l="1"/>
  <c r="D43" i="35035" s="1"/>
  <c r="D44" i="35035" s="1"/>
  <c r="D45" i="35035" s="1"/>
  <c r="D46" i="35035" s="1"/>
  <c r="D47" i="35035" s="1"/>
  <c r="D48" i="35035" s="1"/>
  <c r="D49" i="35035" s="1"/>
  <c r="D50" i="35035" s="1"/>
  <c r="D51" i="35035" s="1"/>
  <c r="D52" i="35035" s="1"/>
  <c r="D53" i="35035" s="1"/>
  <c r="D54" i="35035" s="1"/>
  <c r="D55" i="35035" s="1"/>
  <c r="D56" i="35035" s="1"/>
  <c r="D57" i="35035" s="1"/>
  <c r="D58" i="35035" s="1"/>
  <c r="D59" i="35035" s="1"/>
  <c r="D60" i="35035" s="1"/>
  <c r="D61" i="35035" s="1"/>
  <c r="D62" i="35035" s="1"/>
  <c r="D63" i="35035" s="1"/>
  <c r="D64" i="35035" s="1"/>
  <c r="D65" i="35035" s="1"/>
  <c r="D66" i="35035" s="1"/>
  <c r="D67" i="35035" s="1"/>
  <c r="D68" i="35035" s="1"/>
  <c r="D69" i="35035" s="1"/>
  <c r="D70" i="35035" s="1"/>
  <c r="D71" i="35035" s="1"/>
  <c r="D72" i="35035" s="1"/>
  <c r="D73" i="35035" s="1"/>
  <c r="D74" i="35035" s="1"/>
  <c r="D75" i="35035" s="1"/>
  <c r="D76" i="35035" s="1"/>
  <c r="D77" i="35035" s="1"/>
  <c r="D78" i="35035" s="1"/>
  <c r="D79" i="35035" s="1"/>
  <c r="D80" i="35035" s="1"/>
  <c r="D81" i="35035" s="1"/>
  <c r="D82" i="35035" s="1"/>
  <c r="D83" i="35035" s="1"/>
  <c r="D84" i="35035" s="1"/>
  <c r="C42" i="35035"/>
  <c r="C43" i="35035" s="1"/>
  <c r="C44" i="35035" s="1"/>
  <c r="C45" i="35035" s="1"/>
  <c r="C46" i="35035" s="1"/>
  <c r="C47" i="35035" s="1"/>
  <c r="C48" i="35035" s="1"/>
  <c r="C49" i="35035" s="1"/>
  <c r="C50" i="35035" s="1"/>
  <c r="C51" i="35035" s="1"/>
  <c r="C52" i="35035" s="1"/>
  <c r="C53" i="35035" s="1"/>
  <c r="C54" i="35035" s="1"/>
  <c r="C55" i="35035" s="1"/>
  <c r="C56" i="35035" s="1"/>
  <c r="C57" i="35035" s="1"/>
  <c r="C58" i="35035" s="1"/>
  <c r="C59" i="35035" s="1"/>
  <c r="C60" i="35035" s="1"/>
  <c r="C61" i="35035" s="1"/>
  <c r="C62" i="35035" s="1"/>
  <c r="C63" i="35035" s="1"/>
  <c r="C64" i="35035" s="1"/>
  <c r="C65" i="35035" s="1"/>
  <c r="C66" i="35035" s="1"/>
  <c r="C67" i="35035" s="1"/>
  <c r="C68" i="35035" s="1"/>
  <c r="C69" i="35035" s="1"/>
  <c r="C70" i="35035" s="1"/>
  <c r="C71" i="35035" s="1"/>
  <c r="C72" i="35035" s="1"/>
  <c r="C73" i="35035" s="1"/>
  <c r="C74" i="35035" s="1"/>
  <c r="C75" i="35035" s="1"/>
  <c r="C76" i="35035" s="1"/>
  <c r="C77" i="35035" s="1"/>
  <c r="C78" i="35035" s="1"/>
  <c r="C79" i="35035" s="1"/>
  <c r="C80" i="35035" s="1"/>
  <c r="C81" i="35035" s="1"/>
  <c r="C82" i="35035" s="1"/>
  <c r="C83" i="35035" s="1"/>
  <c r="C84" i="35035" s="1"/>
  <c r="F42" i="34977"/>
  <c r="F43" i="34977" s="1"/>
  <c r="F44" i="34977" s="1"/>
  <c r="F45" i="34977" s="1"/>
  <c r="F46" i="34977" s="1"/>
  <c r="F47" i="34977" s="1"/>
  <c r="F48" i="34977" s="1"/>
  <c r="F49" i="34977" s="1"/>
  <c r="F50" i="34977" s="1"/>
  <c r="F51" i="34977" s="1"/>
  <c r="F52" i="34977" s="1"/>
  <c r="F53" i="34977" s="1"/>
  <c r="F54" i="34977" s="1"/>
  <c r="F55" i="34977" s="1"/>
  <c r="F56" i="34977" s="1"/>
  <c r="F57" i="34977" s="1"/>
  <c r="F58" i="34977" s="1"/>
  <c r="F59" i="34977" s="1"/>
  <c r="F60" i="34977" s="1"/>
  <c r="F61" i="34977" s="1"/>
  <c r="F62" i="34977" s="1"/>
  <c r="F63" i="34977" s="1"/>
  <c r="F64" i="34977" s="1"/>
  <c r="F65" i="34977" s="1"/>
  <c r="F66" i="34977" s="1"/>
  <c r="F67" i="34977" s="1"/>
  <c r="F68" i="34977" s="1"/>
  <c r="F69" i="34977" s="1"/>
  <c r="F70" i="34977" s="1"/>
  <c r="F71" i="34977" s="1"/>
  <c r="F72" i="34977" s="1"/>
  <c r="F73" i="34977" s="1"/>
  <c r="F74" i="34977" s="1"/>
  <c r="F75" i="34977" s="1"/>
  <c r="F76" i="34977" s="1"/>
  <c r="F77" i="34977" s="1"/>
  <c r="F78" i="34977" s="1"/>
  <c r="F79" i="34977" s="1"/>
  <c r="F80" i="34977" s="1"/>
  <c r="F81" i="34977" s="1"/>
  <c r="F82" i="34977" s="1"/>
  <c r="F83" i="34977" s="1"/>
  <c r="F84" i="34977" s="1"/>
  <c r="E42" i="34977"/>
  <c r="E43" i="34977" s="1"/>
  <c r="E44" i="34977" s="1"/>
  <c r="E45" i="34977" s="1"/>
  <c r="E46" i="34977" s="1"/>
  <c r="E47" i="34977" s="1"/>
  <c r="E48" i="34977" s="1"/>
  <c r="E49" i="34977" s="1"/>
  <c r="E50" i="34977" s="1"/>
  <c r="E51" i="34977" s="1"/>
  <c r="E52" i="34977" s="1"/>
  <c r="E53" i="34977" s="1"/>
  <c r="E54" i="34977" s="1"/>
  <c r="E55" i="34977" s="1"/>
  <c r="E56" i="34977" s="1"/>
  <c r="E57" i="34977" s="1"/>
  <c r="E58" i="34977" s="1"/>
  <c r="E59" i="34977" s="1"/>
  <c r="E60" i="34977" s="1"/>
  <c r="E61" i="34977" s="1"/>
  <c r="E62" i="34977" s="1"/>
  <c r="E63" i="34977" s="1"/>
  <c r="E64" i="34977" s="1"/>
  <c r="E65" i="34977" s="1"/>
  <c r="E66" i="34977" s="1"/>
  <c r="E67" i="34977" s="1"/>
  <c r="E68" i="34977" s="1"/>
  <c r="E69" i="34977" s="1"/>
  <c r="E70" i="34977" s="1"/>
  <c r="E71" i="34977" s="1"/>
  <c r="E72" i="34977" s="1"/>
  <c r="E73" i="34977" s="1"/>
  <c r="E74" i="34977" s="1"/>
  <c r="E75" i="34977" s="1"/>
  <c r="E76" i="34977" s="1"/>
  <c r="E77" i="34977" s="1"/>
  <c r="E78" i="34977" s="1"/>
  <c r="E79" i="34977" s="1"/>
  <c r="E80" i="34977" s="1"/>
  <c r="E81" i="34977" s="1"/>
  <c r="E82" i="34977" s="1"/>
  <c r="E83" i="34977" s="1"/>
  <c r="E84" i="34977" s="1"/>
  <c r="D42" i="34977"/>
  <c r="D43" i="34977" s="1"/>
  <c r="D44" i="34977" s="1"/>
  <c r="D45" i="34977" s="1"/>
  <c r="D46" i="34977" s="1"/>
  <c r="D47" i="34977" s="1"/>
  <c r="D48" i="34977" s="1"/>
  <c r="D49" i="34977" s="1"/>
  <c r="D50" i="34977" s="1"/>
  <c r="D51" i="34977" s="1"/>
  <c r="D52" i="34977" s="1"/>
  <c r="D53" i="34977" s="1"/>
  <c r="D54" i="34977" s="1"/>
  <c r="D55" i="34977" s="1"/>
  <c r="D56" i="34977" s="1"/>
  <c r="D57" i="34977" s="1"/>
  <c r="D58" i="34977" s="1"/>
  <c r="D59" i="34977" s="1"/>
  <c r="D60" i="34977" s="1"/>
  <c r="D61" i="34977" s="1"/>
  <c r="D62" i="34977" s="1"/>
  <c r="D63" i="34977" s="1"/>
  <c r="D64" i="34977" s="1"/>
  <c r="D65" i="34977" s="1"/>
  <c r="D66" i="34977" s="1"/>
  <c r="D67" i="34977" s="1"/>
  <c r="D68" i="34977" s="1"/>
  <c r="D69" i="34977" s="1"/>
  <c r="D70" i="34977" s="1"/>
  <c r="D71" i="34977" s="1"/>
  <c r="D72" i="34977" s="1"/>
  <c r="D73" i="34977" s="1"/>
  <c r="D74" i="34977" s="1"/>
  <c r="D75" i="34977" s="1"/>
  <c r="D76" i="34977" s="1"/>
  <c r="D77" i="34977" s="1"/>
  <c r="D78" i="34977" s="1"/>
  <c r="D79" i="34977" s="1"/>
  <c r="D80" i="34977" s="1"/>
  <c r="D81" i="34977" s="1"/>
  <c r="D82" i="34977" s="1"/>
  <c r="D83" i="34977" s="1"/>
  <c r="D84" i="34977" s="1"/>
  <c r="C42" i="34977"/>
  <c r="C43" i="34977" s="1"/>
  <c r="C44" i="34977" s="1"/>
  <c r="C45" i="34977" s="1"/>
  <c r="C46" i="34977" s="1"/>
  <c r="C47" i="34977" s="1"/>
  <c r="C48" i="34977" s="1"/>
  <c r="C49" i="34977" s="1"/>
  <c r="C50" i="34977" s="1"/>
  <c r="C51" i="34977" s="1"/>
  <c r="C52" i="34977" s="1"/>
  <c r="C53" i="34977" s="1"/>
  <c r="C54" i="34977" s="1"/>
  <c r="C55" i="34977" s="1"/>
  <c r="C56" i="34977" s="1"/>
  <c r="C57" i="34977" s="1"/>
  <c r="C58" i="34977" s="1"/>
  <c r="C59" i="34977" s="1"/>
  <c r="C60" i="34977" s="1"/>
  <c r="C61" i="34977" s="1"/>
  <c r="C62" i="34977" s="1"/>
  <c r="C63" i="34977" s="1"/>
  <c r="C64" i="34977" s="1"/>
  <c r="C65" i="34977" s="1"/>
  <c r="C66" i="34977" s="1"/>
  <c r="C67" i="34977" s="1"/>
  <c r="C68" i="34977" s="1"/>
  <c r="C69" i="34977" s="1"/>
  <c r="C70" i="34977" s="1"/>
  <c r="C71" i="34977" s="1"/>
  <c r="C72" i="34977" s="1"/>
  <c r="C73" i="34977" s="1"/>
  <c r="C74" i="34977" s="1"/>
  <c r="C75" i="34977" s="1"/>
  <c r="C76" i="34977" s="1"/>
  <c r="C77" i="34977" s="1"/>
  <c r="C78" i="34977" s="1"/>
  <c r="C79" i="34977" s="1"/>
  <c r="C80" i="34977" s="1"/>
  <c r="C81" i="34977" s="1"/>
  <c r="C82" i="34977" s="1"/>
  <c r="C83" i="34977" s="1"/>
  <c r="C84" i="34977" s="1"/>
  <c r="O42" i="34968"/>
  <c r="O43" i="34968" s="1"/>
  <c r="O44" i="34968" s="1"/>
  <c r="O45" i="34968" s="1"/>
  <c r="O46" i="34968" s="1"/>
  <c r="O47" i="34968" s="1"/>
  <c r="O48" i="34968" s="1"/>
  <c r="O49" i="34968" s="1"/>
  <c r="O50" i="34968" s="1"/>
  <c r="O51" i="34968" s="1"/>
  <c r="O52" i="34968" s="1"/>
  <c r="O53" i="34968" s="1"/>
  <c r="O54" i="34968" s="1"/>
  <c r="O55" i="34968" s="1"/>
  <c r="O56" i="34968" s="1"/>
  <c r="O57" i="34968" s="1"/>
  <c r="O58" i="34968" s="1"/>
  <c r="O59" i="34968" s="1"/>
  <c r="O60" i="34968" s="1"/>
  <c r="O61" i="34968" s="1"/>
  <c r="O62" i="34968" s="1"/>
  <c r="O63" i="34968" s="1"/>
  <c r="O64" i="34968" s="1"/>
  <c r="O65" i="34968" s="1"/>
  <c r="O66" i="34968" s="1"/>
  <c r="O67" i="34968" s="1"/>
  <c r="O68" i="34968" s="1"/>
  <c r="O69" i="34968" s="1"/>
  <c r="O70" i="34968" s="1"/>
  <c r="O71" i="34968" s="1"/>
  <c r="O72" i="34968" s="1"/>
  <c r="O73" i="34968" s="1"/>
  <c r="O74" i="34968" s="1"/>
  <c r="O75" i="34968" s="1"/>
  <c r="O76" i="34968" s="1"/>
  <c r="O77" i="34968" s="1"/>
  <c r="O78" i="34968" s="1"/>
  <c r="O79" i="34968" s="1"/>
  <c r="O80" i="34968" s="1"/>
  <c r="O81" i="34968" s="1"/>
  <c r="O82" i="34968" s="1"/>
  <c r="O83" i="34968" s="1"/>
  <c r="O84" i="34968" s="1"/>
  <c r="N42" i="34968"/>
  <c r="N43" i="34968" s="1"/>
  <c r="N44" i="34968" s="1"/>
  <c r="N45" i="34968" s="1"/>
  <c r="N46" i="34968" s="1"/>
  <c r="N47" i="34968" s="1"/>
  <c r="N48" i="34968" s="1"/>
  <c r="N49" i="34968" s="1"/>
  <c r="N50" i="34968" s="1"/>
  <c r="N51" i="34968" s="1"/>
  <c r="N52" i="34968" s="1"/>
  <c r="N53" i="34968" s="1"/>
  <c r="N54" i="34968" s="1"/>
  <c r="N55" i="34968" s="1"/>
  <c r="N56" i="34968" s="1"/>
  <c r="N57" i="34968" s="1"/>
  <c r="N58" i="34968" s="1"/>
  <c r="N59" i="34968" s="1"/>
  <c r="N60" i="34968" s="1"/>
  <c r="N61" i="34968" s="1"/>
  <c r="N62" i="34968" s="1"/>
  <c r="N63" i="34968" s="1"/>
  <c r="N64" i="34968" s="1"/>
  <c r="N65" i="34968" s="1"/>
  <c r="N66" i="34968" s="1"/>
  <c r="N67" i="34968" s="1"/>
  <c r="N68" i="34968" s="1"/>
  <c r="N69" i="34968" s="1"/>
  <c r="N70" i="34968" s="1"/>
  <c r="N71" i="34968" s="1"/>
  <c r="N72" i="34968" s="1"/>
  <c r="N73" i="34968" s="1"/>
  <c r="N74" i="34968" s="1"/>
  <c r="N75" i="34968" s="1"/>
  <c r="N76" i="34968" s="1"/>
  <c r="N77" i="34968" s="1"/>
  <c r="N78" i="34968" s="1"/>
  <c r="N79" i="34968" s="1"/>
  <c r="N80" i="34968" s="1"/>
  <c r="N81" i="34968" s="1"/>
  <c r="N82" i="34968" s="1"/>
  <c r="N83" i="34968" s="1"/>
  <c r="N84" i="34968" s="1"/>
  <c r="M42" i="34968"/>
  <c r="M43" i="34968"/>
  <c r="M44" i="34968" s="1"/>
  <c r="M45" i="34968" s="1"/>
  <c r="M46" i="34968" s="1"/>
  <c r="M47" i="34968" s="1"/>
  <c r="M48" i="34968" s="1"/>
  <c r="M49" i="34968" s="1"/>
  <c r="M50" i="34968" s="1"/>
  <c r="M51" i="34968" s="1"/>
  <c r="M52" i="34968" s="1"/>
  <c r="M53" i="34968" s="1"/>
  <c r="M54" i="34968" s="1"/>
  <c r="M55" i="34968" s="1"/>
  <c r="M56" i="34968" s="1"/>
  <c r="M57" i="34968" s="1"/>
  <c r="M58" i="34968" s="1"/>
  <c r="M59" i="34968" s="1"/>
  <c r="M60" i="34968" s="1"/>
  <c r="M61" i="34968" s="1"/>
  <c r="M62" i="34968" s="1"/>
  <c r="M63" i="34968" s="1"/>
  <c r="M64" i="34968" s="1"/>
  <c r="M65" i="34968" s="1"/>
  <c r="M66" i="34968" s="1"/>
  <c r="M67" i="34968" s="1"/>
  <c r="M68" i="34968" s="1"/>
  <c r="M69" i="34968" s="1"/>
  <c r="M70" i="34968" s="1"/>
  <c r="M71" i="34968" s="1"/>
  <c r="M72" i="34968" s="1"/>
  <c r="M73" i="34968" s="1"/>
  <c r="M74" i="34968" s="1"/>
  <c r="M75" i="34968" s="1"/>
  <c r="M76" i="34968" s="1"/>
  <c r="M77" i="34968" s="1"/>
  <c r="M78" i="34968" s="1"/>
  <c r="M79" i="34968" s="1"/>
  <c r="M80" i="34968" s="1"/>
  <c r="M81" i="34968" s="1"/>
  <c r="M82" i="34968" s="1"/>
  <c r="M83" i="34968" s="1"/>
  <c r="M84" i="34968" s="1"/>
  <c r="L42" i="34968"/>
  <c r="L43" i="34968" s="1"/>
  <c r="L44" i="34968" s="1"/>
  <c r="L45" i="34968" s="1"/>
  <c r="L46" i="34968" s="1"/>
  <c r="L47" i="34968" s="1"/>
  <c r="L48" i="34968" s="1"/>
  <c r="L49" i="34968" s="1"/>
  <c r="L50" i="34968" s="1"/>
  <c r="L51" i="34968" s="1"/>
  <c r="L52" i="34968" s="1"/>
  <c r="L53" i="34968" s="1"/>
  <c r="L54" i="34968" s="1"/>
  <c r="L55" i="34968" s="1"/>
  <c r="L56" i="34968" s="1"/>
  <c r="L57" i="34968" s="1"/>
  <c r="L58" i="34968" s="1"/>
  <c r="L59" i="34968" s="1"/>
  <c r="L60" i="34968" s="1"/>
  <c r="L61" i="34968" s="1"/>
  <c r="L62" i="34968" s="1"/>
  <c r="L63" i="34968" s="1"/>
  <c r="L64" i="34968" s="1"/>
  <c r="L65" i="34968" s="1"/>
  <c r="L66" i="34968" s="1"/>
  <c r="L67" i="34968" s="1"/>
  <c r="L68" i="34968" s="1"/>
  <c r="L69" i="34968" s="1"/>
  <c r="L70" i="34968" s="1"/>
  <c r="L71" i="34968" s="1"/>
  <c r="L72" i="34968" s="1"/>
  <c r="L73" i="34968" s="1"/>
  <c r="L74" i="34968" s="1"/>
  <c r="L75" i="34968" s="1"/>
  <c r="L76" i="34968" s="1"/>
  <c r="L77" i="34968" s="1"/>
  <c r="L78" i="34968" s="1"/>
  <c r="L79" i="34968" s="1"/>
  <c r="L80" i="34968" s="1"/>
  <c r="L81" i="34968" s="1"/>
  <c r="L82" i="34968" s="1"/>
  <c r="L83" i="34968" s="1"/>
  <c r="L84" i="34968" s="1"/>
  <c r="K42" i="34968"/>
  <c r="K43" i="34968" s="1"/>
  <c r="K44" i="34968" s="1"/>
  <c r="K45" i="34968" s="1"/>
  <c r="K46" i="34968" s="1"/>
  <c r="K47" i="34968" s="1"/>
  <c r="K48" i="34968" s="1"/>
  <c r="K49" i="34968" s="1"/>
  <c r="K50" i="34968" s="1"/>
  <c r="K51" i="34968" s="1"/>
  <c r="K52" i="34968" s="1"/>
  <c r="K53" i="34968" s="1"/>
  <c r="K54" i="34968" s="1"/>
  <c r="K55" i="34968" s="1"/>
  <c r="K56" i="34968" s="1"/>
  <c r="K57" i="34968" s="1"/>
  <c r="K58" i="34968" s="1"/>
  <c r="K59" i="34968" s="1"/>
  <c r="K60" i="34968" s="1"/>
  <c r="K61" i="34968" s="1"/>
  <c r="K62" i="34968" s="1"/>
  <c r="K63" i="34968" s="1"/>
  <c r="K64" i="34968" s="1"/>
  <c r="K65" i="34968" s="1"/>
  <c r="K66" i="34968" s="1"/>
  <c r="K67" i="34968" s="1"/>
  <c r="K68" i="34968" s="1"/>
  <c r="K69" i="34968" s="1"/>
  <c r="K70" i="34968" s="1"/>
  <c r="K71" i="34968" s="1"/>
  <c r="K72" i="34968" s="1"/>
  <c r="K73" i="34968" s="1"/>
  <c r="K74" i="34968" s="1"/>
  <c r="K75" i="34968" s="1"/>
  <c r="K76" i="34968" s="1"/>
  <c r="K77" i="34968" s="1"/>
  <c r="K78" i="34968" s="1"/>
  <c r="K79" i="34968" s="1"/>
  <c r="K80" i="34968" s="1"/>
  <c r="K81" i="34968" s="1"/>
  <c r="K82" i="34968" s="1"/>
  <c r="K83" i="34968" s="1"/>
  <c r="K84" i="34968" s="1"/>
  <c r="J42" i="34968"/>
  <c r="J43" i="34968" s="1"/>
  <c r="J44" i="34968" s="1"/>
  <c r="J45" i="34968" s="1"/>
  <c r="J46" i="34968" s="1"/>
  <c r="J47" i="34968" s="1"/>
  <c r="J48" i="34968" s="1"/>
  <c r="J49" i="34968" s="1"/>
  <c r="J50" i="34968" s="1"/>
  <c r="J51" i="34968" s="1"/>
  <c r="J52" i="34968" s="1"/>
  <c r="J53" i="34968" s="1"/>
  <c r="J54" i="34968" s="1"/>
  <c r="J55" i="34968" s="1"/>
  <c r="J56" i="34968" s="1"/>
  <c r="J57" i="34968" s="1"/>
  <c r="J58" i="34968" s="1"/>
  <c r="J59" i="34968" s="1"/>
  <c r="J60" i="34968" s="1"/>
  <c r="J61" i="34968" s="1"/>
  <c r="J62" i="34968" s="1"/>
  <c r="J63" i="34968" s="1"/>
  <c r="J64" i="34968" s="1"/>
  <c r="J65" i="34968" s="1"/>
  <c r="J66" i="34968" s="1"/>
  <c r="J67" i="34968" s="1"/>
  <c r="J68" i="34968" s="1"/>
  <c r="J69" i="34968" s="1"/>
  <c r="J70" i="34968" s="1"/>
  <c r="J71" i="34968" s="1"/>
  <c r="J72" i="34968" s="1"/>
  <c r="J73" i="34968" s="1"/>
  <c r="J74" i="34968" s="1"/>
  <c r="J75" i="34968" s="1"/>
  <c r="J76" i="34968" s="1"/>
  <c r="J77" i="34968" s="1"/>
  <c r="J78" i="34968" s="1"/>
  <c r="J79" i="34968" s="1"/>
  <c r="J80" i="34968" s="1"/>
  <c r="J81" i="34968" s="1"/>
  <c r="J82" i="34968" s="1"/>
  <c r="J83" i="34968" s="1"/>
  <c r="J84" i="34968" s="1"/>
  <c r="H42" i="34958"/>
  <c r="H43" i="34958" s="1"/>
  <c r="H44" i="34958" s="1"/>
  <c r="H45" i="34958" s="1"/>
  <c r="H46" i="34958" s="1"/>
  <c r="H47" i="34958" s="1"/>
  <c r="H48" i="34958" s="1"/>
  <c r="H49" i="34958" s="1"/>
  <c r="H50" i="34958" s="1"/>
  <c r="H51" i="34958" s="1"/>
  <c r="H52" i="34958" s="1"/>
  <c r="H53" i="34958" s="1"/>
  <c r="H54" i="34958" s="1"/>
  <c r="H55" i="34958" s="1"/>
  <c r="H56" i="34958" s="1"/>
  <c r="H57" i="34958" s="1"/>
  <c r="H58" i="34958" s="1"/>
  <c r="H59" i="34958" s="1"/>
  <c r="H60" i="34958" s="1"/>
  <c r="H61" i="34958" s="1"/>
  <c r="H62" i="34958" s="1"/>
  <c r="H63" i="34958" s="1"/>
  <c r="H64" i="34958" s="1"/>
  <c r="H65" i="34958" s="1"/>
  <c r="H66" i="34958" s="1"/>
  <c r="H67" i="34958" s="1"/>
  <c r="H68" i="34958" s="1"/>
  <c r="H69" i="34958" s="1"/>
  <c r="H70" i="34958" s="1"/>
  <c r="H71" i="34958" s="1"/>
  <c r="H72" i="34958" s="1"/>
  <c r="H73" i="34958" s="1"/>
  <c r="H74" i="34958" s="1"/>
  <c r="H75" i="34958" s="1"/>
  <c r="H76" i="34958" s="1"/>
  <c r="H77" i="34958" s="1"/>
  <c r="H78" i="34958" s="1"/>
  <c r="H79" i="34958" s="1"/>
  <c r="H80" i="34958" s="1"/>
  <c r="H81" i="34958" s="1"/>
  <c r="H82" i="34958" s="1"/>
  <c r="H83" i="34958" s="1"/>
  <c r="H84" i="34958" s="1"/>
  <c r="G42" i="34958"/>
  <c r="G43" i="34958"/>
  <c r="G44" i="34958" s="1"/>
  <c r="G45" i="34958" s="1"/>
  <c r="G46" i="34958" s="1"/>
  <c r="G47" i="34958" s="1"/>
  <c r="G48" i="34958" s="1"/>
  <c r="G49" i="34958" s="1"/>
  <c r="G50" i="34958" s="1"/>
  <c r="G51" i="34958" s="1"/>
  <c r="G52" i="34958" s="1"/>
  <c r="G53" i="34958" s="1"/>
  <c r="G54" i="34958" s="1"/>
  <c r="G55" i="34958" s="1"/>
  <c r="G56" i="34958" s="1"/>
  <c r="G57" i="34958" s="1"/>
  <c r="G58" i="34958" s="1"/>
  <c r="G59" i="34958" s="1"/>
  <c r="G60" i="34958" s="1"/>
  <c r="G61" i="34958" s="1"/>
  <c r="G62" i="34958" s="1"/>
  <c r="G63" i="34958" s="1"/>
  <c r="G64" i="34958" s="1"/>
  <c r="G65" i="34958" s="1"/>
  <c r="G66" i="34958" s="1"/>
  <c r="G67" i="34958" s="1"/>
  <c r="G68" i="34958" s="1"/>
  <c r="G69" i="34958" s="1"/>
  <c r="G70" i="34958" s="1"/>
  <c r="G71" i="34958" s="1"/>
  <c r="G72" i="34958" s="1"/>
  <c r="G73" i="34958" s="1"/>
  <c r="G74" i="34958" s="1"/>
  <c r="G75" i="34958" s="1"/>
  <c r="G76" i="34958" s="1"/>
  <c r="G77" i="34958" s="1"/>
  <c r="G78" i="34958" s="1"/>
  <c r="G79" i="34958" s="1"/>
  <c r="G80" i="34958" s="1"/>
  <c r="G81" i="34958" s="1"/>
  <c r="G82" i="34958" s="1"/>
  <c r="G83" i="34958" s="1"/>
  <c r="G84" i="34958" s="1"/>
  <c r="F42" i="34958"/>
  <c r="F43" i="34958" s="1"/>
  <c r="F44" i="34958" s="1"/>
  <c r="F45" i="34958" s="1"/>
  <c r="F46" i="34958" s="1"/>
  <c r="F47" i="34958" s="1"/>
  <c r="F48" i="34958" s="1"/>
  <c r="F49" i="34958" s="1"/>
  <c r="F50" i="34958" s="1"/>
  <c r="F51" i="34958" s="1"/>
  <c r="F52" i="34958" s="1"/>
  <c r="F53" i="34958" s="1"/>
  <c r="F54" i="34958" s="1"/>
  <c r="F55" i="34958" s="1"/>
  <c r="F56" i="34958" s="1"/>
  <c r="F57" i="34958" s="1"/>
  <c r="F58" i="34958" s="1"/>
  <c r="F59" i="34958" s="1"/>
  <c r="F60" i="34958" s="1"/>
  <c r="F61" i="34958" s="1"/>
  <c r="F62" i="34958" s="1"/>
  <c r="F63" i="34958" s="1"/>
  <c r="F64" i="34958" s="1"/>
  <c r="F65" i="34958" s="1"/>
  <c r="F66" i="34958" s="1"/>
  <c r="F67" i="34958" s="1"/>
  <c r="F68" i="34958" s="1"/>
  <c r="F69" i="34958" s="1"/>
  <c r="F70" i="34958" s="1"/>
  <c r="F71" i="34958" s="1"/>
  <c r="F72" i="34958" s="1"/>
  <c r="F73" i="34958" s="1"/>
  <c r="F74" i="34958" s="1"/>
  <c r="F75" i="34958" s="1"/>
  <c r="F76" i="34958" s="1"/>
  <c r="F77" i="34958" s="1"/>
  <c r="F78" i="34958" s="1"/>
  <c r="F79" i="34958" s="1"/>
  <c r="F80" i="34958" s="1"/>
  <c r="F81" i="34958" s="1"/>
  <c r="F82" i="34958" s="1"/>
  <c r="F83" i="34958" s="1"/>
  <c r="F84" i="34958" s="1"/>
  <c r="E42" i="34958"/>
  <c r="E43" i="34958"/>
  <c r="E44" i="34958" s="1"/>
  <c r="E45" i="34958" s="1"/>
  <c r="E46" i="34958" s="1"/>
  <c r="E47" i="34958" s="1"/>
  <c r="E48" i="34958" s="1"/>
  <c r="E49" i="34958" s="1"/>
  <c r="E50" i="34958" s="1"/>
  <c r="E51" i="34958" s="1"/>
  <c r="E52" i="34958" s="1"/>
  <c r="E53" i="34958" s="1"/>
  <c r="E54" i="34958" s="1"/>
  <c r="E55" i="34958" s="1"/>
  <c r="E56" i="34958" s="1"/>
  <c r="E57" i="34958" s="1"/>
  <c r="E58" i="34958" s="1"/>
  <c r="E59" i="34958" s="1"/>
  <c r="E60" i="34958" s="1"/>
  <c r="E61" i="34958" s="1"/>
  <c r="E62" i="34958" s="1"/>
  <c r="E63" i="34958" s="1"/>
  <c r="E64" i="34958" s="1"/>
  <c r="E65" i="34958" s="1"/>
  <c r="E66" i="34958" s="1"/>
  <c r="E67" i="34958" s="1"/>
  <c r="E68" i="34958" s="1"/>
  <c r="E69" i="34958" s="1"/>
  <c r="E70" i="34958" s="1"/>
  <c r="E71" i="34958" s="1"/>
  <c r="E72" i="34958" s="1"/>
  <c r="E73" i="34958" s="1"/>
  <c r="E74" i="34958" s="1"/>
  <c r="E75" i="34958" s="1"/>
  <c r="E76" i="34958" s="1"/>
  <c r="E77" i="34958" s="1"/>
  <c r="E78" i="34958" s="1"/>
  <c r="E79" i="34958" s="1"/>
  <c r="E80" i="34958" s="1"/>
  <c r="E81" i="34958" s="1"/>
  <c r="E82" i="34958" s="1"/>
  <c r="E83" i="34958" s="1"/>
  <c r="E84" i="34958" s="1"/>
  <c r="D42" i="34958"/>
  <c r="D43" i="34958" s="1"/>
  <c r="D44" i="34958" s="1"/>
  <c r="D45" i="34958" s="1"/>
  <c r="D46" i="34958" s="1"/>
  <c r="D47" i="34958" s="1"/>
  <c r="D48" i="34958" s="1"/>
  <c r="D49" i="34958" s="1"/>
  <c r="D50" i="34958" s="1"/>
  <c r="D51" i="34958" s="1"/>
  <c r="D52" i="34958" s="1"/>
  <c r="D53" i="34958" s="1"/>
  <c r="D54" i="34958" s="1"/>
  <c r="D55" i="34958" s="1"/>
  <c r="D56" i="34958" s="1"/>
  <c r="D57" i="34958" s="1"/>
  <c r="D58" i="34958" s="1"/>
  <c r="D59" i="34958" s="1"/>
  <c r="D60" i="34958" s="1"/>
  <c r="D61" i="34958" s="1"/>
  <c r="D62" i="34958" s="1"/>
  <c r="D63" i="34958" s="1"/>
  <c r="D64" i="34958" s="1"/>
  <c r="D65" i="34958" s="1"/>
  <c r="D66" i="34958" s="1"/>
  <c r="D67" i="34958" s="1"/>
  <c r="D68" i="34958" s="1"/>
  <c r="D69" i="34958" s="1"/>
  <c r="D70" i="34958" s="1"/>
  <c r="D71" i="34958" s="1"/>
  <c r="D72" i="34958" s="1"/>
  <c r="D73" i="34958" s="1"/>
  <c r="D74" i="34958" s="1"/>
  <c r="D75" i="34958" s="1"/>
  <c r="D76" i="34958" s="1"/>
  <c r="D77" i="34958" s="1"/>
  <c r="D78" i="34958" s="1"/>
  <c r="D79" i="34958" s="1"/>
  <c r="D80" i="34958" s="1"/>
  <c r="D81" i="34958" s="1"/>
  <c r="D82" i="34958" s="1"/>
  <c r="D83" i="34958" s="1"/>
  <c r="D84" i="34958" s="1"/>
  <c r="C42" i="34958"/>
  <c r="C43" i="34958"/>
  <c r="C44" i="34958" s="1"/>
  <c r="C45" i="34958" s="1"/>
  <c r="C46" i="34958" s="1"/>
  <c r="C47" i="34958" s="1"/>
  <c r="C48" i="34958" s="1"/>
  <c r="C49" i="34958" s="1"/>
  <c r="C50" i="34958" s="1"/>
  <c r="C51" i="34958" s="1"/>
  <c r="C52" i="34958" s="1"/>
  <c r="C53" i="34958" s="1"/>
  <c r="C54" i="34958" s="1"/>
  <c r="C55" i="34958" s="1"/>
  <c r="C56" i="34958" s="1"/>
  <c r="C57" i="34958" s="1"/>
  <c r="C58" i="34958" s="1"/>
  <c r="C59" i="34958" s="1"/>
  <c r="C60" i="34958" s="1"/>
  <c r="C61" i="34958" s="1"/>
  <c r="C62" i="34958" s="1"/>
  <c r="C63" i="34958" s="1"/>
  <c r="C64" i="34958" s="1"/>
  <c r="C65" i="34958" s="1"/>
  <c r="C66" i="34958" s="1"/>
  <c r="C67" i="34958" s="1"/>
  <c r="C68" i="34958" s="1"/>
  <c r="C69" i="34958" s="1"/>
  <c r="C70" i="34958" s="1"/>
  <c r="C71" i="34958" s="1"/>
  <c r="C72" i="34958" s="1"/>
  <c r="C73" i="34958" s="1"/>
  <c r="C74" i="34958" s="1"/>
  <c r="C75" i="34958" s="1"/>
  <c r="C76" i="34958" s="1"/>
  <c r="C77" i="34958" s="1"/>
  <c r="C78" i="34958" s="1"/>
  <c r="C79" i="34958" s="1"/>
  <c r="C80" i="34958" s="1"/>
  <c r="C81" i="34958" s="1"/>
  <c r="C82" i="34958" s="1"/>
  <c r="C83" i="34958" s="1"/>
  <c r="C84" i="34958" s="1"/>
  <c r="J42" i="34961"/>
  <c r="J43" i="34961" s="1"/>
  <c r="J44" i="34961" s="1"/>
  <c r="J45" i="34961" s="1"/>
  <c r="J46" i="34961" s="1"/>
  <c r="J47" i="34961" s="1"/>
  <c r="J48" i="34961" s="1"/>
  <c r="J49" i="34961" s="1"/>
  <c r="J50" i="34961" s="1"/>
  <c r="J51" i="34961" s="1"/>
  <c r="J52" i="34961" s="1"/>
  <c r="J53" i="34961" s="1"/>
  <c r="J54" i="34961" s="1"/>
  <c r="J55" i="34961" s="1"/>
  <c r="J56" i="34961" s="1"/>
  <c r="J57" i="34961" s="1"/>
  <c r="J58" i="34961" s="1"/>
  <c r="J59" i="34961" s="1"/>
  <c r="J60" i="34961" s="1"/>
  <c r="J61" i="34961" s="1"/>
  <c r="J62" i="34961" s="1"/>
  <c r="J63" i="34961" s="1"/>
  <c r="J64" i="34961" s="1"/>
  <c r="J65" i="34961" s="1"/>
  <c r="J66" i="34961" s="1"/>
  <c r="J67" i="34961" s="1"/>
  <c r="J68" i="34961" s="1"/>
  <c r="J69" i="34961" s="1"/>
  <c r="J70" i="34961" s="1"/>
  <c r="J71" i="34961" s="1"/>
  <c r="J72" i="34961" s="1"/>
  <c r="J73" i="34961" s="1"/>
  <c r="J74" i="34961" s="1"/>
  <c r="J75" i="34961" s="1"/>
  <c r="J76" i="34961" s="1"/>
  <c r="J77" i="34961" s="1"/>
  <c r="J78" i="34961" s="1"/>
  <c r="J79" i="34961" s="1"/>
  <c r="J80" i="34961" s="1"/>
  <c r="J81" i="34961" s="1"/>
  <c r="J82" i="34961" s="1"/>
  <c r="J83" i="34961" s="1"/>
  <c r="J84" i="34961" s="1"/>
  <c r="I42" i="34961"/>
  <c r="I43" i="34961" s="1"/>
  <c r="I44" i="34961" s="1"/>
  <c r="I45" i="34961" s="1"/>
  <c r="I46" i="34961" s="1"/>
  <c r="I47" i="34961" s="1"/>
  <c r="I48" i="34961" s="1"/>
  <c r="I49" i="34961" s="1"/>
  <c r="I50" i="34961" s="1"/>
  <c r="I51" i="34961" s="1"/>
  <c r="I52" i="34961" s="1"/>
  <c r="I53" i="34961" s="1"/>
  <c r="I54" i="34961" s="1"/>
  <c r="I55" i="34961" s="1"/>
  <c r="I56" i="34961" s="1"/>
  <c r="I57" i="34961" s="1"/>
  <c r="I58" i="34961" s="1"/>
  <c r="I59" i="34961" s="1"/>
  <c r="I60" i="34961" s="1"/>
  <c r="I61" i="34961" s="1"/>
  <c r="I62" i="34961" s="1"/>
  <c r="I63" i="34961" s="1"/>
  <c r="I64" i="34961" s="1"/>
  <c r="I65" i="34961" s="1"/>
  <c r="I66" i="34961" s="1"/>
  <c r="I67" i="34961" s="1"/>
  <c r="I68" i="34961" s="1"/>
  <c r="I69" i="34961" s="1"/>
  <c r="I70" i="34961" s="1"/>
  <c r="I71" i="34961" s="1"/>
  <c r="I72" i="34961" s="1"/>
  <c r="I73" i="34961" s="1"/>
  <c r="I74" i="34961" s="1"/>
  <c r="I75" i="34961" s="1"/>
  <c r="I76" i="34961" s="1"/>
  <c r="I77" i="34961" s="1"/>
  <c r="I78" i="34961" s="1"/>
  <c r="I79" i="34961" s="1"/>
  <c r="I80" i="34961" s="1"/>
  <c r="I81" i="34961" s="1"/>
  <c r="I82" i="34961" s="1"/>
  <c r="I83" i="34961" s="1"/>
  <c r="I84" i="34961" s="1"/>
  <c r="H42" i="34961"/>
  <c r="H43" i="34961" s="1"/>
  <c r="H44" i="34961" s="1"/>
  <c r="H45" i="34961" s="1"/>
  <c r="H46" i="34961" s="1"/>
  <c r="H47" i="34961" s="1"/>
  <c r="H48" i="34961" s="1"/>
  <c r="H49" i="34961" s="1"/>
  <c r="H50" i="34961" s="1"/>
  <c r="H51" i="34961" s="1"/>
  <c r="H52" i="34961" s="1"/>
  <c r="H53" i="34961" s="1"/>
  <c r="H54" i="34961" s="1"/>
  <c r="H55" i="34961" s="1"/>
  <c r="H56" i="34961" s="1"/>
  <c r="H57" i="34961" s="1"/>
  <c r="H58" i="34961" s="1"/>
  <c r="H59" i="34961" s="1"/>
  <c r="H60" i="34961" s="1"/>
  <c r="H61" i="34961" s="1"/>
  <c r="H62" i="34961" s="1"/>
  <c r="H63" i="34961" s="1"/>
  <c r="H64" i="34961" s="1"/>
  <c r="H65" i="34961" s="1"/>
  <c r="H66" i="34961" s="1"/>
  <c r="H67" i="34961" s="1"/>
  <c r="H68" i="34961" s="1"/>
  <c r="H69" i="34961" s="1"/>
  <c r="H70" i="34961" s="1"/>
  <c r="H71" i="34961" s="1"/>
  <c r="H72" i="34961" s="1"/>
  <c r="H73" i="34961" s="1"/>
  <c r="H74" i="34961" s="1"/>
  <c r="H75" i="34961" s="1"/>
  <c r="H76" i="34961" s="1"/>
  <c r="H77" i="34961" s="1"/>
  <c r="H78" i="34961" s="1"/>
  <c r="H79" i="34961" s="1"/>
  <c r="H80" i="34961" s="1"/>
  <c r="H81" i="34961" s="1"/>
  <c r="H82" i="34961" s="1"/>
  <c r="H83" i="34961" s="1"/>
  <c r="H84" i="34961" s="1"/>
  <c r="G42" i="34961"/>
  <c r="G43" i="34961"/>
  <c r="G44" i="34961" s="1"/>
  <c r="G45" i="34961" s="1"/>
  <c r="G46" i="34961" s="1"/>
  <c r="G47" i="34961" s="1"/>
  <c r="G48" i="34961" s="1"/>
  <c r="G49" i="34961" s="1"/>
  <c r="G50" i="34961" s="1"/>
  <c r="G51" i="34961" s="1"/>
  <c r="G52" i="34961" s="1"/>
  <c r="G53" i="34961" s="1"/>
  <c r="G54" i="34961" s="1"/>
  <c r="G55" i="34961" s="1"/>
  <c r="G56" i="34961" s="1"/>
  <c r="G57" i="34961" s="1"/>
  <c r="G58" i="34961" s="1"/>
  <c r="G59" i="34961" s="1"/>
  <c r="G60" i="34961" s="1"/>
  <c r="G61" i="34961" s="1"/>
  <c r="G62" i="34961" s="1"/>
  <c r="G63" i="34961" s="1"/>
  <c r="G64" i="34961" s="1"/>
  <c r="G65" i="34961" s="1"/>
  <c r="G66" i="34961" s="1"/>
  <c r="G67" i="34961" s="1"/>
  <c r="G68" i="34961" s="1"/>
  <c r="G69" i="34961" s="1"/>
  <c r="G70" i="34961" s="1"/>
  <c r="G71" i="34961" s="1"/>
  <c r="G72" i="34961" s="1"/>
  <c r="G73" i="34961" s="1"/>
  <c r="G74" i="34961" s="1"/>
  <c r="G75" i="34961" s="1"/>
  <c r="G76" i="34961" s="1"/>
  <c r="G77" i="34961" s="1"/>
  <c r="G78" i="34961" s="1"/>
  <c r="G79" i="34961" s="1"/>
  <c r="G80" i="34961" s="1"/>
  <c r="G81" i="34961" s="1"/>
  <c r="G82" i="34961" s="1"/>
  <c r="G83" i="34961" s="1"/>
  <c r="G84" i="34961" s="1"/>
  <c r="F42" i="34961"/>
  <c r="F43" i="34961"/>
  <c r="F44" i="34961" s="1"/>
  <c r="F45" i="34961" s="1"/>
  <c r="F46" i="34961" s="1"/>
  <c r="F47" i="34961" s="1"/>
  <c r="F48" i="34961" s="1"/>
  <c r="F49" i="34961" s="1"/>
  <c r="F50" i="34961" s="1"/>
  <c r="F51" i="34961" s="1"/>
  <c r="F52" i="34961" s="1"/>
  <c r="F53" i="34961" s="1"/>
  <c r="F54" i="34961" s="1"/>
  <c r="F55" i="34961" s="1"/>
  <c r="F56" i="34961" s="1"/>
  <c r="F57" i="34961" s="1"/>
  <c r="F58" i="34961" s="1"/>
  <c r="F59" i="34961" s="1"/>
  <c r="F60" i="34961" s="1"/>
  <c r="F61" i="34961" s="1"/>
  <c r="F62" i="34961" s="1"/>
  <c r="F63" i="34961" s="1"/>
  <c r="F64" i="34961" s="1"/>
  <c r="F65" i="34961" s="1"/>
  <c r="F66" i="34961" s="1"/>
  <c r="F67" i="34961" s="1"/>
  <c r="F68" i="34961" s="1"/>
  <c r="F69" i="34961" s="1"/>
  <c r="F70" i="34961" s="1"/>
  <c r="F71" i="34961" s="1"/>
  <c r="F72" i="34961" s="1"/>
  <c r="F73" i="34961" s="1"/>
  <c r="F74" i="34961" s="1"/>
  <c r="F75" i="34961" s="1"/>
  <c r="F76" i="34961" s="1"/>
  <c r="F77" i="34961" s="1"/>
  <c r="F78" i="34961" s="1"/>
  <c r="F79" i="34961" s="1"/>
  <c r="F80" i="34961" s="1"/>
  <c r="F81" i="34961" s="1"/>
  <c r="F82" i="34961" s="1"/>
  <c r="F83" i="34961" s="1"/>
  <c r="F84" i="34961" s="1"/>
  <c r="E42" i="34961"/>
  <c r="E43" i="34961" s="1"/>
  <c r="E44" i="34961" s="1"/>
  <c r="E45" i="34961" s="1"/>
  <c r="E46" i="34961" s="1"/>
  <c r="E47" i="34961" s="1"/>
  <c r="E48" i="34961" s="1"/>
  <c r="E49" i="34961" s="1"/>
  <c r="E50" i="34961" s="1"/>
  <c r="E51" i="34961" s="1"/>
  <c r="E52" i="34961" s="1"/>
  <c r="E53" i="34961" s="1"/>
  <c r="E54" i="34961" s="1"/>
  <c r="E55" i="34961" s="1"/>
  <c r="E56" i="34961" s="1"/>
  <c r="E57" i="34961" s="1"/>
  <c r="E58" i="34961" s="1"/>
  <c r="E59" i="34961" s="1"/>
  <c r="E60" i="34961" s="1"/>
  <c r="E61" i="34961" s="1"/>
  <c r="E62" i="34961" s="1"/>
  <c r="E63" i="34961" s="1"/>
  <c r="E64" i="34961" s="1"/>
  <c r="E65" i="34961" s="1"/>
  <c r="E66" i="34961" s="1"/>
  <c r="E67" i="34961" s="1"/>
  <c r="E68" i="34961" s="1"/>
  <c r="E69" i="34961" s="1"/>
  <c r="E70" i="34961" s="1"/>
  <c r="E71" i="34961" s="1"/>
  <c r="E72" i="34961" s="1"/>
  <c r="E73" i="34961" s="1"/>
  <c r="E74" i="34961" s="1"/>
  <c r="E75" i="34961" s="1"/>
  <c r="E76" i="34961" s="1"/>
  <c r="E77" i="34961" s="1"/>
  <c r="E78" i="34961" s="1"/>
  <c r="E79" i="34961" s="1"/>
  <c r="E80" i="34961" s="1"/>
  <c r="E81" i="34961" s="1"/>
  <c r="E82" i="34961" s="1"/>
  <c r="E83" i="34961" s="1"/>
  <c r="E84" i="34961" s="1"/>
  <c r="D42" i="34961"/>
  <c r="D43" i="34961"/>
  <c r="D44" i="34961" s="1"/>
  <c r="D45" i="34961" s="1"/>
  <c r="D46" i="34961" s="1"/>
  <c r="D47" i="34961" s="1"/>
  <c r="D48" i="34961" s="1"/>
  <c r="D49" i="34961" s="1"/>
  <c r="D50" i="34961" s="1"/>
  <c r="D51" i="34961" s="1"/>
  <c r="D52" i="34961" s="1"/>
  <c r="D53" i="34961" s="1"/>
  <c r="D54" i="34961" s="1"/>
  <c r="D55" i="34961" s="1"/>
  <c r="D56" i="34961" s="1"/>
  <c r="D57" i="34961" s="1"/>
  <c r="D58" i="34961" s="1"/>
  <c r="D59" i="34961" s="1"/>
  <c r="D60" i="34961" s="1"/>
  <c r="D61" i="34961" s="1"/>
  <c r="D62" i="34961" s="1"/>
  <c r="D63" i="34961" s="1"/>
  <c r="D64" i="34961" s="1"/>
  <c r="D65" i="34961" s="1"/>
  <c r="D66" i="34961" s="1"/>
  <c r="D67" i="34961" s="1"/>
  <c r="D68" i="34961" s="1"/>
  <c r="D69" i="34961" s="1"/>
  <c r="D70" i="34961" s="1"/>
  <c r="D71" i="34961" s="1"/>
  <c r="D72" i="34961" s="1"/>
  <c r="D73" i="34961" s="1"/>
  <c r="D74" i="34961" s="1"/>
  <c r="D75" i="34961" s="1"/>
  <c r="D76" i="34961" s="1"/>
  <c r="D77" i="34961" s="1"/>
  <c r="D78" i="34961" s="1"/>
  <c r="D79" i="34961" s="1"/>
  <c r="D80" i="34961" s="1"/>
  <c r="D81" i="34961" s="1"/>
  <c r="D82" i="34961" s="1"/>
  <c r="D83" i="34961" s="1"/>
  <c r="D84" i="34961" s="1"/>
  <c r="C42" i="34961"/>
  <c r="C43" i="34961"/>
  <c r="C44" i="34961" s="1"/>
  <c r="C45" i="34961" s="1"/>
  <c r="C46" i="34961" s="1"/>
  <c r="C47" i="34961" s="1"/>
  <c r="C48" i="34961" s="1"/>
  <c r="C49" i="34961" s="1"/>
  <c r="C50" i="34961" s="1"/>
  <c r="C51" i="34961" s="1"/>
  <c r="C52" i="34961" s="1"/>
  <c r="C53" i="34961" s="1"/>
  <c r="C54" i="34961" s="1"/>
  <c r="C55" i="34961" s="1"/>
  <c r="C56" i="34961" s="1"/>
  <c r="C57" i="34961" s="1"/>
  <c r="C58" i="34961" s="1"/>
  <c r="C59" i="34961" s="1"/>
  <c r="C60" i="34961" s="1"/>
  <c r="C61" i="34961" s="1"/>
  <c r="C62" i="34961" s="1"/>
  <c r="C63" i="34961" s="1"/>
  <c r="C64" i="34961" s="1"/>
  <c r="C65" i="34961" s="1"/>
  <c r="C66" i="34961" s="1"/>
  <c r="C67" i="34961" s="1"/>
  <c r="C68" i="34961" s="1"/>
  <c r="C69" i="34961" s="1"/>
  <c r="C70" i="34961" s="1"/>
  <c r="C71" i="34961" s="1"/>
  <c r="C72" i="34961" s="1"/>
  <c r="C73" i="34961" s="1"/>
  <c r="C74" i="34961" s="1"/>
  <c r="C75" i="34961" s="1"/>
  <c r="C76" i="34961" s="1"/>
  <c r="C77" i="34961" s="1"/>
  <c r="C78" i="34961" s="1"/>
  <c r="C79" i="34961" s="1"/>
  <c r="C80" i="34961" s="1"/>
  <c r="C81" i="34961" s="1"/>
  <c r="C82" i="34961" s="1"/>
  <c r="C83" i="34961" s="1"/>
  <c r="C84" i="34961" s="1"/>
  <c r="D42" i="35010"/>
  <c r="D43" i="35010" s="1"/>
  <c r="D44" i="35010" s="1"/>
  <c r="D45" i="35010" s="1"/>
  <c r="D46" i="35010" s="1"/>
  <c r="D47" i="35010" s="1"/>
  <c r="D48" i="35010" s="1"/>
  <c r="D49" i="35010" s="1"/>
  <c r="D50" i="35010" s="1"/>
  <c r="D51" i="35010" s="1"/>
  <c r="D52" i="35010" s="1"/>
  <c r="D53" i="35010" s="1"/>
  <c r="D54" i="35010" s="1"/>
  <c r="D55" i="35010" s="1"/>
  <c r="D56" i="35010" s="1"/>
  <c r="D57" i="35010" s="1"/>
  <c r="D58" i="35010" s="1"/>
  <c r="D59" i="35010" s="1"/>
  <c r="D60" i="35010" s="1"/>
  <c r="D61" i="35010" s="1"/>
  <c r="D62" i="35010" s="1"/>
  <c r="D63" i="35010" s="1"/>
  <c r="D64" i="35010" s="1"/>
  <c r="D65" i="35010" s="1"/>
  <c r="D66" i="35010" s="1"/>
  <c r="D67" i="35010" s="1"/>
  <c r="D68" i="35010" s="1"/>
  <c r="D69" i="35010" s="1"/>
  <c r="D70" i="35010" s="1"/>
  <c r="D71" i="35010" s="1"/>
  <c r="D72" i="35010" s="1"/>
  <c r="D73" i="35010" s="1"/>
  <c r="D74" i="35010" s="1"/>
  <c r="D75" i="35010" s="1"/>
  <c r="D76" i="35010" s="1"/>
  <c r="D77" i="35010" s="1"/>
  <c r="D78" i="35010" s="1"/>
  <c r="D79" i="35010" s="1"/>
  <c r="D80" i="35010" s="1"/>
  <c r="D81" i="35010" s="1"/>
  <c r="D82" i="35010" s="1"/>
  <c r="D83" i="35010" s="1"/>
  <c r="D84" i="35010" s="1"/>
  <c r="C42" i="35010"/>
  <c r="C43" i="35010" s="1"/>
  <c r="C44" i="35010" s="1"/>
  <c r="C45" i="35010" s="1"/>
  <c r="C46" i="35010" s="1"/>
  <c r="C47" i="35010" s="1"/>
  <c r="C48" i="35010" s="1"/>
  <c r="C49" i="35010" s="1"/>
  <c r="C50" i="35010" s="1"/>
  <c r="C51" i="35010" s="1"/>
  <c r="C52" i="35010" s="1"/>
  <c r="C53" i="35010" s="1"/>
  <c r="C54" i="35010" s="1"/>
  <c r="C55" i="35010" s="1"/>
  <c r="C56" i="35010" s="1"/>
  <c r="C57" i="35010" s="1"/>
  <c r="C58" i="35010" s="1"/>
  <c r="C59" i="35010" s="1"/>
  <c r="C60" i="35010" s="1"/>
  <c r="C61" i="35010" s="1"/>
  <c r="C62" i="35010" s="1"/>
  <c r="C63" i="35010" s="1"/>
  <c r="C64" i="35010" s="1"/>
  <c r="C65" i="35010" s="1"/>
  <c r="C66" i="35010" s="1"/>
  <c r="C67" i="35010" s="1"/>
  <c r="C68" i="35010" s="1"/>
  <c r="C69" i="35010" s="1"/>
  <c r="C70" i="35010" s="1"/>
  <c r="C71" i="35010" s="1"/>
  <c r="C72" i="35010" s="1"/>
  <c r="C73" i="35010" s="1"/>
  <c r="C74" i="35010" s="1"/>
  <c r="C75" i="35010" s="1"/>
  <c r="C76" i="35010" s="1"/>
  <c r="C77" i="35010" s="1"/>
  <c r="C78" i="35010" s="1"/>
  <c r="C79" i="35010" s="1"/>
  <c r="C80" i="35010" s="1"/>
  <c r="C81" i="35010" s="1"/>
  <c r="C82" i="35010" s="1"/>
  <c r="C83" i="35010" s="1"/>
  <c r="C84" i="35010" s="1"/>
  <c r="L42" i="35005"/>
  <c r="L43" i="35005"/>
  <c r="L44" i="35005" s="1"/>
  <c r="L45" i="35005" s="1"/>
  <c r="L46" i="35005" s="1"/>
  <c r="L47" i="35005" s="1"/>
  <c r="L48" i="35005" s="1"/>
  <c r="L49" i="35005" s="1"/>
  <c r="L50" i="35005" s="1"/>
  <c r="L51" i="35005" s="1"/>
  <c r="L52" i="35005" s="1"/>
  <c r="L53" i="35005" s="1"/>
  <c r="L54" i="35005" s="1"/>
  <c r="L55" i="35005" s="1"/>
  <c r="L56" i="35005" s="1"/>
  <c r="L57" i="35005" s="1"/>
  <c r="L58" i="35005" s="1"/>
  <c r="L59" i="35005" s="1"/>
  <c r="L60" i="35005" s="1"/>
  <c r="L61" i="35005" s="1"/>
  <c r="L62" i="35005" s="1"/>
  <c r="L63" i="35005" s="1"/>
  <c r="L64" i="35005" s="1"/>
  <c r="L65" i="35005" s="1"/>
  <c r="L66" i="35005" s="1"/>
  <c r="L67" i="35005" s="1"/>
  <c r="L68" i="35005" s="1"/>
  <c r="L69" i="35005" s="1"/>
  <c r="L70" i="35005" s="1"/>
  <c r="L71" i="35005" s="1"/>
  <c r="L72" i="35005" s="1"/>
  <c r="L73" i="35005" s="1"/>
  <c r="L74" i="35005" s="1"/>
  <c r="L75" i="35005" s="1"/>
  <c r="L76" i="35005" s="1"/>
  <c r="L77" i="35005" s="1"/>
  <c r="L78" i="35005" s="1"/>
  <c r="L79" i="35005" s="1"/>
  <c r="L80" i="35005" s="1"/>
  <c r="L81" i="35005" s="1"/>
  <c r="L82" i="35005" s="1"/>
  <c r="L83" i="35005" s="1"/>
  <c r="L84" i="35005" s="1"/>
  <c r="K42" i="35005"/>
  <c r="K43" i="35005"/>
  <c r="K44" i="35005" s="1"/>
  <c r="K45" i="35005" s="1"/>
  <c r="K46" i="35005" s="1"/>
  <c r="K47" i="35005" s="1"/>
  <c r="K48" i="35005" s="1"/>
  <c r="K49" i="35005" s="1"/>
  <c r="K50" i="35005" s="1"/>
  <c r="K51" i="35005" s="1"/>
  <c r="K52" i="35005" s="1"/>
  <c r="K53" i="35005" s="1"/>
  <c r="K54" i="35005" s="1"/>
  <c r="K55" i="35005" s="1"/>
  <c r="K56" i="35005" s="1"/>
  <c r="K57" i="35005" s="1"/>
  <c r="K58" i="35005" s="1"/>
  <c r="K59" i="35005" s="1"/>
  <c r="K60" i="35005" s="1"/>
  <c r="K61" i="35005" s="1"/>
  <c r="K62" i="35005" s="1"/>
  <c r="K63" i="35005" s="1"/>
  <c r="K64" i="35005" s="1"/>
  <c r="K65" i="35005" s="1"/>
  <c r="K66" i="35005" s="1"/>
  <c r="K67" i="35005" s="1"/>
  <c r="K68" i="35005" s="1"/>
  <c r="K69" i="35005" s="1"/>
  <c r="K70" i="35005" s="1"/>
  <c r="K71" i="35005" s="1"/>
  <c r="K72" i="35005" s="1"/>
  <c r="K73" i="35005" s="1"/>
  <c r="K74" i="35005" s="1"/>
  <c r="K75" i="35005" s="1"/>
  <c r="K76" i="35005" s="1"/>
  <c r="K77" i="35005" s="1"/>
  <c r="K78" i="35005" s="1"/>
  <c r="K79" i="35005" s="1"/>
  <c r="K80" i="35005" s="1"/>
  <c r="K81" i="35005" s="1"/>
  <c r="K82" i="35005" s="1"/>
  <c r="K83" i="35005" s="1"/>
  <c r="K84" i="35005" s="1"/>
  <c r="J42" i="35005"/>
  <c r="J43" i="35005" s="1"/>
  <c r="J44" i="35005" s="1"/>
  <c r="J45" i="35005" s="1"/>
  <c r="J46" i="35005" s="1"/>
  <c r="J47" i="35005" s="1"/>
  <c r="J48" i="35005" s="1"/>
  <c r="J49" i="35005" s="1"/>
  <c r="J50" i="35005" s="1"/>
  <c r="J51" i="35005" s="1"/>
  <c r="J52" i="35005" s="1"/>
  <c r="J53" i="35005" s="1"/>
  <c r="J54" i="35005" s="1"/>
  <c r="J55" i="35005" s="1"/>
  <c r="J56" i="35005" s="1"/>
  <c r="J57" i="35005" s="1"/>
  <c r="J58" i="35005" s="1"/>
  <c r="J59" i="35005" s="1"/>
  <c r="J60" i="35005" s="1"/>
  <c r="J61" i="35005" s="1"/>
  <c r="J62" i="35005" s="1"/>
  <c r="J63" i="35005" s="1"/>
  <c r="J64" i="35005" s="1"/>
  <c r="J65" i="35005" s="1"/>
  <c r="J66" i="35005" s="1"/>
  <c r="J67" i="35005" s="1"/>
  <c r="J68" i="35005" s="1"/>
  <c r="J69" i="35005" s="1"/>
  <c r="J70" i="35005" s="1"/>
  <c r="J71" i="35005" s="1"/>
  <c r="J72" i="35005" s="1"/>
  <c r="J73" i="35005" s="1"/>
  <c r="J74" i="35005" s="1"/>
  <c r="J75" i="35005" s="1"/>
  <c r="J76" i="35005" s="1"/>
  <c r="J77" i="35005" s="1"/>
  <c r="J78" i="35005" s="1"/>
  <c r="J79" i="35005" s="1"/>
  <c r="J80" i="35005" s="1"/>
  <c r="J81" i="35005" s="1"/>
  <c r="J82" i="35005" s="1"/>
  <c r="J83" i="35005" s="1"/>
  <c r="J84" i="35005" s="1"/>
  <c r="I42" i="35005"/>
  <c r="I43" i="35005"/>
  <c r="I44" i="35005" s="1"/>
  <c r="I45" i="35005" s="1"/>
  <c r="I46" i="35005" s="1"/>
  <c r="I47" i="35005" s="1"/>
  <c r="I48" i="35005" s="1"/>
  <c r="I49" i="35005" s="1"/>
  <c r="I50" i="35005" s="1"/>
  <c r="I51" i="35005" s="1"/>
  <c r="I52" i="35005" s="1"/>
  <c r="I53" i="35005" s="1"/>
  <c r="I54" i="35005" s="1"/>
  <c r="I55" i="35005" s="1"/>
  <c r="I56" i="35005" s="1"/>
  <c r="I57" i="35005" s="1"/>
  <c r="I58" i="35005" s="1"/>
  <c r="I59" i="35005" s="1"/>
  <c r="I60" i="35005" s="1"/>
  <c r="I61" i="35005" s="1"/>
  <c r="I62" i="35005" s="1"/>
  <c r="I63" i="35005" s="1"/>
  <c r="I64" i="35005" s="1"/>
  <c r="I65" i="35005" s="1"/>
  <c r="I66" i="35005" s="1"/>
  <c r="I67" i="35005" s="1"/>
  <c r="I68" i="35005" s="1"/>
  <c r="I69" i="35005" s="1"/>
  <c r="I70" i="35005" s="1"/>
  <c r="I71" i="35005" s="1"/>
  <c r="I72" i="35005" s="1"/>
  <c r="I73" i="35005" s="1"/>
  <c r="I74" i="35005" s="1"/>
  <c r="I75" i="35005" s="1"/>
  <c r="I76" i="35005" s="1"/>
  <c r="I77" i="35005" s="1"/>
  <c r="I78" i="35005" s="1"/>
  <c r="I79" i="35005" s="1"/>
  <c r="I80" i="35005" s="1"/>
  <c r="I81" i="35005" s="1"/>
  <c r="I82" i="35005" s="1"/>
  <c r="I83" i="35005" s="1"/>
  <c r="I84" i="35005" s="1"/>
  <c r="H42" i="35005"/>
  <c r="H43" i="35005" s="1"/>
  <c r="H44" i="35005" s="1"/>
  <c r="H45" i="35005" s="1"/>
  <c r="H46" i="35005" s="1"/>
  <c r="H47" i="35005" s="1"/>
  <c r="H48" i="35005" s="1"/>
  <c r="H49" i="35005" s="1"/>
  <c r="H50" i="35005" s="1"/>
  <c r="H51" i="35005" s="1"/>
  <c r="H52" i="35005" s="1"/>
  <c r="H53" i="35005" s="1"/>
  <c r="H54" i="35005" s="1"/>
  <c r="H55" i="35005" s="1"/>
  <c r="H56" i="35005" s="1"/>
  <c r="H57" i="35005" s="1"/>
  <c r="H58" i="35005" s="1"/>
  <c r="H59" i="35005" s="1"/>
  <c r="H60" i="35005" s="1"/>
  <c r="H61" i="35005" s="1"/>
  <c r="H62" i="35005" s="1"/>
  <c r="H63" i="35005" s="1"/>
  <c r="H64" i="35005" s="1"/>
  <c r="H65" i="35005" s="1"/>
  <c r="H66" i="35005" s="1"/>
  <c r="H67" i="35005" s="1"/>
  <c r="H68" i="35005" s="1"/>
  <c r="H69" i="35005" s="1"/>
  <c r="H70" i="35005" s="1"/>
  <c r="H71" i="35005" s="1"/>
  <c r="H72" i="35005" s="1"/>
  <c r="H73" i="35005" s="1"/>
  <c r="H74" i="35005" s="1"/>
  <c r="H75" i="35005" s="1"/>
  <c r="H76" i="35005" s="1"/>
  <c r="H77" i="35005" s="1"/>
  <c r="H78" i="35005" s="1"/>
  <c r="H79" i="35005" s="1"/>
  <c r="H80" i="35005" s="1"/>
  <c r="H81" i="35005" s="1"/>
  <c r="H82" i="35005" s="1"/>
  <c r="H83" i="35005" s="1"/>
  <c r="H84" i="35005" s="1"/>
  <c r="G42" i="35005"/>
  <c r="G43" i="35005" s="1"/>
  <c r="G44" i="35005" s="1"/>
  <c r="G45" i="35005" s="1"/>
  <c r="G46" i="35005" s="1"/>
  <c r="G47" i="35005" s="1"/>
  <c r="G48" i="35005" s="1"/>
  <c r="G49" i="35005" s="1"/>
  <c r="G50" i="35005" s="1"/>
  <c r="G51" i="35005" s="1"/>
  <c r="G52" i="35005" s="1"/>
  <c r="G53" i="35005" s="1"/>
  <c r="G54" i="35005" s="1"/>
  <c r="G55" i="35005" s="1"/>
  <c r="G56" i="35005" s="1"/>
  <c r="G57" i="35005" s="1"/>
  <c r="G58" i="35005" s="1"/>
  <c r="G59" i="35005" s="1"/>
  <c r="G60" i="35005" s="1"/>
  <c r="G61" i="35005" s="1"/>
  <c r="G62" i="35005" s="1"/>
  <c r="G63" i="35005" s="1"/>
  <c r="G64" i="35005" s="1"/>
  <c r="G65" i="35005" s="1"/>
  <c r="G66" i="35005" s="1"/>
  <c r="G67" i="35005" s="1"/>
  <c r="G68" i="35005" s="1"/>
  <c r="G69" i="35005" s="1"/>
  <c r="G70" i="35005" s="1"/>
  <c r="G71" i="35005" s="1"/>
  <c r="G72" i="35005" s="1"/>
  <c r="G73" i="35005" s="1"/>
  <c r="G74" i="35005" s="1"/>
  <c r="G75" i="35005" s="1"/>
  <c r="G76" i="35005" s="1"/>
  <c r="G77" i="35005" s="1"/>
  <c r="G78" i="35005" s="1"/>
  <c r="G79" i="35005" s="1"/>
  <c r="G80" i="35005" s="1"/>
  <c r="G81" i="35005" s="1"/>
  <c r="G82" i="35005" s="1"/>
  <c r="G83" i="35005" s="1"/>
  <c r="G84" i="35005" s="1"/>
  <c r="F42" i="35005"/>
  <c r="F43" i="35005" s="1"/>
  <c r="F44" i="35005" s="1"/>
  <c r="F45" i="35005" s="1"/>
  <c r="F46" i="35005" s="1"/>
  <c r="F47" i="35005" s="1"/>
  <c r="F48" i="35005" s="1"/>
  <c r="F49" i="35005" s="1"/>
  <c r="F50" i="35005" s="1"/>
  <c r="F51" i="35005" s="1"/>
  <c r="F52" i="35005" s="1"/>
  <c r="F53" i="35005" s="1"/>
  <c r="F54" i="35005" s="1"/>
  <c r="F55" i="35005" s="1"/>
  <c r="F56" i="35005" s="1"/>
  <c r="F57" i="35005" s="1"/>
  <c r="F58" i="35005" s="1"/>
  <c r="F59" i="35005" s="1"/>
  <c r="F60" i="35005" s="1"/>
  <c r="F61" i="35005" s="1"/>
  <c r="F62" i="35005" s="1"/>
  <c r="F63" i="35005" s="1"/>
  <c r="F64" i="35005" s="1"/>
  <c r="F65" i="35005" s="1"/>
  <c r="F66" i="35005" s="1"/>
  <c r="F67" i="35005" s="1"/>
  <c r="F68" i="35005" s="1"/>
  <c r="F69" i="35005" s="1"/>
  <c r="F70" i="35005" s="1"/>
  <c r="F71" i="35005" s="1"/>
  <c r="F72" i="35005" s="1"/>
  <c r="F73" i="35005" s="1"/>
  <c r="F74" i="35005" s="1"/>
  <c r="F75" i="35005" s="1"/>
  <c r="F76" i="35005" s="1"/>
  <c r="F77" i="35005" s="1"/>
  <c r="F78" i="35005" s="1"/>
  <c r="F79" i="35005" s="1"/>
  <c r="F80" i="35005" s="1"/>
  <c r="F81" i="35005" s="1"/>
  <c r="F82" i="35005" s="1"/>
  <c r="F83" i="35005" s="1"/>
  <c r="F84" i="35005" s="1"/>
  <c r="E42" i="35005"/>
  <c r="E43" i="35005"/>
  <c r="E44" i="35005"/>
  <c r="E45" i="35005" s="1"/>
  <c r="E46" i="35005" s="1"/>
  <c r="E47" i="35005" s="1"/>
  <c r="E48" i="35005" s="1"/>
  <c r="E49" i="35005" s="1"/>
  <c r="E50" i="35005" s="1"/>
  <c r="E51" i="35005" s="1"/>
  <c r="E52" i="35005" s="1"/>
  <c r="E53" i="35005" s="1"/>
  <c r="E54" i="35005" s="1"/>
  <c r="E55" i="35005" s="1"/>
  <c r="E56" i="35005" s="1"/>
  <c r="E57" i="35005" s="1"/>
  <c r="E58" i="35005" s="1"/>
  <c r="E59" i="35005" s="1"/>
  <c r="E60" i="35005" s="1"/>
  <c r="E61" i="35005" s="1"/>
  <c r="E62" i="35005" s="1"/>
  <c r="E63" i="35005" s="1"/>
  <c r="E64" i="35005" s="1"/>
  <c r="E65" i="35005" s="1"/>
  <c r="E66" i="35005" s="1"/>
  <c r="E67" i="35005" s="1"/>
  <c r="E68" i="35005" s="1"/>
  <c r="E69" i="35005" s="1"/>
  <c r="E70" i="35005" s="1"/>
  <c r="E71" i="35005" s="1"/>
  <c r="E72" i="35005" s="1"/>
  <c r="E73" i="35005" s="1"/>
  <c r="E74" i="35005" s="1"/>
  <c r="E75" i="35005" s="1"/>
  <c r="E76" i="35005" s="1"/>
  <c r="E77" i="35005" s="1"/>
  <c r="E78" i="35005" s="1"/>
  <c r="E79" i="35005" s="1"/>
  <c r="E80" i="35005" s="1"/>
  <c r="E81" i="35005" s="1"/>
  <c r="E82" i="35005" s="1"/>
  <c r="E83" i="35005" s="1"/>
  <c r="E84" i="35005" s="1"/>
  <c r="D42" i="35005"/>
  <c r="D43" i="35005" s="1"/>
  <c r="D44" i="35005" s="1"/>
  <c r="D45" i="35005" s="1"/>
  <c r="D46" i="35005" s="1"/>
  <c r="D47" i="35005" s="1"/>
  <c r="D48" i="35005" s="1"/>
  <c r="D49" i="35005" s="1"/>
  <c r="D50" i="35005" s="1"/>
  <c r="D51" i="35005" s="1"/>
  <c r="D52" i="35005" s="1"/>
  <c r="D53" i="35005" s="1"/>
  <c r="D54" i="35005" s="1"/>
  <c r="D55" i="35005" s="1"/>
  <c r="D56" i="35005" s="1"/>
  <c r="D57" i="35005" s="1"/>
  <c r="D58" i="35005" s="1"/>
  <c r="D59" i="35005" s="1"/>
  <c r="D60" i="35005" s="1"/>
  <c r="D61" i="35005" s="1"/>
  <c r="D62" i="35005" s="1"/>
  <c r="D63" i="35005" s="1"/>
  <c r="D64" i="35005" s="1"/>
  <c r="D65" i="35005" s="1"/>
  <c r="D66" i="35005" s="1"/>
  <c r="D67" i="35005" s="1"/>
  <c r="D68" i="35005" s="1"/>
  <c r="D69" i="35005" s="1"/>
  <c r="D70" i="35005" s="1"/>
  <c r="D71" i="35005" s="1"/>
  <c r="D72" i="35005" s="1"/>
  <c r="D73" i="35005" s="1"/>
  <c r="D74" i="35005" s="1"/>
  <c r="D75" i="35005" s="1"/>
  <c r="D76" i="35005" s="1"/>
  <c r="D77" i="35005" s="1"/>
  <c r="D78" i="35005" s="1"/>
  <c r="D79" i="35005" s="1"/>
  <c r="D80" i="35005" s="1"/>
  <c r="D81" i="35005" s="1"/>
  <c r="D82" i="35005" s="1"/>
  <c r="D83" i="35005" s="1"/>
  <c r="D84" i="35005" s="1"/>
  <c r="C42" i="35005"/>
  <c r="C43" i="35005" s="1"/>
  <c r="C44" i="35005" s="1"/>
  <c r="C45" i="35005" s="1"/>
  <c r="C46" i="35005" s="1"/>
  <c r="C47" i="35005" s="1"/>
  <c r="C48" i="35005" s="1"/>
  <c r="C49" i="35005" s="1"/>
  <c r="C50" i="35005" s="1"/>
  <c r="C51" i="35005" s="1"/>
  <c r="C52" i="35005" s="1"/>
  <c r="C53" i="35005" s="1"/>
  <c r="C54" i="35005" s="1"/>
  <c r="C55" i="35005" s="1"/>
  <c r="C56" i="35005" s="1"/>
  <c r="C57" i="35005" s="1"/>
  <c r="C58" i="35005" s="1"/>
  <c r="C59" i="35005" s="1"/>
  <c r="C60" i="35005" s="1"/>
  <c r="C61" i="35005" s="1"/>
  <c r="C62" i="35005" s="1"/>
  <c r="C63" i="35005" s="1"/>
  <c r="C64" i="35005" s="1"/>
  <c r="C65" i="35005" s="1"/>
  <c r="C66" i="35005" s="1"/>
  <c r="C67" i="35005" s="1"/>
  <c r="C68" i="35005" s="1"/>
  <c r="C69" i="35005" s="1"/>
  <c r="C70" i="35005" s="1"/>
  <c r="C71" i="35005" s="1"/>
  <c r="C72" i="35005" s="1"/>
  <c r="C73" i="35005" s="1"/>
  <c r="C74" i="35005" s="1"/>
  <c r="C75" i="35005" s="1"/>
  <c r="C76" i="35005" s="1"/>
  <c r="C77" i="35005" s="1"/>
  <c r="C78" i="35005" s="1"/>
  <c r="C79" i="35005" s="1"/>
  <c r="C80" i="35005" s="1"/>
  <c r="C81" i="35005" s="1"/>
  <c r="C82" i="35005" s="1"/>
  <c r="C83" i="35005" s="1"/>
  <c r="C84" i="35005" s="1"/>
  <c r="J42" i="35002"/>
  <c r="J43" i="35002" s="1"/>
  <c r="J44" i="35002" s="1"/>
  <c r="J45" i="35002" s="1"/>
  <c r="J46" i="35002" s="1"/>
  <c r="J47" i="35002" s="1"/>
  <c r="J48" i="35002" s="1"/>
  <c r="J49" i="35002" s="1"/>
  <c r="J50" i="35002" s="1"/>
  <c r="J51" i="35002" s="1"/>
  <c r="J52" i="35002" s="1"/>
  <c r="J53" i="35002" s="1"/>
  <c r="J54" i="35002" s="1"/>
  <c r="J55" i="35002" s="1"/>
  <c r="J56" i="35002" s="1"/>
  <c r="J57" i="35002" s="1"/>
  <c r="J58" i="35002" s="1"/>
  <c r="J59" i="35002" s="1"/>
  <c r="J60" i="35002" s="1"/>
  <c r="J61" i="35002" s="1"/>
  <c r="J62" i="35002" s="1"/>
  <c r="J63" i="35002" s="1"/>
  <c r="J64" i="35002" s="1"/>
  <c r="J65" i="35002" s="1"/>
  <c r="J66" i="35002" s="1"/>
  <c r="J67" i="35002" s="1"/>
  <c r="J68" i="35002" s="1"/>
  <c r="J69" i="35002" s="1"/>
  <c r="J70" i="35002" s="1"/>
  <c r="J71" i="35002" s="1"/>
  <c r="J72" i="35002" s="1"/>
  <c r="J73" i="35002" s="1"/>
  <c r="J74" i="35002" s="1"/>
  <c r="J75" i="35002" s="1"/>
  <c r="J76" i="35002" s="1"/>
  <c r="J77" i="35002" s="1"/>
  <c r="J78" i="35002" s="1"/>
  <c r="J79" i="35002" s="1"/>
  <c r="J80" i="35002" s="1"/>
  <c r="J81" i="35002" s="1"/>
  <c r="J82" i="35002" s="1"/>
  <c r="J83" i="35002" s="1"/>
  <c r="J84" i="35002" s="1"/>
  <c r="I42" i="35002"/>
  <c r="I43" i="35002"/>
  <c r="I44" i="35002" s="1"/>
  <c r="I45" i="35002" s="1"/>
  <c r="I46" i="35002" s="1"/>
  <c r="I47" i="35002" s="1"/>
  <c r="I48" i="35002" s="1"/>
  <c r="I49" i="35002" s="1"/>
  <c r="I50" i="35002" s="1"/>
  <c r="I51" i="35002" s="1"/>
  <c r="I52" i="35002" s="1"/>
  <c r="I53" i="35002" s="1"/>
  <c r="I54" i="35002" s="1"/>
  <c r="I55" i="35002" s="1"/>
  <c r="I56" i="35002" s="1"/>
  <c r="I57" i="35002" s="1"/>
  <c r="I58" i="35002" s="1"/>
  <c r="I59" i="35002" s="1"/>
  <c r="I60" i="35002" s="1"/>
  <c r="I61" i="35002" s="1"/>
  <c r="I62" i="35002" s="1"/>
  <c r="I63" i="35002" s="1"/>
  <c r="I64" i="35002" s="1"/>
  <c r="I65" i="35002" s="1"/>
  <c r="I66" i="35002" s="1"/>
  <c r="I67" i="35002" s="1"/>
  <c r="I68" i="35002" s="1"/>
  <c r="I69" i="35002" s="1"/>
  <c r="I70" i="35002" s="1"/>
  <c r="I71" i="35002" s="1"/>
  <c r="I72" i="35002" s="1"/>
  <c r="I73" i="35002" s="1"/>
  <c r="I74" i="35002" s="1"/>
  <c r="I75" i="35002" s="1"/>
  <c r="I76" i="35002" s="1"/>
  <c r="I77" i="35002" s="1"/>
  <c r="I78" i="35002" s="1"/>
  <c r="I79" i="35002" s="1"/>
  <c r="I80" i="35002" s="1"/>
  <c r="I81" i="35002" s="1"/>
  <c r="I82" i="35002" s="1"/>
  <c r="I83" i="35002" s="1"/>
  <c r="I84" i="35002" s="1"/>
  <c r="H42" i="35002"/>
  <c r="H43" i="35002" s="1"/>
  <c r="H44" i="35002" s="1"/>
  <c r="H45" i="35002" s="1"/>
  <c r="H46" i="35002" s="1"/>
  <c r="H47" i="35002" s="1"/>
  <c r="H48" i="35002" s="1"/>
  <c r="H49" i="35002" s="1"/>
  <c r="H50" i="35002" s="1"/>
  <c r="H51" i="35002" s="1"/>
  <c r="H52" i="35002" s="1"/>
  <c r="H53" i="35002" s="1"/>
  <c r="H54" i="35002" s="1"/>
  <c r="H55" i="35002" s="1"/>
  <c r="H56" i="35002" s="1"/>
  <c r="H57" i="35002" s="1"/>
  <c r="H58" i="35002" s="1"/>
  <c r="H59" i="35002" s="1"/>
  <c r="H60" i="35002" s="1"/>
  <c r="H61" i="35002" s="1"/>
  <c r="H62" i="35002" s="1"/>
  <c r="H63" i="35002" s="1"/>
  <c r="H64" i="35002" s="1"/>
  <c r="H65" i="35002" s="1"/>
  <c r="H66" i="35002" s="1"/>
  <c r="H67" i="35002" s="1"/>
  <c r="H68" i="35002" s="1"/>
  <c r="H69" i="35002" s="1"/>
  <c r="H70" i="35002" s="1"/>
  <c r="H71" i="35002" s="1"/>
  <c r="H72" i="35002" s="1"/>
  <c r="H73" i="35002" s="1"/>
  <c r="H74" i="35002" s="1"/>
  <c r="H75" i="35002" s="1"/>
  <c r="H76" i="35002" s="1"/>
  <c r="H77" i="35002" s="1"/>
  <c r="H78" i="35002" s="1"/>
  <c r="H79" i="35002" s="1"/>
  <c r="H80" i="35002" s="1"/>
  <c r="H81" i="35002" s="1"/>
  <c r="H82" i="35002" s="1"/>
  <c r="H83" i="35002" s="1"/>
  <c r="H84" i="35002" s="1"/>
  <c r="G42" i="35002"/>
  <c r="G43" i="35002"/>
  <c r="G44" i="35002"/>
  <c r="G45" i="35002" s="1"/>
  <c r="G46" i="35002" s="1"/>
  <c r="G47" i="35002" s="1"/>
  <c r="G48" i="35002" s="1"/>
  <c r="G49" i="35002" s="1"/>
  <c r="G50" i="35002" s="1"/>
  <c r="G51" i="35002" s="1"/>
  <c r="G52" i="35002" s="1"/>
  <c r="G53" i="35002" s="1"/>
  <c r="G54" i="35002" s="1"/>
  <c r="G55" i="35002" s="1"/>
  <c r="G56" i="35002" s="1"/>
  <c r="G57" i="35002" s="1"/>
  <c r="G58" i="35002" s="1"/>
  <c r="G59" i="35002" s="1"/>
  <c r="G60" i="35002" s="1"/>
  <c r="G61" i="35002" s="1"/>
  <c r="G62" i="35002" s="1"/>
  <c r="G63" i="35002" s="1"/>
  <c r="G64" i="35002" s="1"/>
  <c r="G65" i="35002" s="1"/>
  <c r="G66" i="35002" s="1"/>
  <c r="G67" i="35002" s="1"/>
  <c r="G68" i="35002" s="1"/>
  <c r="G69" i="35002" s="1"/>
  <c r="G70" i="35002" s="1"/>
  <c r="G71" i="35002" s="1"/>
  <c r="G72" i="35002" s="1"/>
  <c r="G73" i="35002" s="1"/>
  <c r="G74" i="35002" s="1"/>
  <c r="G75" i="35002" s="1"/>
  <c r="G76" i="35002" s="1"/>
  <c r="G77" i="35002" s="1"/>
  <c r="G78" i="35002" s="1"/>
  <c r="G79" i="35002" s="1"/>
  <c r="G80" i="35002" s="1"/>
  <c r="G81" i="35002" s="1"/>
  <c r="G82" i="35002" s="1"/>
  <c r="G83" i="35002" s="1"/>
  <c r="G84" i="35002" s="1"/>
  <c r="F42" i="35002"/>
  <c r="F43" i="35002" s="1"/>
  <c r="F44" i="35002" s="1"/>
  <c r="F45" i="35002" s="1"/>
  <c r="F46" i="35002" s="1"/>
  <c r="F47" i="35002" s="1"/>
  <c r="F48" i="35002" s="1"/>
  <c r="F49" i="35002" s="1"/>
  <c r="F50" i="35002" s="1"/>
  <c r="F51" i="35002" s="1"/>
  <c r="F52" i="35002" s="1"/>
  <c r="F53" i="35002" s="1"/>
  <c r="F54" i="35002" s="1"/>
  <c r="F55" i="35002" s="1"/>
  <c r="F56" i="35002" s="1"/>
  <c r="F57" i="35002" s="1"/>
  <c r="F58" i="35002" s="1"/>
  <c r="F59" i="35002" s="1"/>
  <c r="F60" i="35002" s="1"/>
  <c r="F61" i="35002" s="1"/>
  <c r="F62" i="35002" s="1"/>
  <c r="F63" i="35002" s="1"/>
  <c r="F64" i="35002" s="1"/>
  <c r="F65" i="35002" s="1"/>
  <c r="F66" i="35002" s="1"/>
  <c r="F67" i="35002" s="1"/>
  <c r="F68" i="35002" s="1"/>
  <c r="F69" i="35002" s="1"/>
  <c r="F70" i="35002" s="1"/>
  <c r="F71" i="35002" s="1"/>
  <c r="F72" i="35002" s="1"/>
  <c r="F73" i="35002" s="1"/>
  <c r="F74" i="35002" s="1"/>
  <c r="F75" i="35002" s="1"/>
  <c r="F76" i="35002" s="1"/>
  <c r="F77" i="35002" s="1"/>
  <c r="F78" i="35002" s="1"/>
  <c r="F79" i="35002" s="1"/>
  <c r="F80" i="35002" s="1"/>
  <c r="F81" i="35002" s="1"/>
  <c r="F82" i="35002" s="1"/>
  <c r="F83" i="35002" s="1"/>
  <c r="F84" i="35002" s="1"/>
  <c r="E42" i="35002"/>
  <c r="E43" i="35002"/>
  <c r="E44" i="35002" s="1"/>
  <c r="E45" i="35002" s="1"/>
  <c r="E46" i="35002" s="1"/>
  <c r="E47" i="35002" s="1"/>
  <c r="E48" i="35002" s="1"/>
  <c r="E49" i="35002" s="1"/>
  <c r="E50" i="35002" s="1"/>
  <c r="E51" i="35002" s="1"/>
  <c r="E52" i="35002" s="1"/>
  <c r="E53" i="35002" s="1"/>
  <c r="E54" i="35002" s="1"/>
  <c r="E55" i="35002" s="1"/>
  <c r="E56" i="35002" s="1"/>
  <c r="E57" i="35002" s="1"/>
  <c r="E58" i="35002" s="1"/>
  <c r="E59" i="35002" s="1"/>
  <c r="E60" i="35002" s="1"/>
  <c r="E61" i="35002" s="1"/>
  <c r="E62" i="35002" s="1"/>
  <c r="E63" i="35002" s="1"/>
  <c r="E64" i="35002" s="1"/>
  <c r="E65" i="35002" s="1"/>
  <c r="E66" i="35002" s="1"/>
  <c r="E67" i="35002" s="1"/>
  <c r="E68" i="35002" s="1"/>
  <c r="E69" i="35002" s="1"/>
  <c r="E70" i="35002" s="1"/>
  <c r="E71" i="35002" s="1"/>
  <c r="E72" i="35002" s="1"/>
  <c r="E73" i="35002" s="1"/>
  <c r="E74" i="35002" s="1"/>
  <c r="E75" i="35002" s="1"/>
  <c r="E76" i="35002" s="1"/>
  <c r="E77" i="35002" s="1"/>
  <c r="E78" i="35002" s="1"/>
  <c r="E79" i="35002" s="1"/>
  <c r="E80" i="35002" s="1"/>
  <c r="E81" i="35002" s="1"/>
  <c r="E82" i="35002" s="1"/>
  <c r="E83" i="35002" s="1"/>
  <c r="E84" i="35002" s="1"/>
  <c r="D42" i="35002"/>
  <c r="D43" i="35002" s="1"/>
  <c r="D44" i="35002" s="1"/>
  <c r="D45" i="35002" s="1"/>
  <c r="D46" i="35002" s="1"/>
  <c r="D47" i="35002" s="1"/>
  <c r="D48" i="35002" s="1"/>
  <c r="D49" i="35002" s="1"/>
  <c r="D50" i="35002" s="1"/>
  <c r="D51" i="35002" s="1"/>
  <c r="D52" i="35002" s="1"/>
  <c r="D53" i="35002" s="1"/>
  <c r="D54" i="35002" s="1"/>
  <c r="D55" i="35002" s="1"/>
  <c r="D56" i="35002" s="1"/>
  <c r="D57" i="35002" s="1"/>
  <c r="D58" i="35002" s="1"/>
  <c r="D59" i="35002" s="1"/>
  <c r="D60" i="35002" s="1"/>
  <c r="D61" i="35002" s="1"/>
  <c r="D62" i="35002" s="1"/>
  <c r="D63" i="35002" s="1"/>
  <c r="D64" i="35002" s="1"/>
  <c r="D65" i="35002" s="1"/>
  <c r="D66" i="35002" s="1"/>
  <c r="D67" i="35002" s="1"/>
  <c r="D68" i="35002" s="1"/>
  <c r="D69" i="35002" s="1"/>
  <c r="D70" i="35002" s="1"/>
  <c r="D71" i="35002" s="1"/>
  <c r="D72" i="35002" s="1"/>
  <c r="D73" i="35002" s="1"/>
  <c r="D74" i="35002" s="1"/>
  <c r="D75" i="35002" s="1"/>
  <c r="D76" i="35002" s="1"/>
  <c r="D77" i="35002" s="1"/>
  <c r="D78" i="35002" s="1"/>
  <c r="D79" i="35002" s="1"/>
  <c r="D80" i="35002" s="1"/>
  <c r="D81" i="35002" s="1"/>
  <c r="D82" i="35002" s="1"/>
  <c r="D83" i="35002" s="1"/>
  <c r="D84" i="35002" s="1"/>
  <c r="C42" i="35002"/>
  <c r="C43" i="35002" s="1"/>
  <c r="C44" i="35002" s="1"/>
  <c r="C45" i="35002" s="1"/>
  <c r="C46" i="35002" s="1"/>
  <c r="C47" i="35002" s="1"/>
  <c r="C48" i="35002" s="1"/>
  <c r="C49" i="35002" s="1"/>
  <c r="C50" i="35002" s="1"/>
  <c r="C51" i="35002" s="1"/>
  <c r="C52" i="35002" s="1"/>
  <c r="C53" i="35002" s="1"/>
  <c r="C54" i="35002" s="1"/>
  <c r="C55" i="35002" s="1"/>
  <c r="C56" i="35002" s="1"/>
  <c r="C57" i="35002" s="1"/>
  <c r="C58" i="35002" s="1"/>
  <c r="C59" i="35002" s="1"/>
  <c r="C60" i="35002" s="1"/>
  <c r="C61" i="35002" s="1"/>
  <c r="C62" i="35002" s="1"/>
  <c r="C63" i="35002" s="1"/>
  <c r="C64" i="35002" s="1"/>
  <c r="C65" i="35002" s="1"/>
  <c r="C66" i="35002" s="1"/>
  <c r="C67" i="35002" s="1"/>
  <c r="C68" i="35002" s="1"/>
  <c r="C69" i="35002" s="1"/>
  <c r="C70" i="35002" s="1"/>
  <c r="C71" i="35002" s="1"/>
  <c r="C72" i="35002" s="1"/>
  <c r="C73" i="35002" s="1"/>
  <c r="C74" i="35002" s="1"/>
  <c r="C75" i="35002" s="1"/>
  <c r="C76" i="35002" s="1"/>
  <c r="C77" i="35002" s="1"/>
  <c r="C78" i="35002" s="1"/>
  <c r="C79" i="35002" s="1"/>
  <c r="C80" i="35002" s="1"/>
  <c r="C81" i="35002" s="1"/>
  <c r="C82" i="35002" s="1"/>
  <c r="C83" i="35002" s="1"/>
  <c r="C84" i="35002" s="1"/>
  <c r="P42" i="34999"/>
  <c r="P43" i="34999"/>
  <c r="P44" i="34999" s="1"/>
  <c r="P45" i="34999" s="1"/>
  <c r="P46" i="34999" s="1"/>
  <c r="P47" i="34999" s="1"/>
  <c r="P48" i="34999" s="1"/>
  <c r="P49" i="34999" s="1"/>
  <c r="P50" i="34999" s="1"/>
  <c r="P51" i="34999" s="1"/>
  <c r="P52" i="34999" s="1"/>
  <c r="P53" i="34999" s="1"/>
  <c r="P54" i="34999" s="1"/>
  <c r="P55" i="34999" s="1"/>
  <c r="P56" i="34999" s="1"/>
  <c r="P57" i="34999" s="1"/>
  <c r="P58" i="34999" s="1"/>
  <c r="P59" i="34999" s="1"/>
  <c r="P60" i="34999" s="1"/>
  <c r="P61" i="34999" s="1"/>
  <c r="P62" i="34999" s="1"/>
  <c r="P63" i="34999" s="1"/>
  <c r="P64" i="34999" s="1"/>
  <c r="P65" i="34999" s="1"/>
  <c r="P66" i="34999" s="1"/>
  <c r="P67" i="34999" s="1"/>
  <c r="P68" i="34999" s="1"/>
  <c r="P69" i="34999" s="1"/>
  <c r="P70" i="34999" s="1"/>
  <c r="P71" i="34999" s="1"/>
  <c r="P72" i="34999" s="1"/>
  <c r="P73" i="34999" s="1"/>
  <c r="P74" i="34999" s="1"/>
  <c r="P75" i="34999" s="1"/>
  <c r="P76" i="34999" s="1"/>
  <c r="P77" i="34999" s="1"/>
  <c r="P78" i="34999" s="1"/>
  <c r="P79" i="34999" s="1"/>
  <c r="P80" i="34999" s="1"/>
  <c r="P81" i="34999" s="1"/>
  <c r="P82" i="34999" s="1"/>
  <c r="P83" i="34999" s="1"/>
  <c r="P84" i="34999" s="1"/>
  <c r="L42" i="34999"/>
  <c r="L43" i="34999" s="1"/>
  <c r="L44" i="34999" s="1"/>
  <c r="L45" i="34999" s="1"/>
  <c r="L46" i="34999" s="1"/>
  <c r="L47" i="34999" s="1"/>
  <c r="L48" i="34999" s="1"/>
  <c r="L49" i="34999" s="1"/>
  <c r="L50" i="34999" s="1"/>
  <c r="L51" i="34999" s="1"/>
  <c r="L52" i="34999" s="1"/>
  <c r="L53" i="34999" s="1"/>
  <c r="L54" i="34999" s="1"/>
  <c r="L55" i="34999" s="1"/>
  <c r="L56" i="34999" s="1"/>
  <c r="L57" i="34999" s="1"/>
  <c r="L58" i="34999" s="1"/>
  <c r="L59" i="34999" s="1"/>
  <c r="L60" i="34999" s="1"/>
  <c r="L61" i="34999" s="1"/>
  <c r="L62" i="34999" s="1"/>
  <c r="L63" i="34999" s="1"/>
  <c r="L64" i="34999" s="1"/>
  <c r="L65" i="34999" s="1"/>
  <c r="L66" i="34999" s="1"/>
  <c r="L67" i="34999" s="1"/>
  <c r="L68" i="34999" s="1"/>
  <c r="L69" i="34999" s="1"/>
  <c r="L70" i="34999" s="1"/>
  <c r="L71" i="34999" s="1"/>
  <c r="L72" i="34999" s="1"/>
  <c r="L73" i="34999" s="1"/>
  <c r="L74" i="34999" s="1"/>
  <c r="L75" i="34999" s="1"/>
  <c r="L76" i="34999" s="1"/>
  <c r="L77" i="34999" s="1"/>
  <c r="L78" i="34999" s="1"/>
  <c r="L79" i="34999" s="1"/>
  <c r="L80" i="34999" s="1"/>
  <c r="L81" i="34999" s="1"/>
  <c r="L82" i="34999" s="1"/>
  <c r="L83" i="34999" s="1"/>
  <c r="L84" i="34999" s="1"/>
  <c r="J42" i="34999"/>
  <c r="J43" i="34999" s="1"/>
  <c r="J44" i="34999" s="1"/>
  <c r="J45" i="34999" s="1"/>
  <c r="J46" i="34999" s="1"/>
  <c r="J47" i="34999" s="1"/>
  <c r="J48" i="34999" s="1"/>
  <c r="J49" i="34999" s="1"/>
  <c r="J50" i="34999" s="1"/>
  <c r="J51" i="34999" s="1"/>
  <c r="J52" i="34999" s="1"/>
  <c r="J53" i="34999" s="1"/>
  <c r="J54" i="34999" s="1"/>
  <c r="J55" i="34999" s="1"/>
  <c r="J56" i="34999" s="1"/>
  <c r="J57" i="34999" s="1"/>
  <c r="J58" i="34999" s="1"/>
  <c r="J59" i="34999" s="1"/>
  <c r="J60" i="34999" s="1"/>
  <c r="J61" i="34999" s="1"/>
  <c r="J62" i="34999" s="1"/>
  <c r="J63" i="34999" s="1"/>
  <c r="J64" i="34999" s="1"/>
  <c r="J65" i="34999" s="1"/>
  <c r="J66" i="34999" s="1"/>
  <c r="J67" i="34999" s="1"/>
  <c r="J68" i="34999" s="1"/>
  <c r="J69" i="34999" s="1"/>
  <c r="J70" i="34999" s="1"/>
  <c r="J71" i="34999" s="1"/>
  <c r="J72" i="34999" s="1"/>
  <c r="J73" i="34999" s="1"/>
  <c r="J74" i="34999" s="1"/>
  <c r="J75" i="34999" s="1"/>
  <c r="J76" i="34999" s="1"/>
  <c r="J77" i="34999" s="1"/>
  <c r="J78" i="34999" s="1"/>
  <c r="J79" i="34999" s="1"/>
  <c r="J80" i="34999" s="1"/>
  <c r="J81" i="34999" s="1"/>
  <c r="J82" i="34999" s="1"/>
  <c r="J83" i="34999" s="1"/>
  <c r="J84" i="34999" s="1"/>
  <c r="H42" i="34999"/>
  <c r="H43" i="34999" s="1"/>
  <c r="H44" i="34999" s="1"/>
  <c r="H45" i="34999" s="1"/>
  <c r="H46" i="34999" s="1"/>
  <c r="H47" i="34999" s="1"/>
  <c r="H48" i="34999" s="1"/>
  <c r="H49" i="34999" s="1"/>
  <c r="H50" i="34999" s="1"/>
  <c r="H51" i="34999" s="1"/>
  <c r="H52" i="34999" s="1"/>
  <c r="H53" i="34999" s="1"/>
  <c r="H54" i="34999" s="1"/>
  <c r="H55" i="34999" s="1"/>
  <c r="H56" i="34999" s="1"/>
  <c r="H57" i="34999" s="1"/>
  <c r="H58" i="34999" s="1"/>
  <c r="H59" i="34999" s="1"/>
  <c r="H60" i="34999" s="1"/>
  <c r="H61" i="34999" s="1"/>
  <c r="H62" i="34999" s="1"/>
  <c r="H63" i="34999" s="1"/>
  <c r="H64" i="34999" s="1"/>
  <c r="H65" i="34999" s="1"/>
  <c r="H66" i="34999" s="1"/>
  <c r="H67" i="34999" s="1"/>
  <c r="H68" i="34999" s="1"/>
  <c r="H69" i="34999" s="1"/>
  <c r="H70" i="34999" s="1"/>
  <c r="H71" i="34999" s="1"/>
  <c r="H72" i="34999" s="1"/>
  <c r="H73" i="34999" s="1"/>
  <c r="H74" i="34999" s="1"/>
  <c r="H75" i="34999" s="1"/>
  <c r="H76" i="34999" s="1"/>
  <c r="H77" i="34999" s="1"/>
  <c r="H78" i="34999" s="1"/>
  <c r="H79" i="34999" s="1"/>
  <c r="H80" i="34999" s="1"/>
  <c r="H81" i="34999" s="1"/>
  <c r="H82" i="34999" s="1"/>
  <c r="H83" i="34999" s="1"/>
  <c r="H84" i="34999" s="1"/>
  <c r="G42" i="34999"/>
  <c r="G43" i="34999" s="1"/>
  <c r="G44" i="34999" s="1"/>
  <c r="G45" i="34999" s="1"/>
  <c r="G46" i="34999" s="1"/>
  <c r="G47" i="34999" s="1"/>
  <c r="G48" i="34999" s="1"/>
  <c r="G49" i="34999" s="1"/>
  <c r="G50" i="34999" s="1"/>
  <c r="G51" i="34999" s="1"/>
  <c r="G52" i="34999" s="1"/>
  <c r="G53" i="34999" s="1"/>
  <c r="G54" i="34999" s="1"/>
  <c r="G55" i="34999" s="1"/>
  <c r="G56" i="34999" s="1"/>
  <c r="G57" i="34999" s="1"/>
  <c r="G58" i="34999" s="1"/>
  <c r="G59" i="34999" s="1"/>
  <c r="G60" i="34999" s="1"/>
  <c r="G61" i="34999" s="1"/>
  <c r="G62" i="34999" s="1"/>
  <c r="G63" i="34999" s="1"/>
  <c r="G64" i="34999" s="1"/>
  <c r="G65" i="34999" s="1"/>
  <c r="G66" i="34999" s="1"/>
  <c r="G67" i="34999" s="1"/>
  <c r="G68" i="34999" s="1"/>
  <c r="G69" i="34999" s="1"/>
  <c r="G70" i="34999" s="1"/>
  <c r="G71" i="34999" s="1"/>
  <c r="G72" i="34999" s="1"/>
  <c r="G73" i="34999" s="1"/>
  <c r="G74" i="34999" s="1"/>
  <c r="G75" i="34999" s="1"/>
  <c r="G76" i="34999" s="1"/>
  <c r="G77" i="34999" s="1"/>
  <c r="G78" i="34999" s="1"/>
  <c r="G79" i="34999" s="1"/>
  <c r="G80" i="34999" s="1"/>
  <c r="G81" i="34999" s="1"/>
  <c r="G82" i="34999" s="1"/>
  <c r="G83" i="34999" s="1"/>
  <c r="G84" i="34999" s="1"/>
  <c r="F42" i="34999"/>
  <c r="F43" i="34999"/>
  <c r="F44" i="34999" s="1"/>
  <c r="F45" i="34999" s="1"/>
  <c r="F46" i="34999" s="1"/>
  <c r="F47" i="34999" s="1"/>
  <c r="F48" i="34999" s="1"/>
  <c r="F49" i="34999" s="1"/>
  <c r="F50" i="34999" s="1"/>
  <c r="F51" i="34999" s="1"/>
  <c r="F52" i="34999" s="1"/>
  <c r="F53" i="34999" s="1"/>
  <c r="F54" i="34999" s="1"/>
  <c r="F55" i="34999" s="1"/>
  <c r="F56" i="34999" s="1"/>
  <c r="F57" i="34999" s="1"/>
  <c r="F58" i="34999" s="1"/>
  <c r="F59" i="34999" s="1"/>
  <c r="F60" i="34999" s="1"/>
  <c r="F61" i="34999" s="1"/>
  <c r="F62" i="34999" s="1"/>
  <c r="F63" i="34999" s="1"/>
  <c r="F64" i="34999" s="1"/>
  <c r="F65" i="34999" s="1"/>
  <c r="F66" i="34999" s="1"/>
  <c r="F67" i="34999" s="1"/>
  <c r="F68" i="34999" s="1"/>
  <c r="F69" i="34999" s="1"/>
  <c r="F70" i="34999" s="1"/>
  <c r="F71" i="34999" s="1"/>
  <c r="F72" i="34999" s="1"/>
  <c r="F73" i="34999" s="1"/>
  <c r="F74" i="34999" s="1"/>
  <c r="F75" i="34999" s="1"/>
  <c r="F76" i="34999" s="1"/>
  <c r="F77" i="34999" s="1"/>
  <c r="F78" i="34999" s="1"/>
  <c r="F79" i="34999" s="1"/>
  <c r="F80" i="34999" s="1"/>
  <c r="F81" i="34999" s="1"/>
  <c r="F82" i="34999" s="1"/>
  <c r="F83" i="34999" s="1"/>
  <c r="F84" i="34999" s="1"/>
  <c r="E42" i="34999"/>
  <c r="E43" i="34999" s="1"/>
  <c r="E44" i="34999" s="1"/>
  <c r="E45" i="34999" s="1"/>
  <c r="E46" i="34999" s="1"/>
  <c r="E47" i="34999" s="1"/>
  <c r="E48" i="34999" s="1"/>
  <c r="E49" i="34999" s="1"/>
  <c r="E50" i="34999" s="1"/>
  <c r="E51" i="34999" s="1"/>
  <c r="E52" i="34999" s="1"/>
  <c r="E53" i="34999" s="1"/>
  <c r="E54" i="34999" s="1"/>
  <c r="E55" i="34999" s="1"/>
  <c r="E56" i="34999" s="1"/>
  <c r="E57" i="34999" s="1"/>
  <c r="E58" i="34999" s="1"/>
  <c r="E59" i="34999" s="1"/>
  <c r="E60" i="34999" s="1"/>
  <c r="E61" i="34999" s="1"/>
  <c r="E62" i="34999" s="1"/>
  <c r="E63" i="34999" s="1"/>
  <c r="E64" i="34999" s="1"/>
  <c r="E65" i="34999" s="1"/>
  <c r="E66" i="34999" s="1"/>
  <c r="E67" i="34999" s="1"/>
  <c r="E68" i="34999" s="1"/>
  <c r="E69" i="34999" s="1"/>
  <c r="E70" i="34999" s="1"/>
  <c r="E71" i="34999" s="1"/>
  <c r="E72" i="34999" s="1"/>
  <c r="E73" i="34999" s="1"/>
  <c r="E74" i="34999" s="1"/>
  <c r="E75" i="34999" s="1"/>
  <c r="E76" i="34999" s="1"/>
  <c r="E77" i="34999" s="1"/>
  <c r="E78" i="34999" s="1"/>
  <c r="E79" i="34999" s="1"/>
  <c r="E80" i="34999" s="1"/>
  <c r="E81" i="34999" s="1"/>
  <c r="E82" i="34999" s="1"/>
  <c r="E83" i="34999" s="1"/>
  <c r="E84" i="34999" s="1"/>
  <c r="D42" i="34999"/>
  <c r="D43" i="34999" s="1"/>
  <c r="D44" i="34999" s="1"/>
  <c r="D45" i="34999" s="1"/>
  <c r="D46" i="34999" s="1"/>
  <c r="D47" i="34999" s="1"/>
  <c r="D48" i="34999" s="1"/>
  <c r="D49" i="34999" s="1"/>
  <c r="D50" i="34999" s="1"/>
  <c r="D51" i="34999" s="1"/>
  <c r="D52" i="34999" s="1"/>
  <c r="D53" i="34999" s="1"/>
  <c r="D54" i="34999" s="1"/>
  <c r="D55" i="34999" s="1"/>
  <c r="D56" i="34999" s="1"/>
  <c r="D57" i="34999" s="1"/>
  <c r="D58" i="34999" s="1"/>
  <c r="D59" i="34999" s="1"/>
  <c r="D60" i="34999" s="1"/>
  <c r="D61" i="34999" s="1"/>
  <c r="D62" i="34999" s="1"/>
  <c r="D63" i="34999" s="1"/>
  <c r="D64" i="34999" s="1"/>
  <c r="D65" i="34999" s="1"/>
  <c r="D66" i="34999" s="1"/>
  <c r="D67" i="34999" s="1"/>
  <c r="D68" i="34999" s="1"/>
  <c r="D69" i="34999" s="1"/>
  <c r="D70" i="34999" s="1"/>
  <c r="D71" i="34999" s="1"/>
  <c r="D72" i="34999" s="1"/>
  <c r="D73" i="34999" s="1"/>
  <c r="D74" i="34999" s="1"/>
  <c r="D75" i="34999" s="1"/>
  <c r="D76" i="34999" s="1"/>
  <c r="D77" i="34999" s="1"/>
  <c r="D78" i="34999" s="1"/>
  <c r="D79" i="34999" s="1"/>
  <c r="D80" i="34999" s="1"/>
  <c r="D81" i="34999" s="1"/>
  <c r="D82" i="34999" s="1"/>
  <c r="D83" i="34999" s="1"/>
  <c r="D84" i="34999" s="1"/>
  <c r="C42" i="34999"/>
  <c r="C43" i="34999"/>
  <c r="C44" i="34999" s="1"/>
  <c r="C45" i="34999" s="1"/>
  <c r="C46" i="34999" s="1"/>
  <c r="C47" i="34999" s="1"/>
  <c r="C48" i="34999" s="1"/>
  <c r="C49" i="34999" s="1"/>
  <c r="C50" i="34999" s="1"/>
  <c r="C51" i="34999" s="1"/>
  <c r="C52" i="34999" s="1"/>
  <c r="C53" i="34999" s="1"/>
  <c r="C54" i="34999" s="1"/>
  <c r="C55" i="34999" s="1"/>
  <c r="C56" i="34999" s="1"/>
  <c r="C57" i="34999" s="1"/>
  <c r="C58" i="34999" s="1"/>
  <c r="C59" i="34999" s="1"/>
  <c r="C60" i="34999" s="1"/>
  <c r="C61" i="34999" s="1"/>
  <c r="C62" i="34999" s="1"/>
  <c r="C63" i="34999" s="1"/>
  <c r="C64" i="34999" s="1"/>
  <c r="C65" i="34999" s="1"/>
  <c r="C66" i="34999" s="1"/>
  <c r="C67" i="34999" s="1"/>
  <c r="C68" i="34999" s="1"/>
  <c r="C69" i="34999" s="1"/>
  <c r="C70" i="34999" s="1"/>
  <c r="C71" i="34999" s="1"/>
  <c r="C72" i="34999" s="1"/>
  <c r="C73" i="34999" s="1"/>
  <c r="C74" i="34999" s="1"/>
  <c r="C75" i="34999" s="1"/>
  <c r="C76" i="34999" s="1"/>
  <c r="C77" i="34999" s="1"/>
  <c r="C78" i="34999" s="1"/>
  <c r="C79" i="34999" s="1"/>
  <c r="C80" i="34999" s="1"/>
  <c r="C81" i="34999" s="1"/>
  <c r="C82" i="34999" s="1"/>
  <c r="C83" i="34999" s="1"/>
  <c r="C84" i="34999" s="1"/>
  <c r="L10" i="35035" l="1"/>
  <c r="N10" i="34999" l="1"/>
  <c r="Q10" i="34999"/>
  <c r="AB10" i="34968" a="1"/>
  <c r="AA10" i="34968" a="1"/>
  <c r="Z10" i="34968" a="1"/>
  <c r="Y10" i="34968" a="1"/>
  <c r="X10" i="34968" a="1"/>
  <c r="W10" i="34968" a="1"/>
  <c r="V10" i="34968" a="1"/>
  <c r="V10" i="34968" s="1"/>
  <c r="U10" i="34968" a="1"/>
  <c r="U35" i="34968" s="1"/>
  <c r="T10" i="34968" a="1"/>
  <c r="T15" i="34968" s="1"/>
  <c r="T10" i="34968"/>
  <c r="T11" i="34968"/>
  <c r="T12" i="34968"/>
  <c r="T13" i="34968"/>
  <c r="T14" i="34968"/>
  <c r="T18" i="34968"/>
  <c r="T21" i="34968"/>
  <c r="T22" i="34968"/>
  <c r="T23" i="34968"/>
  <c r="T24" i="34968"/>
  <c r="T25" i="34968"/>
  <c r="T26" i="34968"/>
  <c r="T30" i="34968"/>
  <c r="T33" i="34968"/>
  <c r="T34" i="34968"/>
  <c r="T35" i="34968"/>
  <c r="T36" i="34968"/>
  <c r="T37" i="34968"/>
  <c r="T38" i="34968"/>
  <c r="S10" i="34968" a="1"/>
  <c r="S21" i="34968" s="1"/>
  <c r="R10" i="34968" a="1"/>
  <c r="R10" i="34968" s="1"/>
  <c r="K10" i="34999" a="1"/>
  <c r="V32" i="34968" l="1"/>
  <c r="V20" i="34968"/>
  <c r="V39" i="34968"/>
  <c r="V30" i="34968"/>
  <c r="V18" i="34968"/>
  <c r="V26" i="34968"/>
  <c r="V33" i="34968"/>
  <c r="V19" i="34968"/>
  <c r="V41" i="34968"/>
  <c r="V29" i="34968"/>
  <c r="V17" i="34968"/>
  <c r="V15" i="34968"/>
  <c r="V38" i="34968"/>
  <c r="V21" i="34968"/>
  <c r="V31" i="34968"/>
  <c r="V40" i="34968"/>
  <c r="V28" i="34968"/>
  <c r="V16" i="34968"/>
  <c r="V14" i="34968"/>
  <c r="V36" i="34968"/>
  <c r="V24" i="34968"/>
  <c r="V12" i="34968"/>
  <c r="V35" i="34968"/>
  <c r="V23" i="34968"/>
  <c r="V11" i="34968"/>
  <c r="V27" i="34968"/>
  <c r="V37" i="34968"/>
  <c r="V25" i="34968"/>
  <c r="V13" i="34968"/>
  <c r="V34" i="34968"/>
  <c r="V22" i="34968"/>
  <c r="U11" i="34968"/>
  <c r="U33" i="34968"/>
  <c r="U20" i="34968"/>
  <c r="U31" i="34968"/>
  <c r="U19" i="34968"/>
  <c r="U23" i="34968"/>
  <c r="U34" i="34968"/>
  <c r="U22" i="34968"/>
  <c r="U10" i="34968"/>
  <c r="U21" i="34968"/>
  <c r="U32" i="34968"/>
  <c r="U30" i="34968"/>
  <c r="U18" i="34968"/>
  <c r="U41" i="34968"/>
  <c r="U29" i="34968"/>
  <c r="U17" i="34968"/>
  <c r="U40" i="34968"/>
  <c r="U16" i="34968"/>
  <c r="U27" i="34968"/>
  <c r="U38" i="34968"/>
  <c r="U14" i="34968"/>
  <c r="U37" i="34968"/>
  <c r="U25" i="34968"/>
  <c r="U13" i="34968"/>
  <c r="U28" i="34968"/>
  <c r="U39" i="34968"/>
  <c r="U15" i="34968"/>
  <c r="U26" i="34968"/>
  <c r="U36" i="34968"/>
  <c r="U24" i="34968"/>
  <c r="U12" i="34968"/>
  <c r="T32" i="34968"/>
  <c r="T20" i="34968"/>
  <c r="T31" i="34968"/>
  <c r="T19" i="34968"/>
  <c r="T17" i="34968"/>
  <c r="T40" i="34968"/>
  <c r="T28" i="34968"/>
  <c r="T16" i="34968"/>
  <c r="T41" i="34968"/>
  <c r="T29" i="34968"/>
  <c r="T39" i="34968"/>
  <c r="T27" i="34968"/>
  <c r="S32" i="34968"/>
  <c r="S20" i="34968"/>
  <c r="S31" i="34968"/>
  <c r="S19" i="34968"/>
  <c r="S30" i="34968"/>
  <c r="S18" i="34968"/>
  <c r="S41" i="34968"/>
  <c r="S29" i="34968"/>
  <c r="S17" i="34968"/>
  <c r="S40" i="34968"/>
  <c r="S28" i="34968"/>
  <c r="S16" i="34968"/>
  <c r="S39" i="34968"/>
  <c r="S27" i="34968"/>
  <c r="S15" i="34968"/>
  <c r="S38" i="34968"/>
  <c r="S26" i="34968"/>
  <c r="S14" i="34968"/>
  <c r="S37" i="34968"/>
  <c r="S25" i="34968"/>
  <c r="S13" i="34968"/>
  <c r="S36" i="34968"/>
  <c r="S24" i="34968"/>
  <c r="S12" i="34968"/>
  <c r="S35" i="34968"/>
  <c r="S23" i="34968"/>
  <c r="S11" i="34968"/>
  <c r="S34" i="34968"/>
  <c r="S22" i="34968"/>
  <c r="S10" i="34968"/>
  <c r="S33" i="34968"/>
  <c r="R32" i="34968"/>
  <c r="R19" i="34968"/>
  <c r="R30" i="34968"/>
  <c r="R18" i="34968"/>
  <c r="R21" i="34968"/>
  <c r="R31" i="34968"/>
  <c r="R41" i="34968"/>
  <c r="R29" i="34968"/>
  <c r="R17" i="34968"/>
  <c r="R40" i="34968"/>
  <c r="R28" i="34968"/>
  <c r="R16" i="34968"/>
  <c r="R20" i="34968"/>
  <c r="R38" i="34968"/>
  <c r="R26" i="34968"/>
  <c r="R14" i="34968"/>
  <c r="R37" i="34968"/>
  <c r="R25" i="34968"/>
  <c r="R13" i="34968"/>
  <c r="R36" i="34968"/>
  <c r="R24" i="34968"/>
  <c r="R12" i="34968"/>
  <c r="R33" i="34968"/>
  <c r="R27" i="34968"/>
  <c r="R35" i="34968"/>
  <c r="R23" i="34968"/>
  <c r="R11" i="34968"/>
  <c r="R39" i="34968"/>
  <c r="R15" i="34968"/>
  <c r="R34" i="34968"/>
  <c r="R22" i="34968"/>
  <c r="P42" i="34968" l="1"/>
  <c r="P43" i="34968" s="1"/>
  <c r="H16" i="35393" l="1"/>
  <c r="D54" i="35391"/>
  <c r="D53" i="35391"/>
  <c r="B18" i="34935" l="1"/>
  <c r="C22" i="34992" l="1"/>
  <c r="B22" i="34992" a="1"/>
  <c r="B22" i="34992" s="1"/>
  <c r="F39" i="35043" l="1"/>
  <c r="B13" i="35023"/>
  <c r="C13" i="35023"/>
  <c r="E22" i="34992" l="1"/>
  <c r="F22" i="34992"/>
  <c r="G22" i="34992"/>
  <c r="H22" i="34992"/>
  <c r="I22" i="34992"/>
  <c r="J22" i="34992"/>
  <c r="D13" i="35023" l="1"/>
  <c r="C10" i="34993" l="1" a="1"/>
  <c r="J7" i="34968"/>
  <c r="C14" i="34993" l="1"/>
  <c r="C80" i="34993"/>
  <c r="C56" i="34993"/>
  <c r="C32" i="34993"/>
  <c r="C73" i="34993"/>
  <c r="C49" i="34993"/>
  <c r="C25" i="34993"/>
  <c r="C84" i="34993"/>
  <c r="C60" i="34993"/>
  <c r="C36" i="34993"/>
  <c r="C12" i="34993"/>
  <c r="C71" i="34993"/>
  <c r="C47" i="34993"/>
  <c r="C23" i="34993"/>
  <c r="C82" i="34993"/>
  <c r="C58" i="34993"/>
  <c r="C34" i="34993"/>
  <c r="C10" i="34993"/>
  <c r="C69" i="34993"/>
  <c r="C45" i="34993"/>
  <c r="C21" i="34993"/>
  <c r="C67" i="34993"/>
  <c r="C43" i="34993"/>
  <c r="C19" i="34993"/>
  <c r="C66" i="34993"/>
  <c r="C42" i="34993"/>
  <c r="C18" i="34993"/>
  <c r="C65" i="34993"/>
  <c r="C41" i="34993"/>
  <c r="C17" i="34993"/>
  <c r="C64" i="34993"/>
  <c r="C40" i="34993"/>
  <c r="C16" i="34993"/>
  <c r="C63" i="34993"/>
  <c r="C39" i="34993"/>
  <c r="C15" i="34993"/>
  <c r="C62" i="34993"/>
  <c r="C38" i="34993"/>
  <c r="C68" i="34993"/>
  <c r="C44" i="34993"/>
  <c r="C20" i="34993"/>
  <c r="C61" i="34993"/>
  <c r="C37" i="34993"/>
  <c r="C13" i="34993"/>
  <c r="C72" i="34993"/>
  <c r="C48" i="34993"/>
  <c r="C24" i="34993"/>
  <c r="C83" i="34993"/>
  <c r="C59" i="34993"/>
  <c r="C35" i="34993"/>
  <c r="C11" i="34993"/>
  <c r="C70" i="34993"/>
  <c r="C46" i="34993"/>
  <c r="C22" i="34993"/>
  <c r="C81" i="34993"/>
  <c r="C57" i="34993"/>
  <c r="C33" i="34993"/>
  <c r="C79" i="34993"/>
  <c r="C55" i="34993"/>
  <c r="C31" i="34993"/>
  <c r="C78" i="34993"/>
  <c r="C54" i="34993"/>
  <c r="C30" i="34993"/>
  <c r="C77" i="34993"/>
  <c r="C53" i="34993"/>
  <c r="C29" i="34993"/>
  <c r="C76" i="34993"/>
  <c r="C52" i="34993"/>
  <c r="C28" i="34993"/>
  <c r="C75" i="34993"/>
  <c r="C51" i="34993"/>
  <c r="C27" i="34993"/>
  <c r="C74" i="34993"/>
  <c r="C50" i="34993"/>
  <c r="C26" i="34993"/>
  <c r="P44" i="34968"/>
  <c r="P45" i="34968" s="1"/>
  <c r="P46" i="34968" s="1"/>
  <c r="P47" i="34968" s="1"/>
  <c r="P48" i="34968" s="1"/>
  <c r="P49" i="34968" s="1"/>
  <c r="P50" i="34968" s="1"/>
  <c r="P51" i="34968" s="1"/>
  <c r="P52" i="34968" s="1"/>
  <c r="P53" i="34968" s="1"/>
  <c r="P54" i="34968" s="1"/>
  <c r="P55" i="34968" s="1"/>
  <c r="P56" i="34968" s="1"/>
  <c r="P57" i="34968" s="1"/>
  <c r="P58" i="34968" s="1"/>
  <c r="P59" i="34968" s="1"/>
  <c r="P60" i="34968" s="1"/>
  <c r="P61" i="34968" s="1"/>
  <c r="P62" i="34968" s="1"/>
  <c r="P63" i="34968" s="1"/>
  <c r="P64" i="34968" s="1"/>
  <c r="P65" i="34968" s="1"/>
  <c r="P66" i="34968" s="1"/>
  <c r="P67" i="34968" s="1"/>
  <c r="P68" i="34968" s="1"/>
  <c r="P69" i="34968" s="1"/>
  <c r="P70" i="34968" s="1"/>
  <c r="P71" i="34968" s="1"/>
  <c r="P72" i="34968" s="1"/>
  <c r="P73" i="34968" s="1"/>
  <c r="P74" i="34968" s="1"/>
  <c r="P75" i="34968" s="1"/>
  <c r="P76" i="34968" s="1"/>
  <c r="P77" i="34968" s="1"/>
  <c r="P78" i="34968" s="1"/>
  <c r="P79" i="34968" s="1"/>
  <c r="P80" i="34968" s="1"/>
  <c r="P81" i="34968" s="1"/>
  <c r="P82" i="34968" s="1"/>
  <c r="P83" i="34968" s="1"/>
  <c r="P84" i="34968" s="1"/>
  <c r="Q10" i="34968"/>
  <c r="Q11" i="34968"/>
  <c r="Q12" i="34968"/>
  <c r="Q13" i="34968"/>
  <c r="Q14" i="34968"/>
  <c r="Q15" i="34968"/>
  <c r="Q16" i="34968"/>
  <c r="Q17" i="34968"/>
  <c r="Q18" i="34968"/>
  <c r="Q19" i="34968"/>
  <c r="Q20" i="34968"/>
  <c r="Q21" i="34968"/>
  <c r="Q22" i="34968"/>
  <c r="Q23" i="34968"/>
  <c r="Q24" i="34968"/>
  <c r="Q25" i="34968"/>
  <c r="Q26" i="34968"/>
  <c r="Q27" i="34968"/>
  <c r="Q28" i="34968"/>
  <c r="Q29" i="34968"/>
  <c r="Q30" i="34968"/>
  <c r="Q31" i="34968"/>
  <c r="Q32" i="34968"/>
  <c r="Q33" i="34968"/>
  <c r="Q34" i="34968"/>
  <c r="Q35" i="34968"/>
  <c r="Q36" i="34968"/>
  <c r="Q37" i="34968"/>
  <c r="Q38" i="34968"/>
  <c r="Q39" i="34968"/>
  <c r="Q40" i="34968"/>
  <c r="Q41" i="34968"/>
  <c r="Q42" i="34968"/>
  <c r="Q43" i="34968"/>
  <c r="V43" i="34968" l="1"/>
  <c r="T43" i="34968"/>
  <c r="U43" i="34968"/>
  <c r="S43" i="34968"/>
  <c r="R43" i="34968"/>
  <c r="T42" i="34968"/>
  <c r="S42" i="34968"/>
  <c r="U42" i="34968"/>
  <c r="V42" i="34968"/>
  <c r="R42" i="34968"/>
  <c r="Q44" i="34968"/>
  <c r="S44" i="34968" l="1"/>
  <c r="R44" i="34968"/>
  <c r="V44" i="34968"/>
  <c r="T44" i="34968"/>
  <c r="U44" i="34968"/>
  <c r="Q45" i="34968"/>
  <c r="T45" i="34968" l="1"/>
  <c r="V45" i="34968"/>
  <c r="R45" i="34968"/>
  <c r="U45" i="34968"/>
  <c r="S45" i="34968"/>
  <c r="Q46" i="34968"/>
  <c r="T46" i="34968" l="1"/>
  <c r="R46" i="34968"/>
  <c r="V46" i="34968"/>
  <c r="U46" i="34968"/>
  <c r="S46" i="34968"/>
  <c r="Q47" i="34968"/>
  <c r="A3" i="35405"/>
  <c r="A4" i="35405"/>
  <c r="A5" i="35405"/>
  <c r="A6" i="35405"/>
  <c r="A7" i="35405"/>
  <c r="A8" i="35405"/>
  <c r="A9" i="35405"/>
  <c r="A10" i="35405"/>
  <c r="A11" i="35405"/>
  <c r="A12" i="35405"/>
  <c r="A13" i="35405"/>
  <c r="A14" i="35405"/>
  <c r="A15" i="35405"/>
  <c r="A16" i="35405"/>
  <c r="A17" i="35405"/>
  <c r="A18" i="35405"/>
  <c r="A19" i="35405"/>
  <c r="A20" i="35405"/>
  <c r="A21" i="35405"/>
  <c r="A22" i="35405"/>
  <c r="A23" i="35405"/>
  <c r="A24" i="35405"/>
  <c r="A25" i="35405"/>
  <c r="A26" i="35405"/>
  <c r="A27" i="35405"/>
  <c r="A28" i="35405"/>
  <c r="A29" i="35405"/>
  <c r="A30" i="35405"/>
  <c r="A31" i="35405"/>
  <c r="A32" i="35405"/>
  <c r="A33" i="35405"/>
  <c r="A34" i="35405"/>
  <c r="A35" i="35405"/>
  <c r="A36" i="35405"/>
  <c r="A37" i="35405"/>
  <c r="A38" i="35405"/>
  <c r="A39" i="35405"/>
  <c r="A40" i="35405"/>
  <c r="A41" i="35405"/>
  <c r="A42" i="35405"/>
  <c r="A43" i="35405"/>
  <c r="A44" i="35405"/>
  <c r="A45" i="35405"/>
  <c r="A46" i="35405"/>
  <c r="A47" i="35405"/>
  <c r="A48" i="35405"/>
  <c r="A49" i="35405"/>
  <c r="A50" i="35405"/>
  <c r="A51" i="35405"/>
  <c r="A52" i="35405"/>
  <c r="A53" i="35405"/>
  <c r="A54" i="35405"/>
  <c r="A55" i="35405"/>
  <c r="A56" i="35405"/>
  <c r="A57" i="35405"/>
  <c r="A58" i="35405"/>
  <c r="A59" i="35405"/>
  <c r="A60" i="35405"/>
  <c r="A61" i="35405"/>
  <c r="A62" i="35405"/>
  <c r="A63" i="35405"/>
  <c r="A64" i="35405"/>
  <c r="A65" i="35405"/>
  <c r="A66" i="35405"/>
  <c r="A67" i="35405"/>
  <c r="A68" i="35405"/>
  <c r="A69" i="35405"/>
  <c r="A70" i="35405"/>
  <c r="A71" i="35405"/>
  <c r="A72" i="35405"/>
  <c r="A73" i="35405"/>
  <c r="A74" i="35405"/>
  <c r="A75" i="35405"/>
  <c r="A76" i="35405"/>
  <c r="A77" i="35405"/>
  <c r="A78" i="35405"/>
  <c r="A79" i="35405"/>
  <c r="A80" i="35405"/>
  <c r="A81" i="35405"/>
  <c r="A82" i="35405"/>
  <c r="A83" i="35405"/>
  <c r="A84" i="35405"/>
  <c r="A85" i="35405"/>
  <c r="A86" i="35405"/>
  <c r="A87" i="35405"/>
  <c r="A88" i="35405"/>
  <c r="A89" i="35405"/>
  <c r="A90" i="35405"/>
  <c r="A91" i="35405"/>
  <c r="A92" i="35405"/>
  <c r="A93" i="35405"/>
  <c r="A94" i="35405"/>
  <c r="A95" i="35405"/>
  <c r="A96" i="35405"/>
  <c r="A97" i="35405"/>
  <c r="A98" i="35405"/>
  <c r="A99" i="35405"/>
  <c r="A100" i="35405"/>
  <c r="A101" i="35405"/>
  <c r="A102" i="35405"/>
  <c r="A103" i="35405"/>
  <c r="A104" i="35405"/>
  <c r="A105" i="35405"/>
  <c r="A106" i="35405"/>
  <c r="A107" i="35405"/>
  <c r="A108" i="35405"/>
  <c r="A109" i="35405"/>
  <c r="A110" i="35405"/>
  <c r="A111" i="35405"/>
  <c r="A112" i="35405"/>
  <c r="A113" i="35405"/>
  <c r="A114" i="35405"/>
  <c r="A115" i="35405"/>
  <c r="A116" i="35405"/>
  <c r="A117" i="35405"/>
  <c r="A118" i="35405"/>
  <c r="A119" i="35405"/>
  <c r="A120" i="35405"/>
  <c r="A121" i="35405"/>
  <c r="A122" i="35405"/>
  <c r="A123" i="35405"/>
  <c r="A124" i="35405"/>
  <c r="A125" i="35405"/>
  <c r="A126" i="35405"/>
  <c r="A127" i="35405"/>
  <c r="A128" i="35405"/>
  <c r="A129" i="35405"/>
  <c r="A130" i="35405"/>
  <c r="A131" i="35405"/>
  <c r="A132" i="35405"/>
  <c r="A133" i="35405"/>
  <c r="A134" i="35405"/>
  <c r="A135" i="35405"/>
  <c r="A136" i="35405"/>
  <c r="A137" i="35405"/>
  <c r="A138" i="35405"/>
  <c r="A139" i="35405"/>
  <c r="A140" i="35405"/>
  <c r="A141" i="35405"/>
  <c r="A142" i="35405"/>
  <c r="A143" i="35405"/>
  <c r="A144" i="35405"/>
  <c r="A145" i="35405"/>
  <c r="A146" i="35405"/>
  <c r="A147" i="35405"/>
  <c r="A148" i="35405"/>
  <c r="A149" i="35405"/>
  <c r="A150" i="35405"/>
  <c r="A151" i="35405"/>
  <c r="A152" i="35405"/>
  <c r="A153" i="35405"/>
  <c r="A154" i="35405"/>
  <c r="A155" i="35405"/>
  <c r="A156" i="35405"/>
  <c r="A157" i="35405"/>
  <c r="A158" i="35405"/>
  <c r="A159" i="35405"/>
  <c r="A160" i="35405"/>
  <c r="A161" i="35405"/>
  <c r="A162" i="35405"/>
  <c r="A163" i="35405"/>
  <c r="A164" i="35405"/>
  <c r="A165" i="35405"/>
  <c r="A166" i="35405"/>
  <c r="A167" i="35405"/>
  <c r="A168" i="35405"/>
  <c r="A169" i="35405"/>
  <c r="A170" i="35405"/>
  <c r="A171" i="35405"/>
  <c r="A172" i="35405"/>
  <c r="A173" i="35405"/>
  <c r="A174" i="35405"/>
  <c r="A175" i="35405"/>
  <c r="A176" i="35405"/>
  <c r="A177" i="35405"/>
  <c r="A178" i="35405"/>
  <c r="A179" i="35405"/>
  <c r="A180" i="35405"/>
  <c r="A181" i="35405"/>
  <c r="A182" i="35405"/>
  <c r="A183" i="35405"/>
  <c r="A184" i="35405"/>
  <c r="A185" i="35405"/>
  <c r="A186" i="35405"/>
  <c r="A187" i="35405"/>
  <c r="A188" i="35405"/>
  <c r="A189" i="35405"/>
  <c r="A190" i="35405"/>
  <c r="A191" i="35405"/>
  <c r="A192" i="35405"/>
  <c r="A193" i="35405"/>
  <c r="A194" i="35405"/>
  <c r="A195" i="35405"/>
  <c r="A196" i="35405"/>
  <c r="A197" i="35405"/>
  <c r="A198" i="35405"/>
  <c r="A199" i="35405"/>
  <c r="A200" i="35405"/>
  <c r="A201" i="35405"/>
  <c r="A202" i="35405"/>
  <c r="A203" i="35405"/>
  <c r="A204" i="35405"/>
  <c r="A205" i="35405"/>
  <c r="A206" i="35405"/>
  <c r="A207" i="35405"/>
  <c r="A208" i="35405"/>
  <c r="A209" i="35405"/>
  <c r="A210" i="35405"/>
  <c r="A211" i="35405"/>
  <c r="A212" i="35405"/>
  <c r="A213" i="35405"/>
  <c r="A214" i="35405"/>
  <c r="A215" i="35405"/>
  <c r="A216" i="35405"/>
  <c r="A217" i="35405"/>
  <c r="A218" i="35405"/>
  <c r="A219" i="35405"/>
  <c r="A220" i="35405"/>
  <c r="A221" i="35405"/>
  <c r="A222" i="35405"/>
  <c r="A223" i="35405"/>
  <c r="A224" i="35405"/>
  <c r="A225" i="35405"/>
  <c r="A226" i="35405"/>
  <c r="A227" i="35405"/>
  <c r="A228" i="35405"/>
  <c r="A229" i="35405"/>
  <c r="A230" i="35405"/>
  <c r="A231" i="35405"/>
  <c r="A232" i="35405"/>
  <c r="A233" i="35405"/>
  <c r="A234" i="35405"/>
  <c r="A235" i="35405"/>
  <c r="A236" i="35405"/>
  <c r="A237" i="35405"/>
  <c r="A238" i="35405"/>
  <c r="A239" i="35405"/>
  <c r="A240" i="35405"/>
  <c r="A241" i="35405"/>
  <c r="A242" i="35405"/>
  <c r="A243" i="35405"/>
  <c r="A244" i="35405"/>
  <c r="A245" i="35405"/>
  <c r="A246" i="35405"/>
  <c r="A247" i="35405"/>
  <c r="A248" i="35405"/>
  <c r="A249" i="35405"/>
  <c r="A250" i="35405"/>
  <c r="A251" i="35405"/>
  <c r="A252" i="35405"/>
  <c r="A253" i="35405"/>
  <c r="A254" i="35405"/>
  <c r="A255" i="35405"/>
  <c r="A256" i="35405"/>
  <c r="A257" i="35405"/>
  <c r="A258" i="35405"/>
  <c r="A259" i="35405"/>
  <c r="A260" i="35405"/>
  <c r="A261" i="35405"/>
  <c r="A262" i="35405"/>
  <c r="A263" i="35405"/>
  <c r="A264" i="35405"/>
  <c r="A265" i="35405"/>
  <c r="A266" i="35405"/>
  <c r="A267" i="35405"/>
  <c r="A268" i="35405"/>
  <c r="A269" i="35405"/>
  <c r="A270" i="35405"/>
  <c r="A271" i="35405"/>
  <c r="A272" i="35405"/>
  <c r="A273" i="35405"/>
  <c r="A274" i="35405"/>
  <c r="A275" i="35405"/>
  <c r="A276" i="35405"/>
  <c r="A277" i="35405"/>
  <c r="A278" i="35405"/>
  <c r="A279" i="35405"/>
  <c r="A280" i="35405"/>
  <c r="A281" i="35405"/>
  <c r="A282" i="35405"/>
  <c r="A283" i="35405"/>
  <c r="A284" i="35405"/>
  <c r="A285" i="35405"/>
  <c r="A286" i="35405"/>
  <c r="A287" i="35405"/>
  <c r="A288" i="35405"/>
  <c r="A289" i="35405"/>
  <c r="A290" i="35405"/>
  <c r="A291" i="35405"/>
  <c r="A292" i="35405"/>
  <c r="A293" i="35405"/>
  <c r="A294" i="35405"/>
  <c r="A295" i="35405"/>
  <c r="A296" i="35405"/>
  <c r="A297" i="35405"/>
  <c r="A298" i="35405"/>
  <c r="A299" i="35405"/>
  <c r="A300" i="35405"/>
  <c r="A301" i="35405"/>
  <c r="A302" i="35405"/>
  <c r="A303" i="35405"/>
  <c r="A304" i="35405"/>
  <c r="A305" i="35405"/>
  <c r="A306" i="35405"/>
  <c r="A307" i="35405"/>
  <c r="A308" i="35405"/>
  <c r="A309" i="35405"/>
  <c r="A310" i="35405"/>
  <c r="A311" i="35405"/>
  <c r="A312" i="35405"/>
  <c r="A313" i="35405"/>
  <c r="A314" i="35405"/>
  <c r="A315" i="35405"/>
  <c r="A316" i="35405"/>
  <c r="A317" i="35405"/>
  <c r="A318" i="35405"/>
  <c r="A319" i="35405"/>
  <c r="A320" i="35405"/>
  <c r="A321" i="35405"/>
  <c r="A322" i="35405"/>
  <c r="A323" i="35405"/>
  <c r="A324" i="35405"/>
  <c r="A325" i="35405"/>
  <c r="A326" i="35405"/>
  <c r="A327" i="35405"/>
  <c r="A328" i="35405"/>
  <c r="A329" i="35405"/>
  <c r="A330" i="35405"/>
  <c r="A331" i="35405"/>
  <c r="A332" i="35405"/>
  <c r="A333" i="35405"/>
  <c r="A334" i="35405"/>
  <c r="A335" i="35405"/>
  <c r="A336" i="35405"/>
  <c r="A337" i="35405"/>
  <c r="A338" i="35405"/>
  <c r="A339" i="35405"/>
  <c r="A340" i="35405"/>
  <c r="A341" i="35405"/>
  <c r="A342" i="35405"/>
  <c r="A343" i="35405"/>
  <c r="A344" i="35405"/>
  <c r="A345" i="35405"/>
  <c r="A346" i="35405"/>
  <c r="A347" i="35405"/>
  <c r="A348" i="35405"/>
  <c r="A349" i="35405"/>
  <c r="A350" i="35405"/>
  <c r="A351" i="35405"/>
  <c r="A352" i="35405"/>
  <c r="A353" i="35405"/>
  <c r="A354" i="35405"/>
  <c r="A355" i="35405"/>
  <c r="A356" i="35405"/>
  <c r="A357" i="35405"/>
  <c r="A358" i="35405"/>
  <c r="A359" i="35405"/>
  <c r="A360" i="35405"/>
  <c r="A361" i="35405"/>
  <c r="A362" i="35405"/>
  <c r="A363" i="35405"/>
  <c r="A364" i="35405"/>
  <c r="A365" i="35405"/>
  <c r="A366" i="35405"/>
  <c r="A367" i="35405"/>
  <c r="A368" i="35405"/>
  <c r="A369" i="35405"/>
  <c r="A370" i="35405"/>
  <c r="A371" i="35405"/>
  <c r="A372" i="35405"/>
  <c r="A373" i="35405"/>
  <c r="A374" i="35405"/>
  <c r="A375" i="35405"/>
  <c r="A376" i="35405"/>
  <c r="A377" i="35405"/>
  <c r="A378" i="35405"/>
  <c r="A379" i="35405"/>
  <c r="A380" i="35405"/>
  <c r="A381" i="35405"/>
  <c r="A382" i="35405"/>
  <c r="A383" i="35405"/>
  <c r="A384" i="35405"/>
  <c r="A385" i="35405"/>
  <c r="A386" i="35405"/>
  <c r="A387" i="35405"/>
  <c r="A388" i="35405"/>
  <c r="A389" i="35405"/>
  <c r="A390" i="35405"/>
  <c r="A391" i="35405"/>
  <c r="A392" i="35405"/>
  <c r="A393" i="35405"/>
  <c r="A394" i="35405"/>
  <c r="A395" i="35405"/>
  <c r="A396" i="35405"/>
  <c r="A397" i="35405"/>
  <c r="A398" i="35405"/>
  <c r="A399" i="35405"/>
  <c r="A400" i="35405"/>
  <c r="A401" i="35405"/>
  <c r="A402" i="35405"/>
  <c r="A403" i="35405"/>
  <c r="A404" i="35405"/>
  <c r="A405" i="35405"/>
  <c r="A406" i="35405"/>
  <c r="A407" i="35405"/>
  <c r="A408" i="35405"/>
  <c r="A409" i="35405"/>
  <c r="A410" i="35405"/>
  <c r="A411" i="35405"/>
  <c r="A412" i="35405"/>
  <c r="A413" i="35405"/>
  <c r="A414" i="35405"/>
  <c r="A415" i="35405"/>
  <c r="A416" i="35405"/>
  <c r="A417" i="35405"/>
  <c r="A418" i="35405"/>
  <c r="A419" i="35405"/>
  <c r="A420" i="35405"/>
  <c r="A421" i="35405"/>
  <c r="A422" i="35405"/>
  <c r="A423" i="35405"/>
  <c r="A424" i="35405"/>
  <c r="A425" i="35405"/>
  <c r="A426" i="35405"/>
  <c r="A427" i="35405"/>
  <c r="A428" i="35405"/>
  <c r="A429" i="35405"/>
  <c r="A430" i="35405"/>
  <c r="A431" i="35405"/>
  <c r="A432" i="35405"/>
  <c r="A433" i="35405"/>
  <c r="A434" i="35405"/>
  <c r="A435" i="35405"/>
  <c r="A436" i="35405"/>
  <c r="A437" i="35405"/>
  <c r="A438" i="35405"/>
  <c r="A439" i="35405"/>
  <c r="A440" i="35405"/>
  <c r="A441" i="35405"/>
  <c r="A442" i="35405"/>
  <c r="A443" i="35405"/>
  <c r="A444" i="35405"/>
  <c r="A445" i="35405"/>
  <c r="A446" i="35405"/>
  <c r="A447" i="35405"/>
  <c r="A448" i="35405"/>
  <c r="A449" i="35405"/>
  <c r="A450" i="35405"/>
  <c r="A451" i="35405"/>
  <c r="A452" i="35405"/>
  <c r="A453" i="35405"/>
  <c r="A454" i="35405"/>
  <c r="A455" i="35405"/>
  <c r="A456" i="35405"/>
  <c r="A457" i="35405"/>
  <c r="A458" i="35405"/>
  <c r="A459" i="35405"/>
  <c r="A460" i="35405"/>
  <c r="A461" i="35405"/>
  <c r="A462" i="35405"/>
  <c r="A463" i="35405"/>
  <c r="A464" i="35405"/>
  <c r="A465" i="35405"/>
  <c r="A466" i="35405"/>
  <c r="A467" i="35405"/>
  <c r="A468" i="35405"/>
  <c r="A469" i="35405"/>
  <c r="A470" i="35405"/>
  <c r="A471" i="35405"/>
  <c r="A472" i="35405"/>
  <c r="A473" i="35405"/>
  <c r="A474" i="35405"/>
  <c r="A475" i="35405"/>
  <c r="A476" i="35405"/>
  <c r="A477" i="35405"/>
  <c r="A478" i="35405"/>
  <c r="A479" i="35405"/>
  <c r="A480" i="35405"/>
  <c r="A481" i="35405"/>
  <c r="A482" i="35405"/>
  <c r="A483" i="35405"/>
  <c r="A484" i="35405"/>
  <c r="A485" i="35405"/>
  <c r="A486" i="35405"/>
  <c r="A487" i="35405"/>
  <c r="A488" i="35405"/>
  <c r="A489" i="35405"/>
  <c r="A490" i="35405"/>
  <c r="A491" i="35405"/>
  <c r="A492" i="35405"/>
  <c r="A493" i="35405"/>
  <c r="A494" i="35405"/>
  <c r="A495" i="35405"/>
  <c r="A496" i="35405"/>
  <c r="A497" i="35405"/>
  <c r="A498" i="35405"/>
  <c r="A499" i="35405"/>
  <c r="A500" i="35405"/>
  <c r="A501" i="35405"/>
  <c r="A502" i="35405"/>
  <c r="A503" i="35405"/>
  <c r="A504" i="35405"/>
  <c r="A505" i="35405"/>
  <c r="A506" i="35405"/>
  <c r="A507" i="35405"/>
  <c r="A508" i="35405"/>
  <c r="A509" i="35405"/>
  <c r="A510" i="35405"/>
  <c r="A511" i="35405"/>
  <c r="A512" i="35405"/>
  <c r="A513" i="35405"/>
  <c r="A514" i="35405"/>
  <c r="A515" i="35405"/>
  <c r="A516" i="35405"/>
  <c r="A517" i="35405"/>
  <c r="A518" i="35405"/>
  <c r="A519" i="35405"/>
  <c r="A520" i="35405"/>
  <c r="A521" i="35405"/>
  <c r="A522" i="35405"/>
  <c r="A523" i="35405"/>
  <c r="A524" i="35405"/>
  <c r="A525" i="35405"/>
  <c r="A526" i="35405"/>
  <c r="A527" i="35405"/>
  <c r="A528" i="35405"/>
  <c r="A529" i="35405"/>
  <c r="A530" i="35405"/>
  <c r="A531" i="35405"/>
  <c r="A532" i="35405"/>
  <c r="A533" i="35405"/>
  <c r="A534" i="35405"/>
  <c r="A535" i="35405"/>
  <c r="A536" i="35405"/>
  <c r="A537" i="35405"/>
  <c r="A538" i="35405"/>
  <c r="A539" i="35405"/>
  <c r="A540" i="35405"/>
  <c r="A541" i="35405"/>
  <c r="A542" i="35405"/>
  <c r="A543" i="35405"/>
  <c r="A544" i="35405"/>
  <c r="A545" i="35405"/>
  <c r="A546" i="35405"/>
  <c r="A547" i="35405"/>
  <c r="A548" i="35405"/>
  <c r="A549" i="35405"/>
  <c r="A550" i="35405"/>
  <c r="A551" i="35405"/>
  <c r="A552" i="35405"/>
  <c r="A553" i="35405"/>
  <c r="A554" i="35405"/>
  <c r="A555" i="35405"/>
  <c r="A556" i="35405"/>
  <c r="A557" i="35405"/>
  <c r="A558" i="35405"/>
  <c r="A559" i="35405"/>
  <c r="A560" i="35405"/>
  <c r="A561" i="35405"/>
  <c r="A562" i="35405"/>
  <c r="A563" i="35405"/>
  <c r="A564" i="35405"/>
  <c r="A565" i="35405"/>
  <c r="A566" i="35405"/>
  <c r="A567" i="35405"/>
  <c r="A568" i="35405"/>
  <c r="A569" i="35405"/>
  <c r="A570" i="35405"/>
  <c r="A571" i="35405"/>
  <c r="A572" i="35405"/>
  <c r="A573" i="35405"/>
  <c r="A574" i="35405"/>
  <c r="A575" i="35405"/>
  <c r="A576" i="35405"/>
  <c r="A577" i="35405"/>
  <c r="A578" i="35405"/>
  <c r="A579" i="35405"/>
  <c r="A580" i="35405"/>
  <c r="A581" i="35405"/>
  <c r="A582" i="35405"/>
  <c r="A583" i="35405"/>
  <c r="A584" i="35405"/>
  <c r="A585" i="35405"/>
  <c r="A586" i="35405"/>
  <c r="A587" i="35405"/>
  <c r="A588" i="35405"/>
  <c r="A589" i="35405"/>
  <c r="A590" i="35405"/>
  <c r="A591" i="35405"/>
  <c r="A592" i="35405"/>
  <c r="A593" i="35405"/>
  <c r="A594" i="35405"/>
  <c r="A595" i="35405"/>
  <c r="A596" i="35405"/>
  <c r="A597" i="35405"/>
  <c r="A598" i="35405"/>
  <c r="A599" i="35405"/>
  <c r="A600" i="35405"/>
  <c r="A601" i="35405"/>
  <c r="A602" i="35405"/>
  <c r="A603" i="35405"/>
  <c r="A604" i="35405"/>
  <c r="A605" i="35405"/>
  <c r="A606" i="35405"/>
  <c r="A607" i="35405"/>
  <c r="A608" i="35405"/>
  <c r="A609" i="35405"/>
  <c r="A610" i="35405"/>
  <c r="A611" i="35405"/>
  <c r="A612" i="35405"/>
  <c r="A613" i="35405"/>
  <c r="A614" i="35405"/>
  <c r="A615" i="35405"/>
  <c r="A616" i="35405"/>
  <c r="A617" i="35405"/>
  <c r="A618" i="35405"/>
  <c r="A619" i="35405"/>
  <c r="A620" i="35405"/>
  <c r="A621" i="35405"/>
  <c r="A622" i="35405"/>
  <c r="A623" i="35405"/>
  <c r="A624" i="35405"/>
  <c r="A625" i="35405"/>
  <c r="A626" i="35405"/>
  <c r="A627" i="35405"/>
  <c r="A628" i="35405"/>
  <c r="A629" i="35405"/>
  <c r="A630" i="35405"/>
  <c r="A631" i="35405"/>
  <c r="A632" i="35405"/>
  <c r="A633" i="35405"/>
  <c r="A634" i="35405"/>
  <c r="A635" i="35405"/>
  <c r="A636" i="35405"/>
  <c r="A637" i="35405"/>
  <c r="A638" i="35405"/>
  <c r="A639" i="35405"/>
  <c r="A640" i="35405"/>
  <c r="A641" i="35405"/>
  <c r="A642" i="35405"/>
  <c r="A643" i="35405"/>
  <c r="A644" i="35405"/>
  <c r="A645" i="35405"/>
  <c r="A646" i="35405"/>
  <c r="A647" i="35405"/>
  <c r="A648" i="35405"/>
  <c r="A649" i="35405"/>
  <c r="A650" i="35405"/>
  <c r="A651" i="35405"/>
  <c r="A652" i="35405"/>
  <c r="A653" i="35405"/>
  <c r="A654" i="35405"/>
  <c r="A655" i="35405"/>
  <c r="A656" i="35405"/>
  <c r="A657" i="35405"/>
  <c r="A658" i="35405"/>
  <c r="A659" i="35405"/>
  <c r="A660" i="35405"/>
  <c r="A661" i="35405"/>
  <c r="A662" i="35405"/>
  <c r="A663" i="35405"/>
  <c r="A664" i="35405"/>
  <c r="A665" i="35405"/>
  <c r="A666" i="35405"/>
  <c r="A667" i="35405"/>
  <c r="A668" i="35405"/>
  <c r="A669" i="35405"/>
  <c r="A670" i="35405"/>
  <c r="A671" i="35405"/>
  <c r="A672" i="35405"/>
  <c r="A673" i="35405"/>
  <c r="A674" i="35405"/>
  <c r="A675" i="35405"/>
  <c r="A676" i="35405"/>
  <c r="A677" i="35405"/>
  <c r="A678" i="35405"/>
  <c r="A679" i="35405"/>
  <c r="A680" i="35405"/>
  <c r="A681" i="35405"/>
  <c r="A682" i="35405"/>
  <c r="A683" i="35405"/>
  <c r="A684" i="35405"/>
  <c r="A685" i="35405"/>
  <c r="A686" i="35405"/>
  <c r="A687" i="35405"/>
  <c r="A688" i="35405"/>
  <c r="A689" i="35405"/>
  <c r="A690" i="35405"/>
  <c r="A691" i="35405"/>
  <c r="A692" i="35405"/>
  <c r="A693" i="35405"/>
  <c r="A694" i="35405"/>
  <c r="A695" i="35405"/>
  <c r="A696" i="35405"/>
  <c r="A697" i="35405"/>
  <c r="A698" i="35405"/>
  <c r="A699" i="35405"/>
  <c r="A700" i="35405"/>
  <c r="A701" i="35405"/>
  <c r="A702" i="35405"/>
  <c r="A703" i="35405"/>
  <c r="A704" i="35405"/>
  <c r="A705" i="35405"/>
  <c r="A706" i="35405"/>
  <c r="A707" i="35405"/>
  <c r="A708" i="35405"/>
  <c r="A709" i="35405"/>
  <c r="A710" i="35405"/>
  <c r="A711" i="35405"/>
  <c r="A712" i="35405"/>
  <c r="A713" i="35405"/>
  <c r="A714" i="35405"/>
  <c r="A715" i="35405"/>
  <c r="A716" i="35405"/>
  <c r="A717" i="35405"/>
  <c r="A718" i="35405"/>
  <c r="A719" i="35405"/>
  <c r="A720" i="35405"/>
  <c r="A721" i="35405"/>
  <c r="A722" i="35405"/>
  <c r="A723" i="35405"/>
  <c r="A724" i="35405"/>
  <c r="A725" i="35405"/>
  <c r="A726" i="35405"/>
  <c r="A727" i="35405"/>
  <c r="A728" i="35405"/>
  <c r="A729" i="35405"/>
  <c r="A730" i="35405"/>
  <c r="A731" i="35405"/>
  <c r="A732" i="35405"/>
  <c r="A733" i="35405"/>
  <c r="A734" i="35405"/>
  <c r="A735" i="35405"/>
  <c r="A736" i="35405"/>
  <c r="A737" i="35405"/>
  <c r="A738" i="35405"/>
  <c r="A739" i="35405"/>
  <c r="A740" i="35405"/>
  <c r="A741" i="35405"/>
  <c r="A742" i="35405"/>
  <c r="A743" i="35405"/>
  <c r="A744" i="35405"/>
  <c r="A745" i="35405"/>
  <c r="A746" i="35405"/>
  <c r="A747" i="35405"/>
  <c r="A748" i="35405"/>
  <c r="A749" i="35405"/>
  <c r="A750" i="35405"/>
  <c r="A751" i="35405"/>
  <c r="A752" i="35405"/>
  <c r="A753" i="35405"/>
  <c r="A754" i="35405"/>
  <c r="A755" i="35405"/>
  <c r="A756" i="35405"/>
  <c r="A757" i="35405"/>
  <c r="A758" i="35405"/>
  <c r="A759" i="35405"/>
  <c r="A760" i="35405"/>
  <c r="A761" i="35405"/>
  <c r="A762" i="35405"/>
  <c r="A763" i="35405"/>
  <c r="A764" i="35405"/>
  <c r="A765" i="35405"/>
  <c r="A766" i="35405"/>
  <c r="A767" i="35405"/>
  <c r="A768" i="35405"/>
  <c r="A769" i="35405"/>
  <c r="A770" i="35405"/>
  <c r="A771" i="35405"/>
  <c r="A772" i="35405"/>
  <c r="A773" i="35405"/>
  <c r="A774" i="35405"/>
  <c r="A775" i="35405"/>
  <c r="A776" i="35405"/>
  <c r="A777" i="35405"/>
  <c r="A778" i="35405"/>
  <c r="A779" i="35405"/>
  <c r="A780" i="35405"/>
  <c r="A781" i="35405"/>
  <c r="A782" i="35405"/>
  <c r="A783" i="35405"/>
  <c r="A784" i="35405"/>
  <c r="A785" i="35405"/>
  <c r="A786" i="35405"/>
  <c r="A787" i="35405"/>
  <c r="A788" i="35405"/>
  <c r="A789" i="35405"/>
  <c r="A790" i="35405"/>
  <c r="A791" i="35405"/>
  <c r="A792" i="35405"/>
  <c r="A793" i="35405"/>
  <c r="A794" i="35405"/>
  <c r="A795" i="35405"/>
  <c r="A796" i="35405"/>
  <c r="A797" i="35405"/>
  <c r="A798" i="35405"/>
  <c r="A799" i="35405"/>
  <c r="A800" i="35405"/>
  <c r="A801" i="35405"/>
  <c r="A802" i="35405"/>
  <c r="A803" i="35405"/>
  <c r="A804" i="35405"/>
  <c r="A805" i="35405"/>
  <c r="A806" i="35405"/>
  <c r="A807" i="35405"/>
  <c r="A808" i="35405"/>
  <c r="A809" i="35405"/>
  <c r="A810" i="35405"/>
  <c r="A811" i="35405"/>
  <c r="A812" i="35405"/>
  <c r="A813" i="35405"/>
  <c r="A814" i="35405"/>
  <c r="A815" i="35405"/>
  <c r="A816" i="35405"/>
  <c r="A817" i="35405"/>
  <c r="A818" i="35405"/>
  <c r="A819" i="35405"/>
  <c r="A820" i="35405"/>
  <c r="A821" i="35405"/>
  <c r="A822" i="35405"/>
  <c r="A823" i="35405"/>
  <c r="A824" i="35405"/>
  <c r="A825" i="35405"/>
  <c r="A826" i="35405"/>
  <c r="A827" i="35405"/>
  <c r="A828" i="35405"/>
  <c r="A829" i="35405"/>
  <c r="A830" i="35405"/>
  <c r="A831" i="35405"/>
  <c r="A832" i="35405"/>
  <c r="A833" i="35405"/>
  <c r="A834" i="35405"/>
  <c r="A835" i="35405"/>
  <c r="A836" i="35405"/>
  <c r="A837" i="35405"/>
  <c r="A838" i="35405"/>
  <c r="A839" i="35405"/>
  <c r="A840" i="35405"/>
  <c r="A841" i="35405"/>
  <c r="A842" i="35405"/>
  <c r="A843" i="35405"/>
  <c r="A844" i="35405"/>
  <c r="A845" i="35405"/>
  <c r="A846" i="35405"/>
  <c r="A847" i="35405"/>
  <c r="A848" i="35405"/>
  <c r="A849" i="35405"/>
  <c r="A850" i="35405"/>
  <c r="A851" i="35405"/>
  <c r="A852" i="35405"/>
  <c r="A853" i="35405"/>
  <c r="A854" i="35405"/>
  <c r="A855" i="35405"/>
  <c r="A856" i="35405"/>
  <c r="A857" i="35405"/>
  <c r="A858" i="35405"/>
  <c r="A859" i="35405"/>
  <c r="A860" i="35405"/>
  <c r="A861" i="35405"/>
  <c r="A862" i="35405"/>
  <c r="A863" i="35405"/>
  <c r="A864" i="35405"/>
  <c r="A865" i="35405"/>
  <c r="A866" i="35405"/>
  <c r="A867" i="35405"/>
  <c r="A868" i="35405"/>
  <c r="A869" i="35405"/>
  <c r="A870" i="35405"/>
  <c r="A871" i="35405"/>
  <c r="A872" i="35405"/>
  <c r="A873" i="35405"/>
  <c r="A874" i="35405"/>
  <c r="A875" i="35405"/>
  <c r="A876" i="35405"/>
  <c r="A877" i="35405"/>
  <c r="A878" i="35405"/>
  <c r="A879" i="35405"/>
  <c r="A880" i="35405"/>
  <c r="A881" i="35405"/>
  <c r="A882" i="35405"/>
  <c r="A883" i="35405"/>
  <c r="A884" i="35405"/>
  <c r="A885" i="35405"/>
  <c r="A886" i="35405"/>
  <c r="A887" i="35405"/>
  <c r="A888" i="35405"/>
  <c r="A889" i="35405"/>
  <c r="A890" i="35405"/>
  <c r="A891" i="35405"/>
  <c r="A892" i="35405"/>
  <c r="A893" i="35405"/>
  <c r="A894" i="35405"/>
  <c r="A895" i="35405"/>
  <c r="A896" i="35405"/>
  <c r="A897" i="35405"/>
  <c r="A898" i="35405"/>
  <c r="A899" i="35405"/>
  <c r="A900" i="35405"/>
  <c r="A901" i="35405"/>
  <c r="A902" i="35405"/>
  <c r="A903" i="35405"/>
  <c r="A904" i="35405"/>
  <c r="A905" i="35405"/>
  <c r="A906" i="35405"/>
  <c r="A907" i="35405"/>
  <c r="A908" i="35405"/>
  <c r="A909" i="35405"/>
  <c r="A910" i="35405"/>
  <c r="A911" i="35405"/>
  <c r="A912" i="35405"/>
  <c r="A913" i="35405"/>
  <c r="A914" i="35405"/>
  <c r="A915" i="35405"/>
  <c r="A916" i="35405"/>
  <c r="A917" i="35405"/>
  <c r="A918" i="35405"/>
  <c r="A919" i="35405"/>
  <c r="A920" i="35405"/>
  <c r="A921" i="35405"/>
  <c r="A922" i="35405"/>
  <c r="A923" i="35405"/>
  <c r="A924" i="35405"/>
  <c r="A925" i="35405"/>
  <c r="A926" i="35405"/>
  <c r="A927" i="35405"/>
  <c r="A928" i="35405"/>
  <c r="A929" i="35405"/>
  <c r="A930" i="35405"/>
  <c r="A931" i="35405"/>
  <c r="A932" i="35405"/>
  <c r="A933" i="35405"/>
  <c r="A934" i="35405"/>
  <c r="A935" i="35405"/>
  <c r="A936" i="35405"/>
  <c r="A937" i="35405"/>
  <c r="A938" i="35405"/>
  <c r="A939" i="35405"/>
  <c r="A940" i="35405"/>
  <c r="A941" i="35405"/>
  <c r="A942" i="35405"/>
  <c r="A943" i="35405"/>
  <c r="A944" i="35405"/>
  <c r="A945" i="35405"/>
  <c r="A946" i="35405"/>
  <c r="A947" i="35405"/>
  <c r="A948" i="35405"/>
  <c r="A949" i="35405"/>
  <c r="A950" i="35405"/>
  <c r="A951" i="35405"/>
  <c r="A952" i="35405"/>
  <c r="A953" i="35405"/>
  <c r="A954" i="35405"/>
  <c r="A955" i="35405"/>
  <c r="A956" i="35405"/>
  <c r="A957" i="35405"/>
  <c r="A958" i="35405"/>
  <c r="A959" i="35405"/>
  <c r="A960" i="35405"/>
  <c r="A961" i="35405"/>
  <c r="A962" i="35405"/>
  <c r="A963" i="35405"/>
  <c r="A964" i="35405"/>
  <c r="A965" i="35405"/>
  <c r="A966" i="35405"/>
  <c r="A967" i="35405"/>
  <c r="A968" i="35405"/>
  <c r="A969" i="35405"/>
  <c r="A970" i="35405"/>
  <c r="A971" i="35405"/>
  <c r="A972" i="35405"/>
  <c r="A973" i="35405"/>
  <c r="A974" i="35405"/>
  <c r="A975" i="35405"/>
  <c r="A976" i="35405"/>
  <c r="A977" i="35405"/>
  <c r="A978" i="35405"/>
  <c r="A979" i="35405"/>
  <c r="A980" i="35405"/>
  <c r="A981" i="35405"/>
  <c r="A982" i="35405"/>
  <c r="A983" i="35405"/>
  <c r="A984" i="35405"/>
  <c r="A985" i="35405"/>
  <c r="A986" i="35405"/>
  <c r="A987" i="35405"/>
  <c r="A988" i="35405"/>
  <c r="A989" i="35405"/>
  <c r="A990" i="35405"/>
  <c r="A991" i="35405"/>
  <c r="A992" i="35405"/>
  <c r="A993" i="35405"/>
  <c r="A994" i="35405"/>
  <c r="A995" i="35405"/>
  <c r="A996" i="35405"/>
  <c r="A997" i="35405"/>
  <c r="A998" i="35405"/>
  <c r="A999" i="35405"/>
  <c r="A1000" i="35405"/>
  <c r="A1001" i="35405"/>
  <c r="A1002" i="35405"/>
  <c r="A1003" i="35405"/>
  <c r="A1004" i="35405"/>
  <c r="A1005" i="35405"/>
  <c r="A1006" i="35405"/>
  <c r="A1007" i="35405"/>
  <c r="A1008" i="35405"/>
  <c r="A1009" i="35405"/>
  <c r="A1010" i="35405"/>
  <c r="A1011" i="35405"/>
  <c r="A1012" i="35405"/>
  <c r="A1013" i="35405"/>
  <c r="A1014" i="35405"/>
  <c r="A1015" i="35405"/>
  <c r="A1016" i="35405"/>
  <c r="A1017" i="35405"/>
  <c r="A1018" i="35405"/>
  <c r="A1019" i="35405"/>
  <c r="A1020" i="35405"/>
  <c r="A1021" i="35405"/>
  <c r="A1022" i="35405"/>
  <c r="A1023" i="35405"/>
  <c r="A1024" i="35405"/>
  <c r="A1025" i="35405"/>
  <c r="A1026" i="35405"/>
  <c r="A1027" i="35405"/>
  <c r="A1028" i="35405"/>
  <c r="A1029" i="35405"/>
  <c r="A1030" i="35405"/>
  <c r="A1031" i="35405"/>
  <c r="A1032" i="35405"/>
  <c r="A1033" i="35405"/>
  <c r="A1034" i="35405"/>
  <c r="A1035" i="35405"/>
  <c r="A1036" i="35405"/>
  <c r="A1037" i="35405"/>
  <c r="A1038" i="35405"/>
  <c r="A1039" i="35405"/>
  <c r="A1040" i="35405"/>
  <c r="A1041" i="35405"/>
  <c r="A1042" i="35405"/>
  <c r="A1043" i="35405"/>
  <c r="A1044" i="35405"/>
  <c r="A1045" i="35405"/>
  <c r="A1046" i="35405"/>
  <c r="A1047" i="35405"/>
  <c r="A1048" i="35405"/>
  <c r="A1049" i="35405"/>
  <c r="A1050" i="35405"/>
  <c r="A1051" i="35405"/>
  <c r="A1052" i="35405"/>
  <c r="A1053" i="35405"/>
  <c r="A1054" i="35405"/>
  <c r="A1055" i="35405"/>
  <c r="A1056" i="35405"/>
  <c r="A1057" i="35405"/>
  <c r="A1058" i="35405"/>
  <c r="A1059" i="35405"/>
  <c r="A1060" i="35405"/>
  <c r="A1061" i="35405"/>
  <c r="A1062" i="35405"/>
  <c r="A1063" i="35405"/>
  <c r="A1064" i="35405"/>
  <c r="A1065" i="35405"/>
  <c r="A1066" i="35405"/>
  <c r="A1067" i="35405"/>
  <c r="A1068" i="35405"/>
  <c r="A1069" i="35405"/>
  <c r="A1070" i="35405"/>
  <c r="A1071" i="35405"/>
  <c r="A1072" i="35405"/>
  <c r="A1073" i="35405"/>
  <c r="A1074" i="35405"/>
  <c r="A1075" i="35405"/>
  <c r="A1076" i="35405"/>
  <c r="A1077" i="35405"/>
  <c r="A1078" i="35405"/>
  <c r="A1079" i="35405"/>
  <c r="A1080" i="35405"/>
  <c r="A1081" i="35405"/>
  <c r="A1082" i="35405"/>
  <c r="A1083" i="35405"/>
  <c r="A1084" i="35405"/>
  <c r="A1085" i="35405"/>
  <c r="A1086" i="35405"/>
  <c r="A1087" i="35405"/>
  <c r="A1088" i="35405"/>
  <c r="A1089" i="35405"/>
  <c r="A1090" i="35405"/>
  <c r="A1091" i="35405"/>
  <c r="A1092" i="35405"/>
  <c r="A1093" i="35405"/>
  <c r="A1094" i="35405"/>
  <c r="A1095" i="35405"/>
  <c r="A1096" i="35405"/>
  <c r="A1097" i="35405"/>
  <c r="A1098" i="35405"/>
  <c r="A1099" i="35405"/>
  <c r="A1100" i="35405"/>
  <c r="A1101" i="35405"/>
  <c r="A1102" i="35405"/>
  <c r="A1103" i="35405"/>
  <c r="A1104" i="35405"/>
  <c r="A1105" i="35405"/>
  <c r="A1106" i="35405"/>
  <c r="A1107" i="35405"/>
  <c r="A1108" i="35405"/>
  <c r="A1109" i="35405"/>
  <c r="A1110" i="35405"/>
  <c r="A1111" i="35405"/>
  <c r="A1112" i="35405"/>
  <c r="A1113" i="35405"/>
  <c r="A1114" i="35405"/>
  <c r="A1115" i="35405"/>
  <c r="A1116" i="35405"/>
  <c r="A1117" i="35405"/>
  <c r="A1118" i="35405"/>
  <c r="A1119" i="35405"/>
  <c r="A1120" i="35405"/>
  <c r="A1121" i="35405"/>
  <c r="A1122" i="35405"/>
  <c r="A1123" i="35405"/>
  <c r="A1124" i="35405"/>
  <c r="A1125" i="35405"/>
  <c r="A1126" i="35405"/>
  <c r="A1127" i="35405"/>
  <c r="A1128" i="35405"/>
  <c r="A1129" i="35405"/>
  <c r="A1130" i="35405"/>
  <c r="A1131" i="35405"/>
  <c r="A1132" i="35405"/>
  <c r="A1133" i="35405"/>
  <c r="A1134" i="35405"/>
  <c r="A1135" i="35405"/>
  <c r="A1136" i="35405"/>
  <c r="A1137" i="35405"/>
  <c r="A1138" i="35405"/>
  <c r="A1139" i="35405"/>
  <c r="A1140" i="35405"/>
  <c r="A1141" i="35405"/>
  <c r="A1142" i="35405"/>
  <c r="A1143" i="35405"/>
  <c r="A1144" i="35405"/>
  <c r="A1145" i="35405"/>
  <c r="A1146" i="35405"/>
  <c r="A1147" i="35405"/>
  <c r="A1148" i="35405"/>
  <c r="A1149" i="35405"/>
  <c r="A1150" i="35405"/>
  <c r="A1151" i="35405"/>
  <c r="A1152" i="35405"/>
  <c r="A1153" i="35405"/>
  <c r="A1154" i="35405"/>
  <c r="A1155" i="35405"/>
  <c r="A1156" i="35405"/>
  <c r="A1157" i="35405"/>
  <c r="A1158" i="35405"/>
  <c r="A1159" i="35405"/>
  <c r="A1160" i="35405"/>
  <c r="A1161" i="35405"/>
  <c r="A1162" i="35405"/>
  <c r="A1163" i="35405"/>
  <c r="A1164" i="35405"/>
  <c r="A1165" i="35405"/>
  <c r="A1166" i="35405"/>
  <c r="A1167" i="35405"/>
  <c r="A1168" i="35405"/>
  <c r="A1169" i="35405"/>
  <c r="A1170" i="35405"/>
  <c r="A1171" i="35405"/>
  <c r="A1172" i="35405"/>
  <c r="A1173" i="35405"/>
  <c r="A1174" i="35405"/>
  <c r="A1175" i="35405"/>
  <c r="A1176" i="35405"/>
  <c r="A1177" i="35405"/>
  <c r="A1178" i="35405"/>
  <c r="A1179" i="35405"/>
  <c r="A1180" i="35405"/>
  <c r="A1181" i="35405"/>
  <c r="A1182" i="35405"/>
  <c r="A1183" i="35405"/>
  <c r="A1184" i="35405"/>
  <c r="A1185" i="35405"/>
  <c r="A1186" i="35405"/>
  <c r="A1187" i="35405"/>
  <c r="A1188" i="35405"/>
  <c r="A1189" i="35405"/>
  <c r="A1190" i="35405"/>
  <c r="A1191" i="35405"/>
  <c r="A1192" i="35405"/>
  <c r="A1193" i="35405"/>
  <c r="A1194" i="35405"/>
  <c r="A1195" i="35405"/>
  <c r="A1196" i="35405"/>
  <c r="A1197" i="35405"/>
  <c r="A1198" i="35405"/>
  <c r="A1199" i="35405"/>
  <c r="A1200" i="35405"/>
  <c r="A1201" i="35405"/>
  <c r="A1202" i="35405"/>
  <c r="A1203" i="35405"/>
  <c r="A1204" i="35405"/>
  <c r="A1205" i="35405"/>
  <c r="A1206" i="35405"/>
  <c r="A1207" i="35405"/>
  <c r="A1208" i="35405"/>
  <c r="A1209" i="35405"/>
  <c r="A1210" i="35405"/>
  <c r="A1211" i="35405"/>
  <c r="A1212" i="35405"/>
  <c r="A1213" i="35405"/>
  <c r="A1214" i="35405"/>
  <c r="A1215" i="35405"/>
  <c r="A1216" i="35405"/>
  <c r="A1217" i="35405"/>
  <c r="A1218" i="35405"/>
  <c r="A1219" i="35405"/>
  <c r="A1220" i="35405"/>
  <c r="A1221" i="35405"/>
  <c r="A1222" i="35405"/>
  <c r="A1223" i="35405"/>
  <c r="A1224" i="35405"/>
  <c r="A1225" i="35405"/>
  <c r="A1226" i="35405"/>
  <c r="A1227" i="35405"/>
  <c r="A1228" i="35405"/>
  <c r="A1229" i="35405"/>
  <c r="A1230" i="35405"/>
  <c r="A1231" i="35405"/>
  <c r="A1232" i="35405"/>
  <c r="A1233" i="35405"/>
  <c r="A1234" i="35405"/>
  <c r="A1235" i="35405"/>
  <c r="A1236" i="35405"/>
  <c r="A1237" i="35405"/>
  <c r="A1238" i="35405"/>
  <c r="A1239" i="35405"/>
  <c r="A1240" i="35405"/>
  <c r="A1241" i="35405"/>
  <c r="A1242" i="35405"/>
  <c r="A1243" i="35405"/>
  <c r="A1244" i="35405"/>
  <c r="A1245" i="35405"/>
  <c r="A1246" i="35405"/>
  <c r="A1247" i="35405"/>
  <c r="A1248" i="35405"/>
  <c r="A1249" i="35405"/>
  <c r="A1250" i="35405"/>
  <c r="A1251" i="35405"/>
  <c r="A1252" i="35405"/>
  <c r="A1253" i="35405"/>
  <c r="A1254" i="35405"/>
  <c r="A1255" i="35405"/>
  <c r="A1256" i="35405"/>
  <c r="A1257" i="35405"/>
  <c r="A1258" i="35405"/>
  <c r="A1259" i="35405"/>
  <c r="A1260" i="35405"/>
  <c r="A1261" i="35405"/>
  <c r="A1262" i="35405"/>
  <c r="A1263" i="35405"/>
  <c r="A1264" i="35405"/>
  <c r="A1265" i="35405"/>
  <c r="A1266" i="35405"/>
  <c r="A1267" i="35405"/>
  <c r="A1268" i="35405"/>
  <c r="A1269" i="35405"/>
  <c r="A1270" i="35405"/>
  <c r="A1271" i="35405"/>
  <c r="A1272" i="35405"/>
  <c r="A1273" i="35405"/>
  <c r="A1274" i="35405"/>
  <c r="A1275" i="35405"/>
  <c r="A1276" i="35405"/>
  <c r="A1277" i="35405"/>
  <c r="A1278" i="35405"/>
  <c r="A1279" i="35405"/>
  <c r="A1280" i="35405"/>
  <c r="A1281" i="35405"/>
  <c r="A1282" i="35405"/>
  <c r="A1283" i="35405"/>
  <c r="A1284" i="35405"/>
  <c r="A1285" i="35405"/>
  <c r="A1286" i="35405"/>
  <c r="A1287" i="35405"/>
  <c r="A1288" i="35405"/>
  <c r="A1289" i="35405"/>
  <c r="A1290" i="35405"/>
  <c r="A1291" i="35405"/>
  <c r="A1292" i="35405"/>
  <c r="A1293" i="35405"/>
  <c r="A1294" i="35405"/>
  <c r="A1295" i="35405"/>
  <c r="A1296" i="35405"/>
  <c r="A1297" i="35405"/>
  <c r="A1298" i="35405"/>
  <c r="A1299" i="35405"/>
  <c r="A1300" i="35405"/>
  <c r="A1301" i="35405"/>
  <c r="A1302" i="35405"/>
  <c r="A1303" i="35405"/>
  <c r="A1304" i="35405"/>
  <c r="A1305" i="35405"/>
  <c r="A1306" i="35405"/>
  <c r="A1307" i="35405"/>
  <c r="A1308" i="35405"/>
  <c r="A1309" i="35405"/>
  <c r="A1310" i="35405"/>
  <c r="A1311" i="35405"/>
  <c r="A1312" i="35405"/>
  <c r="A1313" i="35405"/>
  <c r="A1314" i="35405"/>
  <c r="A1315" i="35405"/>
  <c r="A1316" i="35405"/>
  <c r="A1317" i="35405"/>
  <c r="A1318" i="35405"/>
  <c r="A1319" i="35405"/>
  <c r="A1320" i="35405"/>
  <c r="A1321" i="35405"/>
  <c r="A1322" i="35405"/>
  <c r="A1323" i="35405"/>
  <c r="A1324" i="35405"/>
  <c r="A1325" i="35405"/>
  <c r="A1326" i="35405"/>
  <c r="A1327" i="35405"/>
  <c r="A1328" i="35405"/>
  <c r="A1329" i="35405"/>
  <c r="A1330" i="35405"/>
  <c r="A1331" i="35405"/>
  <c r="A1332" i="35405"/>
  <c r="A1333" i="35405"/>
  <c r="A1334" i="35405"/>
  <c r="A1335" i="35405"/>
  <c r="A1336" i="35405"/>
  <c r="A1337" i="35405"/>
  <c r="A1338" i="35405"/>
  <c r="A1339" i="35405"/>
  <c r="A1340" i="35405"/>
  <c r="A1341" i="35405"/>
  <c r="A1342" i="35405"/>
  <c r="A1343" i="35405"/>
  <c r="A1344" i="35405"/>
  <c r="A1345" i="35405"/>
  <c r="A1346" i="35405"/>
  <c r="A1347" i="35405"/>
  <c r="A1348" i="35405"/>
  <c r="A1349" i="35405"/>
  <c r="A1350" i="35405"/>
  <c r="A1351" i="35405"/>
  <c r="A1352" i="35405"/>
  <c r="A1353" i="35405"/>
  <c r="A1354" i="35405"/>
  <c r="A1355" i="35405"/>
  <c r="A1356" i="35405"/>
  <c r="A1357" i="35405"/>
  <c r="A1358" i="35405"/>
  <c r="A1359" i="35405"/>
  <c r="A1360" i="35405"/>
  <c r="A1361" i="35405"/>
  <c r="A1362" i="35405"/>
  <c r="A1363" i="35405"/>
  <c r="A1364" i="35405"/>
  <c r="A1365" i="35405"/>
  <c r="A1366" i="35405"/>
  <c r="A1367" i="35405"/>
  <c r="A1368" i="35405"/>
  <c r="A1369" i="35405"/>
  <c r="A1370" i="35405"/>
  <c r="A1371" i="35405"/>
  <c r="A1372" i="35405"/>
  <c r="A1373" i="35405"/>
  <c r="A1374" i="35405"/>
  <c r="A1375" i="35405"/>
  <c r="A1376" i="35405"/>
  <c r="A1377" i="35405"/>
  <c r="A1378" i="35405"/>
  <c r="A1379" i="35405"/>
  <c r="A1380" i="35405"/>
  <c r="A1381" i="35405"/>
  <c r="A1382" i="35405"/>
  <c r="A1383" i="35405"/>
  <c r="A1384" i="35405"/>
  <c r="A1385" i="35405"/>
  <c r="A1386" i="35405"/>
  <c r="A1387" i="35405"/>
  <c r="A1388" i="35405"/>
  <c r="A1389" i="35405"/>
  <c r="A1390" i="35405"/>
  <c r="A1391" i="35405"/>
  <c r="A1392" i="35405"/>
  <c r="A1393" i="35405"/>
  <c r="A1394" i="35405"/>
  <c r="A1395" i="35405"/>
  <c r="A1396" i="35405"/>
  <c r="A1397" i="35405"/>
  <c r="A1398" i="35405"/>
  <c r="A1399" i="35405"/>
  <c r="A1400" i="35405"/>
  <c r="A1401" i="35405"/>
  <c r="A1402" i="35405"/>
  <c r="A1403" i="35405"/>
  <c r="A1404" i="35405"/>
  <c r="A1405" i="35405"/>
  <c r="A1406" i="35405"/>
  <c r="A1407" i="35405"/>
  <c r="A1408" i="35405"/>
  <c r="A1409" i="35405"/>
  <c r="A1410" i="35405"/>
  <c r="A1411" i="35405"/>
  <c r="A1412" i="35405"/>
  <c r="A1413" i="35405"/>
  <c r="A1414" i="35405"/>
  <c r="A1415" i="35405"/>
  <c r="A1416" i="35405"/>
  <c r="A1417" i="35405"/>
  <c r="A1418" i="35405"/>
  <c r="A1419" i="35405"/>
  <c r="A1420" i="35405"/>
  <c r="A1421" i="35405"/>
  <c r="A1422" i="35405"/>
  <c r="A1423" i="35405"/>
  <c r="A1424" i="35405"/>
  <c r="A1425" i="35405"/>
  <c r="A1426" i="35405"/>
  <c r="A1427" i="35405"/>
  <c r="A1428" i="35405"/>
  <c r="A1429" i="35405"/>
  <c r="A1430" i="35405"/>
  <c r="A1431" i="35405"/>
  <c r="A1432" i="35405"/>
  <c r="A1433" i="35405"/>
  <c r="A1434" i="35405"/>
  <c r="A1435" i="35405"/>
  <c r="A1436" i="35405"/>
  <c r="A1437" i="35405"/>
  <c r="A1438" i="35405"/>
  <c r="A1439" i="35405"/>
  <c r="A1440" i="35405"/>
  <c r="A1441" i="35405"/>
  <c r="A1442" i="35405"/>
  <c r="A1443" i="35405"/>
  <c r="A1444" i="35405"/>
  <c r="A1445" i="35405"/>
  <c r="A1446" i="35405"/>
  <c r="A1447" i="35405"/>
  <c r="A1448" i="35405"/>
  <c r="A1449" i="35405"/>
  <c r="A1450" i="35405"/>
  <c r="A1451" i="35405"/>
  <c r="A1452" i="35405"/>
  <c r="A1453" i="35405"/>
  <c r="A1454" i="35405"/>
  <c r="A1455" i="35405"/>
  <c r="A1456" i="35405"/>
  <c r="A1457" i="35405"/>
  <c r="A1458" i="35405"/>
  <c r="A1459" i="35405"/>
  <c r="A1460" i="35405"/>
  <c r="A1461" i="35405"/>
  <c r="A1462" i="35405"/>
  <c r="A1463" i="35405"/>
  <c r="A1464" i="35405"/>
  <c r="A1465" i="35405"/>
  <c r="A1466" i="35405"/>
  <c r="A1467" i="35405"/>
  <c r="A1468" i="35405"/>
  <c r="A1469" i="35405"/>
  <c r="A1470" i="35405"/>
  <c r="A1471" i="35405"/>
  <c r="A1472" i="35405"/>
  <c r="A1473" i="35405"/>
  <c r="A1474" i="35405"/>
  <c r="A1475" i="35405"/>
  <c r="A1476" i="35405"/>
  <c r="A1477" i="35405"/>
  <c r="A1478" i="35405"/>
  <c r="A1479" i="35405"/>
  <c r="A1480" i="35405"/>
  <c r="A1481" i="35405"/>
  <c r="A1482" i="35405"/>
  <c r="A1483" i="35405"/>
  <c r="A1484" i="35405"/>
  <c r="A1485" i="35405"/>
  <c r="A1486" i="35405"/>
  <c r="A1487" i="35405"/>
  <c r="A1488" i="35405"/>
  <c r="A1489" i="35405"/>
  <c r="A1490" i="35405"/>
  <c r="A1491" i="35405"/>
  <c r="A1492" i="35405"/>
  <c r="A1493" i="35405"/>
  <c r="A1494" i="35405"/>
  <c r="A1495" i="35405"/>
  <c r="A1496" i="35405"/>
  <c r="A1497" i="35405"/>
  <c r="A1498" i="35405"/>
  <c r="A1499" i="35405"/>
  <c r="A1500" i="35405"/>
  <c r="A1501" i="35405"/>
  <c r="A1502" i="35405"/>
  <c r="A1503" i="35405"/>
  <c r="A1504" i="35405"/>
  <c r="A1505" i="35405"/>
  <c r="A1506" i="35405"/>
  <c r="A1507" i="35405"/>
  <c r="A1508" i="35405"/>
  <c r="A1509" i="35405"/>
  <c r="A1510" i="35405"/>
  <c r="A1511" i="35405"/>
  <c r="A1512" i="35405"/>
  <c r="A1513" i="35405"/>
  <c r="A1514" i="35405"/>
  <c r="A1515" i="35405"/>
  <c r="A1516" i="35405"/>
  <c r="A1517" i="35405"/>
  <c r="A1518" i="35405"/>
  <c r="A1519" i="35405"/>
  <c r="A1520" i="35405"/>
  <c r="A1521" i="35405"/>
  <c r="A1522" i="35405"/>
  <c r="A1523" i="35405"/>
  <c r="A1524" i="35405"/>
  <c r="A1525" i="35405"/>
  <c r="A1526" i="35405"/>
  <c r="A1527" i="35405"/>
  <c r="A1528" i="35405"/>
  <c r="A1529" i="35405"/>
  <c r="A1530" i="35405"/>
  <c r="A1531" i="35405"/>
  <c r="A1532" i="35405"/>
  <c r="A1533" i="35405"/>
  <c r="A1534" i="35405"/>
  <c r="A1535" i="35405"/>
  <c r="A1536" i="35405"/>
  <c r="A1537" i="35405"/>
  <c r="A1538" i="35405"/>
  <c r="A1539" i="35405"/>
  <c r="A1540" i="35405"/>
  <c r="A1541" i="35405"/>
  <c r="A1542" i="35405"/>
  <c r="A1543" i="35405"/>
  <c r="A1544" i="35405"/>
  <c r="A1545" i="35405"/>
  <c r="A1546" i="35405"/>
  <c r="A1547" i="35405"/>
  <c r="A1548" i="35405"/>
  <c r="A1549" i="35405"/>
  <c r="A1550" i="35405"/>
  <c r="A1551" i="35405"/>
  <c r="A1552" i="35405"/>
  <c r="A1553" i="35405"/>
  <c r="A1554" i="35405"/>
  <c r="A1555" i="35405"/>
  <c r="A1556" i="35405"/>
  <c r="A1557" i="35405"/>
  <c r="A1558" i="35405"/>
  <c r="A1559" i="35405"/>
  <c r="A1560" i="35405"/>
  <c r="A1561" i="35405"/>
  <c r="A1562" i="35405"/>
  <c r="A1563" i="35405"/>
  <c r="A1564" i="35405"/>
  <c r="A1565" i="35405"/>
  <c r="A1566" i="35405"/>
  <c r="A1567" i="35405"/>
  <c r="A1568" i="35405"/>
  <c r="A1569" i="35405"/>
  <c r="A1570" i="35405"/>
  <c r="A1571" i="35405"/>
  <c r="A1572" i="35405"/>
  <c r="A1573" i="35405"/>
  <c r="A1574" i="35405"/>
  <c r="A1575" i="35405"/>
  <c r="A1576" i="35405"/>
  <c r="A1577" i="35405"/>
  <c r="A1578" i="35405"/>
  <c r="A1579" i="35405"/>
  <c r="A1580" i="35405"/>
  <c r="A1581" i="35405"/>
  <c r="A1582" i="35405"/>
  <c r="A1583" i="35405"/>
  <c r="A1584" i="35405"/>
  <c r="A1585" i="35405"/>
  <c r="A1586" i="35405"/>
  <c r="A1587" i="35405"/>
  <c r="A1588" i="35405"/>
  <c r="A1589" i="35405"/>
  <c r="A1590" i="35405"/>
  <c r="A1591" i="35405"/>
  <c r="A1592" i="35405"/>
  <c r="A1593" i="35405"/>
  <c r="A1594" i="35405"/>
  <c r="A1595" i="35405"/>
  <c r="A1596" i="35405"/>
  <c r="A1597" i="35405"/>
  <c r="A1598" i="35405"/>
  <c r="A1599" i="35405"/>
  <c r="A1600" i="35405"/>
  <c r="A1601" i="35405"/>
  <c r="A1602" i="35405"/>
  <c r="A1603" i="35405"/>
  <c r="A1604" i="35405"/>
  <c r="A1605" i="35405"/>
  <c r="A1606" i="35405"/>
  <c r="A1607" i="35405"/>
  <c r="A1608" i="35405"/>
  <c r="A1609" i="35405"/>
  <c r="A1610" i="35405"/>
  <c r="A1611" i="35405"/>
  <c r="A1612" i="35405"/>
  <c r="A1613" i="35405"/>
  <c r="A1614" i="35405"/>
  <c r="A1615" i="35405"/>
  <c r="A1616" i="35405"/>
  <c r="A1617" i="35405"/>
  <c r="A1618" i="35405"/>
  <c r="A1619" i="35405"/>
  <c r="A1620" i="35405"/>
  <c r="A1621" i="35405"/>
  <c r="A1622" i="35405"/>
  <c r="A1623" i="35405"/>
  <c r="A1624" i="35405"/>
  <c r="A1625" i="35405"/>
  <c r="A1626" i="35405"/>
  <c r="A1627" i="35405"/>
  <c r="A1628" i="35405"/>
  <c r="A1629" i="35405"/>
  <c r="A1630" i="35405"/>
  <c r="A1631" i="35405"/>
  <c r="A1632" i="35405"/>
  <c r="A1633" i="35405"/>
  <c r="A1634" i="35405"/>
  <c r="A1635" i="35405"/>
  <c r="A1636" i="35405"/>
  <c r="A1637" i="35405"/>
  <c r="A1638" i="35405"/>
  <c r="A1639" i="35405"/>
  <c r="A1640" i="35405"/>
  <c r="A1641" i="35405"/>
  <c r="A1642" i="35405"/>
  <c r="A1643" i="35405"/>
  <c r="A1644" i="35405"/>
  <c r="A1645" i="35405"/>
  <c r="A1646" i="35405"/>
  <c r="A1647" i="35405"/>
  <c r="A1648" i="35405"/>
  <c r="A1649" i="35405"/>
  <c r="A1650" i="35405"/>
  <c r="A1651" i="35405"/>
  <c r="A1652" i="35405"/>
  <c r="A1653" i="35405"/>
  <c r="A1654" i="35405"/>
  <c r="A1655" i="35405"/>
  <c r="A1656" i="35405"/>
  <c r="A1657" i="35405"/>
  <c r="A1658" i="35405"/>
  <c r="A1659" i="35405"/>
  <c r="A1660" i="35405"/>
  <c r="A1661" i="35405"/>
  <c r="A1662" i="35405"/>
  <c r="A1663" i="35405"/>
  <c r="A1664" i="35405"/>
  <c r="A1665" i="35405"/>
  <c r="A1666" i="35405"/>
  <c r="A1667" i="35405"/>
  <c r="A1668" i="35405"/>
  <c r="A1669" i="35405"/>
  <c r="A1670" i="35405"/>
  <c r="A1671" i="35405"/>
  <c r="A1672" i="35405"/>
  <c r="A1673" i="35405"/>
  <c r="A1674" i="35405"/>
  <c r="A1675" i="35405"/>
  <c r="A1676" i="35405"/>
  <c r="A1677" i="35405"/>
  <c r="A1678" i="35405"/>
  <c r="A1679" i="35405"/>
  <c r="A1680" i="35405"/>
  <c r="A1681" i="35405"/>
  <c r="A1682" i="35405"/>
  <c r="A1683" i="35405"/>
  <c r="A1684" i="35405"/>
  <c r="A1685" i="35405"/>
  <c r="A1686" i="35405"/>
  <c r="A1687" i="35405"/>
  <c r="A1688" i="35405"/>
  <c r="A1689" i="35405"/>
  <c r="A1690" i="35405"/>
  <c r="A1691" i="35405"/>
  <c r="A1692" i="35405"/>
  <c r="A1693" i="35405"/>
  <c r="A1694" i="35405"/>
  <c r="A1695" i="35405"/>
  <c r="A1696" i="35405"/>
  <c r="A1697" i="35405"/>
  <c r="A1698" i="35405"/>
  <c r="A1699" i="35405"/>
  <c r="A1700" i="35405"/>
  <c r="A1701" i="35405"/>
  <c r="A1702" i="35405"/>
  <c r="A1703" i="35405"/>
  <c r="A1704" i="35405"/>
  <c r="A1705" i="35405"/>
  <c r="A1706" i="35405"/>
  <c r="A1707" i="35405"/>
  <c r="A1708" i="35405"/>
  <c r="A1709" i="35405"/>
  <c r="A1710" i="35405"/>
  <c r="A1711" i="35405"/>
  <c r="A1712" i="35405"/>
  <c r="A1713" i="35405"/>
  <c r="A1714" i="35405"/>
  <c r="A1715" i="35405"/>
  <c r="A1716" i="35405"/>
  <c r="A1717" i="35405"/>
  <c r="A1718" i="35405"/>
  <c r="A1719" i="35405"/>
  <c r="A1720" i="35405"/>
  <c r="A1721" i="35405"/>
  <c r="A1722" i="35405"/>
  <c r="A1723" i="35405"/>
  <c r="A1724" i="35405"/>
  <c r="A1725" i="35405"/>
  <c r="A1726" i="35405"/>
  <c r="A1727" i="35405"/>
  <c r="A1728" i="35405"/>
  <c r="A1729" i="35405"/>
  <c r="A1730" i="35405"/>
  <c r="A1731" i="35405"/>
  <c r="A1732" i="35405"/>
  <c r="A1733" i="35405"/>
  <c r="A1734" i="35405"/>
  <c r="A1735" i="35405"/>
  <c r="A1736" i="35405"/>
  <c r="A1737" i="35405"/>
  <c r="A1738" i="35405"/>
  <c r="A1739" i="35405"/>
  <c r="A1740" i="35405"/>
  <c r="A1741" i="35405"/>
  <c r="A1742" i="35405"/>
  <c r="A1743" i="35405"/>
  <c r="A1744" i="35405"/>
  <c r="A1745" i="35405"/>
  <c r="A1746" i="35405"/>
  <c r="A1747" i="35405"/>
  <c r="A1748" i="35405"/>
  <c r="A1749" i="35405"/>
  <c r="A1750" i="35405"/>
  <c r="A1751" i="35405"/>
  <c r="A1752" i="35405"/>
  <c r="A1753" i="35405"/>
  <c r="A1754" i="35405"/>
  <c r="A1755" i="35405"/>
  <c r="A1756" i="35405"/>
  <c r="A1757" i="35405"/>
  <c r="A1758" i="35405"/>
  <c r="A1759" i="35405"/>
  <c r="A1760" i="35405"/>
  <c r="A1761" i="35405"/>
  <c r="A1762" i="35405"/>
  <c r="A1763" i="35405"/>
  <c r="A1764" i="35405"/>
  <c r="A1765" i="35405"/>
  <c r="A1766" i="35405"/>
  <c r="A1767" i="35405"/>
  <c r="A1768" i="35405"/>
  <c r="A1769" i="35405"/>
  <c r="A1770" i="35405"/>
  <c r="A1771" i="35405"/>
  <c r="A1772" i="35405"/>
  <c r="A1773" i="35405"/>
  <c r="A1774" i="35405"/>
  <c r="A1775" i="35405"/>
  <c r="A1776" i="35405"/>
  <c r="A1777" i="35405"/>
  <c r="A1778" i="35405"/>
  <c r="A1779" i="35405"/>
  <c r="A1780" i="35405"/>
  <c r="A1781" i="35405"/>
  <c r="A1782" i="35405"/>
  <c r="A1783" i="35405"/>
  <c r="A1784" i="35405"/>
  <c r="A1785" i="35405"/>
  <c r="A1786" i="35405"/>
  <c r="A1787" i="35405"/>
  <c r="A1788" i="35405"/>
  <c r="A1789" i="35405"/>
  <c r="A1790" i="35405"/>
  <c r="A1791" i="35405"/>
  <c r="A1792" i="35405"/>
  <c r="A1793" i="35405"/>
  <c r="A1794" i="35405"/>
  <c r="A1795" i="35405"/>
  <c r="A1796" i="35405"/>
  <c r="A1797" i="35405"/>
  <c r="A1798" i="35405"/>
  <c r="A1799" i="35405"/>
  <c r="A1800" i="35405"/>
  <c r="A1801" i="35405"/>
  <c r="A1802" i="35405"/>
  <c r="A1803" i="35405"/>
  <c r="A1804" i="35405"/>
  <c r="A1805" i="35405"/>
  <c r="A1806" i="35405"/>
  <c r="A1807" i="35405"/>
  <c r="A1808" i="35405"/>
  <c r="A1809" i="35405"/>
  <c r="A1810" i="35405"/>
  <c r="A1811" i="35405"/>
  <c r="A1812" i="35405"/>
  <c r="A1813" i="35405"/>
  <c r="A1814" i="35405"/>
  <c r="A1815" i="35405"/>
  <c r="A1816" i="35405"/>
  <c r="A1817" i="35405"/>
  <c r="A1818" i="35405"/>
  <c r="A1819" i="35405"/>
  <c r="A1820" i="35405"/>
  <c r="A1821" i="35405"/>
  <c r="A1822" i="35405"/>
  <c r="A1823" i="35405"/>
  <c r="A1824" i="35405"/>
  <c r="A1825" i="35405"/>
  <c r="A1826" i="35405"/>
  <c r="A1827" i="35405"/>
  <c r="A1828" i="35405"/>
  <c r="A1829" i="35405"/>
  <c r="A1830" i="35405"/>
  <c r="A1831" i="35405"/>
  <c r="A1832" i="35405"/>
  <c r="A1833" i="35405"/>
  <c r="A1834" i="35405"/>
  <c r="A1835" i="35405"/>
  <c r="A1836" i="35405"/>
  <c r="A1837" i="35405"/>
  <c r="A1838" i="35405"/>
  <c r="A1839" i="35405"/>
  <c r="A1840" i="35405"/>
  <c r="A1841" i="35405"/>
  <c r="A1842" i="35405"/>
  <c r="A1843" i="35405"/>
  <c r="A1844" i="35405"/>
  <c r="A1845" i="35405"/>
  <c r="A1846" i="35405"/>
  <c r="A1847" i="35405"/>
  <c r="A1848" i="35405"/>
  <c r="A1849" i="35405"/>
  <c r="A1850" i="35405"/>
  <c r="A1851" i="35405"/>
  <c r="A1852" i="35405"/>
  <c r="A1853" i="35405"/>
  <c r="A1854" i="35405"/>
  <c r="A1855" i="35405"/>
  <c r="A1856" i="35405"/>
  <c r="A1857" i="35405"/>
  <c r="A1858" i="35405"/>
  <c r="A1859" i="35405"/>
  <c r="A1860" i="35405"/>
  <c r="A1861" i="35405"/>
  <c r="A1862" i="35405"/>
  <c r="A1863" i="35405"/>
  <c r="A1864" i="35405"/>
  <c r="A1865" i="35405"/>
  <c r="A1866" i="35405"/>
  <c r="A1867" i="35405"/>
  <c r="A1868" i="35405"/>
  <c r="A1869" i="35405"/>
  <c r="A1870" i="35405"/>
  <c r="A1871" i="35405"/>
  <c r="A1872" i="35405"/>
  <c r="A1873" i="35405"/>
  <c r="A1874" i="35405"/>
  <c r="A1875" i="35405"/>
  <c r="A1876" i="35405"/>
  <c r="A1877" i="35405"/>
  <c r="A1878" i="35405"/>
  <c r="A1879" i="35405"/>
  <c r="A1880" i="35405"/>
  <c r="A1881" i="35405"/>
  <c r="A1882" i="35405"/>
  <c r="A1883" i="35405"/>
  <c r="A1884" i="35405"/>
  <c r="A1885" i="35405"/>
  <c r="A1886" i="35405"/>
  <c r="A1887" i="35405"/>
  <c r="A1888" i="35405"/>
  <c r="A1889" i="35405"/>
  <c r="A1890" i="35405"/>
  <c r="A1891" i="35405"/>
  <c r="A1892" i="35405"/>
  <c r="A1893" i="35405"/>
  <c r="A1894" i="35405"/>
  <c r="A1895" i="35405"/>
  <c r="A1896" i="35405"/>
  <c r="A1897" i="35405"/>
  <c r="A1898" i="35405"/>
  <c r="A1899" i="35405"/>
  <c r="A1900" i="35405"/>
  <c r="A1901" i="35405"/>
  <c r="A1902" i="35405"/>
  <c r="A1903" i="35405"/>
  <c r="A1904" i="35405"/>
  <c r="A1905" i="35405"/>
  <c r="A1906" i="35405"/>
  <c r="A1907" i="35405"/>
  <c r="A1908" i="35405"/>
  <c r="A1909" i="35405"/>
  <c r="A1910" i="35405"/>
  <c r="A1911" i="35405"/>
  <c r="A1912" i="35405"/>
  <c r="A1913" i="35405"/>
  <c r="A1914" i="35405"/>
  <c r="A1915" i="35405"/>
  <c r="A1916" i="35405"/>
  <c r="A1917" i="35405"/>
  <c r="A1918" i="35405"/>
  <c r="A1919" i="35405"/>
  <c r="A1920" i="35405"/>
  <c r="A1921" i="35405"/>
  <c r="A1922" i="35405"/>
  <c r="A1923" i="35405"/>
  <c r="A1924" i="35405"/>
  <c r="A1925" i="35405"/>
  <c r="A1926" i="35405"/>
  <c r="A1927" i="35405"/>
  <c r="A1928" i="35405"/>
  <c r="A1929" i="35405"/>
  <c r="A1930" i="35405"/>
  <c r="A1931" i="35405"/>
  <c r="A1932" i="35405"/>
  <c r="A1933" i="35405"/>
  <c r="A1934" i="35405"/>
  <c r="A1935" i="35405"/>
  <c r="A1936" i="35405"/>
  <c r="A1937" i="35405"/>
  <c r="A1938" i="35405"/>
  <c r="A1939" i="35405"/>
  <c r="A1940" i="35405"/>
  <c r="A1941" i="35405"/>
  <c r="A1942" i="35405"/>
  <c r="A1943" i="35405"/>
  <c r="A1944" i="35405"/>
  <c r="A1945" i="35405"/>
  <c r="A1946" i="35405"/>
  <c r="A1947" i="35405"/>
  <c r="A1948" i="35405"/>
  <c r="A1949" i="35405"/>
  <c r="A1950" i="35405"/>
  <c r="A1951" i="35405"/>
  <c r="A1952" i="35405"/>
  <c r="A1953" i="35405"/>
  <c r="A1954" i="35405"/>
  <c r="A1955" i="35405"/>
  <c r="A1956" i="35405"/>
  <c r="A1957" i="35405"/>
  <c r="A1958" i="35405"/>
  <c r="A1959" i="35405"/>
  <c r="A1960" i="35405"/>
  <c r="A1961" i="35405"/>
  <c r="A1962" i="35405"/>
  <c r="A1963" i="35405"/>
  <c r="A1964" i="35405"/>
  <c r="A1965" i="35405"/>
  <c r="A1966" i="35405"/>
  <c r="A1967" i="35405"/>
  <c r="A1968" i="35405"/>
  <c r="A1969" i="35405"/>
  <c r="A1970" i="35405"/>
  <c r="A1971" i="35405"/>
  <c r="A1972" i="35405"/>
  <c r="A1973" i="35405"/>
  <c r="A1974" i="35405"/>
  <c r="A1975" i="35405"/>
  <c r="A1976" i="35405"/>
  <c r="A1977" i="35405"/>
  <c r="A1978" i="35405"/>
  <c r="A1979" i="35405"/>
  <c r="A1980" i="35405"/>
  <c r="A1981" i="35405"/>
  <c r="A1982" i="35405"/>
  <c r="A1983" i="35405"/>
  <c r="A1984" i="35405"/>
  <c r="A1985" i="35405"/>
  <c r="A1986" i="35405"/>
  <c r="A1987" i="35405"/>
  <c r="A1988" i="35405"/>
  <c r="A1989" i="35405"/>
  <c r="A1990" i="35405"/>
  <c r="A1991" i="35405"/>
  <c r="A1992" i="35405"/>
  <c r="A1993" i="35405"/>
  <c r="A1994" i="35405"/>
  <c r="A1995" i="35405"/>
  <c r="A1996" i="35405"/>
  <c r="A1997" i="35405"/>
  <c r="A1998" i="35405"/>
  <c r="A1999" i="35405"/>
  <c r="A2000" i="35405"/>
  <c r="A2001" i="35405"/>
  <c r="A2002" i="35405"/>
  <c r="A2003" i="35405"/>
  <c r="A2004" i="35405"/>
  <c r="A2005" i="35405"/>
  <c r="A2006" i="35405"/>
  <c r="A2007" i="35405"/>
  <c r="A2008" i="35405"/>
  <c r="A2009" i="35405"/>
  <c r="A2010" i="35405"/>
  <c r="A2011" i="35405"/>
  <c r="A2012" i="35405"/>
  <c r="A2013" i="35405"/>
  <c r="A2014" i="35405"/>
  <c r="A2015" i="35405"/>
  <c r="A2016" i="35405"/>
  <c r="A2017" i="35405"/>
  <c r="A2018" i="35405"/>
  <c r="A2019" i="35405"/>
  <c r="A2020" i="35405"/>
  <c r="A2021" i="35405"/>
  <c r="A2022" i="35405"/>
  <c r="A2023" i="35405"/>
  <c r="A2024" i="35405"/>
  <c r="A2025" i="35405"/>
  <c r="A2026" i="35405"/>
  <c r="A2027" i="35405"/>
  <c r="A2028" i="35405"/>
  <c r="A2029" i="35405"/>
  <c r="A2030" i="35405"/>
  <c r="A2031" i="35405"/>
  <c r="A2032" i="35405"/>
  <c r="A2033" i="35405"/>
  <c r="A2034" i="35405"/>
  <c r="A2035" i="35405"/>
  <c r="A2036" i="35405"/>
  <c r="A2037" i="35405"/>
  <c r="A2038" i="35405"/>
  <c r="A2039" i="35405"/>
  <c r="A2040" i="35405"/>
  <c r="A2041" i="35405"/>
  <c r="A2042" i="35405"/>
  <c r="A2043" i="35405"/>
  <c r="A2044" i="35405"/>
  <c r="A2045" i="35405"/>
  <c r="A2046" i="35405"/>
  <c r="A2047" i="35405"/>
  <c r="A2048" i="35405"/>
  <c r="A2049" i="35405"/>
  <c r="A2050" i="35405"/>
  <c r="A2051" i="35405"/>
  <c r="A2052" i="35405"/>
  <c r="A2053" i="35405"/>
  <c r="A2054" i="35405"/>
  <c r="A2055" i="35405"/>
  <c r="A2056" i="35405"/>
  <c r="A2057" i="35405"/>
  <c r="A2058" i="35405"/>
  <c r="A2059" i="35405"/>
  <c r="A2060" i="35405"/>
  <c r="A2061" i="35405"/>
  <c r="A2062" i="35405"/>
  <c r="A2063" i="35405"/>
  <c r="A2064" i="35405"/>
  <c r="A2065" i="35405"/>
  <c r="A2066" i="35405"/>
  <c r="A2067" i="35405"/>
  <c r="A2068" i="35405"/>
  <c r="A2069" i="35405"/>
  <c r="A2070" i="35405"/>
  <c r="A2071" i="35405"/>
  <c r="A2072" i="35405"/>
  <c r="A2073" i="35405"/>
  <c r="A2074" i="35405"/>
  <c r="A2075" i="35405"/>
  <c r="A2076" i="35405"/>
  <c r="A2077" i="35405"/>
  <c r="A2078" i="35405"/>
  <c r="A2079" i="35405"/>
  <c r="A2080" i="35405"/>
  <c r="A2081" i="35405"/>
  <c r="A2082" i="35405"/>
  <c r="A2083" i="35405"/>
  <c r="A2084" i="35405"/>
  <c r="A2085" i="35405"/>
  <c r="A2086" i="35405"/>
  <c r="A2087" i="35405"/>
  <c r="A2088" i="35405"/>
  <c r="A2089" i="35405"/>
  <c r="A2090" i="35405"/>
  <c r="A2091" i="35405"/>
  <c r="A2092" i="35405"/>
  <c r="A2093" i="35405"/>
  <c r="A2094" i="35405"/>
  <c r="A2095" i="35405"/>
  <c r="A2096" i="35405"/>
  <c r="A2097" i="35405"/>
  <c r="A2098" i="35405"/>
  <c r="A2099" i="35405"/>
  <c r="A2100" i="35405"/>
  <c r="A2101" i="35405"/>
  <c r="A2102" i="35405"/>
  <c r="A2103" i="35405"/>
  <c r="A2104" i="35405"/>
  <c r="A2105" i="35405"/>
  <c r="A2106" i="35405"/>
  <c r="A2107" i="35405"/>
  <c r="A2108" i="35405"/>
  <c r="A2109" i="35405"/>
  <c r="A2110" i="35405"/>
  <c r="A2111" i="35405"/>
  <c r="A2112" i="35405"/>
  <c r="A2113" i="35405"/>
  <c r="A2114" i="35405"/>
  <c r="A2115" i="35405"/>
  <c r="A2116" i="35405"/>
  <c r="A2117" i="35405"/>
  <c r="A2118" i="35405"/>
  <c r="A2119" i="35405"/>
  <c r="A2120" i="35405"/>
  <c r="A2121" i="35405"/>
  <c r="A2122" i="35405"/>
  <c r="A2123" i="35405"/>
  <c r="A2124" i="35405"/>
  <c r="A2125" i="35405"/>
  <c r="A2126" i="35405"/>
  <c r="A2127" i="35405"/>
  <c r="A2128" i="35405"/>
  <c r="A2129" i="35405"/>
  <c r="A2130" i="35405"/>
  <c r="A2131" i="35405"/>
  <c r="A2132" i="35405"/>
  <c r="A2133" i="35405"/>
  <c r="A2134" i="35405"/>
  <c r="A2135" i="35405"/>
  <c r="A2136" i="35405"/>
  <c r="A2137" i="35405"/>
  <c r="A2138" i="35405"/>
  <c r="A2139" i="35405"/>
  <c r="A2140" i="35405"/>
  <c r="A2141" i="35405"/>
  <c r="A2142" i="35405"/>
  <c r="A2143" i="35405"/>
  <c r="A2144" i="35405"/>
  <c r="A2145" i="35405"/>
  <c r="A2146" i="35405"/>
  <c r="A2147" i="35405"/>
  <c r="A2148" i="35405"/>
  <c r="A2149" i="35405"/>
  <c r="A2150" i="35405"/>
  <c r="A2151" i="35405"/>
  <c r="A2152" i="35405"/>
  <c r="A2153" i="35405"/>
  <c r="A2154" i="35405"/>
  <c r="A2155" i="35405"/>
  <c r="A2156" i="35405"/>
  <c r="A2157" i="35405"/>
  <c r="A2158" i="35405"/>
  <c r="A2159" i="35405"/>
  <c r="A2160" i="35405"/>
  <c r="A2161" i="35405"/>
  <c r="A2162" i="35405"/>
  <c r="A2163" i="35405"/>
  <c r="A2164" i="35405"/>
  <c r="A2165" i="35405"/>
  <c r="A2166" i="35405"/>
  <c r="A2167" i="35405"/>
  <c r="A2168" i="35405"/>
  <c r="A2169" i="35405"/>
  <c r="A2170" i="35405"/>
  <c r="A2171" i="35405"/>
  <c r="A2172" i="35405"/>
  <c r="A2173" i="35405"/>
  <c r="A2174" i="35405"/>
  <c r="A2175" i="35405"/>
  <c r="A2176" i="35405"/>
  <c r="A2177" i="35405"/>
  <c r="A2178" i="35405"/>
  <c r="A2179" i="35405"/>
  <c r="A2180" i="35405"/>
  <c r="A2181" i="35405"/>
  <c r="A2182" i="35405"/>
  <c r="A2183" i="35405"/>
  <c r="A2184" i="35405"/>
  <c r="A2185" i="35405"/>
  <c r="A2186" i="35405"/>
  <c r="A2187" i="35405"/>
  <c r="A2188" i="35405"/>
  <c r="A2189" i="35405"/>
  <c r="A2190" i="35405"/>
  <c r="A2191" i="35405"/>
  <c r="A2192" i="35405"/>
  <c r="A2193" i="35405"/>
  <c r="A2194" i="35405"/>
  <c r="A2195" i="35405"/>
  <c r="A2196" i="35405"/>
  <c r="A2197" i="35405"/>
  <c r="A2198" i="35405"/>
  <c r="A2199" i="35405"/>
  <c r="A2200" i="35405"/>
  <c r="A2201" i="35405"/>
  <c r="A2202" i="35405"/>
  <c r="A2203" i="35405"/>
  <c r="A2204" i="35405"/>
  <c r="A2205" i="35405"/>
  <c r="A2206" i="35405"/>
  <c r="A2207" i="35405"/>
  <c r="A2208" i="35405"/>
  <c r="A2209" i="35405"/>
  <c r="A2210" i="35405"/>
  <c r="A2211" i="35405"/>
  <c r="A2212" i="35405"/>
  <c r="A2213" i="35405"/>
  <c r="A2214" i="35405"/>
  <c r="A2215" i="35405"/>
  <c r="A2216" i="35405"/>
  <c r="A2217" i="35405"/>
  <c r="A2218" i="35405"/>
  <c r="A2219" i="35405"/>
  <c r="A2220" i="35405"/>
  <c r="A2221" i="35405"/>
  <c r="A2222" i="35405"/>
  <c r="A2223" i="35405"/>
  <c r="A2224" i="35405"/>
  <c r="A2225" i="35405"/>
  <c r="A2226" i="35405"/>
  <c r="A2227" i="35405"/>
  <c r="A2228" i="35405"/>
  <c r="A2229" i="35405"/>
  <c r="A2230" i="35405"/>
  <c r="A2231" i="35405"/>
  <c r="A2232" i="35405"/>
  <c r="A2233" i="35405"/>
  <c r="A2234" i="35405"/>
  <c r="A2235" i="35405"/>
  <c r="A2236" i="35405"/>
  <c r="A2237" i="35405"/>
  <c r="A2238" i="35405"/>
  <c r="A2239" i="35405"/>
  <c r="A2240" i="35405"/>
  <c r="A2241" i="35405"/>
  <c r="A2242" i="35405"/>
  <c r="A2243" i="35405"/>
  <c r="A2244" i="35405"/>
  <c r="A2245" i="35405"/>
  <c r="A2246" i="35405"/>
  <c r="A2247" i="35405"/>
  <c r="A2248" i="35405"/>
  <c r="A2249" i="35405"/>
  <c r="A2250" i="35405"/>
  <c r="A2251" i="35405"/>
  <c r="A2252" i="35405"/>
  <c r="A2253" i="35405"/>
  <c r="A2254" i="35405"/>
  <c r="A2255" i="35405"/>
  <c r="A2256" i="35405"/>
  <c r="A2257" i="35405"/>
  <c r="A2258" i="35405"/>
  <c r="A2259" i="35405"/>
  <c r="A2260" i="35405"/>
  <c r="A2261" i="35405"/>
  <c r="A2262" i="35405"/>
  <c r="A2263" i="35405"/>
  <c r="A2264" i="35405"/>
  <c r="A2265" i="35405"/>
  <c r="A2266" i="35405"/>
  <c r="A2267" i="35405"/>
  <c r="A2268" i="35405"/>
  <c r="A2269" i="35405"/>
  <c r="A2270" i="35405"/>
  <c r="A2271" i="35405"/>
  <c r="A2272" i="35405"/>
  <c r="A2273" i="35405"/>
  <c r="A2274" i="35405"/>
  <c r="A2275" i="35405"/>
  <c r="A2276" i="35405"/>
  <c r="A2277" i="35405"/>
  <c r="A2278" i="35405"/>
  <c r="A2279" i="35405"/>
  <c r="A2280" i="35405"/>
  <c r="A2281" i="35405"/>
  <c r="A2282" i="35405"/>
  <c r="A2283" i="35405"/>
  <c r="A2284" i="35405"/>
  <c r="A2285" i="35405"/>
  <c r="A2286" i="35405"/>
  <c r="A2287" i="35405"/>
  <c r="A2288" i="35405"/>
  <c r="A2289" i="35405"/>
  <c r="A2290" i="35405"/>
  <c r="A2291" i="35405"/>
  <c r="A2292" i="35405"/>
  <c r="A2293" i="35405"/>
  <c r="A2294" i="35405"/>
  <c r="A2295" i="35405"/>
  <c r="A2296" i="35405"/>
  <c r="A2297" i="35405"/>
  <c r="A2298" i="35405"/>
  <c r="A2299" i="35405"/>
  <c r="A2300" i="35405"/>
  <c r="A2301" i="35405"/>
  <c r="A2302" i="35405"/>
  <c r="A2303" i="35405"/>
  <c r="A2304" i="35405"/>
  <c r="A2305" i="35405"/>
  <c r="A2306" i="35405"/>
  <c r="A2307" i="35405"/>
  <c r="A2308" i="35405"/>
  <c r="A2309" i="35405"/>
  <c r="A2310" i="35405"/>
  <c r="A2311" i="35405"/>
  <c r="A2312" i="35405"/>
  <c r="A2313" i="35405"/>
  <c r="A2314" i="35405"/>
  <c r="A2315" i="35405"/>
  <c r="A2316" i="35405"/>
  <c r="A2317" i="35405"/>
  <c r="A2318" i="35405"/>
  <c r="A2319" i="35405"/>
  <c r="A2320" i="35405"/>
  <c r="A2321" i="35405"/>
  <c r="A2322" i="35405"/>
  <c r="A2323" i="35405"/>
  <c r="A2324" i="35405"/>
  <c r="A2325" i="35405"/>
  <c r="A2326" i="35405"/>
  <c r="A2327" i="35405"/>
  <c r="A2328" i="35405"/>
  <c r="A2329" i="35405"/>
  <c r="A2330" i="35405"/>
  <c r="A2331" i="35405"/>
  <c r="A2332" i="35405"/>
  <c r="A2333" i="35405"/>
  <c r="A2334" i="35405"/>
  <c r="A2335" i="35405"/>
  <c r="A2336" i="35405"/>
  <c r="A2337" i="35405"/>
  <c r="A2338" i="35405"/>
  <c r="A2339" i="35405"/>
  <c r="A2340" i="35405"/>
  <c r="A2341" i="35405"/>
  <c r="A2342" i="35405"/>
  <c r="A2343" i="35405"/>
  <c r="A2344" i="35405"/>
  <c r="A2345" i="35405"/>
  <c r="A2346" i="35405"/>
  <c r="A2347" i="35405"/>
  <c r="A2348" i="35405"/>
  <c r="A2349" i="35405"/>
  <c r="A2350" i="35405"/>
  <c r="A2351" i="35405"/>
  <c r="A2352" i="35405"/>
  <c r="A2353" i="35405"/>
  <c r="A2354" i="35405"/>
  <c r="A2355" i="35405"/>
  <c r="A2356" i="35405"/>
  <c r="A2357" i="35405"/>
  <c r="A2358" i="35405"/>
  <c r="A2359" i="35405"/>
  <c r="A2360" i="35405"/>
  <c r="A2361" i="35405"/>
  <c r="A2362" i="35405"/>
  <c r="A2363" i="35405"/>
  <c r="A2364" i="35405"/>
  <c r="A2365" i="35405"/>
  <c r="A2366" i="35405"/>
  <c r="A2367" i="35405"/>
  <c r="A2368" i="35405"/>
  <c r="A2369" i="35405"/>
  <c r="A2370" i="35405"/>
  <c r="A2371" i="35405"/>
  <c r="A2372" i="35405"/>
  <c r="A2373" i="35405"/>
  <c r="A2374" i="35405"/>
  <c r="A2375" i="35405"/>
  <c r="A2376" i="35405"/>
  <c r="A2377" i="35405"/>
  <c r="A2378" i="35405"/>
  <c r="A2379" i="35405"/>
  <c r="A2380" i="35405"/>
  <c r="A2381" i="35405"/>
  <c r="A2382" i="35405"/>
  <c r="A2383" i="35405"/>
  <c r="A2384" i="35405"/>
  <c r="A2385" i="35405"/>
  <c r="A2386" i="35405"/>
  <c r="A2387" i="35405"/>
  <c r="A2388" i="35405"/>
  <c r="A2389" i="35405"/>
  <c r="A2390" i="35405"/>
  <c r="A2391" i="35405"/>
  <c r="A2392" i="35405"/>
  <c r="A2393" i="35405"/>
  <c r="A2394" i="35405"/>
  <c r="A2395" i="35405"/>
  <c r="A2396" i="35405"/>
  <c r="A2397" i="35405"/>
  <c r="A2398" i="35405"/>
  <c r="A2399" i="35405"/>
  <c r="A2400" i="35405"/>
  <c r="A2401" i="35405"/>
  <c r="A2402" i="35405"/>
  <c r="A2403" i="35405"/>
  <c r="A2404" i="35405"/>
  <c r="A2405" i="35405"/>
  <c r="A2406" i="35405"/>
  <c r="A2407" i="35405"/>
  <c r="A2408" i="35405"/>
  <c r="A2409" i="35405"/>
  <c r="A2410" i="35405"/>
  <c r="A2411" i="35405"/>
  <c r="A2412" i="35405"/>
  <c r="A2413" i="35405"/>
  <c r="A2414" i="35405"/>
  <c r="A2415" i="35405"/>
  <c r="A2416" i="35405"/>
  <c r="A2417" i="35405"/>
  <c r="A2418" i="35405"/>
  <c r="A2419" i="35405"/>
  <c r="A2420" i="35405"/>
  <c r="A2421" i="35405"/>
  <c r="A2422" i="35405"/>
  <c r="A2423" i="35405"/>
  <c r="A2424" i="35405"/>
  <c r="A2425" i="35405"/>
  <c r="A2426" i="35405"/>
  <c r="A2427" i="35405"/>
  <c r="A2428" i="35405"/>
  <c r="A2429" i="35405"/>
  <c r="A2430" i="35405"/>
  <c r="A2431" i="35405"/>
  <c r="A2432" i="35405"/>
  <c r="A2433" i="35405"/>
  <c r="A2434" i="35405"/>
  <c r="A2435" i="35405"/>
  <c r="A2436" i="35405"/>
  <c r="A2437" i="35405"/>
  <c r="A2438" i="35405"/>
  <c r="A2439" i="35405"/>
  <c r="A2440" i="35405"/>
  <c r="A2441" i="35405"/>
  <c r="A2442" i="35405"/>
  <c r="A2443" i="35405"/>
  <c r="A2444" i="35405"/>
  <c r="A2445" i="35405"/>
  <c r="A2446" i="35405"/>
  <c r="A2447" i="35405"/>
  <c r="A2448" i="35405"/>
  <c r="A2449" i="35405"/>
  <c r="A2450" i="35405"/>
  <c r="A2451" i="35405"/>
  <c r="A2452" i="35405"/>
  <c r="A2453" i="35405"/>
  <c r="A2454" i="35405"/>
  <c r="A2455" i="35405"/>
  <c r="A2456" i="35405"/>
  <c r="A2457" i="35405"/>
  <c r="A2458" i="35405"/>
  <c r="A2459" i="35405"/>
  <c r="A2460" i="35405"/>
  <c r="A2461" i="35405"/>
  <c r="A2462" i="35405"/>
  <c r="A2463" i="35405"/>
  <c r="A2464" i="35405"/>
  <c r="A2465" i="35405"/>
  <c r="A2466" i="35405"/>
  <c r="A2467" i="35405"/>
  <c r="A2468" i="35405"/>
  <c r="A2469" i="35405"/>
  <c r="A2470" i="35405"/>
  <c r="A2471" i="35405"/>
  <c r="A2472" i="35405"/>
  <c r="A2473" i="35405"/>
  <c r="A2474" i="35405"/>
  <c r="A2475" i="35405"/>
  <c r="A2476" i="35405"/>
  <c r="A2477" i="35405"/>
  <c r="A2478" i="35405"/>
  <c r="A2479" i="35405"/>
  <c r="A2480" i="35405"/>
  <c r="A2481" i="35405"/>
  <c r="A2482" i="35405"/>
  <c r="A2483" i="35405"/>
  <c r="A2484" i="35405"/>
  <c r="A2485" i="35405"/>
  <c r="A2486" i="35405"/>
  <c r="A2487" i="35405"/>
  <c r="A2488" i="35405"/>
  <c r="A2489" i="35405"/>
  <c r="A2490" i="35405"/>
  <c r="A2491" i="35405"/>
  <c r="A2492" i="35405"/>
  <c r="A2493" i="35405"/>
  <c r="A2494" i="35405"/>
  <c r="A2495" i="35405"/>
  <c r="A2496" i="35405"/>
  <c r="A2497" i="35405"/>
  <c r="A2498" i="35405"/>
  <c r="A2499" i="35405"/>
  <c r="A2500" i="35405"/>
  <c r="A2501" i="35405"/>
  <c r="A2502" i="35405"/>
  <c r="A2503" i="35405"/>
  <c r="A2504" i="35405"/>
  <c r="A2505" i="35405"/>
  <c r="A2506" i="35405"/>
  <c r="A2507" i="35405"/>
  <c r="A2508" i="35405"/>
  <c r="A2509" i="35405"/>
  <c r="A2510" i="35405"/>
  <c r="A2511" i="35405"/>
  <c r="A2512" i="35405"/>
  <c r="A2513" i="35405"/>
  <c r="A2514" i="35405"/>
  <c r="A2515" i="35405"/>
  <c r="A2516" i="35405"/>
  <c r="A2517" i="35405"/>
  <c r="A2518" i="35405"/>
  <c r="A2519" i="35405"/>
  <c r="A2520" i="35405"/>
  <c r="A2521" i="35405"/>
  <c r="A2522" i="35405"/>
  <c r="A2523" i="35405"/>
  <c r="A2524" i="35405"/>
  <c r="A2525" i="35405"/>
  <c r="A2526" i="35405"/>
  <c r="A2527" i="35405"/>
  <c r="A2528" i="35405"/>
  <c r="A2529" i="35405"/>
  <c r="A2530" i="35405"/>
  <c r="A2531" i="35405"/>
  <c r="A2532" i="35405"/>
  <c r="A2533" i="35405"/>
  <c r="A2534" i="35405"/>
  <c r="A2535" i="35405"/>
  <c r="A2536" i="35405"/>
  <c r="A2537" i="35405"/>
  <c r="A2538" i="35405"/>
  <c r="A2539" i="35405"/>
  <c r="A2540" i="35405"/>
  <c r="A2541" i="35405"/>
  <c r="A2542" i="35405"/>
  <c r="A2543" i="35405"/>
  <c r="A2544" i="35405"/>
  <c r="A2545" i="35405"/>
  <c r="A2546" i="35405"/>
  <c r="A2547" i="35405"/>
  <c r="A2548" i="35405"/>
  <c r="A2549" i="35405"/>
  <c r="A2550" i="35405"/>
  <c r="A2551" i="35405"/>
  <c r="A2552" i="35405"/>
  <c r="A2553" i="35405"/>
  <c r="A2554" i="35405"/>
  <c r="A2555" i="35405"/>
  <c r="A2556" i="35405"/>
  <c r="A2557" i="35405"/>
  <c r="A2558" i="35405"/>
  <c r="A2559" i="35405"/>
  <c r="A2560" i="35405"/>
  <c r="A2561" i="35405"/>
  <c r="A2562" i="35405"/>
  <c r="A2563" i="35405"/>
  <c r="A2564" i="35405"/>
  <c r="A2565" i="35405"/>
  <c r="A2566" i="35405"/>
  <c r="A2567" i="35405"/>
  <c r="A2568" i="35405"/>
  <c r="A2569" i="35405"/>
  <c r="A2570" i="35405"/>
  <c r="A2571" i="35405"/>
  <c r="A2572" i="35405"/>
  <c r="A2573" i="35405"/>
  <c r="A2574" i="35405"/>
  <c r="A2575" i="35405"/>
  <c r="A2576" i="35405"/>
  <c r="A2577" i="35405"/>
  <c r="A2578" i="35405"/>
  <c r="A2579" i="35405"/>
  <c r="A2580" i="35405"/>
  <c r="A2581" i="35405"/>
  <c r="A2582" i="35405"/>
  <c r="A2583" i="35405"/>
  <c r="A2584" i="35405"/>
  <c r="A2585" i="35405"/>
  <c r="A2586" i="35405"/>
  <c r="A2587" i="35405"/>
  <c r="A2588" i="35405"/>
  <c r="A2589" i="35405"/>
  <c r="A2590" i="35405"/>
  <c r="A2591" i="35405"/>
  <c r="A2592" i="35405"/>
  <c r="A2593" i="35405"/>
  <c r="A2594" i="35405"/>
  <c r="A2595" i="35405"/>
  <c r="A2596" i="35405"/>
  <c r="A2597" i="35405"/>
  <c r="A2598" i="35405"/>
  <c r="A2599" i="35405"/>
  <c r="A2600" i="35405"/>
  <c r="A2601" i="35405"/>
  <c r="A2602" i="35405"/>
  <c r="A2603" i="35405"/>
  <c r="A2604" i="35405"/>
  <c r="A2605" i="35405"/>
  <c r="A2606" i="35405"/>
  <c r="A2607" i="35405"/>
  <c r="A2608" i="35405"/>
  <c r="A2609" i="35405"/>
  <c r="A2610" i="35405"/>
  <c r="A2611" i="35405"/>
  <c r="A2612" i="35405"/>
  <c r="A2613" i="35405"/>
  <c r="A2614" i="35405"/>
  <c r="A2615" i="35405"/>
  <c r="A2616" i="35405"/>
  <c r="A2617" i="35405"/>
  <c r="A2618" i="35405"/>
  <c r="A2619" i="35405"/>
  <c r="A2620" i="35405"/>
  <c r="A2621" i="35405"/>
  <c r="A2622" i="35405"/>
  <c r="A2623" i="35405"/>
  <c r="A2624" i="35405"/>
  <c r="A2625" i="35405"/>
  <c r="A2626" i="35405"/>
  <c r="A2627" i="35405"/>
  <c r="A2628" i="35405"/>
  <c r="A2629" i="35405"/>
  <c r="A2630" i="35405"/>
  <c r="A2631" i="35405"/>
  <c r="A2632" i="35405"/>
  <c r="A2633" i="35405"/>
  <c r="A2634" i="35405"/>
  <c r="A2635" i="35405"/>
  <c r="A2636" i="35405"/>
  <c r="A2637" i="35405"/>
  <c r="A2638" i="35405"/>
  <c r="A2639" i="35405"/>
  <c r="A2640" i="35405"/>
  <c r="A2641" i="35405"/>
  <c r="A2642" i="35405"/>
  <c r="A2643" i="35405"/>
  <c r="A2644" i="35405"/>
  <c r="A2645" i="35405"/>
  <c r="A2646" i="35405"/>
  <c r="A2647" i="35405"/>
  <c r="A2648" i="35405"/>
  <c r="A2649" i="35405"/>
  <c r="A2650" i="35405"/>
  <c r="A2651" i="35405"/>
  <c r="A2652" i="35405"/>
  <c r="A2653" i="35405"/>
  <c r="A2654" i="35405"/>
  <c r="A2655" i="35405"/>
  <c r="A2656" i="35405"/>
  <c r="A2657" i="35405"/>
  <c r="A2658" i="35405"/>
  <c r="A2659" i="35405"/>
  <c r="A2660" i="35405"/>
  <c r="A2661" i="35405"/>
  <c r="A2662" i="35405"/>
  <c r="A2663" i="35405"/>
  <c r="A2664" i="35405"/>
  <c r="A2665" i="35405"/>
  <c r="A2666" i="35405"/>
  <c r="A2667" i="35405"/>
  <c r="A2668" i="35405"/>
  <c r="A2669" i="35405"/>
  <c r="A2670" i="35405"/>
  <c r="A2671" i="35405"/>
  <c r="A2672" i="35405"/>
  <c r="A2673" i="35405"/>
  <c r="A2674" i="35405"/>
  <c r="A2675" i="35405"/>
  <c r="A2676" i="35405"/>
  <c r="A2677" i="35405"/>
  <c r="A2678" i="35405"/>
  <c r="A2679" i="35405"/>
  <c r="A2680" i="35405"/>
  <c r="A2681" i="35405"/>
  <c r="A2682" i="35405"/>
  <c r="A2683" i="35405"/>
  <c r="A2684" i="35405"/>
  <c r="A2685" i="35405"/>
  <c r="A2686" i="35405"/>
  <c r="A2687" i="35405"/>
  <c r="A2688" i="35405"/>
  <c r="A2689" i="35405"/>
  <c r="A2690" i="35405"/>
  <c r="A2691" i="35405"/>
  <c r="A2692" i="35405"/>
  <c r="A2693" i="35405"/>
  <c r="A2694" i="35405"/>
  <c r="A2695" i="35405"/>
  <c r="A2696" i="35405"/>
  <c r="A2697" i="35405"/>
  <c r="A2698" i="35405"/>
  <c r="A2699" i="35405"/>
  <c r="A2700" i="35405"/>
  <c r="A2701" i="35405"/>
  <c r="A2702" i="35405"/>
  <c r="A2703" i="35405"/>
  <c r="A2704" i="35405"/>
  <c r="A2705" i="35405"/>
  <c r="A2706" i="35405"/>
  <c r="A2707" i="35405"/>
  <c r="A2708" i="35405"/>
  <c r="A2709" i="35405"/>
  <c r="A2710" i="35405"/>
  <c r="A2711" i="35405"/>
  <c r="A2712" i="35405"/>
  <c r="A2713" i="35405"/>
  <c r="A2714" i="35405"/>
  <c r="A2715" i="35405"/>
  <c r="A2716" i="35405"/>
  <c r="A2717" i="35405"/>
  <c r="A2718" i="35405"/>
  <c r="A2719" i="35405"/>
  <c r="A2720" i="35405"/>
  <c r="A2721" i="35405"/>
  <c r="A2722" i="35405"/>
  <c r="A2723" i="35405"/>
  <c r="A2724" i="35405"/>
  <c r="A2725" i="35405"/>
  <c r="A2726" i="35405"/>
  <c r="A2727" i="35405"/>
  <c r="A2728" i="35405"/>
  <c r="A2729" i="35405"/>
  <c r="A2730" i="35405"/>
  <c r="A2731" i="35405"/>
  <c r="A2732" i="35405"/>
  <c r="A2733" i="35405"/>
  <c r="A2734" i="35405"/>
  <c r="A2735" i="35405"/>
  <c r="A2736" i="35405"/>
  <c r="A2737" i="35405"/>
  <c r="A2738" i="35405"/>
  <c r="A2739" i="35405"/>
  <c r="A2740" i="35405"/>
  <c r="A2741" i="35405"/>
  <c r="A2742" i="35405"/>
  <c r="A2743" i="35405"/>
  <c r="A2744" i="35405"/>
  <c r="A2745" i="35405"/>
  <c r="A2746" i="35405"/>
  <c r="A2747" i="35405"/>
  <c r="A2748" i="35405"/>
  <c r="A2749" i="35405"/>
  <c r="A2750" i="35405"/>
  <c r="A2751" i="35405"/>
  <c r="A2752" i="35405"/>
  <c r="A2753" i="35405"/>
  <c r="A2754" i="35405"/>
  <c r="A2755" i="35405"/>
  <c r="A2756" i="35405"/>
  <c r="A2757" i="35405"/>
  <c r="A2758" i="35405"/>
  <c r="A2759" i="35405"/>
  <c r="A2760" i="35405"/>
  <c r="A2761" i="35405"/>
  <c r="A2762" i="35405"/>
  <c r="A2763" i="35405"/>
  <c r="A2764" i="35405"/>
  <c r="A2765" i="35405"/>
  <c r="A2766" i="35405"/>
  <c r="A2767" i="35405"/>
  <c r="A2768" i="35405"/>
  <c r="A2769" i="35405"/>
  <c r="A2770" i="35405"/>
  <c r="A2771" i="35405"/>
  <c r="A2772" i="35405"/>
  <c r="A2773" i="35405"/>
  <c r="A2774" i="35405"/>
  <c r="A2775" i="35405"/>
  <c r="A2776" i="35405"/>
  <c r="A2777" i="35405"/>
  <c r="A2778" i="35405"/>
  <c r="A2779" i="35405"/>
  <c r="A2780" i="35405"/>
  <c r="A2781" i="35405"/>
  <c r="A2782" i="35405"/>
  <c r="A2783" i="35405"/>
  <c r="A2784" i="35405"/>
  <c r="A2785" i="35405"/>
  <c r="A2786" i="35405"/>
  <c r="A2787" i="35405"/>
  <c r="A2788" i="35405"/>
  <c r="A2789" i="35405"/>
  <c r="A2790" i="35405"/>
  <c r="A2791" i="35405"/>
  <c r="A2792" i="35405"/>
  <c r="A2793" i="35405"/>
  <c r="A2794" i="35405"/>
  <c r="A2795" i="35405"/>
  <c r="A2796" i="35405"/>
  <c r="A2797" i="35405"/>
  <c r="A2798" i="35405"/>
  <c r="A2799" i="35405"/>
  <c r="A2800" i="35405"/>
  <c r="A2801" i="35405"/>
  <c r="A2802" i="35405"/>
  <c r="A2803" i="35405"/>
  <c r="A2804" i="35405"/>
  <c r="A2805" i="35405"/>
  <c r="A2806" i="35405"/>
  <c r="A2807" i="35405"/>
  <c r="A2808" i="35405"/>
  <c r="A2809" i="35405"/>
  <c r="A2810" i="35405"/>
  <c r="A2811" i="35405"/>
  <c r="A2812" i="35405"/>
  <c r="A2813" i="35405"/>
  <c r="A2814" i="35405"/>
  <c r="A2815" i="35405"/>
  <c r="A2816" i="35405"/>
  <c r="A2817" i="35405"/>
  <c r="A2818" i="35405"/>
  <c r="A2819" i="35405"/>
  <c r="A2820" i="35405"/>
  <c r="A2821" i="35405"/>
  <c r="A2822" i="35405"/>
  <c r="A2823" i="35405"/>
  <c r="A2824" i="35405"/>
  <c r="A2825" i="35405"/>
  <c r="A2826" i="35405"/>
  <c r="A2827" i="35405"/>
  <c r="A2828" i="35405"/>
  <c r="A2829" i="35405"/>
  <c r="A2830" i="35405"/>
  <c r="A2831" i="35405"/>
  <c r="A2832" i="35405"/>
  <c r="A2833" i="35405"/>
  <c r="A2834" i="35405"/>
  <c r="A2835" i="35405"/>
  <c r="A2836" i="35405"/>
  <c r="A2837" i="35405"/>
  <c r="A2838" i="35405"/>
  <c r="A2839" i="35405"/>
  <c r="A2840" i="35405"/>
  <c r="A2841" i="35405"/>
  <c r="A2842" i="35405"/>
  <c r="A2843" i="35405"/>
  <c r="A2844" i="35405"/>
  <c r="A2845" i="35405"/>
  <c r="A2846" i="35405"/>
  <c r="A2847" i="35405"/>
  <c r="A2848" i="35405"/>
  <c r="A2849" i="35405"/>
  <c r="A2850" i="35405"/>
  <c r="A2851" i="35405"/>
  <c r="A2852" i="35405"/>
  <c r="A2853" i="35405"/>
  <c r="A2854" i="35405"/>
  <c r="A2855" i="35405"/>
  <c r="A2856" i="35405"/>
  <c r="A2857" i="35405"/>
  <c r="A2858" i="35405"/>
  <c r="A2859" i="35405"/>
  <c r="A2860" i="35405"/>
  <c r="A2861" i="35405"/>
  <c r="A2862" i="35405"/>
  <c r="A2863" i="35405"/>
  <c r="A2864" i="35405"/>
  <c r="A2865" i="35405"/>
  <c r="A2866" i="35405"/>
  <c r="A2867" i="35405"/>
  <c r="A2868" i="35405"/>
  <c r="A2869" i="35405"/>
  <c r="A2870" i="35405"/>
  <c r="A2871" i="35405"/>
  <c r="A2872" i="35405"/>
  <c r="A2873" i="35405"/>
  <c r="A2874" i="35405"/>
  <c r="A2875" i="35405"/>
  <c r="A2876" i="35405"/>
  <c r="A2877" i="35405"/>
  <c r="A2878" i="35405"/>
  <c r="A2879" i="35405"/>
  <c r="A2880" i="35405"/>
  <c r="A2881" i="35405"/>
  <c r="A2882" i="35405"/>
  <c r="A2883" i="35405"/>
  <c r="A2884" i="35405"/>
  <c r="A2885" i="35405"/>
  <c r="A2886" i="35405"/>
  <c r="A2887" i="35405"/>
  <c r="A2888" i="35405"/>
  <c r="A2889" i="35405"/>
  <c r="A2890" i="35405"/>
  <c r="A2891" i="35405"/>
  <c r="A2892" i="35405"/>
  <c r="A2893" i="35405"/>
  <c r="A2894" i="35405"/>
  <c r="A2895" i="35405"/>
  <c r="A2896" i="35405"/>
  <c r="A2897" i="35405"/>
  <c r="A2898" i="35405"/>
  <c r="A2899" i="35405"/>
  <c r="A2900" i="35405"/>
  <c r="A2901" i="35405"/>
  <c r="A2902" i="35405"/>
  <c r="A2903" i="35405"/>
  <c r="A2904" i="35405"/>
  <c r="A2905" i="35405"/>
  <c r="A2906" i="35405"/>
  <c r="A2907" i="35405"/>
  <c r="A2908" i="35405"/>
  <c r="A2909" i="35405"/>
  <c r="A2910" i="35405"/>
  <c r="A2911" i="35405"/>
  <c r="A2912" i="35405"/>
  <c r="A2913" i="35405"/>
  <c r="A2914" i="35405"/>
  <c r="A2915" i="35405"/>
  <c r="A2916" i="35405"/>
  <c r="A2917" i="35405"/>
  <c r="A2918" i="35405"/>
  <c r="A2919" i="35405"/>
  <c r="A2920" i="35405"/>
  <c r="A2921" i="35405"/>
  <c r="A2922" i="35405"/>
  <c r="A2923" i="35405"/>
  <c r="A2924" i="35405"/>
  <c r="A2925" i="35405"/>
  <c r="A2926" i="35405"/>
  <c r="A2927" i="35405"/>
  <c r="A2928" i="35405"/>
  <c r="A2929" i="35405"/>
  <c r="A2930" i="35405"/>
  <c r="A2931" i="35405"/>
  <c r="A2932" i="35405"/>
  <c r="A2933" i="35405"/>
  <c r="A2934" i="35405"/>
  <c r="A2935" i="35405"/>
  <c r="A2936" i="35405"/>
  <c r="A2937" i="35405"/>
  <c r="A2938" i="35405"/>
  <c r="A2939" i="35405"/>
  <c r="A2940" i="35405"/>
  <c r="A2941" i="35405"/>
  <c r="A2942" i="35405"/>
  <c r="A2943" i="35405"/>
  <c r="A2944" i="35405"/>
  <c r="A2945" i="35405"/>
  <c r="A2946" i="35405"/>
  <c r="A2947" i="35405"/>
  <c r="A2948" i="35405"/>
  <c r="A2949" i="35405"/>
  <c r="A2950" i="35405"/>
  <c r="A2951" i="35405"/>
  <c r="A2952" i="35405"/>
  <c r="A2953" i="35405"/>
  <c r="A2954" i="35405"/>
  <c r="A2955" i="35405"/>
  <c r="A2956" i="35405"/>
  <c r="A2957" i="35405"/>
  <c r="A2958" i="35405"/>
  <c r="A2959" i="35405"/>
  <c r="A2960" i="35405"/>
  <c r="A2961" i="35405"/>
  <c r="A2962" i="35405"/>
  <c r="A2963" i="35405"/>
  <c r="A2964" i="35405"/>
  <c r="A2965" i="35405"/>
  <c r="A2966" i="35405"/>
  <c r="A2967" i="35405"/>
  <c r="A2968" i="35405"/>
  <c r="A2969" i="35405"/>
  <c r="A2970" i="35405"/>
  <c r="A2971" i="35405"/>
  <c r="A2972" i="35405"/>
  <c r="A2973" i="35405"/>
  <c r="A2974" i="35405"/>
  <c r="A2975" i="35405"/>
  <c r="A2976" i="35405"/>
  <c r="A2977" i="35405"/>
  <c r="A2978" i="35405"/>
  <c r="A2979" i="35405"/>
  <c r="A2980" i="35405"/>
  <c r="A2981" i="35405"/>
  <c r="A2982" i="35405"/>
  <c r="A2983" i="35405"/>
  <c r="A2984" i="35405"/>
  <c r="A2985" i="35405"/>
  <c r="A2986" i="35405"/>
  <c r="A2987" i="35405"/>
  <c r="A2988" i="35405"/>
  <c r="A2989" i="35405"/>
  <c r="A2990" i="35405"/>
  <c r="A2991" i="35405"/>
  <c r="A2992" i="35405"/>
  <c r="A2993" i="35405"/>
  <c r="A2994" i="35405"/>
  <c r="A2995" i="35405"/>
  <c r="A2996" i="35405"/>
  <c r="A2997" i="35405"/>
  <c r="A2998" i="35405"/>
  <c r="A2999" i="35405"/>
  <c r="A3000" i="35405"/>
  <c r="A3001" i="35405"/>
  <c r="A3002" i="35405"/>
  <c r="A3003" i="35405"/>
  <c r="A3004" i="35405"/>
  <c r="A3005" i="35405"/>
  <c r="A3006" i="35405"/>
  <c r="A3007" i="35405"/>
  <c r="A3008" i="35405"/>
  <c r="A3009" i="35405"/>
  <c r="A3010" i="35405"/>
  <c r="A3011" i="35405"/>
  <c r="A3012" i="35405"/>
  <c r="A3013" i="35405"/>
  <c r="A3014" i="35405"/>
  <c r="A3015" i="35405"/>
  <c r="A3016" i="35405"/>
  <c r="A3017" i="35405"/>
  <c r="A3018" i="35405"/>
  <c r="A3019" i="35405"/>
  <c r="A3020" i="35405"/>
  <c r="A3021" i="35405"/>
  <c r="A3022" i="35405"/>
  <c r="A3023" i="35405"/>
  <c r="A3024" i="35405"/>
  <c r="A3025" i="35405"/>
  <c r="A3026" i="35405"/>
  <c r="A3027" i="35405"/>
  <c r="A3028" i="35405"/>
  <c r="A3029" i="35405"/>
  <c r="A3030" i="35405"/>
  <c r="A3031" i="35405"/>
  <c r="A3032" i="35405"/>
  <c r="A3033" i="35405"/>
  <c r="A3034" i="35405"/>
  <c r="A3035" i="35405"/>
  <c r="A3036" i="35405"/>
  <c r="A3037" i="35405"/>
  <c r="A3038" i="35405"/>
  <c r="A3039" i="35405"/>
  <c r="A3040" i="35405"/>
  <c r="A3041" i="35405"/>
  <c r="A3042" i="35405"/>
  <c r="A3043" i="35405"/>
  <c r="A3044" i="35405"/>
  <c r="A3045" i="35405"/>
  <c r="A3046" i="35405"/>
  <c r="A3047" i="35405"/>
  <c r="A3048" i="35405"/>
  <c r="A3049" i="35405"/>
  <c r="A3050" i="35405"/>
  <c r="A3051" i="35405"/>
  <c r="A3052" i="35405"/>
  <c r="A3053" i="35405"/>
  <c r="A3054" i="35405"/>
  <c r="A3055" i="35405"/>
  <c r="A3056" i="35405"/>
  <c r="A3057" i="35405"/>
  <c r="A3058" i="35405"/>
  <c r="A3059" i="35405"/>
  <c r="A3060" i="35405"/>
  <c r="A3061" i="35405"/>
  <c r="A3062" i="35405"/>
  <c r="A3063" i="35405"/>
  <c r="A3064" i="35405"/>
  <c r="A3065" i="35405"/>
  <c r="A3066" i="35405"/>
  <c r="A3067" i="35405"/>
  <c r="A3068" i="35405"/>
  <c r="A3069" i="35405"/>
  <c r="A3070" i="35405"/>
  <c r="A3071" i="35405"/>
  <c r="A3072" i="35405"/>
  <c r="A3073" i="35405"/>
  <c r="A3074" i="35405"/>
  <c r="A3075" i="35405"/>
  <c r="A3076" i="35405"/>
  <c r="A3077" i="35405"/>
  <c r="A3078" i="35405"/>
  <c r="A3079" i="35405"/>
  <c r="A3080" i="35405"/>
  <c r="A3081" i="35405"/>
  <c r="A3082" i="35405"/>
  <c r="A3083" i="35405"/>
  <c r="A3084" i="35405"/>
  <c r="A3085" i="35405"/>
  <c r="A3086" i="35405"/>
  <c r="A3087" i="35405"/>
  <c r="A3088" i="35405"/>
  <c r="A3089" i="35405"/>
  <c r="A3090" i="35405"/>
  <c r="A3091" i="35405"/>
  <c r="A3092" i="35405"/>
  <c r="A3093" i="35405"/>
  <c r="A3094" i="35405"/>
  <c r="A3095" i="35405"/>
  <c r="A3096" i="35405"/>
  <c r="A3097" i="35405"/>
  <c r="A3098" i="35405"/>
  <c r="A3099" i="35405"/>
  <c r="A3100" i="35405"/>
  <c r="A3101" i="35405"/>
  <c r="A3102" i="35405"/>
  <c r="A3103" i="35405"/>
  <c r="A3104" i="35405"/>
  <c r="A3105" i="35405"/>
  <c r="A3106" i="35405"/>
  <c r="A3107" i="35405"/>
  <c r="A3108" i="35405"/>
  <c r="A3109" i="35405"/>
  <c r="A3110" i="35405"/>
  <c r="A3111" i="35405"/>
  <c r="A3112" i="35405"/>
  <c r="A3113" i="35405"/>
  <c r="A3114" i="35405"/>
  <c r="A3115" i="35405"/>
  <c r="A3116" i="35405"/>
  <c r="A3117" i="35405"/>
  <c r="A3118" i="35405"/>
  <c r="A3119" i="35405"/>
  <c r="A3120" i="35405"/>
  <c r="A3121" i="35405"/>
  <c r="A3122" i="35405"/>
  <c r="A3123" i="35405"/>
  <c r="A3124" i="35405"/>
  <c r="A3125" i="35405"/>
  <c r="A3126" i="35405"/>
  <c r="A3127" i="35405"/>
  <c r="A3128" i="35405"/>
  <c r="A3129" i="35405"/>
  <c r="A3130" i="35405"/>
  <c r="A3131" i="35405"/>
  <c r="A3132" i="35405"/>
  <c r="A3133" i="35405"/>
  <c r="A3134" i="35405"/>
  <c r="A3135" i="35405"/>
  <c r="A3136" i="35405"/>
  <c r="A3137" i="35405"/>
  <c r="A3138" i="35405"/>
  <c r="A3139" i="35405"/>
  <c r="A3140" i="35405"/>
  <c r="A3141" i="35405"/>
  <c r="A3142" i="35405"/>
  <c r="A3143" i="35405"/>
  <c r="A3144" i="35405"/>
  <c r="A3145" i="35405"/>
  <c r="A3146" i="35405"/>
  <c r="A3147" i="35405"/>
  <c r="A3148" i="35405"/>
  <c r="A3149" i="35405"/>
  <c r="A3150" i="35405"/>
  <c r="A3151" i="35405"/>
  <c r="A3152" i="35405"/>
  <c r="A3153" i="35405"/>
  <c r="A3154" i="35405"/>
  <c r="A3155" i="35405"/>
  <c r="A3156" i="35405"/>
  <c r="A3157" i="35405"/>
  <c r="A3158" i="35405"/>
  <c r="A3159" i="35405"/>
  <c r="A3160" i="35405"/>
  <c r="A3161" i="35405"/>
  <c r="A3162" i="35405"/>
  <c r="A3163" i="35405"/>
  <c r="A3164" i="35405"/>
  <c r="A3165" i="35405"/>
  <c r="A3166" i="35405"/>
  <c r="A3167" i="35405"/>
  <c r="A3168" i="35405"/>
  <c r="A3169" i="35405"/>
  <c r="A3170" i="35405"/>
  <c r="A3171" i="35405"/>
  <c r="A3172" i="35405"/>
  <c r="A3173" i="35405"/>
  <c r="A3174" i="35405"/>
  <c r="A3175" i="35405"/>
  <c r="A3176" i="35405"/>
  <c r="A3177" i="35405"/>
  <c r="A3178" i="35405"/>
  <c r="A3179" i="35405"/>
  <c r="A3180" i="35405"/>
  <c r="A3181" i="35405"/>
  <c r="A3182" i="35405"/>
  <c r="A3183" i="35405"/>
  <c r="A3184" i="35405"/>
  <c r="A3185" i="35405"/>
  <c r="A3186" i="35405"/>
  <c r="A3187" i="35405"/>
  <c r="A3188" i="35405"/>
  <c r="A3189" i="35405"/>
  <c r="A3190" i="35405"/>
  <c r="A3191" i="35405"/>
  <c r="A3192" i="35405"/>
  <c r="A3193" i="35405"/>
  <c r="A3194" i="35405"/>
  <c r="A3195" i="35405"/>
  <c r="A3196" i="35405"/>
  <c r="A3197" i="35405"/>
  <c r="A3198" i="35405"/>
  <c r="A3199" i="35405"/>
  <c r="A3200" i="35405"/>
  <c r="A3201" i="35405"/>
  <c r="A3202" i="35405"/>
  <c r="A3203" i="35405"/>
  <c r="A3204" i="35405"/>
  <c r="A3205" i="35405"/>
  <c r="A3206" i="35405"/>
  <c r="A3207" i="35405"/>
  <c r="A3208" i="35405"/>
  <c r="A3209" i="35405"/>
  <c r="A3210" i="35405"/>
  <c r="A3211" i="35405"/>
  <c r="A3212" i="35405"/>
  <c r="A3213" i="35405"/>
  <c r="A3214" i="35405"/>
  <c r="A3215" i="35405"/>
  <c r="A3216" i="35405"/>
  <c r="A3217" i="35405"/>
  <c r="A3218" i="35405"/>
  <c r="A3219" i="35405"/>
  <c r="A3220" i="35405"/>
  <c r="A3221" i="35405"/>
  <c r="A3222" i="35405"/>
  <c r="A3223" i="35405"/>
  <c r="A3224" i="35405"/>
  <c r="A3225" i="35405"/>
  <c r="A3226" i="35405"/>
  <c r="A3227" i="35405"/>
  <c r="A3228" i="35405"/>
  <c r="A3229" i="35405"/>
  <c r="A3230" i="35405"/>
  <c r="A3231" i="35405"/>
  <c r="A3232" i="35405"/>
  <c r="A3233" i="35405"/>
  <c r="A3234" i="35405"/>
  <c r="A3235" i="35405"/>
  <c r="A3236" i="35405"/>
  <c r="A3237" i="35405"/>
  <c r="A3238" i="35405"/>
  <c r="A3239" i="35405"/>
  <c r="A3240" i="35405"/>
  <c r="A3241" i="35405"/>
  <c r="A3242" i="35405"/>
  <c r="A3243" i="35405"/>
  <c r="A3244" i="35405"/>
  <c r="A3245" i="35405"/>
  <c r="A3246" i="35405"/>
  <c r="A3247" i="35405"/>
  <c r="A3248" i="35405"/>
  <c r="A3249" i="35405"/>
  <c r="A3250" i="35405"/>
  <c r="A3251" i="35405"/>
  <c r="A3252" i="35405"/>
  <c r="A3253" i="35405"/>
  <c r="A3254" i="35405"/>
  <c r="A3255" i="35405"/>
  <c r="A3256" i="35405"/>
  <c r="A3257" i="35405"/>
  <c r="A3258" i="35405"/>
  <c r="A3259" i="35405"/>
  <c r="A3260" i="35405"/>
  <c r="A3261" i="35405"/>
  <c r="A3262" i="35405"/>
  <c r="A3263" i="35405"/>
  <c r="A3264" i="35405"/>
  <c r="A3265" i="35405"/>
  <c r="A3266" i="35405"/>
  <c r="A3267" i="35405"/>
  <c r="A3268" i="35405"/>
  <c r="A3269" i="35405"/>
  <c r="A3270" i="35405"/>
  <c r="A3271" i="35405"/>
  <c r="A3272" i="35405"/>
  <c r="A3273" i="35405"/>
  <c r="A3274" i="35405"/>
  <c r="A3275" i="35405"/>
  <c r="A3276" i="35405"/>
  <c r="A3277" i="35405"/>
  <c r="A3278" i="35405"/>
  <c r="A3279" i="35405"/>
  <c r="A3280" i="35405"/>
  <c r="A3281" i="35405"/>
  <c r="A3282" i="35405"/>
  <c r="A3283" i="35405"/>
  <c r="A3284" i="35405"/>
  <c r="A3285" i="35405"/>
  <c r="A3286" i="35405"/>
  <c r="A3287" i="35405"/>
  <c r="A3288" i="35405"/>
  <c r="A3289" i="35405"/>
  <c r="A3290" i="35405"/>
  <c r="A3291" i="35405"/>
  <c r="A3292" i="35405"/>
  <c r="A3293" i="35405"/>
  <c r="A3294" i="35405"/>
  <c r="A3295" i="35405"/>
  <c r="A3296" i="35405"/>
  <c r="A3297" i="35405"/>
  <c r="A3298" i="35405"/>
  <c r="A3299" i="35405"/>
  <c r="A3300" i="35405"/>
  <c r="A3301" i="35405"/>
  <c r="A3302" i="35405"/>
  <c r="A3303" i="35405"/>
  <c r="A3304" i="35405"/>
  <c r="A3305" i="35405"/>
  <c r="A3306" i="35405"/>
  <c r="A3307" i="35405"/>
  <c r="A3308" i="35405"/>
  <c r="A3309" i="35405"/>
  <c r="A3310" i="35405"/>
  <c r="A3311" i="35405"/>
  <c r="A3312" i="35405"/>
  <c r="A3313" i="35405"/>
  <c r="A3314" i="35405"/>
  <c r="A3315" i="35405"/>
  <c r="A3316" i="35405"/>
  <c r="A3317" i="35405"/>
  <c r="A3318" i="35405"/>
  <c r="A3319" i="35405"/>
  <c r="A3320" i="35405"/>
  <c r="A3321" i="35405"/>
  <c r="A3322" i="35405"/>
  <c r="A3323" i="35405"/>
  <c r="A3324" i="35405"/>
  <c r="A3325" i="35405"/>
  <c r="A3326" i="35405"/>
  <c r="A3327" i="35405"/>
  <c r="A3328" i="35405"/>
  <c r="A3329" i="35405"/>
  <c r="A3330" i="35405"/>
  <c r="A3331" i="35405"/>
  <c r="A3332" i="35405"/>
  <c r="A3333" i="35405"/>
  <c r="A3334" i="35405"/>
  <c r="A3335" i="35405"/>
  <c r="A3336" i="35405"/>
  <c r="A3337" i="35405"/>
  <c r="A3338" i="35405"/>
  <c r="A3339" i="35405"/>
  <c r="A3340" i="35405"/>
  <c r="A3341" i="35405"/>
  <c r="A3342" i="35405"/>
  <c r="A3343" i="35405"/>
  <c r="A3344" i="35405"/>
  <c r="A3345" i="35405"/>
  <c r="A3346" i="35405"/>
  <c r="A3347" i="35405"/>
  <c r="A3348" i="35405"/>
  <c r="A3349" i="35405"/>
  <c r="A3350" i="35405"/>
  <c r="A3351" i="35405"/>
  <c r="A3352" i="35405"/>
  <c r="A3353" i="35405"/>
  <c r="A3354" i="35405"/>
  <c r="A3355" i="35405"/>
  <c r="A3356" i="35405"/>
  <c r="A3357" i="35405"/>
  <c r="A3358" i="35405"/>
  <c r="A3359" i="35405"/>
  <c r="A3360" i="35405"/>
  <c r="A3361" i="35405"/>
  <c r="A3362" i="35405"/>
  <c r="A3363" i="35405"/>
  <c r="A3364" i="35405"/>
  <c r="A3365" i="35405"/>
  <c r="A3366" i="35405"/>
  <c r="A3367" i="35405"/>
  <c r="A3368" i="35405"/>
  <c r="A3369" i="35405"/>
  <c r="A3370" i="35405"/>
  <c r="A3371" i="35405"/>
  <c r="A3372" i="35405"/>
  <c r="A3373" i="35405"/>
  <c r="A3374" i="35405"/>
  <c r="A3375" i="35405"/>
  <c r="A3376" i="35405"/>
  <c r="A3377" i="35405"/>
  <c r="A3378" i="35405"/>
  <c r="A3379" i="35405"/>
  <c r="A3380" i="35405"/>
  <c r="A3381" i="35405"/>
  <c r="A3382" i="35405"/>
  <c r="A3383" i="35405"/>
  <c r="A3384" i="35405"/>
  <c r="A3385" i="35405"/>
  <c r="A3386" i="35405"/>
  <c r="A3387" i="35405"/>
  <c r="A3388" i="35405"/>
  <c r="A3389" i="35405"/>
  <c r="A3390" i="35405"/>
  <c r="A3391" i="35405"/>
  <c r="A3392" i="35405"/>
  <c r="A3393" i="35405"/>
  <c r="A3394" i="35405"/>
  <c r="A3395" i="35405"/>
  <c r="A3396" i="35405"/>
  <c r="A3397" i="35405"/>
  <c r="A3398" i="35405"/>
  <c r="A3399" i="35405"/>
  <c r="A3400" i="35405"/>
  <c r="A3401" i="35405"/>
  <c r="A3402" i="35405"/>
  <c r="A3403" i="35405"/>
  <c r="A3404" i="35405"/>
  <c r="A3405" i="35405"/>
  <c r="A3406" i="35405"/>
  <c r="A3407" i="35405"/>
  <c r="A3408" i="35405"/>
  <c r="A3409" i="35405"/>
  <c r="A3410" i="35405"/>
  <c r="A3411" i="35405"/>
  <c r="A3412" i="35405"/>
  <c r="A3413" i="35405"/>
  <c r="A3414" i="35405"/>
  <c r="A3415" i="35405"/>
  <c r="A3416" i="35405"/>
  <c r="A3417" i="35405"/>
  <c r="A3418" i="35405"/>
  <c r="A3419" i="35405"/>
  <c r="A3420" i="35405"/>
  <c r="A3421" i="35405"/>
  <c r="A3422" i="35405"/>
  <c r="A3423" i="35405"/>
  <c r="A3424" i="35405"/>
  <c r="A3425" i="35405"/>
  <c r="A3426" i="35405"/>
  <c r="A3427" i="35405"/>
  <c r="A3428" i="35405"/>
  <c r="A3429" i="35405"/>
  <c r="A3430" i="35405"/>
  <c r="A3431" i="35405"/>
  <c r="A3432" i="35405"/>
  <c r="A3433" i="35405"/>
  <c r="A3434" i="35405"/>
  <c r="A3435" i="35405"/>
  <c r="A3436" i="35405"/>
  <c r="A3437" i="35405"/>
  <c r="A3438" i="35405"/>
  <c r="A3439" i="35405"/>
  <c r="A3440" i="35405"/>
  <c r="A3441" i="35405"/>
  <c r="A3442" i="35405"/>
  <c r="A3443" i="35405"/>
  <c r="A3444" i="35405"/>
  <c r="A3445" i="35405"/>
  <c r="A3446" i="35405"/>
  <c r="A3447" i="35405"/>
  <c r="A3448" i="35405"/>
  <c r="A3449" i="35405"/>
  <c r="A3450" i="35405"/>
  <c r="A3451" i="35405"/>
  <c r="A3452" i="35405"/>
  <c r="A3453" i="35405"/>
  <c r="A3454" i="35405"/>
  <c r="A3455" i="35405"/>
  <c r="A3456" i="35405"/>
  <c r="A3457" i="35405"/>
  <c r="A3458" i="35405"/>
  <c r="A3459" i="35405"/>
  <c r="A3460" i="35405"/>
  <c r="A3461" i="35405"/>
  <c r="A3462" i="35405"/>
  <c r="A3463" i="35405"/>
  <c r="A3464" i="35405"/>
  <c r="A3465" i="35405"/>
  <c r="A3466" i="35405"/>
  <c r="A3467" i="35405"/>
  <c r="A3468" i="35405"/>
  <c r="A3469" i="35405"/>
  <c r="A3470" i="35405"/>
  <c r="A3471" i="35405"/>
  <c r="A3472" i="35405"/>
  <c r="A3473" i="35405"/>
  <c r="A3474" i="35405"/>
  <c r="A3475" i="35405"/>
  <c r="A3476" i="35405"/>
  <c r="A3477" i="35405"/>
  <c r="A3478" i="35405"/>
  <c r="A3479" i="35405"/>
  <c r="A3480" i="35405"/>
  <c r="A3481" i="35405"/>
  <c r="A3482" i="35405"/>
  <c r="A3483" i="35405"/>
  <c r="A3484" i="35405"/>
  <c r="A3485" i="35405"/>
  <c r="A3486" i="35405"/>
  <c r="A3487" i="35405"/>
  <c r="A3488" i="35405"/>
  <c r="A3489" i="35405"/>
  <c r="A3490" i="35405"/>
  <c r="A3491" i="35405"/>
  <c r="A3492" i="35405"/>
  <c r="A3493" i="35405"/>
  <c r="A3494" i="35405"/>
  <c r="A3495" i="35405"/>
  <c r="A3496" i="35405"/>
  <c r="A3497" i="35405"/>
  <c r="A3498" i="35405"/>
  <c r="A3499" i="35405"/>
  <c r="A3500" i="35405"/>
  <c r="A3501" i="35405"/>
  <c r="A3502" i="35405"/>
  <c r="A3503" i="35405"/>
  <c r="A3504" i="35405"/>
  <c r="A3505" i="35405"/>
  <c r="A3506" i="35405"/>
  <c r="A3507" i="35405"/>
  <c r="A3508" i="35405"/>
  <c r="A3509" i="35405"/>
  <c r="A3510" i="35405"/>
  <c r="A3511" i="35405"/>
  <c r="A3512" i="35405"/>
  <c r="A3513" i="35405"/>
  <c r="A3514" i="35405"/>
  <c r="A3515" i="35405"/>
  <c r="A3516" i="35405"/>
  <c r="A3517" i="35405"/>
  <c r="A3518" i="35405"/>
  <c r="A3519" i="35405"/>
  <c r="A3520" i="35405"/>
  <c r="A3521" i="35405"/>
  <c r="A3522" i="35405"/>
  <c r="A3523" i="35405"/>
  <c r="A3524" i="35405"/>
  <c r="A3525" i="35405"/>
  <c r="A3526" i="35405"/>
  <c r="A3527" i="35405"/>
  <c r="A3528" i="35405"/>
  <c r="A3529" i="35405"/>
  <c r="A3530" i="35405"/>
  <c r="A3531" i="35405"/>
  <c r="A3532" i="35405"/>
  <c r="A3533" i="35405"/>
  <c r="A3534" i="35405"/>
  <c r="A3535" i="35405"/>
  <c r="A3536" i="35405"/>
  <c r="A3537" i="35405"/>
  <c r="A3538" i="35405"/>
  <c r="A3539" i="35405"/>
  <c r="A3540" i="35405"/>
  <c r="A3541" i="35405"/>
  <c r="A3542" i="35405"/>
  <c r="A3543" i="35405"/>
  <c r="A3544" i="35405"/>
  <c r="A3545" i="35405"/>
  <c r="A3546" i="35405"/>
  <c r="A3547" i="35405"/>
  <c r="A3548" i="35405"/>
  <c r="A3549" i="35405"/>
  <c r="A3550" i="35405"/>
  <c r="A3551" i="35405"/>
  <c r="A3552" i="35405"/>
  <c r="A3553" i="35405"/>
  <c r="A3554" i="35405"/>
  <c r="A3555" i="35405"/>
  <c r="A3556" i="35405"/>
  <c r="A3557" i="35405"/>
  <c r="A3558" i="35405"/>
  <c r="A3559" i="35405"/>
  <c r="A3560" i="35405"/>
  <c r="A3561" i="35405"/>
  <c r="A3562" i="35405"/>
  <c r="A3563" i="35405"/>
  <c r="A3564" i="35405"/>
  <c r="A3565" i="35405"/>
  <c r="A3566" i="35405"/>
  <c r="A3567" i="35405"/>
  <c r="A3568" i="35405"/>
  <c r="A3569" i="35405"/>
  <c r="A3570" i="35405"/>
  <c r="A3571" i="35405"/>
  <c r="A3572" i="35405"/>
  <c r="A3573" i="35405"/>
  <c r="A3574" i="35405"/>
  <c r="A3575" i="35405"/>
  <c r="A3576" i="35405"/>
  <c r="A3577" i="35405"/>
  <c r="A3578" i="35405"/>
  <c r="A3579" i="35405"/>
  <c r="A3580" i="35405"/>
  <c r="A3581" i="35405"/>
  <c r="A3582" i="35405"/>
  <c r="A3583" i="35405"/>
  <c r="A3584" i="35405"/>
  <c r="A3585" i="35405"/>
  <c r="A3586" i="35405"/>
  <c r="A3587" i="35405"/>
  <c r="A3588" i="35405"/>
  <c r="A3589" i="35405"/>
  <c r="A3590" i="35405"/>
  <c r="A3591" i="35405"/>
  <c r="A3592" i="35405"/>
  <c r="A3593" i="35405"/>
  <c r="A3594" i="35405"/>
  <c r="A3595" i="35405"/>
  <c r="A3596" i="35405"/>
  <c r="A3597" i="35405"/>
  <c r="A3598" i="35405"/>
  <c r="A3599" i="35405"/>
  <c r="A3600" i="35405"/>
  <c r="A3601" i="35405"/>
  <c r="A3602" i="35405"/>
  <c r="A3603" i="35405"/>
  <c r="A3604" i="35405"/>
  <c r="A3605" i="35405"/>
  <c r="A3606" i="35405"/>
  <c r="A3607" i="35405"/>
  <c r="A3608" i="35405"/>
  <c r="A3609" i="35405"/>
  <c r="A3610" i="35405"/>
  <c r="A3611" i="35405"/>
  <c r="A3612" i="35405"/>
  <c r="A3613" i="35405"/>
  <c r="A3614" i="35405"/>
  <c r="A3615" i="35405"/>
  <c r="A3616" i="35405"/>
  <c r="A3617" i="35405"/>
  <c r="A3618" i="35405"/>
  <c r="A3619" i="35405"/>
  <c r="A3620" i="35405"/>
  <c r="A3621" i="35405"/>
  <c r="A3622" i="35405"/>
  <c r="A3623" i="35405"/>
  <c r="A3624" i="35405"/>
  <c r="A3625" i="35405"/>
  <c r="A3626" i="35405"/>
  <c r="A3627" i="35405"/>
  <c r="A3628" i="35405"/>
  <c r="A3629" i="35405"/>
  <c r="A3630" i="35405"/>
  <c r="A3631" i="35405"/>
  <c r="A3632" i="35405"/>
  <c r="A3633" i="35405"/>
  <c r="A3634" i="35405"/>
  <c r="A3635" i="35405"/>
  <c r="A3636" i="35405"/>
  <c r="A3637" i="35405"/>
  <c r="A3638" i="35405"/>
  <c r="A3639" i="35405"/>
  <c r="A3640" i="35405"/>
  <c r="A3641" i="35405"/>
  <c r="A2" i="35405"/>
  <c r="T47" i="34968" l="1"/>
  <c r="R47" i="34968"/>
  <c r="U47" i="34968"/>
  <c r="S47" i="34968"/>
  <c r="V47" i="34968"/>
  <c r="Q48" i="34968"/>
  <c r="A6" i="35404"/>
  <c r="A7" i="35404" s="1"/>
  <c r="A8" i="35404" s="1"/>
  <c r="A9" i="35404" s="1"/>
  <c r="A10" i="35404" s="1"/>
  <c r="A11" i="35404" s="1"/>
  <c r="A12" i="35404" s="1"/>
  <c r="A13" i="35404" s="1"/>
  <c r="A14" i="35404" s="1"/>
  <c r="A15" i="35404" s="1"/>
  <c r="A16" i="35404" s="1"/>
  <c r="A17" i="35404" s="1"/>
  <c r="A18" i="35404" s="1"/>
  <c r="A19" i="35404" s="1"/>
  <c r="A20" i="35404" s="1"/>
  <c r="A21" i="35404" s="1"/>
  <c r="A22" i="35404" s="1"/>
  <c r="A23" i="35404" s="1"/>
  <c r="A24" i="35404" s="1"/>
  <c r="A25" i="35404" s="1"/>
  <c r="A26" i="35404" s="1"/>
  <c r="A27" i="35404" s="1"/>
  <c r="A28" i="35404" s="1"/>
  <c r="A29" i="35404" s="1"/>
  <c r="A30" i="35404" s="1"/>
  <c r="A31" i="35404" s="1"/>
  <c r="A32" i="35404" s="1"/>
  <c r="A33" i="35404" s="1"/>
  <c r="A34" i="35404" s="1"/>
  <c r="A35" i="35404" s="1"/>
  <c r="A36" i="35404" s="1"/>
  <c r="A37" i="35404" s="1"/>
  <c r="A38" i="35404" s="1"/>
  <c r="A39" i="35404" s="1"/>
  <c r="A40" i="35404" s="1"/>
  <c r="A41" i="35404" s="1"/>
  <c r="A42" i="35404" s="1"/>
  <c r="A43" i="35404" s="1"/>
  <c r="A44" i="35404" s="1"/>
  <c r="A45" i="35404" s="1"/>
  <c r="A46" i="35404" s="1"/>
  <c r="A47" i="35404" s="1"/>
  <c r="A48" i="35404" s="1"/>
  <c r="A49" i="35404" s="1"/>
  <c r="A50" i="35404" s="1"/>
  <c r="A51" i="35404" s="1"/>
  <c r="A52" i="35404" s="1"/>
  <c r="A53" i="35404" s="1"/>
  <c r="A54" i="35404" s="1"/>
  <c r="A55" i="35404" s="1"/>
  <c r="A56" i="35404" s="1"/>
  <c r="A57" i="35404" s="1"/>
  <c r="A58" i="35404" s="1"/>
  <c r="A59" i="35404" s="1"/>
  <c r="A60" i="35404" s="1"/>
  <c r="A61" i="35404" s="1"/>
  <c r="A62" i="35404" s="1"/>
  <c r="A63" i="35404" s="1"/>
  <c r="A64" i="35404" s="1"/>
  <c r="A65" i="35404" s="1"/>
  <c r="A66" i="35404" s="1"/>
  <c r="A67" i="35404" s="1"/>
  <c r="A68" i="35404" s="1"/>
  <c r="A69" i="35404" s="1"/>
  <c r="A70" i="35404" s="1"/>
  <c r="A71" i="35404" s="1"/>
  <c r="A72" i="35404" s="1"/>
  <c r="A73" i="35404" s="1"/>
  <c r="A74" i="35404" s="1"/>
  <c r="A75" i="35404" s="1"/>
  <c r="A76" i="35404" s="1"/>
  <c r="A77" i="35404" s="1"/>
  <c r="A78" i="35404" s="1"/>
  <c r="T48" i="34968" l="1"/>
  <c r="S48" i="34968"/>
  <c r="R48" i="34968"/>
  <c r="V48" i="34968"/>
  <c r="U48" i="34968"/>
  <c r="Q49" i="34968"/>
  <c r="A6" i="35401"/>
  <c r="T49" i="34968" l="1"/>
  <c r="V49" i="34968"/>
  <c r="U49" i="34968"/>
  <c r="S49" i="34968"/>
  <c r="R49" i="34968"/>
  <c r="Q50" i="34968"/>
  <c r="A7" i="35401"/>
  <c r="A8" i="35401" s="1"/>
  <c r="A9" i="35401" s="1"/>
  <c r="A10" i="35401" s="1"/>
  <c r="A11" i="35401" s="1"/>
  <c r="A12" i="35401" s="1"/>
  <c r="A13" i="35401" s="1"/>
  <c r="A14" i="35401" s="1"/>
  <c r="A15" i="35401" s="1"/>
  <c r="A16" i="35401" s="1"/>
  <c r="A17" i="35401" s="1"/>
  <c r="A18" i="35401" s="1"/>
  <c r="A19" i="35401" s="1"/>
  <c r="A20" i="35401" s="1"/>
  <c r="A21" i="35401" s="1"/>
  <c r="A22" i="35401" s="1"/>
  <c r="A23" i="35401" s="1"/>
  <c r="A24" i="35401" s="1"/>
  <c r="A25" i="35401" s="1"/>
  <c r="A26" i="35401" s="1"/>
  <c r="A27" i="35401" s="1"/>
  <c r="A28" i="35401" s="1"/>
  <c r="A29" i="35401" s="1"/>
  <c r="A30" i="35401" s="1"/>
  <c r="A31" i="35401" s="1"/>
  <c r="A32" i="35401" s="1"/>
  <c r="A33" i="35401" s="1"/>
  <c r="A34" i="35401" s="1"/>
  <c r="A35" i="35401" s="1"/>
  <c r="A36" i="35401" s="1"/>
  <c r="A37" i="35401" s="1"/>
  <c r="A38" i="35401" s="1"/>
  <c r="A39" i="35401" s="1"/>
  <c r="A40" i="35401" s="1"/>
  <c r="A41" i="35401" s="1"/>
  <c r="A42" i="35401" s="1"/>
  <c r="A43" i="35401" s="1"/>
  <c r="A44" i="35401" s="1"/>
  <c r="A45" i="35401" s="1"/>
  <c r="A46" i="35401" s="1"/>
  <c r="A47" i="35401" s="1"/>
  <c r="A48" i="35401" s="1"/>
  <c r="A49" i="35401" s="1"/>
  <c r="A50" i="35401" s="1"/>
  <c r="A51" i="35401" s="1"/>
  <c r="A52" i="35401" s="1"/>
  <c r="A53" i="35401" s="1"/>
  <c r="A54" i="35401" s="1"/>
  <c r="A55" i="35401" s="1"/>
  <c r="A56" i="35401" s="1"/>
  <c r="A57" i="35401" s="1"/>
  <c r="A58" i="35401" s="1"/>
  <c r="A59" i="35401" s="1"/>
  <c r="A60" i="35401" s="1"/>
  <c r="A61" i="35401" s="1"/>
  <c r="A62" i="35401" s="1"/>
  <c r="A63" i="35401" s="1"/>
  <c r="A64" i="35401" s="1"/>
  <c r="A65" i="35401" s="1"/>
  <c r="A66" i="35401" s="1"/>
  <c r="A67" i="35401" s="1"/>
  <c r="A68" i="35401" s="1"/>
  <c r="A69" i="35401" s="1"/>
  <c r="A70" i="35401" s="1"/>
  <c r="A71" i="35401" s="1"/>
  <c r="A72" i="35401" s="1"/>
  <c r="A73" i="35401" s="1"/>
  <c r="A74" i="35401" s="1"/>
  <c r="A75" i="35401" s="1"/>
  <c r="A76" i="35401" s="1"/>
  <c r="A77" i="35401" s="1"/>
  <c r="A78" i="35401" s="1"/>
  <c r="D14" i="35400"/>
  <c r="D16" i="35400"/>
  <c r="D17" i="35400"/>
  <c r="D15" i="35400"/>
  <c r="D6" i="35400"/>
  <c r="D7" i="35400"/>
  <c r="D8" i="35400"/>
  <c r="D5" i="35400"/>
  <c r="T50" i="34968" l="1"/>
  <c r="V50" i="34968"/>
  <c r="S50" i="34968"/>
  <c r="R50" i="34968"/>
  <c r="U50" i="34968"/>
  <c r="Q51" i="34968"/>
  <c r="F6" i="35397"/>
  <c r="F7" i="35397"/>
  <c r="F8" i="35397"/>
  <c r="F5" i="35397"/>
  <c r="U51" i="34968" l="1"/>
  <c r="S51" i="34968"/>
  <c r="R51" i="34968"/>
  <c r="T51" i="34968"/>
  <c r="V51" i="34968"/>
  <c r="Q52" i="34968"/>
  <c r="C17" i="35398" a="1"/>
  <c r="F17" i="35398" s="1"/>
  <c r="C16" i="35398" a="1"/>
  <c r="F16" i="35398" s="1"/>
  <c r="C13" i="35398" a="1"/>
  <c r="D13" i="35398" s="1"/>
  <c r="D12" i="35398" a="1"/>
  <c r="D12" i="35398" s="1"/>
  <c r="E12" i="35398" a="1"/>
  <c r="E12" i="35398" s="1"/>
  <c r="F12" i="35398" a="1"/>
  <c r="F12" i="35398" s="1"/>
  <c r="G12" i="35398" a="1"/>
  <c r="G12" i="35398" s="1"/>
  <c r="H12" i="35398" a="1"/>
  <c r="H12" i="35398" s="1"/>
  <c r="I12" i="35398" a="1"/>
  <c r="I12" i="35398" s="1"/>
  <c r="J12" i="35398" a="1"/>
  <c r="J12" i="35398" s="1"/>
  <c r="K12" i="35398" a="1"/>
  <c r="K12" i="35398" s="1"/>
  <c r="L12" i="35398" a="1"/>
  <c r="L12" i="35398" s="1"/>
  <c r="M12" i="35398" a="1"/>
  <c r="M12" i="35398" s="1"/>
  <c r="N12" i="35398" a="1"/>
  <c r="N12" i="35398" s="1"/>
  <c r="O12" i="35398" a="1"/>
  <c r="O12" i="35398" s="1"/>
  <c r="P12" i="35398" a="1"/>
  <c r="P12" i="35398" s="1"/>
  <c r="Q12" i="35398" a="1"/>
  <c r="Q12" i="35398" s="1"/>
  <c r="R12" i="35398" a="1"/>
  <c r="R12" i="35398" s="1"/>
  <c r="S12" i="35398" a="1"/>
  <c r="S12" i="35398" s="1"/>
  <c r="T12" i="35398" a="1"/>
  <c r="T12" i="35398" s="1"/>
  <c r="U12" i="35398" a="1"/>
  <c r="U12" i="35398" s="1"/>
  <c r="V12" i="35398" a="1"/>
  <c r="V12" i="35398" s="1"/>
  <c r="W12" i="35398" a="1"/>
  <c r="W12" i="35398" s="1"/>
  <c r="X12" i="35398" a="1"/>
  <c r="X12" i="35398" s="1"/>
  <c r="Y12" i="35398" a="1"/>
  <c r="Y12" i="35398" s="1"/>
  <c r="Z12" i="35398" a="1"/>
  <c r="Z12" i="35398" s="1"/>
  <c r="AA12" i="35398" a="1"/>
  <c r="AA12" i="35398" s="1"/>
  <c r="AB12" i="35398" a="1"/>
  <c r="AB12" i="35398" s="1"/>
  <c r="C12" i="35398" a="1"/>
  <c r="C12" i="35398" s="1"/>
  <c r="D15" i="35396"/>
  <c r="D16" i="35396" s="1"/>
  <c r="E15" i="35396"/>
  <c r="E16" i="35396" s="1"/>
  <c r="F15" i="35396"/>
  <c r="F16" i="35396" s="1"/>
  <c r="G15" i="35396"/>
  <c r="G16" i="35396" s="1"/>
  <c r="H15" i="35396"/>
  <c r="H16" i="35396" s="1"/>
  <c r="I15" i="35396"/>
  <c r="I16" i="35396" s="1"/>
  <c r="J15" i="35396"/>
  <c r="J16" i="35396" s="1"/>
  <c r="K15" i="35396"/>
  <c r="K16" i="35396" s="1"/>
  <c r="L15" i="35396"/>
  <c r="L16" i="35396" s="1"/>
  <c r="M15" i="35396"/>
  <c r="M16" i="35396" s="1"/>
  <c r="N15" i="35396"/>
  <c r="N16" i="35396" s="1"/>
  <c r="O15" i="35396"/>
  <c r="O16" i="35396" s="1"/>
  <c r="P15" i="35396"/>
  <c r="P16" i="35396" s="1"/>
  <c r="Q15" i="35396"/>
  <c r="Q16" i="35396" s="1"/>
  <c r="R15" i="35396"/>
  <c r="R16" i="35396" s="1"/>
  <c r="S15" i="35396"/>
  <c r="S16" i="35396" s="1"/>
  <c r="T15" i="35396"/>
  <c r="T16" i="35396" s="1"/>
  <c r="U15" i="35396"/>
  <c r="U16" i="35396" s="1"/>
  <c r="V15" i="35396"/>
  <c r="V16" i="35396" s="1"/>
  <c r="W15" i="35396"/>
  <c r="W16" i="35396" s="1"/>
  <c r="X15" i="35396"/>
  <c r="X16" i="35396" s="1"/>
  <c r="Y15" i="35396"/>
  <c r="Y16" i="35396" s="1"/>
  <c r="Z15" i="35396"/>
  <c r="Z16" i="35396" s="1"/>
  <c r="AA15" i="35396"/>
  <c r="AA16" i="35396" s="1"/>
  <c r="AB15" i="35396"/>
  <c r="AB16" i="35396" s="1"/>
  <c r="C15" i="35396"/>
  <c r="C16" i="35396" s="1"/>
  <c r="R52" i="34968" l="1"/>
  <c r="S52" i="34968"/>
  <c r="U52" i="34968"/>
  <c r="V52" i="34968"/>
  <c r="T52" i="34968"/>
  <c r="Q53" i="34968"/>
  <c r="C17" i="35396"/>
  <c r="C13" i="35398"/>
  <c r="AC12" i="35398"/>
  <c r="S13" i="35398"/>
  <c r="AA13" i="35398"/>
  <c r="K13" i="35398"/>
  <c r="O13" i="35398"/>
  <c r="W13" i="35398"/>
  <c r="G13" i="35398"/>
  <c r="Z13" i="35398"/>
  <c r="V13" i="35398"/>
  <c r="R13" i="35398"/>
  <c r="N13" i="35398"/>
  <c r="J13" i="35398"/>
  <c r="F13" i="35398"/>
  <c r="Y13" i="35398"/>
  <c r="U13" i="35398"/>
  <c r="Q13" i="35398"/>
  <c r="M13" i="35398"/>
  <c r="I13" i="35398"/>
  <c r="E13" i="35398"/>
  <c r="AB13" i="35398"/>
  <c r="X13" i="35398"/>
  <c r="T13" i="35398"/>
  <c r="P13" i="35398"/>
  <c r="L13" i="35398"/>
  <c r="H13" i="35398"/>
  <c r="Y17" i="35398"/>
  <c r="U17" i="35398"/>
  <c r="Q17" i="35398"/>
  <c r="M17" i="35398"/>
  <c r="I17" i="35398"/>
  <c r="E17" i="35398"/>
  <c r="AB17" i="35398"/>
  <c r="X17" i="35398"/>
  <c r="T17" i="35398"/>
  <c r="P17" i="35398"/>
  <c r="L17" i="35398"/>
  <c r="H17" i="35398"/>
  <c r="D17" i="35398"/>
  <c r="AA17" i="35398"/>
  <c r="W17" i="35398"/>
  <c r="S17" i="35398"/>
  <c r="O17" i="35398"/>
  <c r="K17" i="35398"/>
  <c r="G17" i="35398"/>
  <c r="C17" i="35398"/>
  <c r="Z17" i="35398"/>
  <c r="V17" i="35398"/>
  <c r="R17" i="35398"/>
  <c r="N17" i="35398"/>
  <c r="J17" i="35398"/>
  <c r="Y16" i="35398"/>
  <c r="U16" i="35398"/>
  <c r="Q16" i="35398"/>
  <c r="M16" i="35398"/>
  <c r="I16" i="35398"/>
  <c r="E16" i="35398"/>
  <c r="AB16" i="35398"/>
  <c r="X16" i="35398"/>
  <c r="T16" i="35398"/>
  <c r="P16" i="35398"/>
  <c r="L16" i="35398"/>
  <c r="H16" i="35398"/>
  <c r="D16" i="35398"/>
  <c r="AA16" i="35398"/>
  <c r="W16" i="35398"/>
  <c r="S16" i="35398"/>
  <c r="O16" i="35398"/>
  <c r="K16" i="35398"/>
  <c r="G16" i="35398"/>
  <c r="C16" i="35398"/>
  <c r="Z16" i="35398"/>
  <c r="V16" i="35398"/>
  <c r="R16" i="35398"/>
  <c r="N16" i="35398"/>
  <c r="J16" i="35398"/>
  <c r="R53" i="34968" l="1"/>
  <c r="V53" i="34968"/>
  <c r="T53" i="34968"/>
  <c r="S53" i="34968"/>
  <c r="U53" i="34968"/>
  <c r="Q54" i="34968"/>
  <c r="AC16" i="35398"/>
  <c r="AC13" i="35398"/>
  <c r="AC17" i="35398"/>
  <c r="T54" i="34968" l="1"/>
  <c r="S54" i="34968"/>
  <c r="U54" i="34968"/>
  <c r="V54" i="34968"/>
  <c r="R54" i="34968"/>
  <c r="Q55" i="34968"/>
  <c r="H18" i="34935"/>
  <c r="R55" i="34968" l="1"/>
  <c r="V55" i="34968"/>
  <c r="T55" i="34968"/>
  <c r="U55" i="34968"/>
  <c r="S55" i="34968"/>
  <c r="Q56" i="34968"/>
  <c r="F10" i="35043"/>
  <c r="S56" i="34968" l="1"/>
  <c r="U56" i="34968"/>
  <c r="R56" i="34968"/>
  <c r="V56" i="34968"/>
  <c r="T56" i="34968"/>
  <c r="Q57" i="34968"/>
  <c r="K85" i="34996"/>
  <c r="AA85" i="34996"/>
  <c r="G85" i="34996"/>
  <c r="W85" i="34996"/>
  <c r="Y85" i="34996"/>
  <c r="N85" i="34996"/>
  <c r="T85" i="34996"/>
  <c r="J85" i="34996"/>
  <c r="X85" i="34996"/>
  <c r="R85" i="34996"/>
  <c r="H85" i="34996"/>
  <c r="M85" i="34996"/>
  <c r="Z85" i="34996"/>
  <c r="E85" i="34996"/>
  <c r="O85" i="34996"/>
  <c r="I85" i="34996"/>
  <c r="Q85" i="34996"/>
  <c r="L85" i="34996"/>
  <c r="F85" i="34996"/>
  <c r="U85" i="34996"/>
  <c r="C85" i="34996"/>
  <c r="S85" i="34996"/>
  <c r="D85" i="34996"/>
  <c r="V85" i="34996"/>
  <c r="AB85" i="34996"/>
  <c r="P85" i="34996"/>
  <c r="C4" i="35063"/>
  <c r="C5" i="35063" s="1"/>
  <c r="C6" i="35063" s="1"/>
  <c r="C7" i="35063" s="1"/>
  <c r="C8" i="35063" s="1"/>
  <c r="C9" i="35063" s="1"/>
  <c r="C10" i="35063" s="1"/>
  <c r="C11" i="35063" s="1"/>
  <c r="C12" i="35063" s="1"/>
  <c r="C13" i="35063" s="1"/>
  <c r="C14" i="35063" s="1"/>
  <c r="C15" i="35063" s="1"/>
  <c r="C16" i="35063" s="1"/>
  <c r="C17" i="35063" s="1"/>
  <c r="C18" i="35063" s="1"/>
  <c r="C19" i="35063" s="1"/>
  <c r="C20" i="35063" s="1"/>
  <c r="C21" i="35063" s="1"/>
  <c r="C22" i="35063" s="1"/>
  <c r="C23" i="35063" s="1"/>
  <c r="C24" i="35063" s="1"/>
  <c r="C25" i="35063" s="1"/>
  <c r="C26" i="35063" s="1"/>
  <c r="C27" i="35063" s="1"/>
  <c r="C28" i="35063" s="1"/>
  <c r="C29" i="35063" s="1"/>
  <c r="C30" i="35063" s="1"/>
  <c r="C31" i="35063" s="1"/>
  <c r="C32" i="35063" s="1"/>
  <c r="C33" i="35063" s="1"/>
  <c r="C34" i="35063" s="1"/>
  <c r="C35" i="35063" s="1"/>
  <c r="C36" i="35063" s="1"/>
  <c r="C37" i="35063" s="1"/>
  <c r="C38" i="35063" s="1"/>
  <c r="C39" i="35063" s="1"/>
  <c r="C40" i="35063" s="1"/>
  <c r="C41" i="35063" s="1"/>
  <c r="C42" i="35063" s="1"/>
  <c r="C43" i="35063" s="1"/>
  <c r="C44" i="35063" s="1"/>
  <c r="C45" i="35063" s="1"/>
  <c r="C46" i="35063" s="1"/>
  <c r="C47" i="35063" s="1"/>
  <c r="C48" i="35063" s="1"/>
  <c r="C49" i="35063" s="1"/>
  <c r="C50" i="35063" s="1"/>
  <c r="C51" i="35063" s="1"/>
  <c r="C52" i="35063" s="1"/>
  <c r="C53" i="35063" s="1"/>
  <c r="C54" i="35063" s="1"/>
  <c r="C55" i="35063" s="1"/>
  <c r="C56" i="35063" s="1"/>
  <c r="C57" i="35063" s="1"/>
  <c r="C58" i="35063" s="1"/>
  <c r="C59" i="35063" s="1"/>
  <c r="C60" i="35063" s="1"/>
  <c r="C61" i="35063" s="1"/>
  <c r="C62" i="35063" s="1"/>
  <c r="C63" i="35063" s="1"/>
  <c r="C64" i="35063" s="1"/>
  <c r="C65" i="35063" s="1"/>
  <c r="C66" i="35063" s="1"/>
  <c r="C67" i="35063" s="1"/>
  <c r="C68" i="35063" s="1"/>
  <c r="C69" i="35063" s="1"/>
  <c r="C70" i="35063" s="1"/>
  <c r="C71" i="35063" s="1"/>
  <c r="C72" i="35063" s="1"/>
  <c r="C73" i="35063" s="1"/>
  <c r="C74" i="35063" s="1"/>
  <c r="C75" i="35063" s="1"/>
  <c r="C76" i="35063" s="1"/>
  <c r="C77" i="35063" s="1"/>
  <c r="C78" i="35063" s="1"/>
  <c r="B10" i="34999"/>
  <c r="T57" i="34968" l="1"/>
  <c r="U57" i="34968"/>
  <c r="V57" i="34968"/>
  <c r="R57" i="34968"/>
  <c r="S57" i="34968"/>
  <c r="Q58" i="34968"/>
  <c r="C14" i="35398" a="1"/>
  <c r="C18" i="35398" a="1"/>
  <c r="C10" i="35036"/>
  <c r="T58" i="34968" l="1"/>
  <c r="V58" i="34968"/>
  <c r="S58" i="34968"/>
  <c r="U58" i="34968"/>
  <c r="R58" i="34968"/>
  <c r="Q59" i="34968"/>
  <c r="C18" i="35398"/>
  <c r="Z18" i="35398"/>
  <c r="Z19" i="35398" s="1"/>
  <c r="J18" i="35398"/>
  <c r="J19" i="35398" s="1"/>
  <c r="Q18" i="35398"/>
  <c r="Q19" i="35398" s="1"/>
  <c r="AB18" i="35398"/>
  <c r="AB19" i="35398" s="1"/>
  <c r="L18" i="35398"/>
  <c r="L19" i="35398" s="1"/>
  <c r="W18" i="35398"/>
  <c r="W19" i="35398" s="1"/>
  <c r="G18" i="35398"/>
  <c r="G19" i="35398" s="1"/>
  <c r="V18" i="35398"/>
  <c r="V19" i="35398" s="1"/>
  <c r="F18" i="35398"/>
  <c r="F19" i="35398" s="1"/>
  <c r="M18" i="35398"/>
  <c r="M19" i="35398" s="1"/>
  <c r="X18" i="35398"/>
  <c r="X19" i="35398" s="1"/>
  <c r="H18" i="35398"/>
  <c r="H19" i="35398" s="1"/>
  <c r="S18" i="35398"/>
  <c r="S19" i="35398" s="1"/>
  <c r="R18" i="35398"/>
  <c r="R19" i="35398" s="1"/>
  <c r="Y18" i="35398"/>
  <c r="Y19" i="35398" s="1"/>
  <c r="I18" i="35398"/>
  <c r="I19" i="35398" s="1"/>
  <c r="T18" i="35398"/>
  <c r="T19" i="35398" s="1"/>
  <c r="D18" i="35398"/>
  <c r="D19" i="35398" s="1"/>
  <c r="O18" i="35398"/>
  <c r="O19" i="35398" s="1"/>
  <c r="N18" i="35398"/>
  <c r="N19" i="35398" s="1"/>
  <c r="U18" i="35398"/>
  <c r="U19" i="35398" s="1"/>
  <c r="E18" i="35398"/>
  <c r="E19" i="35398" s="1"/>
  <c r="P18" i="35398"/>
  <c r="P19" i="35398" s="1"/>
  <c r="AA18" i="35398"/>
  <c r="AA19" i="35398" s="1"/>
  <c r="K18" i="35398"/>
  <c r="K19" i="35398" s="1"/>
  <c r="C14" i="35398"/>
  <c r="J14" i="35398"/>
  <c r="J15" i="35398" s="1"/>
  <c r="Y14" i="35398"/>
  <c r="Y15" i="35398" s="1"/>
  <c r="I14" i="35398"/>
  <c r="I15" i="35398" s="1"/>
  <c r="T14" i="35398"/>
  <c r="T15" i="35398" s="1"/>
  <c r="D14" i="35398"/>
  <c r="D15" i="35398" s="1"/>
  <c r="O14" i="35398"/>
  <c r="O15" i="35398" s="1"/>
  <c r="V14" i="35398"/>
  <c r="V15" i="35398" s="1"/>
  <c r="U14" i="35398"/>
  <c r="U15" i="35398" s="1"/>
  <c r="E14" i="35398"/>
  <c r="E15" i="35398" s="1"/>
  <c r="P14" i="35398"/>
  <c r="P15" i="35398" s="1"/>
  <c r="AA14" i="35398"/>
  <c r="AA15" i="35398" s="1"/>
  <c r="K14" i="35398"/>
  <c r="K15" i="35398" s="1"/>
  <c r="F14" i="35398"/>
  <c r="F15" i="35398" s="1"/>
  <c r="Q14" i="35398"/>
  <c r="Q15" i="35398" s="1"/>
  <c r="AB14" i="35398"/>
  <c r="AB15" i="35398" s="1"/>
  <c r="L14" i="35398"/>
  <c r="L15" i="35398" s="1"/>
  <c r="W14" i="35398"/>
  <c r="W15" i="35398" s="1"/>
  <c r="G14" i="35398"/>
  <c r="G15" i="35398" s="1"/>
  <c r="N14" i="35398"/>
  <c r="N15" i="35398" s="1"/>
  <c r="R14" i="35398"/>
  <c r="R15" i="35398" s="1"/>
  <c r="Z14" i="35398"/>
  <c r="Z15" i="35398" s="1"/>
  <c r="M14" i="35398"/>
  <c r="M15" i="35398" s="1"/>
  <c r="X14" i="35398"/>
  <c r="X15" i="35398" s="1"/>
  <c r="H14" i="35398"/>
  <c r="H15" i="35398" s="1"/>
  <c r="S14" i="35398"/>
  <c r="S15" i="35398" s="1"/>
  <c r="N14" i="34999"/>
  <c r="N15" i="34999"/>
  <c r="N16" i="34999"/>
  <c r="N17" i="34999"/>
  <c r="N18" i="34999"/>
  <c r="N19" i="34999"/>
  <c r="N20" i="34999"/>
  <c r="N21" i="34999"/>
  <c r="N22" i="34999"/>
  <c r="N23" i="34999"/>
  <c r="N24" i="34999"/>
  <c r="N25" i="34999"/>
  <c r="N26" i="34999"/>
  <c r="N27" i="34999"/>
  <c r="N28" i="34999"/>
  <c r="N29" i="34999"/>
  <c r="N30" i="34999"/>
  <c r="N31" i="34999"/>
  <c r="N11" i="34999"/>
  <c r="N12" i="34999"/>
  <c r="N13" i="34999"/>
  <c r="T59" i="34968" l="1"/>
  <c r="U59" i="34968"/>
  <c r="S59" i="34968"/>
  <c r="V59" i="34968"/>
  <c r="R59" i="34968"/>
  <c r="Q60" i="34968"/>
  <c r="C15" i="35398"/>
  <c r="AC15" i="35398" s="1"/>
  <c r="AC14" i="35398"/>
  <c r="AC18" i="35398"/>
  <c r="C19" i="35398"/>
  <c r="AC19" i="35398" s="1"/>
  <c r="B10" i="34993"/>
  <c r="B10" i="34987"/>
  <c r="B10" i="35035"/>
  <c r="B10" i="35392"/>
  <c r="B10" i="34998"/>
  <c r="B10" i="34996"/>
  <c r="B10" i="34986"/>
  <c r="B10" i="34985"/>
  <c r="B10" i="34984"/>
  <c r="B10" i="34980"/>
  <c r="B10" i="35018"/>
  <c r="B10" i="35017"/>
  <c r="B10" i="35016"/>
  <c r="B10" i="35015"/>
  <c r="B10" i="34977"/>
  <c r="B10" i="34968"/>
  <c r="B10" i="34958"/>
  <c r="B10" i="34961"/>
  <c r="B10" i="35010"/>
  <c r="B10" i="35005"/>
  <c r="B10" i="35002"/>
  <c r="T60" i="34968" l="1"/>
  <c r="S60" i="34968"/>
  <c r="R60" i="34968"/>
  <c r="V60" i="34968"/>
  <c r="U60" i="34968"/>
  <c r="Q61" i="34968"/>
  <c r="F94" i="35395"/>
  <c r="E94" i="35395"/>
  <c r="D94" i="35395"/>
  <c r="C94" i="35395"/>
  <c r="T61" i="34968" l="1"/>
  <c r="U61" i="34968"/>
  <c r="S61" i="34968"/>
  <c r="R61" i="34968"/>
  <c r="V61" i="34968"/>
  <c r="Q62" i="34968"/>
  <c r="F28" i="34992"/>
  <c r="E28" i="34992"/>
  <c r="F13" i="35024"/>
  <c r="E13" i="35024"/>
  <c r="F43" i="35043"/>
  <c r="T62" i="34968" l="1"/>
  <c r="S62" i="34968"/>
  <c r="U62" i="34968"/>
  <c r="R62" i="34968"/>
  <c r="V62" i="34968"/>
  <c r="Q63" i="34968"/>
  <c r="F13" i="35023"/>
  <c r="E13" i="35023"/>
  <c r="D22" i="34992"/>
  <c r="F35" i="35043"/>
  <c r="V63" i="34968" l="1"/>
  <c r="U63" i="34968"/>
  <c r="S63" i="34968"/>
  <c r="R63" i="34968"/>
  <c r="T63" i="34968"/>
  <c r="Q64" i="34968"/>
  <c r="S64" i="34968" l="1"/>
  <c r="U64" i="34968"/>
  <c r="V64" i="34968"/>
  <c r="T64" i="34968"/>
  <c r="R64" i="34968"/>
  <c r="Q65" i="34968"/>
  <c r="E116" i="35043"/>
  <c r="E117" i="35043"/>
  <c r="E118" i="35043"/>
  <c r="E125" i="35043"/>
  <c r="E126" i="35043"/>
  <c r="E128" i="35043"/>
  <c r="E130" i="35043"/>
  <c r="F73" i="35043"/>
  <c r="F77" i="35043"/>
  <c r="F82" i="35043"/>
  <c r="F86" i="35043"/>
  <c r="F91" i="35043"/>
  <c r="F95" i="35043"/>
  <c r="F97" i="35043"/>
  <c r="F98" i="35043"/>
  <c r="F99" i="35043"/>
  <c r="F100" i="35043"/>
  <c r="F101" i="35043"/>
  <c r="F105" i="35043"/>
  <c r="T65" i="34968" l="1"/>
  <c r="R65" i="34968"/>
  <c r="V65" i="34968"/>
  <c r="S65" i="34968"/>
  <c r="U65" i="34968"/>
  <c r="Q66" i="34968"/>
  <c r="E133" i="35043"/>
  <c r="I14" i="34992" s="1"/>
  <c r="E134" i="35043"/>
  <c r="I15" i="34992" s="1"/>
  <c r="E132" i="35043"/>
  <c r="I13" i="34992" s="1"/>
  <c r="T66" i="34968" l="1"/>
  <c r="S66" i="34968"/>
  <c r="U66" i="34968"/>
  <c r="V66" i="34968"/>
  <c r="R66" i="34968"/>
  <c r="Q67" i="34968"/>
  <c r="G18" i="34935"/>
  <c r="F18" i="34935"/>
  <c r="V67" i="34968" l="1"/>
  <c r="T67" i="34968"/>
  <c r="R67" i="34968"/>
  <c r="U67" i="34968"/>
  <c r="S67" i="34968"/>
  <c r="Q68" i="34968"/>
  <c r="F8" i="35043"/>
  <c r="F9" i="35043"/>
  <c r="S68" i="34968" l="1"/>
  <c r="V68" i="34968"/>
  <c r="R68" i="34968"/>
  <c r="T68" i="34968"/>
  <c r="U68" i="34968"/>
  <c r="Q69" i="34968"/>
  <c r="A78" i="35062"/>
  <c r="A77" i="35062"/>
  <c r="A76" i="35062"/>
  <c r="A75" i="35062"/>
  <c r="A74" i="35062"/>
  <c r="A73" i="35062"/>
  <c r="A72" i="35062"/>
  <c r="A71" i="35062"/>
  <c r="A70" i="35062"/>
  <c r="A69" i="35062"/>
  <c r="A68" i="35062"/>
  <c r="A67" i="35062"/>
  <c r="A66" i="35062"/>
  <c r="A65" i="35062"/>
  <c r="A64" i="35062"/>
  <c r="A63" i="35062"/>
  <c r="A62" i="35062"/>
  <c r="A61" i="35062"/>
  <c r="A60" i="35062"/>
  <c r="A59" i="35062"/>
  <c r="A58" i="35062"/>
  <c r="A57" i="35062"/>
  <c r="A56" i="35062"/>
  <c r="A55" i="35062"/>
  <c r="A54" i="35062"/>
  <c r="A53" i="35062"/>
  <c r="A52" i="35062"/>
  <c r="A51" i="35062"/>
  <c r="A50" i="35062"/>
  <c r="A49" i="35062"/>
  <c r="A48" i="35062"/>
  <c r="A47" i="35062"/>
  <c r="A46" i="35062"/>
  <c r="A45" i="35062"/>
  <c r="A44" i="35062"/>
  <c r="A43" i="35062"/>
  <c r="A42" i="35062"/>
  <c r="A41" i="35062"/>
  <c r="A40" i="35062"/>
  <c r="A39" i="35062"/>
  <c r="A38" i="35062"/>
  <c r="A37" i="35062"/>
  <c r="A36" i="35062"/>
  <c r="A35" i="35062"/>
  <c r="A34" i="35062"/>
  <c r="A33" i="35062"/>
  <c r="A32" i="35062"/>
  <c r="A31" i="35062"/>
  <c r="A30" i="35062"/>
  <c r="A29" i="35062"/>
  <c r="A28" i="35062"/>
  <c r="A27" i="35062"/>
  <c r="A26" i="35062"/>
  <c r="A25" i="35062"/>
  <c r="A24" i="35062"/>
  <c r="A23" i="35062"/>
  <c r="A22" i="35062"/>
  <c r="A21" i="35062"/>
  <c r="A20" i="35062"/>
  <c r="A19" i="35062"/>
  <c r="A18" i="35062"/>
  <c r="A17" i="35062"/>
  <c r="A16" i="35062"/>
  <c r="A15" i="35062"/>
  <c r="A14" i="35062"/>
  <c r="A13" i="35062"/>
  <c r="A12" i="35062"/>
  <c r="A11" i="35062"/>
  <c r="A10" i="35062"/>
  <c r="A9" i="35062"/>
  <c r="A8" i="35062"/>
  <c r="A7" i="35062"/>
  <c r="A6" i="35062"/>
  <c r="T69" i="34968" l="1"/>
  <c r="R69" i="34968"/>
  <c r="U69" i="34968"/>
  <c r="S69" i="34968"/>
  <c r="V69" i="34968"/>
  <c r="Q70" i="34968"/>
  <c r="B78" i="35063"/>
  <c r="B77" i="35063"/>
  <c r="B76" i="35063"/>
  <c r="B75" i="35063"/>
  <c r="B74" i="35063"/>
  <c r="B73" i="35063"/>
  <c r="B72" i="35063"/>
  <c r="B71" i="35063"/>
  <c r="B70" i="35063"/>
  <c r="B69" i="35063"/>
  <c r="B68" i="35063"/>
  <c r="B67" i="35063"/>
  <c r="B66" i="35063"/>
  <c r="B65" i="35063"/>
  <c r="B64" i="35063"/>
  <c r="B63" i="35063"/>
  <c r="B62" i="35063"/>
  <c r="B61" i="35063"/>
  <c r="B60" i="35063"/>
  <c r="B59" i="35063"/>
  <c r="B58" i="35063"/>
  <c r="B57" i="35063"/>
  <c r="B56" i="35063"/>
  <c r="B55" i="35063"/>
  <c r="B54" i="35063"/>
  <c r="B53" i="35063"/>
  <c r="B52" i="35063"/>
  <c r="B51" i="35063"/>
  <c r="B50" i="35063"/>
  <c r="B49" i="35063"/>
  <c r="B48" i="35063"/>
  <c r="B47" i="35063"/>
  <c r="B46" i="35063"/>
  <c r="B45" i="35063"/>
  <c r="B44" i="35063"/>
  <c r="B43" i="35063"/>
  <c r="B42" i="35063"/>
  <c r="B41" i="35063"/>
  <c r="B40" i="35063"/>
  <c r="B39" i="35063"/>
  <c r="B38" i="35063"/>
  <c r="B37" i="35063"/>
  <c r="B36" i="35063"/>
  <c r="B35" i="35063"/>
  <c r="B34" i="35063"/>
  <c r="B33" i="35063"/>
  <c r="B32" i="35063"/>
  <c r="B31" i="35063"/>
  <c r="B30" i="35063"/>
  <c r="B29" i="35063"/>
  <c r="B28" i="35063"/>
  <c r="B27" i="35063"/>
  <c r="B26" i="35063"/>
  <c r="B25" i="35063"/>
  <c r="B24" i="35063"/>
  <c r="B23" i="35063"/>
  <c r="B22" i="35063"/>
  <c r="B21" i="35063"/>
  <c r="B20" i="35063"/>
  <c r="B19" i="35063"/>
  <c r="B18" i="35063"/>
  <c r="B17" i="35063"/>
  <c r="B16" i="35063"/>
  <c r="B15" i="35063"/>
  <c r="B14" i="35063"/>
  <c r="B13" i="35063"/>
  <c r="B12" i="35063"/>
  <c r="B11" i="35063"/>
  <c r="B10" i="35063"/>
  <c r="B9" i="35063"/>
  <c r="B8" i="35063"/>
  <c r="B7" i="35063"/>
  <c r="B6" i="35063"/>
  <c r="B5" i="35063"/>
  <c r="B4" i="35063"/>
  <c r="T70" i="34968" l="1"/>
  <c r="V70" i="34968"/>
  <c r="U70" i="34968"/>
  <c r="S70" i="34968"/>
  <c r="R70" i="34968"/>
  <c r="Q71" i="34968"/>
  <c r="AC10" i="34996" a="1"/>
  <c r="AC10" i="34998" a="1"/>
  <c r="T71" i="34968" l="1"/>
  <c r="S71" i="34968"/>
  <c r="V71" i="34968"/>
  <c r="R71" i="34968"/>
  <c r="U71" i="34968"/>
  <c r="Q72" i="34968"/>
  <c r="AC18" i="35391"/>
  <c r="T72" i="34968" l="1"/>
  <c r="S72" i="34968"/>
  <c r="R72" i="34968"/>
  <c r="V72" i="34968"/>
  <c r="U72" i="34968"/>
  <c r="Q73" i="34968"/>
  <c r="B5" i="35391"/>
  <c r="T73" i="34968" l="1"/>
  <c r="S73" i="34968"/>
  <c r="R73" i="34968"/>
  <c r="V73" i="34968"/>
  <c r="U73" i="34968"/>
  <c r="Q74" i="34968"/>
  <c r="AC26" i="35391"/>
  <c r="T74" i="34968" l="1"/>
  <c r="V74" i="34968"/>
  <c r="R74" i="34968"/>
  <c r="U74" i="34968"/>
  <c r="S74" i="34968"/>
  <c r="Q75" i="34968"/>
  <c r="FK10" i="35036"/>
  <c r="DA10" i="35036"/>
  <c r="GI10" i="35036"/>
  <c r="BC10" i="35036"/>
  <c r="S75" i="34968" l="1"/>
  <c r="U75" i="34968"/>
  <c r="T75" i="34968"/>
  <c r="V75" i="34968"/>
  <c r="R75" i="34968"/>
  <c r="Q76" i="34968"/>
  <c r="D20" i="35043"/>
  <c r="U76" i="34968" l="1"/>
  <c r="V76" i="34968"/>
  <c r="T76" i="34968"/>
  <c r="R76" i="34968"/>
  <c r="S76" i="34968"/>
  <c r="Q77" i="34968"/>
  <c r="T77" i="34968" l="1"/>
  <c r="R77" i="34968"/>
  <c r="V77" i="34968"/>
  <c r="S77" i="34968"/>
  <c r="U77" i="34968"/>
  <c r="Q78" i="34968"/>
  <c r="FJ10" i="35036"/>
  <c r="CZ10" i="35036"/>
  <c r="T78" i="34968" l="1"/>
  <c r="U78" i="34968"/>
  <c r="V78" i="34968"/>
  <c r="R78" i="34968"/>
  <c r="S78" i="34968"/>
  <c r="Q79" i="34968"/>
  <c r="F80" i="34908"/>
  <c r="E80" i="34908"/>
  <c r="D80" i="34908"/>
  <c r="C80" i="34908"/>
  <c r="J35" i="34908"/>
  <c r="D6" i="35035"/>
  <c r="F4" i="35392"/>
  <c r="P20" i="34908"/>
  <c r="B4" i="35391"/>
  <c r="C1" i="35063"/>
  <c r="GH10" i="35036"/>
  <c r="BB10" i="35036"/>
  <c r="C24" i="34946"/>
  <c r="D24" i="34946"/>
  <c r="D23" i="34946"/>
  <c r="D22" i="34946"/>
  <c r="G23" i="34951"/>
  <c r="G22" i="34951"/>
  <c r="G24" i="34951"/>
  <c r="F23" i="34951"/>
  <c r="F22" i="34951"/>
  <c r="F24" i="34934"/>
  <c r="F22" i="34934"/>
  <c r="F24" i="34935"/>
  <c r="F22" i="34935"/>
  <c r="G101" i="35043"/>
  <c r="G100" i="35043"/>
  <c r="G99" i="35043"/>
  <c r="G98" i="35043"/>
  <c r="K35" i="34992"/>
  <c r="J35" i="34992"/>
  <c r="I35" i="34992"/>
  <c r="H35" i="34992"/>
  <c r="G35" i="34992"/>
  <c r="E35" i="34992"/>
  <c r="D35" i="34992"/>
  <c r="C35" i="34992"/>
  <c r="B35" i="34992"/>
  <c r="J13" i="35023"/>
  <c r="D22" i="34934"/>
  <c r="C22" i="34934"/>
  <c r="C24" i="34934"/>
  <c r="D24" i="34934"/>
  <c r="E24" i="34934"/>
  <c r="E23" i="34934"/>
  <c r="E22" i="34934"/>
  <c r="H34" i="34992"/>
  <c r="I34" i="34992"/>
  <c r="L11" i="34992"/>
  <c r="D40" i="34992"/>
  <c r="B40" i="34992"/>
  <c r="K34" i="34992"/>
  <c r="J34" i="34992"/>
  <c r="G34" i="34992"/>
  <c r="F34" i="34992"/>
  <c r="E34" i="34992"/>
  <c r="D34" i="34992"/>
  <c r="C34" i="34992"/>
  <c r="B34" i="34992"/>
  <c r="I28" i="34992"/>
  <c r="H28" i="34992"/>
  <c r="G28" i="34992"/>
  <c r="D28" i="34992"/>
  <c r="C28" i="34992"/>
  <c r="B28" i="34992"/>
  <c r="L12" i="34992"/>
  <c r="L9" i="34992"/>
  <c r="K12" i="34992"/>
  <c r="K10" i="34992"/>
  <c r="K9" i="34992"/>
  <c r="K8" i="34992"/>
  <c r="K7" i="34992"/>
  <c r="J11" i="34992"/>
  <c r="J10" i="34992"/>
  <c r="J9" i="34992"/>
  <c r="J8" i="34992"/>
  <c r="J7" i="34992"/>
  <c r="I10" i="34992"/>
  <c r="I9" i="34992"/>
  <c r="I8" i="34992"/>
  <c r="I7" i="34992"/>
  <c r="C23" i="34946"/>
  <c r="C22" i="34946"/>
  <c r="D18" i="34946"/>
  <c r="C18" i="34946"/>
  <c r="B18" i="34946"/>
  <c r="E24" i="34951"/>
  <c r="E23" i="34951"/>
  <c r="D23" i="34951"/>
  <c r="C23" i="34951"/>
  <c r="E22" i="34951"/>
  <c r="D22" i="34951"/>
  <c r="C22" i="34951"/>
  <c r="F18" i="34951"/>
  <c r="E18" i="34951"/>
  <c r="D18" i="34951"/>
  <c r="C18" i="34951"/>
  <c r="B18" i="34951"/>
  <c r="D24" i="34935"/>
  <c r="C24" i="34935"/>
  <c r="D22" i="34935"/>
  <c r="C22" i="34935"/>
  <c r="F18" i="34934"/>
  <c r="E18" i="34934"/>
  <c r="D18" i="34934"/>
  <c r="C18" i="34934"/>
  <c r="B18" i="34934"/>
  <c r="E24" i="34935"/>
  <c r="E23" i="34935"/>
  <c r="E22" i="34935"/>
  <c r="E18" i="34935"/>
  <c r="D18" i="34935"/>
  <c r="C18" i="34935"/>
  <c r="C13" i="35027"/>
  <c r="B13" i="35027"/>
  <c r="K13" i="35028"/>
  <c r="J13" i="35028"/>
  <c r="I13" i="35028"/>
  <c r="H13" i="35028"/>
  <c r="G13" i="35028"/>
  <c r="F13" i="35028"/>
  <c r="E13" i="35028"/>
  <c r="D13" i="35028"/>
  <c r="C13" i="35028"/>
  <c r="B13" i="35028"/>
  <c r="I13" i="35024"/>
  <c r="H13" i="35024"/>
  <c r="G13" i="35024"/>
  <c r="D13" i="35024"/>
  <c r="C13" i="35024"/>
  <c r="B13" i="35024"/>
  <c r="I13" i="35023"/>
  <c r="H13" i="35023"/>
  <c r="G13" i="35023"/>
  <c r="G104" i="35043"/>
  <c r="G103" i="35043"/>
  <c r="G102" i="35043"/>
  <c r="G79" i="35043"/>
  <c r="G80" i="35043"/>
  <c r="G81" i="35043"/>
  <c r="G82" i="35043"/>
  <c r="G83" i="35043"/>
  <c r="G84" i="35043"/>
  <c r="G85" i="35043"/>
  <c r="G86" i="35043"/>
  <c r="G87" i="35043"/>
  <c r="G88" i="35043"/>
  <c r="G89" i="35043"/>
  <c r="G90" i="35043"/>
  <c r="G91" i="35043"/>
  <c r="G92" i="35043"/>
  <c r="G93" i="35043"/>
  <c r="G94" i="35043"/>
  <c r="G95" i="35043"/>
  <c r="G96" i="35043"/>
  <c r="G97" i="35043"/>
  <c r="F5" i="35043"/>
  <c r="F6" i="35043"/>
  <c r="F7" i="35043"/>
  <c r="F11" i="35043"/>
  <c r="F12" i="35043"/>
  <c r="F13" i="35043"/>
  <c r="F14" i="35043"/>
  <c r="F15" i="35043"/>
  <c r="F16" i="35043"/>
  <c r="F17" i="35043"/>
  <c r="F18" i="35043"/>
  <c r="F19" i="35043"/>
  <c r="F20" i="35043"/>
  <c r="F21" i="35043"/>
  <c r="F22" i="35043"/>
  <c r="F23" i="35043"/>
  <c r="F4" i="35043"/>
  <c r="G71" i="35043"/>
  <c r="G72" i="35043"/>
  <c r="G73" i="35043"/>
  <c r="G74" i="35043"/>
  <c r="G75" i="35043"/>
  <c r="G76" i="35043"/>
  <c r="G77" i="35043"/>
  <c r="G78" i="35043"/>
  <c r="G70" i="35043"/>
  <c r="F58" i="35043"/>
  <c r="F59" i="35043"/>
  <c r="F48" i="35043"/>
  <c r="F49" i="35043"/>
  <c r="F50" i="35043"/>
  <c r="F51" i="35043"/>
  <c r="F52" i="35043"/>
  <c r="F53" i="35043"/>
  <c r="F54" i="35043"/>
  <c r="F55" i="35043"/>
  <c r="F56" i="35043"/>
  <c r="F57" i="35043"/>
  <c r="F47" i="35043"/>
  <c r="F42" i="35043"/>
  <c r="F44" i="35043"/>
  <c r="F45" i="35043"/>
  <c r="F46" i="35043"/>
  <c r="F40" i="35043"/>
  <c r="F41" i="35043"/>
  <c r="F38" i="35043"/>
  <c r="F37" i="35043"/>
  <c r="F36" i="35043"/>
  <c r="F34" i="35043"/>
  <c r="F33" i="35043"/>
  <c r="F32" i="35043"/>
  <c r="B11" i="34999"/>
  <c r="F4" i="34998"/>
  <c r="F4" i="34996"/>
  <c r="R79" i="34968" l="1"/>
  <c r="V79" i="34968"/>
  <c r="T79" i="34968"/>
  <c r="U79" i="34968"/>
  <c r="S79" i="34968"/>
  <c r="Q80" i="34968"/>
  <c r="B12" i="34999"/>
  <c r="C11" i="35036"/>
  <c r="B11" i="34987"/>
  <c r="B11" i="34993"/>
  <c r="B11" i="34998"/>
  <c r="L11" i="35035"/>
  <c r="B11" i="35035"/>
  <c r="B11" i="35392"/>
  <c r="B11" i="34985"/>
  <c r="B11" i="34984"/>
  <c r="B11" i="35016"/>
  <c r="B11" i="34980"/>
  <c r="B11" i="35015"/>
  <c r="B11" i="34996"/>
  <c r="B11" i="35018"/>
  <c r="B11" i="35017"/>
  <c r="B11" i="34958"/>
  <c r="B11" i="34977"/>
  <c r="B11" i="35010"/>
  <c r="B11" i="35005"/>
  <c r="B11" i="35002"/>
  <c r="B11" i="34968"/>
  <c r="B11" i="34961"/>
  <c r="B11" i="34986"/>
  <c r="T80" i="34968" l="1"/>
  <c r="U80" i="34968"/>
  <c r="V80" i="34968"/>
  <c r="R80" i="34968"/>
  <c r="S80" i="34968"/>
  <c r="Q81" i="34968"/>
  <c r="B13" i="34999"/>
  <c r="C12" i="35036"/>
  <c r="B12" i="34993"/>
  <c r="B12" i="35035"/>
  <c r="L12" i="35035"/>
  <c r="B12" i="35392"/>
  <c r="B12" i="34987"/>
  <c r="B12" i="34986"/>
  <c r="B12" i="35017"/>
  <c r="B12" i="34998"/>
  <c r="B12" i="34996"/>
  <c r="B12" i="34984"/>
  <c r="B12" i="35018"/>
  <c r="B12" i="35016"/>
  <c r="B12" i="34968"/>
  <c r="B12" i="35005"/>
  <c r="B12" i="35002"/>
  <c r="B12" i="35010"/>
  <c r="B12" i="35015"/>
  <c r="B12" i="34958"/>
  <c r="B12" i="34961"/>
  <c r="B12" i="34985"/>
  <c r="B12" i="34980"/>
  <c r="B12" i="34977"/>
  <c r="AC22" i="34998"/>
  <c r="AC17" i="34996"/>
  <c r="AC41" i="34996"/>
  <c r="AC18" i="34996"/>
  <c r="AC25" i="34996"/>
  <c r="AC20" i="34996"/>
  <c r="AC44" i="34998"/>
  <c r="AC44" i="34996"/>
  <c r="AC17" i="34998"/>
  <c r="AC47" i="34996"/>
  <c r="AC47" i="34998"/>
  <c r="AC37" i="34998"/>
  <c r="AC25" i="34998"/>
  <c r="AC18" i="34998"/>
  <c r="AC37" i="34996"/>
  <c r="AC22" i="34996"/>
  <c r="AC70" i="34996"/>
  <c r="AC19" i="34998"/>
  <c r="T81" i="34968" l="1"/>
  <c r="R81" i="34968"/>
  <c r="S81" i="34968"/>
  <c r="V81" i="34968"/>
  <c r="U81" i="34968"/>
  <c r="Q82" i="34968"/>
  <c r="B14" i="34999"/>
  <c r="C13" i="35036"/>
  <c r="L13" i="35035"/>
  <c r="B13" i="34987"/>
  <c r="B13" i="35035"/>
  <c r="B13" i="34996"/>
  <c r="B13" i="35392"/>
  <c r="B13" i="34993"/>
  <c r="B13" i="34998"/>
  <c r="B13" i="35018"/>
  <c r="B13" i="35017"/>
  <c r="B13" i="35016"/>
  <c r="B13" i="34968"/>
  <c r="B13" i="34986"/>
  <c r="B13" i="34977"/>
  <c r="B13" i="35010"/>
  <c r="B13" i="35015"/>
  <c r="B13" i="34958"/>
  <c r="B13" i="34961"/>
  <c r="B13" i="35005"/>
  <c r="B13" i="34985"/>
  <c r="B13" i="34984"/>
  <c r="B13" i="34980"/>
  <c r="B13" i="35002"/>
  <c r="AC40" i="34996"/>
  <c r="AC29" i="34996"/>
  <c r="AC63" i="34996"/>
  <c r="AC26" i="34998"/>
  <c r="AC35" i="34996"/>
  <c r="AC41" i="34998"/>
  <c r="AC30" i="34998"/>
  <c r="AC82" i="34996"/>
  <c r="AC51" i="34996"/>
  <c r="AC61" i="34998"/>
  <c r="AC68" i="34996"/>
  <c r="AC69" i="34998"/>
  <c r="AC69" i="34996"/>
  <c r="AC51" i="34998"/>
  <c r="AC81" i="34996"/>
  <c r="AC66" i="34998"/>
  <c r="AC74" i="34998"/>
  <c r="AC60" i="34998"/>
  <c r="AC52" i="34998"/>
  <c r="AC84" i="34998"/>
  <c r="AC84" i="34996"/>
  <c r="AC83" i="34996"/>
  <c r="AC65" i="34996"/>
  <c r="AC78" i="34998"/>
  <c r="AC20" i="34998"/>
  <c r="AC66" i="34996"/>
  <c r="AC24" i="34996"/>
  <c r="AC75" i="34998"/>
  <c r="AC54" i="34996"/>
  <c r="AC27" i="34996"/>
  <c r="AC35" i="34998"/>
  <c r="AC28" i="34998"/>
  <c r="AC58" i="34998"/>
  <c r="AC32" i="34998"/>
  <c r="AC73" i="34998"/>
  <c r="AC57" i="34996"/>
  <c r="AC21" i="34996"/>
  <c r="AC43" i="34996"/>
  <c r="AC64" i="34996"/>
  <c r="AC45" i="34996"/>
  <c r="AC62" i="34996"/>
  <c r="AC77" i="34998"/>
  <c r="AC50" i="34998"/>
  <c r="AC19" i="34996"/>
  <c r="AC81" i="34998"/>
  <c r="AC80" i="34996"/>
  <c r="AC28" i="34996"/>
  <c r="AC72" i="34996"/>
  <c r="AC57" i="34998"/>
  <c r="AC21" i="34998"/>
  <c r="AC48" i="34996"/>
  <c r="AC13" i="34996"/>
  <c r="AC33" i="34996"/>
  <c r="AC45" i="34998"/>
  <c r="AC39" i="34996"/>
  <c r="AC61" i="34996"/>
  <c r="AC14" i="34998"/>
  <c r="AC30" i="34996"/>
  <c r="AC14" i="34996"/>
  <c r="AC54" i="34998"/>
  <c r="AC79" i="34998"/>
  <c r="AC80" i="34998"/>
  <c r="AC36" i="34998"/>
  <c r="AC49" i="34998"/>
  <c r="AC13" i="34998"/>
  <c r="AC33" i="34998"/>
  <c r="AC15" i="34998"/>
  <c r="AC64" i="34998"/>
  <c r="AC59" i="34996"/>
  <c r="AC34" i="34998"/>
  <c r="AC56" i="34996"/>
  <c r="AC16" i="34996"/>
  <c r="AC11" i="34996"/>
  <c r="AC38" i="34998"/>
  <c r="AC38" i="34996"/>
  <c r="AC77" i="34996"/>
  <c r="AC68" i="34998"/>
  <c r="AC46" i="34996"/>
  <c r="AC46" i="34998"/>
  <c r="AC43" i="34998"/>
  <c r="AC76" i="34998"/>
  <c r="AC82" i="34998"/>
  <c r="AC71" i="34996"/>
  <c r="AC12" i="34998"/>
  <c r="AC32" i="34996"/>
  <c r="AC23" i="34998"/>
  <c r="AC10" i="34998"/>
  <c r="AC63" i="34998"/>
  <c r="AC42" i="34998"/>
  <c r="AC42" i="34996"/>
  <c r="AC65" i="34998"/>
  <c r="AC83" i="34998"/>
  <c r="AC16" i="34998"/>
  <c r="AC50" i="34996"/>
  <c r="AC53" i="34996"/>
  <c r="AC70" i="34998"/>
  <c r="AC74" i="34996"/>
  <c r="AC62" i="34998"/>
  <c r="AC52" i="34996"/>
  <c r="AC71" i="34998"/>
  <c r="AC36" i="34996"/>
  <c r="AC10" i="34996"/>
  <c r="AC53" i="34998"/>
  <c r="AC75" i="34996"/>
  <c r="AC67" i="34996"/>
  <c r="AC67" i="34998"/>
  <c r="AC76" i="34996"/>
  <c r="AC60" i="34996"/>
  <c r="AC79" i="34996"/>
  <c r="AC40" i="34998"/>
  <c r="AC34" i="34996"/>
  <c r="AC27" i="34998"/>
  <c r="AC31" i="34996"/>
  <c r="AC31" i="34998"/>
  <c r="AC72" i="34998"/>
  <c r="AC12" i="34996"/>
  <c r="AC58" i="34996"/>
  <c r="AC23" i="34996"/>
  <c r="AC73" i="34996"/>
  <c r="AC49" i="34996"/>
  <c r="AC48" i="34998"/>
  <c r="AC24" i="34998"/>
  <c r="AC15" i="34996"/>
  <c r="AC29" i="34998"/>
  <c r="AC59" i="34998"/>
  <c r="AC55" i="34998"/>
  <c r="AC55" i="34996"/>
  <c r="AC39" i="34998"/>
  <c r="AC26" i="34996"/>
  <c r="AC78" i="34996"/>
  <c r="AC56" i="34998"/>
  <c r="AC11" i="34998"/>
  <c r="T82" i="34968" l="1"/>
  <c r="V82" i="34968"/>
  <c r="U82" i="34968"/>
  <c r="S82" i="34968"/>
  <c r="R82" i="34968"/>
  <c r="Q83" i="34968"/>
  <c r="AC85" i="34996"/>
  <c r="B15" i="34999"/>
  <c r="C14" i="35036"/>
  <c r="B14" i="34987"/>
  <c r="B14" i="34998"/>
  <c r="B14" i="34984"/>
  <c r="B14" i="34993"/>
  <c r="L14" i="35035"/>
  <c r="B14" i="35035"/>
  <c r="B14" i="34996"/>
  <c r="B14" i="34986"/>
  <c r="B14" i="34985"/>
  <c r="B14" i="34980"/>
  <c r="B14" i="35392"/>
  <c r="B14" i="34977"/>
  <c r="B14" i="35015"/>
  <c r="B14" i="34961"/>
  <c r="B14" i="35017"/>
  <c r="B14" i="35016"/>
  <c r="B14" i="34968"/>
  <c r="B14" i="35010"/>
  <c r="B14" i="35005"/>
  <c r="B14" i="35018"/>
  <c r="B14" i="34958"/>
  <c r="B14" i="35002"/>
  <c r="AA10" i="35392" a="1"/>
  <c r="AA22" i="35392" s="1"/>
  <c r="S10" i="35392" a="1"/>
  <c r="S76" i="35392" s="1"/>
  <c r="I10" i="35392" a="1"/>
  <c r="I25" i="35392" s="1"/>
  <c r="O10" i="35392" a="1"/>
  <c r="O53" i="35392" s="1"/>
  <c r="T10" i="35392" a="1"/>
  <c r="T74" i="35392" s="1"/>
  <c r="AA85" i="35392" a="1"/>
  <c r="AA85" i="35392" s="1"/>
  <c r="R10" i="35392" a="1"/>
  <c r="R41" i="35392" s="1"/>
  <c r="C10" i="35392" a="1"/>
  <c r="C80" i="35392" s="1"/>
  <c r="R85" i="35392" a="1"/>
  <c r="R85" i="35392" s="1"/>
  <c r="Q85" i="35392" a="1"/>
  <c r="Q85" i="35392" s="1"/>
  <c r="M85" i="35392" a="1"/>
  <c r="M85" i="35392" s="1"/>
  <c r="P85" i="35392" a="1"/>
  <c r="P85" i="35392" s="1"/>
  <c r="V85" i="35392" a="1"/>
  <c r="V85" i="35392" s="1"/>
  <c r="AB85" i="35392" a="1"/>
  <c r="AB85" i="35392" s="1"/>
  <c r="C85" i="35392" a="1"/>
  <c r="C85" i="35392" s="1"/>
  <c r="X85" i="35392" a="1"/>
  <c r="X85" i="35392" s="1"/>
  <c r="D85" i="35392" a="1"/>
  <c r="D85" i="35392" s="1"/>
  <c r="F85" i="35392" a="1"/>
  <c r="F85" i="35392" s="1"/>
  <c r="Q10" i="35392" a="1"/>
  <c r="Y10" i="35392" a="1"/>
  <c r="P10" i="35392" a="1"/>
  <c r="N10" i="35392" a="1"/>
  <c r="K10" i="35392" a="1"/>
  <c r="V10" i="35392" a="1"/>
  <c r="M10" i="35392" a="1"/>
  <c r="W10" i="35392" a="1"/>
  <c r="F10" i="35392" a="1"/>
  <c r="D10" i="35392" a="1"/>
  <c r="J10" i="35392" a="1"/>
  <c r="AB10" i="35392" a="1"/>
  <c r="E10" i="35392" a="1"/>
  <c r="L10" i="35392" a="1"/>
  <c r="Z10" i="35392" a="1"/>
  <c r="U10" i="35392" a="1"/>
  <c r="X10" i="35392" a="1"/>
  <c r="G10" i="35392" a="1"/>
  <c r="H10" i="35392" a="1"/>
  <c r="U85" i="35392" a="1"/>
  <c r="U85" i="35392" s="1"/>
  <c r="E85" i="35392" a="1"/>
  <c r="E85" i="35392" s="1"/>
  <c r="G85" i="35392" a="1"/>
  <c r="G85" i="35392" s="1"/>
  <c r="I85" i="35392" a="1"/>
  <c r="I85" i="35392" s="1"/>
  <c r="Y85" i="35392" a="1"/>
  <c r="Y85" i="35392" s="1"/>
  <c r="W85" i="35392" a="1"/>
  <c r="W85" i="35392" s="1"/>
  <c r="H85" i="35392" a="1"/>
  <c r="H85" i="35392" s="1"/>
  <c r="K85" i="35392" a="1"/>
  <c r="K85" i="35392" s="1"/>
  <c r="N85" i="35392" a="1"/>
  <c r="N85" i="35392" s="1"/>
  <c r="T85" i="35392" a="1"/>
  <c r="T85" i="35392" s="1"/>
  <c r="J85" i="35392" a="1"/>
  <c r="J85" i="35392" s="1"/>
  <c r="S85" i="35392" a="1"/>
  <c r="S85" i="35392" s="1"/>
  <c r="O85" i="35392" a="1"/>
  <c r="O85" i="35392" s="1"/>
  <c r="L85" i="35392" a="1"/>
  <c r="L85" i="35392" s="1"/>
  <c r="Z85" i="35392" a="1"/>
  <c r="Z85" i="35392" s="1"/>
  <c r="AA70" i="35392" l="1"/>
  <c r="AA51" i="35392"/>
  <c r="AA21" i="35392"/>
  <c r="AA46" i="35392"/>
  <c r="AA77" i="35392"/>
  <c r="AA12" i="35392"/>
  <c r="AA62" i="35392"/>
  <c r="AA68" i="35392"/>
  <c r="AA67" i="35392"/>
  <c r="AA25" i="35392"/>
  <c r="AA76" i="35392"/>
  <c r="AA73" i="35392"/>
  <c r="AA34" i="35392"/>
  <c r="AA13" i="35392"/>
  <c r="T83" i="34968"/>
  <c r="U83" i="34968"/>
  <c r="S83" i="34968"/>
  <c r="V83" i="34968"/>
  <c r="R83" i="34968"/>
  <c r="AA43" i="35392"/>
  <c r="AA78" i="35392"/>
  <c r="AA36" i="35392"/>
  <c r="AA37" i="35392"/>
  <c r="AA66" i="35392"/>
  <c r="AA83" i="35392"/>
  <c r="AA63" i="35392"/>
  <c r="AA74" i="35392"/>
  <c r="AA29" i="35392"/>
  <c r="AA80" i="35392"/>
  <c r="AA58" i="35392"/>
  <c r="AA64" i="35392"/>
  <c r="AA16" i="35392"/>
  <c r="AA41" i="35392"/>
  <c r="Q84" i="34968"/>
  <c r="T73" i="35392"/>
  <c r="I17" i="35392"/>
  <c r="B16" i="34999"/>
  <c r="C15" i="35036"/>
  <c r="B15" i="34987"/>
  <c r="B15" i="34993"/>
  <c r="B15" i="34998"/>
  <c r="B15" i="35392"/>
  <c r="B15" i="34985"/>
  <c r="B15" i="34996"/>
  <c r="B15" i="34986"/>
  <c r="B15" i="34984"/>
  <c r="B15" i="35016"/>
  <c r="L15" i="35035"/>
  <c r="B15" i="35015"/>
  <c r="B15" i="34980"/>
  <c r="B15" i="34958"/>
  <c r="B15" i="34968"/>
  <c r="B15" i="35010"/>
  <c r="B15" i="35005"/>
  <c r="B15" i="35002"/>
  <c r="B15" i="34961"/>
  <c r="B15" i="35018"/>
  <c r="B15" i="35017"/>
  <c r="B15" i="34977"/>
  <c r="B15" i="35035"/>
  <c r="T56" i="35392"/>
  <c r="T58" i="35392"/>
  <c r="I14" i="35392"/>
  <c r="AA56" i="35392"/>
  <c r="AA79" i="35392"/>
  <c r="AA82" i="35392"/>
  <c r="AA39" i="35392"/>
  <c r="AA71" i="35392"/>
  <c r="AA59" i="35392"/>
  <c r="AA48" i="35392"/>
  <c r="AA33" i="35392"/>
  <c r="AA54" i="35392"/>
  <c r="AA17" i="35392"/>
  <c r="AA65" i="35392"/>
  <c r="AA23" i="35392"/>
  <c r="AA75" i="35392"/>
  <c r="AA31" i="35392"/>
  <c r="T43" i="35392"/>
  <c r="T75" i="35392"/>
  <c r="AA19" i="35392"/>
  <c r="AA30" i="35392"/>
  <c r="AA60" i="35392"/>
  <c r="AA10" i="35392"/>
  <c r="AA50" i="35392"/>
  <c r="AA11" i="35392"/>
  <c r="AA32" i="35392"/>
  <c r="AA49" i="35392"/>
  <c r="AA44" i="35392"/>
  <c r="AA14" i="35392"/>
  <c r="AA42" i="35392"/>
  <c r="AA57" i="35392"/>
  <c r="AA61" i="35392"/>
  <c r="AA15" i="35392"/>
  <c r="T30" i="35392"/>
  <c r="T10" i="35392"/>
  <c r="I43" i="35392"/>
  <c r="I64" i="35392"/>
  <c r="I58" i="35392"/>
  <c r="I75" i="35392"/>
  <c r="I66" i="35392"/>
  <c r="I37" i="35392"/>
  <c r="I36" i="35392"/>
  <c r="I67" i="35392"/>
  <c r="S81" i="35392"/>
  <c r="I65" i="35392"/>
  <c r="I78" i="35392"/>
  <c r="I63" i="35392"/>
  <c r="I62" i="35392"/>
  <c r="AA26" i="35392"/>
  <c r="AA81" i="35392"/>
  <c r="AA20" i="35392"/>
  <c r="AA69" i="35392"/>
  <c r="AA28" i="35392"/>
  <c r="AA84" i="35392"/>
  <c r="AA38" i="35392"/>
  <c r="AA24" i="35392"/>
  <c r="AA55" i="35392"/>
  <c r="AA27" i="35392"/>
  <c r="AA72" i="35392"/>
  <c r="AA45" i="35392"/>
  <c r="AA35" i="35392"/>
  <c r="AA47" i="35392"/>
  <c r="AA40" i="35392"/>
  <c r="AA52" i="35392"/>
  <c r="AA18" i="35392"/>
  <c r="AA53" i="35392"/>
  <c r="T51" i="35392"/>
  <c r="T54" i="35392"/>
  <c r="S50" i="35392"/>
  <c r="I38" i="35392"/>
  <c r="I49" i="35392"/>
  <c r="I52" i="35392"/>
  <c r="I12" i="35392"/>
  <c r="I29" i="35392"/>
  <c r="I80" i="35392"/>
  <c r="I84" i="35392"/>
  <c r="I68" i="35392"/>
  <c r="I44" i="35392"/>
  <c r="I47" i="35392"/>
  <c r="I73" i="35392"/>
  <c r="I20" i="35392"/>
  <c r="I57" i="35392"/>
  <c r="I82" i="35392"/>
  <c r="S39" i="35392"/>
  <c r="S32" i="35392"/>
  <c r="S28" i="35392"/>
  <c r="S53" i="35392"/>
  <c r="S67" i="35392"/>
  <c r="S59" i="35392"/>
  <c r="S65" i="35392"/>
  <c r="S24" i="35392"/>
  <c r="S47" i="35392"/>
  <c r="S71" i="35392"/>
  <c r="S40" i="35392"/>
  <c r="S38" i="35392"/>
  <c r="S74" i="35392"/>
  <c r="S51" i="35392"/>
  <c r="S19" i="35392"/>
  <c r="S44" i="35392"/>
  <c r="I59" i="35392"/>
  <c r="I79" i="35392"/>
  <c r="I13" i="35392"/>
  <c r="I46" i="35392"/>
  <c r="I50" i="35392"/>
  <c r="I23" i="35392"/>
  <c r="I33" i="35392"/>
  <c r="I24" i="35392"/>
  <c r="I32" i="35392"/>
  <c r="I26" i="35392"/>
  <c r="I45" i="35392"/>
  <c r="I28" i="35392"/>
  <c r="I34" i="35392"/>
  <c r="I21" i="35392"/>
  <c r="I74" i="35392"/>
  <c r="I60" i="35392"/>
  <c r="I54" i="35392"/>
  <c r="I55" i="35392"/>
  <c r="I71" i="35392"/>
  <c r="I83" i="35392"/>
  <c r="I35" i="35392"/>
  <c r="I30" i="35392"/>
  <c r="I61" i="35392"/>
  <c r="I70" i="35392"/>
  <c r="I76" i="35392"/>
  <c r="I39" i="35392"/>
  <c r="I40" i="35392"/>
  <c r="I69" i="35392"/>
  <c r="I42" i="35392"/>
  <c r="I72" i="35392"/>
  <c r="I53" i="35392"/>
  <c r="I41" i="35392"/>
  <c r="I81" i="35392"/>
  <c r="I48" i="35392"/>
  <c r="I16" i="35392"/>
  <c r="I77" i="35392"/>
  <c r="I15" i="35392"/>
  <c r="I18" i="35392"/>
  <c r="I19" i="35392"/>
  <c r="I56" i="35392"/>
  <c r="I31" i="35392"/>
  <c r="I51" i="35392"/>
  <c r="I10" i="35392"/>
  <c r="I11" i="35392"/>
  <c r="I27" i="35392"/>
  <c r="I22" i="35392"/>
  <c r="O13" i="35392"/>
  <c r="S61" i="35392"/>
  <c r="S23" i="35392"/>
  <c r="S14" i="35392"/>
  <c r="S41" i="35392"/>
  <c r="S31" i="35392"/>
  <c r="S56" i="35392"/>
  <c r="S75" i="35392"/>
  <c r="S64" i="35392"/>
  <c r="S18" i="35392"/>
  <c r="S52" i="35392"/>
  <c r="S49" i="35392"/>
  <c r="S70" i="35392"/>
  <c r="S42" i="35392"/>
  <c r="S29" i="35392"/>
  <c r="S11" i="35392"/>
  <c r="S77" i="35392"/>
  <c r="S73" i="35392"/>
  <c r="S13" i="35392"/>
  <c r="S36" i="35392"/>
  <c r="S55" i="35392"/>
  <c r="S79" i="35392"/>
  <c r="S12" i="35392"/>
  <c r="S57" i="35392"/>
  <c r="S78" i="35392"/>
  <c r="S34" i="35392"/>
  <c r="S25" i="35392"/>
  <c r="S45" i="35392"/>
  <c r="S43" i="35392"/>
  <c r="S16" i="35392"/>
  <c r="S26" i="35392"/>
  <c r="S30" i="35392"/>
  <c r="S48" i="35392"/>
  <c r="S37" i="35392"/>
  <c r="S84" i="35392"/>
  <c r="S58" i="35392"/>
  <c r="S83" i="35392"/>
  <c r="S20" i="35392"/>
  <c r="S68" i="35392"/>
  <c r="S72" i="35392"/>
  <c r="S35" i="35392"/>
  <c r="S60" i="35392"/>
  <c r="S63" i="35392"/>
  <c r="S21" i="35392"/>
  <c r="S66" i="35392"/>
  <c r="S10" i="35392"/>
  <c r="S80" i="35392"/>
  <c r="S69" i="35392"/>
  <c r="S33" i="35392"/>
  <c r="S46" i="35392"/>
  <c r="S54" i="35392"/>
  <c r="S82" i="35392"/>
  <c r="S17" i="35392"/>
  <c r="S22" i="35392"/>
  <c r="S15" i="35392"/>
  <c r="S27" i="35392"/>
  <c r="S62" i="35392"/>
  <c r="O36" i="35392"/>
  <c r="O61" i="35392"/>
  <c r="O32" i="35392"/>
  <c r="O12" i="35392"/>
  <c r="O23" i="35392"/>
  <c r="O27" i="35392"/>
  <c r="O37" i="35392"/>
  <c r="O71" i="35392"/>
  <c r="R60" i="35392"/>
  <c r="R37" i="35392"/>
  <c r="R30" i="35392"/>
  <c r="R53" i="35392"/>
  <c r="R38" i="35392"/>
  <c r="R72" i="35392"/>
  <c r="R34" i="35392"/>
  <c r="R46" i="35392"/>
  <c r="R58" i="35392"/>
  <c r="O35" i="35392"/>
  <c r="O40" i="35392"/>
  <c r="O46" i="35392"/>
  <c r="O67" i="35392"/>
  <c r="O42" i="35392"/>
  <c r="O69" i="35392"/>
  <c r="O10" i="35392"/>
  <c r="O49" i="35392"/>
  <c r="O51" i="35392"/>
  <c r="O25" i="35392"/>
  <c r="R25" i="35392"/>
  <c r="R66" i="35392"/>
  <c r="R71" i="35392"/>
  <c r="R57" i="35392"/>
  <c r="R70" i="35392"/>
  <c r="R84" i="35392"/>
  <c r="R61" i="35392"/>
  <c r="R69" i="35392"/>
  <c r="R40" i="35392"/>
  <c r="R22" i="35392"/>
  <c r="R29" i="35392"/>
  <c r="R82" i="35392"/>
  <c r="R33" i="35392"/>
  <c r="R65" i="35392"/>
  <c r="R45" i="35392"/>
  <c r="R35" i="35392"/>
  <c r="R81" i="35392"/>
  <c r="R16" i="35392"/>
  <c r="R56" i="35392"/>
  <c r="O78" i="35392"/>
  <c r="O77" i="35392"/>
  <c r="O39" i="35392"/>
  <c r="O28" i="35392"/>
  <c r="O59" i="35392"/>
  <c r="O45" i="35392"/>
  <c r="O18" i="35392"/>
  <c r="O41" i="35392"/>
  <c r="O54" i="35392"/>
  <c r="R20" i="35392"/>
  <c r="R52" i="35392"/>
  <c r="R74" i="35392"/>
  <c r="R24" i="35392"/>
  <c r="R59" i="35392"/>
  <c r="R77" i="35392"/>
  <c r="R49" i="35392"/>
  <c r="R18" i="35392"/>
  <c r="R48" i="35392"/>
  <c r="O55" i="35392"/>
  <c r="O84" i="35392"/>
  <c r="O26" i="35392"/>
  <c r="O82" i="35392"/>
  <c r="O81" i="35392"/>
  <c r="O73" i="35392"/>
  <c r="O48" i="35392"/>
  <c r="O66" i="35392"/>
  <c r="O15" i="35392"/>
  <c r="C61" i="35392"/>
  <c r="C53" i="35392"/>
  <c r="C84" i="35392"/>
  <c r="C71" i="35392"/>
  <c r="C77" i="35392"/>
  <c r="T36" i="35392"/>
  <c r="T22" i="35392"/>
  <c r="T14" i="35392"/>
  <c r="T57" i="35392"/>
  <c r="T33" i="35392"/>
  <c r="T63" i="35392"/>
  <c r="T21" i="35392"/>
  <c r="T11" i="35392"/>
  <c r="T44" i="35392"/>
  <c r="R19" i="35392"/>
  <c r="R51" i="35392"/>
  <c r="R50" i="35392"/>
  <c r="R76" i="35392"/>
  <c r="R83" i="35392"/>
  <c r="R17" i="35392"/>
  <c r="R23" i="35392"/>
  <c r="R73" i="35392"/>
  <c r="R54" i="35392"/>
  <c r="R14" i="35392"/>
  <c r="R26" i="35392"/>
  <c r="R39" i="35392"/>
  <c r="R62" i="35392"/>
  <c r="R79" i="35392"/>
  <c r="R36" i="35392"/>
  <c r="R42" i="35392"/>
  <c r="R12" i="35392"/>
  <c r="R15" i="35392"/>
  <c r="R32" i="35392"/>
  <c r="C23" i="35392"/>
  <c r="C76" i="35392"/>
  <c r="C59" i="35392"/>
  <c r="C41" i="35392"/>
  <c r="O58" i="35392"/>
  <c r="O34" i="35392"/>
  <c r="O31" i="35392"/>
  <c r="O65" i="35392"/>
  <c r="O22" i="35392"/>
  <c r="O50" i="35392"/>
  <c r="O17" i="35392"/>
  <c r="O52" i="35392"/>
  <c r="O30" i="35392"/>
  <c r="O19" i="35392"/>
  <c r="O75" i="35392"/>
  <c r="O62" i="35392"/>
  <c r="O21" i="35392"/>
  <c r="O70" i="35392"/>
  <c r="O64" i="35392"/>
  <c r="O38" i="35392"/>
  <c r="O68" i="35392"/>
  <c r="O72" i="35392"/>
  <c r="O79" i="35392"/>
  <c r="C14" i="35392"/>
  <c r="C22" i="35392"/>
  <c r="C48" i="35392"/>
  <c r="C26" i="35392"/>
  <c r="C37" i="35392"/>
  <c r="T50" i="35392"/>
  <c r="T25" i="35392"/>
  <c r="T59" i="35392"/>
  <c r="T23" i="35392"/>
  <c r="T71" i="35392"/>
  <c r="T46" i="35392"/>
  <c r="T60" i="35392"/>
  <c r="T55" i="35392"/>
  <c r="T35" i="35392"/>
  <c r="T70" i="35392"/>
  <c r="T42" i="35392"/>
  <c r="T61" i="35392"/>
  <c r="T52" i="35392"/>
  <c r="T18" i="35392"/>
  <c r="T66" i="35392"/>
  <c r="T72" i="35392"/>
  <c r="T65" i="35392"/>
  <c r="T26" i="35392"/>
  <c r="T29" i="35392"/>
  <c r="R47" i="35392"/>
  <c r="R44" i="35392"/>
  <c r="R80" i="35392"/>
  <c r="R64" i="35392"/>
  <c r="R11" i="35392"/>
  <c r="R55" i="35392"/>
  <c r="R75" i="35392"/>
  <c r="R67" i="35392"/>
  <c r="R31" i="35392"/>
  <c r="R21" i="35392"/>
  <c r="R43" i="35392"/>
  <c r="R78" i="35392"/>
  <c r="R10" i="35392"/>
  <c r="R13" i="35392"/>
  <c r="R68" i="35392"/>
  <c r="R63" i="35392"/>
  <c r="R28" i="35392"/>
  <c r="R27" i="35392"/>
  <c r="C55" i="35392"/>
  <c r="C51" i="35392"/>
  <c r="C29" i="35392"/>
  <c r="C70" i="35392"/>
  <c r="C27" i="35392"/>
  <c r="O60" i="35392"/>
  <c r="O29" i="35392"/>
  <c r="O20" i="35392"/>
  <c r="O63" i="35392"/>
  <c r="O44" i="35392"/>
  <c r="O56" i="35392"/>
  <c r="O14" i="35392"/>
  <c r="O11" i="35392"/>
  <c r="O57" i="35392"/>
  <c r="O33" i="35392"/>
  <c r="O80" i="35392"/>
  <c r="O16" i="35392"/>
  <c r="O43" i="35392"/>
  <c r="O76" i="35392"/>
  <c r="O74" i="35392"/>
  <c r="O83" i="35392"/>
  <c r="O24" i="35392"/>
  <c r="O47" i="35392"/>
  <c r="C74" i="35392"/>
  <c r="C83" i="35392"/>
  <c r="C38" i="35392"/>
  <c r="C47" i="35392"/>
  <c r="C10" i="35392"/>
  <c r="C72" i="35392"/>
  <c r="C20" i="35392"/>
  <c r="C13" i="35392"/>
  <c r="C24" i="35392"/>
  <c r="C60" i="35392"/>
  <c r="C39" i="35392"/>
  <c r="C49" i="35392"/>
  <c r="C25" i="35392"/>
  <c r="C52" i="35392"/>
  <c r="C15" i="35392"/>
  <c r="C21" i="35392"/>
  <c r="C82" i="35392"/>
  <c r="C73" i="35392"/>
  <c r="C63" i="35392"/>
  <c r="T48" i="35392"/>
  <c r="T45" i="35392"/>
  <c r="T20" i="35392"/>
  <c r="T19" i="35392"/>
  <c r="T27" i="35392"/>
  <c r="T41" i="35392"/>
  <c r="T16" i="35392"/>
  <c r="T12" i="35392"/>
  <c r="T68" i="35392"/>
  <c r="T31" i="35392"/>
  <c r="T40" i="35392"/>
  <c r="T39" i="35392"/>
  <c r="T83" i="35392"/>
  <c r="T37" i="35392"/>
  <c r="T28" i="35392"/>
  <c r="T53" i="35392"/>
  <c r="T80" i="35392"/>
  <c r="T81" i="35392"/>
  <c r="T78" i="35392"/>
  <c r="C58" i="35392"/>
  <c r="C67" i="35392"/>
  <c r="C42" i="35392"/>
  <c r="C17" i="35392"/>
  <c r="C75" i="35392"/>
  <c r="C16" i="35392"/>
  <c r="C78" i="35392"/>
  <c r="C68" i="35392"/>
  <c r="C35" i="35392"/>
  <c r="C62" i="35392"/>
  <c r="C19" i="35392"/>
  <c r="C66" i="35392"/>
  <c r="C11" i="35392"/>
  <c r="C81" i="35392"/>
  <c r="C31" i="35392"/>
  <c r="C64" i="35392"/>
  <c r="C46" i="35392"/>
  <c r="C34" i="35392"/>
  <c r="C65" i="35392"/>
  <c r="T34" i="35392"/>
  <c r="T13" i="35392"/>
  <c r="T77" i="35392"/>
  <c r="T67" i="35392"/>
  <c r="T84" i="35392"/>
  <c r="T79" i="35392"/>
  <c r="T82" i="35392"/>
  <c r="T49" i="35392"/>
  <c r="T38" i="35392"/>
  <c r="T32" i="35392"/>
  <c r="T64" i="35392"/>
  <c r="T24" i="35392"/>
  <c r="T15" i="35392"/>
  <c r="T17" i="35392"/>
  <c r="T76" i="35392"/>
  <c r="T69" i="35392"/>
  <c r="T47" i="35392"/>
  <c r="T62" i="35392"/>
  <c r="C12" i="35392"/>
  <c r="C28" i="35392"/>
  <c r="C36" i="35392"/>
  <c r="C30" i="35392"/>
  <c r="C50" i="35392"/>
  <c r="C18" i="35392"/>
  <c r="C54" i="35392"/>
  <c r="C40" i="35392"/>
  <c r="C32" i="35392"/>
  <c r="C57" i="35392"/>
  <c r="C33" i="35392"/>
  <c r="C43" i="35392"/>
  <c r="C45" i="35392"/>
  <c r="C79" i="35392"/>
  <c r="C56" i="35392"/>
  <c r="C44" i="35392"/>
  <c r="C69" i="35392"/>
  <c r="X84" i="35392"/>
  <c r="X15" i="35392"/>
  <c r="X46" i="35392"/>
  <c r="X30" i="35392"/>
  <c r="X41" i="35392"/>
  <c r="X58" i="35392"/>
  <c r="X74" i="35392"/>
  <c r="X25" i="35392"/>
  <c r="X31" i="35392"/>
  <c r="X72" i="35392"/>
  <c r="X39" i="35392"/>
  <c r="X75" i="35392"/>
  <c r="X82" i="35392"/>
  <c r="X34" i="35392"/>
  <c r="X29" i="35392"/>
  <c r="X77" i="35392"/>
  <c r="X78" i="35392"/>
  <c r="X23" i="35392"/>
  <c r="X81" i="35392"/>
  <c r="X26" i="35392"/>
  <c r="X61" i="35392"/>
  <c r="X16" i="35392"/>
  <c r="X27" i="35392"/>
  <c r="X40" i="35392"/>
  <c r="X11" i="35392"/>
  <c r="X83" i="35392"/>
  <c r="X66" i="35392"/>
  <c r="X79" i="35392"/>
  <c r="X76" i="35392"/>
  <c r="X63" i="35392"/>
  <c r="X73" i="35392"/>
  <c r="X38" i="35392"/>
  <c r="X45" i="35392"/>
  <c r="X54" i="35392"/>
  <c r="X71" i="35392"/>
  <c r="X65" i="35392"/>
  <c r="X18" i="35392"/>
  <c r="X22" i="35392"/>
  <c r="X62" i="35392"/>
  <c r="X19" i="35392"/>
  <c r="X51" i="35392"/>
  <c r="X70" i="35392"/>
  <c r="X50" i="35392"/>
  <c r="X53" i="35392"/>
  <c r="X36" i="35392"/>
  <c r="X37" i="35392"/>
  <c r="X17" i="35392"/>
  <c r="X20" i="35392"/>
  <c r="X64" i="35392"/>
  <c r="X56" i="35392"/>
  <c r="X60" i="35392"/>
  <c r="X28" i="35392"/>
  <c r="X59" i="35392"/>
  <c r="X52" i="35392"/>
  <c r="X43" i="35392"/>
  <c r="X49" i="35392"/>
  <c r="X42" i="35392"/>
  <c r="X69" i="35392"/>
  <c r="X68" i="35392"/>
  <c r="X55" i="35392"/>
  <c r="X24" i="35392"/>
  <c r="X57" i="35392"/>
  <c r="X35" i="35392"/>
  <c r="X47" i="35392"/>
  <c r="X48" i="35392"/>
  <c r="X12" i="35392"/>
  <c r="X32" i="35392"/>
  <c r="X13" i="35392"/>
  <c r="X21" i="35392"/>
  <c r="X67" i="35392"/>
  <c r="X44" i="35392"/>
  <c r="X14" i="35392"/>
  <c r="X80" i="35392"/>
  <c r="X33" i="35392"/>
  <c r="X10" i="35392"/>
  <c r="F44" i="35392"/>
  <c r="F25" i="35392"/>
  <c r="F76" i="35392"/>
  <c r="F38" i="35392"/>
  <c r="F67" i="35392"/>
  <c r="F56" i="35392"/>
  <c r="F31" i="35392"/>
  <c r="F24" i="35392"/>
  <c r="F29" i="35392"/>
  <c r="F71" i="35392"/>
  <c r="F33" i="35392"/>
  <c r="F13" i="35392"/>
  <c r="F52" i="35392"/>
  <c r="F50" i="35392"/>
  <c r="F47" i="35392"/>
  <c r="F54" i="35392"/>
  <c r="F23" i="35392"/>
  <c r="F18" i="35392"/>
  <c r="F43" i="35392"/>
  <c r="F41" i="35392"/>
  <c r="F30" i="35392"/>
  <c r="F62" i="35392"/>
  <c r="F46" i="35392"/>
  <c r="F14" i="35392"/>
  <c r="F75" i="35392"/>
  <c r="F73" i="35392"/>
  <c r="F74" i="35392"/>
  <c r="F26" i="35392"/>
  <c r="F65" i="35392"/>
  <c r="F48" i="35392"/>
  <c r="F60" i="35392"/>
  <c r="F10" i="35392"/>
  <c r="F68" i="35392"/>
  <c r="F19" i="35392"/>
  <c r="F81" i="35392"/>
  <c r="F69" i="35392"/>
  <c r="F72" i="35392"/>
  <c r="F83" i="35392"/>
  <c r="F42" i="35392"/>
  <c r="F64" i="35392"/>
  <c r="F61" i="35392"/>
  <c r="F17" i="35392"/>
  <c r="F58" i="35392"/>
  <c r="F84" i="35392"/>
  <c r="F27" i="35392"/>
  <c r="F22" i="35392"/>
  <c r="F11" i="35392"/>
  <c r="F34" i="35392"/>
  <c r="F20" i="35392"/>
  <c r="F39" i="35392"/>
  <c r="F80" i="35392"/>
  <c r="F55" i="35392"/>
  <c r="F70" i="35392"/>
  <c r="F82" i="35392"/>
  <c r="F78" i="35392"/>
  <c r="F63" i="35392"/>
  <c r="F57" i="35392"/>
  <c r="F51" i="35392"/>
  <c r="F79" i="35392"/>
  <c r="F15" i="35392"/>
  <c r="F37" i="35392"/>
  <c r="F16" i="35392"/>
  <c r="F21" i="35392"/>
  <c r="F12" i="35392"/>
  <c r="F32" i="35392"/>
  <c r="F59" i="35392"/>
  <c r="F36" i="35392"/>
  <c r="F35" i="35392"/>
  <c r="F66" i="35392"/>
  <c r="F28" i="35392"/>
  <c r="F53" i="35392"/>
  <c r="F77" i="35392"/>
  <c r="F49" i="35392"/>
  <c r="F45" i="35392"/>
  <c r="F40" i="35392"/>
  <c r="Q32" i="35392"/>
  <c r="Q25" i="35392"/>
  <c r="Q84" i="35392"/>
  <c r="Q17" i="35392"/>
  <c r="Q63" i="35392"/>
  <c r="Q11" i="35392"/>
  <c r="Q34" i="35392"/>
  <c r="Q19" i="35392"/>
  <c r="Q49" i="35392"/>
  <c r="Q24" i="35392"/>
  <c r="Q38" i="35392"/>
  <c r="Q59" i="35392"/>
  <c r="Q22" i="35392"/>
  <c r="Q82" i="35392"/>
  <c r="Q26" i="35392"/>
  <c r="Q57" i="35392"/>
  <c r="Q45" i="35392"/>
  <c r="Q78" i="35392"/>
  <c r="Q42" i="35392"/>
  <c r="Q39" i="35392"/>
  <c r="Q41" i="35392"/>
  <c r="Q15" i="35392"/>
  <c r="Q44" i="35392"/>
  <c r="Q18" i="35392"/>
  <c r="Q83" i="35392"/>
  <c r="Q65" i="35392"/>
  <c r="Q33" i="35392"/>
  <c r="Q72" i="35392"/>
  <c r="Q28" i="35392"/>
  <c r="Q10" i="35392"/>
  <c r="Q48" i="35392"/>
  <c r="Q77" i="35392"/>
  <c r="Q66" i="35392"/>
  <c r="Q23" i="35392"/>
  <c r="Q47" i="35392"/>
  <c r="Q30" i="35392"/>
  <c r="Q36" i="35392"/>
  <c r="Q12" i="35392"/>
  <c r="Q67" i="35392"/>
  <c r="Q70" i="35392"/>
  <c r="Q79" i="35392"/>
  <c r="Q53" i="35392"/>
  <c r="Q58" i="35392"/>
  <c r="Q50" i="35392"/>
  <c r="Q14" i="35392"/>
  <c r="Q40" i="35392"/>
  <c r="Q13" i="35392"/>
  <c r="Q76" i="35392"/>
  <c r="Q52" i="35392"/>
  <c r="Q37" i="35392"/>
  <c r="Q29" i="35392"/>
  <c r="Q62" i="35392"/>
  <c r="Q46" i="35392"/>
  <c r="Q21" i="35392"/>
  <c r="Q20" i="35392"/>
  <c r="Q75" i="35392"/>
  <c r="Q61" i="35392"/>
  <c r="Q71" i="35392"/>
  <c r="Q74" i="35392"/>
  <c r="Q81" i="35392"/>
  <c r="Q16" i="35392"/>
  <c r="Q54" i="35392"/>
  <c r="Q27" i="35392"/>
  <c r="Q64" i="35392"/>
  <c r="Q35" i="35392"/>
  <c r="Q73" i="35392"/>
  <c r="Q31" i="35392"/>
  <c r="Q51" i="35392"/>
  <c r="Q80" i="35392"/>
  <c r="Q43" i="35392"/>
  <c r="Q69" i="35392"/>
  <c r="Q56" i="35392"/>
  <c r="Q60" i="35392"/>
  <c r="Q55" i="35392"/>
  <c r="Q68" i="35392"/>
  <c r="U33" i="35392"/>
  <c r="U59" i="35392"/>
  <c r="U71" i="35392"/>
  <c r="U31" i="35392"/>
  <c r="U12" i="35392"/>
  <c r="U58" i="35392"/>
  <c r="U25" i="35392"/>
  <c r="U79" i="35392"/>
  <c r="U60" i="35392"/>
  <c r="U37" i="35392"/>
  <c r="U75" i="35392"/>
  <c r="U63" i="35392"/>
  <c r="U17" i="35392"/>
  <c r="U74" i="35392"/>
  <c r="U15" i="35392"/>
  <c r="U68" i="35392"/>
  <c r="U69" i="35392"/>
  <c r="U27" i="35392"/>
  <c r="U34" i="35392"/>
  <c r="U40" i="35392"/>
  <c r="U52" i="35392"/>
  <c r="U29" i="35392"/>
  <c r="U38" i="35392"/>
  <c r="U16" i="35392"/>
  <c r="U57" i="35392"/>
  <c r="U56" i="35392"/>
  <c r="U82" i="35392"/>
  <c r="U45" i="35392"/>
  <c r="U11" i="35392"/>
  <c r="U47" i="35392"/>
  <c r="U55" i="35392"/>
  <c r="U23" i="35392"/>
  <c r="U39" i="35392"/>
  <c r="U62" i="35392"/>
  <c r="U54" i="35392"/>
  <c r="U20" i="35392"/>
  <c r="U51" i="35392"/>
  <c r="U66" i="35392"/>
  <c r="U76" i="35392"/>
  <c r="U26" i="35392"/>
  <c r="U10" i="35392"/>
  <c r="U83" i="35392"/>
  <c r="U43" i="35392"/>
  <c r="U36" i="35392"/>
  <c r="U13" i="35392"/>
  <c r="U80" i="35392"/>
  <c r="U14" i="35392"/>
  <c r="U78" i="35392"/>
  <c r="U70" i="35392"/>
  <c r="U81" i="35392"/>
  <c r="U65" i="35392"/>
  <c r="U21" i="35392"/>
  <c r="U73" i="35392"/>
  <c r="U19" i="35392"/>
  <c r="U67" i="35392"/>
  <c r="U41" i="35392"/>
  <c r="U46" i="35392"/>
  <c r="U50" i="35392"/>
  <c r="U35" i="35392"/>
  <c r="U22" i="35392"/>
  <c r="U30" i="35392"/>
  <c r="U28" i="35392"/>
  <c r="U61" i="35392"/>
  <c r="U49" i="35392"/>
  <c r="U18" i="35392"/>
  <c r="U84" i="35392"/>
  <c r="U53" i="35392"/>
  <c r="U32" i="35392"/>
  <c r="U48" i="35392"/>
  <c r="U24" i="35392"/>
  <c r="U42" i="35392"/>
  <c r="U77" i="35392"/>
  <c r="U64" i="35392"/>
  <c r="U44" i="35392"/>
  <c r="U72" i="35392"/>
  <c r="W13" i="35392"/>
  <c r="W81" i="35392"/>
  <c r="W40" i="35392"/>
  <c r="W75" i="35392"/>
  <c r="W72" i="35392"/>
  <c r="W16" i="35392"/>
  <c r="W30" i="35392"/>
  <c r="W15" i="35392"/>
  <c r="W32" i="35392"/>
  <c r="W20" i="35392"/>
  <c r="W35" i="35392"/>
  <c r="W11" i="35392"/>
  <c r="W64" i="35392"/>
  <c r="W29" i="35392"/>
  <c r="W25" i="35392"/>
  <c r="W33" i="35392"/>
  <c r="W66" i="35392"/>
  <c r="W51" i="35392"/>
  <c r="W76" i="35392"/>
  <c r="W10" i="35392"/>
  <c r="W57" i="35392"/>
  <c r="W63" i="35392"/>
  <c r="W65" i="35392"/>
  <c r="W34" i="35392"/>
  <c r="W62" i="35392"/>
  <c r="W14" i="35392"/>
  <c r="W26" i="35392"/>
  <c r="W23" i="35392"/>
  <c r="W37" i="35392"/>
  <c r="W48" i="35392"/>
  <c r="W22" i="35392"/>
  <c r="W55" i="35392"/>
  <c r="W53" i="35392"/>
  <c r="W47" i="35392"/>
  <c r="W27" i="35392"/>
  <c r="W67" i="35392"/>
  <c r="W18" i="35392"/>
  <c r="W77" i="35392"/>
  <c r="W80" i="35392"/>
  <c r="W71" i="35392"/>
  <c r="W68" i="35392"/>
  <c r="W44" i="35392"/>
  <c r="W31" i="35392"/>
  <c r="W73" i="35392"/>
  <c r="W45" i="35392"/>
  <c r="W60" i="35392"/>
  <c r="W28" i="35392"/>
  <c r="W19" i="35392"/>
  <c r="W21" i="35392"/>
  <c r="W17" i="35392"/>
  <c r="W69" i="35392"/>
  <c r="W12" i="35392"/>
  <c r="W42" i="35392"/>
  <c r="W82" i="35392"/>
  <c r="W39" i="35392"/>
  <c r="W83" i="35392"/>
  <c r="W84" i="35392"/>
  <c r="W59" i="35392"/>
  <c r="W41" i="35392"/>
  <c r="W54" i="35392"/>
  <c r="W49" i="35392"/>
  <c r="W61" i="35392"/>
  <c r="W50" i="35392"/>
  <c r="W79" i="35392"/>
  <c r="W58" i="35392"/>
  <c r="W74" i="35392"/>
  <c r="W43" i="35392"/>
  <c r="W38" i="35392"/>
  <c r="W52" i="35392"/>
  <c r="W78" i="35392"/>
  <c r="W56" i="35392"/>
  <c r="W70" i="35392"/>
  <c r="W46" i="35392"/>
  <c r="W36" i="35392"/>
  <c r="W24" i="35392"/>
  <c r="H68" i="35392"/>
  <c r="H38" i="35392"/>
  <c r="H70" i="35392"/>
  <c r="H84" i="35392"/>
  <c r="H48" i="35392"/>
  <c r="H81" i="35392"/>
  <c r="H32" i="35392"/>
  <c r="H57" i="35392"/>
  <c r="H59" i="35392"/>
  <c r="H13" i="35392"/>
  <c r="H10" i="35392"/>
  <c r="H28" i="35392"/>
  <c r="H46" i="35392"/>
  <c r="H62" i="35392"/>
  <c r="H76" i="35392"/>
  <c r="H72" i="35392"/>
  <c r="H16" i="35392"/>
  <c r="H21" i="35392"/>
  <c r="H25" i="35392"/>
  <c r="H14" i="35392"/>
  <c r="H23" i="35392"/>
  <c r="H80" i="35392"/>
  <c r="H33" i="35392"/>
  <c r="H77" i="35392"/>
  <c r="H37" i="35392"/>
  <c r="H35" i="35392"/>
  <c r="H22" i="35392"/>
  <c r="H40" i="35392"/>
  <c r="H11" i="35392"/>
  <c r="H66" i="35392"/>
  <c r="H29" i="35392"/>
  <c r="H79" i="35392"/>
  <c r="H69" i="35392"/>
  <c r="H36" i="35392"/>
  <c r="H52" i="35392"/>
  <c r="H24" i="35392"/>
  <c r="H34" i="35392"/>
  <c r="H55" i="35392"/>
  <c r="H82" i="35392"/>
  <c r="H20" i="35392"/>
  <c r="H64" i="35392"/>
  <c r="H58" i="35392"/>
  <c r="H73" i="35392"/>
  <c r="H75" i="35392"/>
  <c r="H47" i="35392"/>
  <c r="H44" i="35392"/>
  <c r="H41" i="35392"/>
  <c r="H51" i="35392"/>
  <c r="H42" i="35392"/>
  <c r="H83" i="35392"/>
  <c r="H12" i="35392"/>
  <c r="H18" i="35392"/>
  <c r="H43" i="35392"/>
  <c r="H71" i="35392"/>
  <c r="H65" i="35392"/>
  <c r="H31" i="35392"/>
  <c r="H56" i="35392"/>
  <c r="H49" i="35392"/>
  <c r="H50" i="35392"/>
  <c r="H74" i="35392"/>
  <c r="H60" i="35392"/>
  <c r="H78" i="35392"/>
  <c r="H53" i="35392"/>
  <c r="H61" i="35392"/>
  <c r="H67" i="35392"/>
  <c r="H15" i="35392"/>
  <c r="H26" i="35392"/>
  <c r="H54" i="35392"/>
  <c r="H39" i="35392"/>
  <c r="H17" i="35392"/>
  <c r="H63" i="35392"/>
  <c r="H45" i="35392"/>
  <c r="H27" i="35392"/>
  <c r="H30" i="35392"/>
  <c r="H19" i="35392"/>
  <c r="Z66" i="35392"/>
  <c r="Z73" i="35392"/>
  <c r="Z23" i="35392"/>
  <c r="Z32" i="35392"/>
  <c r="Z80" i="35392"/>
  <c r="Z46" i="35392"/>
  <c r="Z63" i="35392"/>
  <c r="Z31" i="35392"/>
  <c r="Z77" i="35392"/>
  <c r="Z69" i="35392"/>
  <c r="Z64" i="35392"/>
  <c r="Z36" i="35392"/>
  <c r="Z59" i="35392"/>
  <c r="Z17" i="35392"/>
  <c r="Z79" i="35392"/>
  <c r="Z55" i="35392"/>
  <c r="Z41" i="35392"/>
  <c r="Z44" i="35392"/>
  <c r="Z71" i="35392"/>
  <c r="Z12" i="35392"/>
  <c r="Z52" i="35392"/>
  <c r="Z30" i="35392"/>
  <c r="Z21" i="35392"/>
  <c r="Z29" i="35392"/>
  <c r="Z43" i="35392"/>
  <c r="Z65" i="35392"/>
  <c r="Z70" i="35392"/>
  <c r="Z10" i="35392"/>
  <c r="Z51" i="35392"/>
  <c r="Z18" i="35392"/>
  <c r="Z53" i="35392"/>
  <c r="Z75" i="35392"/>
  <c r="Z82" i="35392"/>
  <c r="Z22" i="35392"/>
  <c r="Z20" i="35392"/>
  <c r="Z67" i="35392"/>
  <c r="Z76" i="35392"/>
  <c r="Z19" i="35392"/>
  <c r="Z25" i="35392"/>
  <c r="Z40" i="35392"/>
  <c r="Z38" i="35392"/>
  <c r="Z15" i="35392"/>
  <c r="Z13" i="35392"/>
  <c r="Z37" i="35392"/>
  <c r="Z39" i="35392"/>
  <c r="Z54" i="35392"/>
  <c r="Z81" i="35392"/>
  <c r="Z50" i="35392"/>
  <c r="Z78" i="35392"/>
  <c r="Z62" i="35392"/>
  <c r="Z48" i="35392"/>
  <c r="Z16" i="35392"/>
  <c r="Z60" i="35392"/>
  <c r="Z61" i="35392"/>
  <c r="Z72" i="35392"/>
  <c r="Z11" i="35392"/>
  <c r="Z28" i="35392"/>
  <c r="Z33" i="35392"/>
  <c r="Z24" i="35392"/>
  <c r="Z45" i="35392"/>
  <c r="Z42" i="35392"/>
  <c r="Z34" i="35392"/>
  <c r="Z26" i="35392"/>
  <c r="Z57" i="35392"/>
  <c r="Z83" i="35392"/>
  <c r="Z35" i="35392"/>
  <c r="Z14" i="35392"/>
  <c r="Z68" i="35392"/>
  <c r="Z47" i="35392"/>
  <c r="Z27" i="35392"/>
  <c r="Z49" i="35392"/>
  <c r="Z84" i="35392"/>
  <c r="Z74" i="35392"/>
  <c r="Z56" i="35392"/>
  <c r="Z58" i="35392"/>
  <c r="J79" i="35392"/>
  <c r="J34" i="35392"/>
  <c r="J71" i="35392"/>
  <c r="J35" i="35392"/>
  <c r="J60" i="35392"/>
  <c r="J16" i="35392"/>
  <c r="J33" i="35392"/>
  <c r="J39" i="35392"/>
  <c r="J27" i="35392"/>
  <c r="J57" i="35392"/>
  <c r="J61" i="35392"/>
  <c r="J73" i="35392"/>
  <c r="J20" i="35392"/>
  <c r="J36" i="35392"/>
  <c r="J58" i="35392"/>
  <c r="J13" i="35392"/>
  <c r="J84" i="35392"/>
  <c r="J70" i="35392"/>
  <c r="J14" i="35392"/>
  <c r="J72" i="35392"/>
  <c r="J53" i="35392"/>
  <c r="J50" i="35392"/>
  <c r="J37" i="35392"/>
  <c r="J45" i="35392"/>
  <c r="J82" i="35392"/>
  <c r="J17" i="35392"/>
  <c r="J80" i="35392"/>
  <c r="J24" i="35392"/>
  <c r="J83" i="35392"/>
  <c r="J76" i="35392"/>
  <c r="J12" i="35392"/>
  <c r="J18" i="35392"/>
  <c r="J47" i="35392"/>
  <c r="J41" i="35392"/>
  <c r="J49" i="35392"/>
  <c r="J23" i="35392"/>
  <c r="J43" i="35392"/>
  <c r="J26" i="35392"/>
  <c r="J21" i="35392"/>
  <c r="J30" i="35392"/>
  <c r="J28" i="35392"/>
  <c r="J78" i="35392"/>
  <c r="J56" i="35392"/>
  <c r="J32" i="35392"/>
  <c r="J75" i="35392"/>
  <c r="J55" i="35392"/>
  <c r="J69" i="35392"/>
  <c r="J11" i="35392"/>
  <c r="J10" i="35392"/>
  <c r="J81" i="35392"/>
  <c r="J64" i="35392"/>
  <c r="J25" i="35392"/>
  <c r="J31" i="35392"/>
  <c r="J22" i="35392"/>
  <c r="J52" i="35392"/>
  <c r="J68" i="35392"/>
  <c r="J38" i="35392"/>
  <c r="J40" i="35392"/>
  <c r="J51" i="35392"/>
  <c r="J15" i="35392"/>
  <c r="J48" i="35392"/>
  <c r="J77" i="35392"/>
  <c r="J19" i="35392"/>
  <c r="J66" i="35392"/>
  <c r="J44" i="35392"/>
  <c r="J63" i="35392"/>
  <c r="J65" i="35392"/>
  <c r="J62" i="35392"/>
  <c r="J29" i="35392"/>
  <c r="J74" i="35392"/>
  <c r="J59" i="35392"/>
  <c r="J54" i="35392"/>
  <c r="J67" i="35392"/>
  <c r="J46" i="35392"/>
  <c r="J42" i="35392"/>
  <c r="M11" i="35392"/>
  <c r="M76" i="35392"/>
  <c r="M12" i="35392"/>
  <c r="M37" i="35392"/>
  <c r="M30" i="35392"/>
  <c r="M81" i="35392"/>
  <c r="M50" i="35392"/>
  <c r="M84" i="35392"/>
  <c r="M54" i="35392"/>
  <c r="M73" i="35392"/>
  <c r="M68" i="35392"/>
  <c r="M74" i="35392"/>
  <c r="M79" i="35392"/>
  <c r="M60" i="35392"/>
  <c r="M31" i="35392"/>
  <c r="M24" i="35392"/>
  <c r="M83" i="35392"/>
  <c r="M75" i="35392"/>
  <c r="M23" i="35392"/>
  <c r="M66" i="35392"/>
  <c r="M20" i="35392"/>
  <c r="M10" i="35392"/>
  <c r="M48" i="35392"/>
  <c r="M61" i="35392"/>
  <c r="M14" i="35392"/>
  <c r="M59" i="35392"/>
  <c r="M42" i="35392"/>
  <c r="M57" i="35392"/>
  <c r="M49" i="35392"/>
  <c r="M64" i="35392"/>
  <c r="M38" i="35392"/>
  <c r="M44" i="35392"/>
  <c r="M15" i="35392"/>
  <c r="M22" i="35392"/>
  <c r="M35" i="35392"/>
  <c r="M56" i="35392"/>
  <c r="M82" i="35392"/>
  <c r="M39" i="35392"/>
  <c r="M51" i="35392"/>
  <c r="M71" i="35392"/>
  <c r="M19" i="35392"/>
  <c r="M25" i="35392"/>
  <c r="M18" i="35392"/>
  <c r="M55" i="35392"/>
  <c r="M13" i="35392"/>
  <c r="M78" i="35392"/>
  <c r="M63" i="35392"/>
  <c r="M53" i="35392"/>
  <c r="M80" i="35392"/>
  <c r="M34" i="35392"/>
  <c r="M40" i="35392"/>
  <c r="M26" i="35392"/>
  <c r="M72" i="35392"/>
  <c r="M77" i="35392"/>
  <c r="M32" i="35392"/>
  <c r="M62" i="35392"/>
  <c r="M16" i="35392"/>
  <c r="M69" i="35392"/>
  <c r="M52" i="35392"/>
  <c r="M65" i="35392"/>
  <c r="M45" i="35392"/>
  <c r="M33" i="35392"/>
  <c r="M27" i="35392"/>
  <c r="M46" i="35392"/>
  <c r="M28" i="35392"/>
  <c r="M17" i="35392"/>
  <c r="M67" i="35392"/>
  <c r="M36" i="35392"/>
  <c r="M21" i="35392"/>
  <c r="M70" i="35392"/>
  <c r="M47" i="35392"/>
  <c r="M58" i="35392"/>
  <c r="M43" i="35392"/>
  <c r="M41" i="35392"/>
  <c r="M29" i="35392"/>
  <c r="P81" i="35392"/>
  <c r="P27" i="35392"/>
  <c r="P67" i="35392"/>
  <c r="P59" i="35392"/>
  <c r="P44" i="35392"/>
  <c r="P76" i="35392"/>
  <c r="P40" i="35392"/>
  <c r="P14" i="35392"/>
  <c r="P39" i="35392"/>
  <c r="P31" i="35392"/>
  <c r="P80" i="35392"/>
  <c r="P75" i="35392"/>
  <c r="P12" i="35392"/>
  <c r="P20" i="35392"/>
  <c r="P65" i="35392"/>
  <c r="P19" i="35392"/>
  <c r="P73" i="35392"/>
  <c r="P72" i="35392"/>
  <c r="P38" i="35392"/>
  <c r="P79" i="35392"/>
  <c r="P54" i="35392"/>
  <c r="P51" i="35392"/>
  <c r="P15" i="35392"/>
  <c r="P37" i="35392"/>
  <c r="P41" i="35392"/>
  <c r="P61" i="35392"/>
  <c r="P52" i="35392"/>
  <c r="P64" i="35392"/>
  <c r="P22" i="35392"/>
  <c r="P17" i="35392"/>
  <c r="P66" i="35392"/>
  <c r="P83" i="35392"/>
  <c r="P36" i="35392"/>
  <c r="P46" i="35392"/>
  <c r="P68" i="35392"/>
  <c r="P29" i="35392"/>
  <c r="P84" i="35392"/>
  <c r="P55" i="35392"/>
  <c r="P18" i="35392"/>
  <c r="P57" i="35392"/>
  <c r="P56" i="35392"/>
  <c r="P34" i="35392"/>
  <c r="P10" i="35392"/>
  <c r="P47" i="35392"/>
  <c r="P77" i="35392"/>
  <c r="P16" i="35392"/>
  <c r="P69" i="35392"/>
  <c r="P26" i="35392"/>
  <c r="P21" i="35392"/>
  <c r="P78" i="35392"/>
  <c r="P62" i="35392"/>
  <c r="P63" i="35392"/>
  <c r="P33" i="35392"/>
  <c r="P58" i="35392"/>
  <c r="P49" i="35392"/>
  <c r="P50" i="35392"/>
  <c r="P35" i="35392"/>
  <c r="P74" i="35392"/>
  <c r="P82" i="35392"/>
  <c r="P30" i="35392"/>
  <c r="P25" i="35392"/>
  <c r="P45" i="35392"/>
  <c r="P43" i="35392"/>
  <c r="P32" i="35392"/>
  <c r="P28" i="35392"/>
  <c r="P13" i="35392"/>
  <c r="P60" i="35392"/>
  <c r="P11" i="35392"/>
  <c r="P23" i="35392"/>
  <c r="P53" i="35392"/>
  <c r="P71" i="35392"/>
  <c r="P24" i="35392"/>
  <c r="P48" i="35392"/>
  <c r="P42" i="35392"/>
  <c r="P70" i="35392"/>
  <c r="E24" i="35392"/>
  <c r="E16" i="35392"/>
  <c r="E44" i="35392"/>
  <c r="E71" i="35392"/>
  <c r="E12" i="35392"/>
  <c r="E66" i="35392"/>
  <c r="E49" i="35392"/>
  <c r="E51" i="35392"/>
  <c r="E38" i="35392"/>
  <c r="E83" i="35392"/>
  <c r="E40" i="35392"/>
  <c r="E46" i="35392"/>
  <c r="E73" i="35392"/>
  <c r="E68" i="35392"/>
  <c r="E62" i="35392"/>
  <c r="E42" i="35392"/>
  <c r="E50" i="35392"/>
  <c r="E67" i="35392"/>
  <c r="E52" i="35392"/>
  <c r="E61" i="35392"/>
  <c r="E18" i="35392"/>
  <c r="E60" i="35392"/>
  <c r="E11" i="35392"/>
  <c r="E25" i="35392"/>
  <c r="E10" i="35392"/>
  <c r="E37" i="35392"/>
  <c r="E65" i="35392"/>
  <c r="E77" i="35392"/>
  <c r="E72" i="35392"/>
  <c r="E41" i="35392"/>
  <c r="E33" i="35392"/>
  <c r="E74" i="35392"/>
  <c r="E79" i="35392"/>
  <c r="E63" i="35392"/>
  <c r="E82" i="35392"/>
  <c r="E15" i="35392"/>
  <c r="E13" i="35392"/>
  <c r="E55" i="35392"/>
  <c r="E53" i="35392"/>
  <c r="E56" i="35392"/>
  <c r="E84" i="35392"/>
  <c r="E23" i="35392"/>
  <c r="E14" i="35392"/>
  <c r="E75" i="35392"/>
  <c r="E80" i="35392"/>
  <c r="E78" i="35392"/>
  <c r="E31" i="35392"/>
  <c r="E35" i="35392"/>
  <c r="E21" i="35392"/>
  <c r="E69" i="35392"/>
  <c r="E43" i="35392"/>
  <c r="E70" i="35392"/>
  <c r="E29" i="35392"/>
  <c r="E32" i="35392"/>
  <c r="E57" i="35392"/>
  <c r="E22" i="35392"/>
  <c r="E20" i="35392"/>
  <c r="E34" i="35392"/>
  <c r="E30" i="35392"/>
  <c r="E64" i="35392"/>
  <c r="E39" i="35392"/>
  <c r="E48" i="35392"/>
  <c r="E81" i="35392"/>
  <c r="E28" i="35392"/>
  <c r="E26" i="35392"/>
  <c r="E19" i="35392"/>
  <c r="E76" i="35392"/>
  <c r="E58" i="35392"/>
  <c r="E17" i="35392"/>
  <c r="E47" i="35392"/>
  <c r="E54" i="35392"/>
  <c r="E36" i="35392"/>
  <c r="E45" i="35392"/>
  <c r="E27" i="35392"/>
  <c r="E59" i="35392"/>
  <c r="K26" i="35392"/>
  <c r="K66" i="35392"/>
  <c r="K16" i="35392"/>
  <c r="K36" i="35392"/>
  <c r="K59" i="35392"/>
  <c r="K40" i="35392"/>
  <c r="K80" i="35392"/>
  <c r="K78" i="35392"/>
  <c r="K42" i="35392"/>
  <c r="K58" i="35392"/>
  <c r="K82" i="35392"/>
  <c r="K84" i="35392"/>
  <c r="K35" i="35392"/>
  <c r="K71" i="35392"/>
  <c r="K61" i="35392"/>
  <c r="K49" i="35392"/>
  <c r="K27" i="35392"/>
  <c r="K50" i="35392"/>
  <c r="K10" i="35392"/>
  <c r="K12" i="35392"/>
  <c r="K43" i="35392"/>
  <c r="K38" i="35392"/>
  <c r="K52" i="35392"/>
  <c r="K18" i="35392"/>
  <c r="K57" i="35392"/>
  <c r="K81" i="35392"/>
  <c r="K65" i="35392"/>
  <c r="K60" i="35392"/>
  <c r="K70" i="35392"/>
  <c r="K67" i="35392"/>
  <c r="K63" i="35392"/>
  <c r="K33" i="35392"/>
  <c r="K51" i="35392"/>
  <c r="K79" i="35392"/>
  <c r="K28" i="35392"/>
  <c r="K83" i="35392"/>
  <c r="K48" i="35392"/>
  <c r="K69" i="35392"/>
  <c r="K44" i="35392"/>
  <c r="K47" i="35392"/>
  <c r="K24" i="35392"/>
  <c r="K31" i="35392"/>
  <c r="K53" i="35392"/>
  <c r="K73" i="35392"/>
  <c r="K19" i="35392"/>
  <c r="K64" i="35392"/>
  <c r="K34" i="35392"/>
  <c r="K20" i="35392"/>
  <c r="K54" i="35392"/>
  <c r="K22" i="35392"/>
  <c r="K11" i="35392"/>
  <c r="K55" i="35392"/>
  <c r="K14" i="35392"/>
  <c r="K37" i="35392"/>
  <c r="K30" i="35392"/>
  <c r="K75" i="35392"/>
  <c r="K15" i="35392"/>
  <c r="K23" i="35392"/>
  <c r="K68" i="35392"/>
  <c r="K29" i="35392"/>
  <c r="K25" i="35392"/>
  <c r="K56" i="35392"/>
  <c r="K39" i="35392"/>
  <c r="K41" i="35392"/>
  <c r="K46" i="35392"/>
  <c r="K45" i="35392"/>
  <c r="K74" i="35392"/>
  <c r="K17" i="35392"/>
  <c r="K32" i="35392"/>
  <c r="K72" i="35392"/>
  <c r="K13" i="35392"/>
  <c r="K21" i="35392"/>
  <c r="K62" i="35392"/>
  <c r="K76" i="35392"/>
  <c r="K77" i="35392"/>
  <c r="AB37" i="35392"/>
  <c r="AB72" i="35392"/>
  <c r="AB33" i="35392"/>
  <c r="AB25" i="35392"/>
  <c r="AB42" i="35392"/>
  <c r="AB36" i="35392"/>
  <c r="AB41" i="35392"/>
  <c r="AB40" i="35392"/>
  <c r="AB56" i="35392"/>
  <c r="AB63" i="35392"/>
  <c r="AB35" i="35392"/>
  <c r="AB48" i="35392"/>
  <c r="AB62" i="35392"/>
  <c r="AB34" i="35392"/>
  <c r="AB14" i="35392"/>
  <c r="AB28" i="35392"/>
  <c r="AB82" i="35392"/>
  <c r="AB17" i="35392"/>
  <c r="AB30" i="35392"/>
  <c r="AB19" i="35392"/>
  <c r="AB50" i="35392"/>
  <c r="AB67" i="35392"/>
  <c r="AB66" i="35392"/>
  <c r="AB46" i="35392"/>
  <c r="AB79" i="35392"/>
  <c r="AB54" i="35392"/>
  <c r="AB29" i="35392"/>
  <c r="AB52" i="35392"/>
  <c r="AB68" i="35392"/>
  <c r="AB21" i="35392"/>
  <c r="AB31" i="35392"/>
  <c r="AB70" i="35392"/>
  <c r="AB77" i="35392"/>
  <c r="AB13" i="35392"/>
  <c r="AB53" i="35392"/>
  <c r="AB64" i="35392"/>
  <c r="AB60" i="35392"/>
  <c r="AB55" i="35392"/>
  <c r="AB15" i="35392"/>
  <c r="AB23" i="35392"/>
  <c r="AB78" i="35392"/>
  <c r="AB39" i="35392"/>
  <c r="AB38" i="35392"/>
  <c r="AB22" i="35392"/>
  <c r="AB83" i="35392"/>
  <c r="AB61" i="35392"/>
  <c r="AB73" i="35392"/>
  <c r="AB16" i="35392"/>
  <c r="AB75" i="35392"/>
  <c r="AB11" i="35392"/>
  <c r="AB32" i="35392"/>
  <c r="AB69" i="35392"/>
  <c r="AB47" i="35392"/>
  <c r="AB24" i="35392"/>
  <c r="AB84" i="35392"/>
  <c r="AB74" i="35392"/>
  <c r="AB71" i="35392"/>
  <c r="AB45" i="35392"/>
  <c r="AB44" i="35392"/>
  <c r="AB12" i="35392"/>
  <c r="AB81" i="35392"/>
  <c r="AB49" i="35392"/>
  <c r="AB26" i="35392"/>
  <c r="AB51" i="35392"/>
  <c r="AB76" i="35392"/>
  <c r="AB58" i="35392"/>
  <c r="AB65" i="35392"/>
  <c r="AB10" i="35392"/>
  <c r="AB80" i="35392"/>
  <c r="AB20" i="35392"/>
  <c r="AB18" i="35392"/>
  <c r="AB57" i="35392"/>
  <c r="AB59" i="35392"/>
  <c r="AB43" i="35392"/>
  <c r="AB27" i="35392"/>
  <c r="N43" i="35392"/>
  <c r="N12" i="35392"/>
  <c r="N74" i="35392"/>
  <c r="N82" i="35392"/>
  <c r="N47" i="35392"/>
  <c r="N35" i="35392"/>
  <c r="N36" i="35392"/>
  <c r="N61" i="35392"/>
  <c r="N20" i="35392"/>
  <c r="N66" i="35392"/>
  <c r="N39" i="35392"/>
  <c r="N81" i="35392"/>
  <c r="N77" i="35392"/>
  <c r="N84" i="35392"/>
  <c r="N32" i="35392"/>
  <c r="N50" i="35392"/>
  <c r="N42" i="35392"/>
  <c r="N58" i="35392"/>
  <c r="N21" i="35392"/>
  <c r="N23" i="35392"/>
  <c r="N37" i="35392"/>
  <c r="N31" i="35392"/>
  <c r="N11" i="35392"/>
  <c r="N26" i="35392"/>
  <c r="N60" i="35392"/>
  <c r="N49" i="35392"/>
  <c r="N34" i="35392"/>
  <c r="N27" i="35392"/>
  <c r="N44" i="35392"/>
  <c r="N65" i="35392"/>
  <c r="N57" i="35392"/>
  <c r="N48" i="35392"/>
  <c r="N14" i="35392"/>
  <c r="N59" i="35392"/>
  <c r="N29" i="35392"/>
  <c r="N54" i="35392"/>
  <c r="N16" i="35392"/>
  <c r="N68" i="35392"/>
  <c r="N53" i="35392"/>
  <c r="N15" i="35392"/>
  <c r="N63" i="35392"/>
  <c r="N76" i="35392"/>
  <c r="N24" i="35392"/>
  <c r="N69" i="35392"/>
  <c r="N62" i="35392"/>
  <c r="N71" i="35392"/>
  <c r="N13" i="35392"/>
  <c r="N25" i="35392"/>
  <c r="N17" i="35392"/>
  <c r="N56" i="35392"/>
  <c r="N80" i="35392"/>
  <c r="N83" i="35392"/>
  <c r="N78" i="35392"/>
  <c r="N64" i="35392"/>
  <c r="N51" i="35392"/>
  <c r="N33" i="35392"/>
  <c r="N70" i="35392"/>
  <c r="N22" i="35392"/>
  <c r="N41" i="35392"/>
  <c r="N10" i="35392"/>
  <c r="N67" i="35392"/>
  <c r="N55" i="35392"/>
  <c r="N40" i="35392"/>
  <c r="N45" i="35392"/>
  <c r="N28" i="35392"/>
  <c r="N19" i="35392"/>
  <c r="N18" i="35392"/>
  <c r="N30" i="35392"/>
  <c r="N75" i="35392"/>
  <c r="N79" i="35392"/>
  <c r="N72" i="35392"/>
  <c r="N73" i="35392"/>
  <c r="N52" i="35392"/>
  <c r="N46" i="35392"/>
  <c r="N38" i="35392"/>
  <c r="G84" i="35392"/>
  <c r="G72" i="35392"/>
  <c r="G39" i="35392"/>
  <c r="G54" i="35392"/>
  <c r="G12" i="35392"/>
  <c r="G33" i="35392"/>
  <c r="G23" i="35392"/>
  <c r="G76" i="35392"/>
  <c r="G28" i="35392"/>
  <c r="G71" i="35392"/>
  <c r="G37" i="35392"/>
  <c r="G15" i="35392"/>
  <c r="G43" i="35392"/>
  <c r="G31" i="35392"/>
  <c r="G29" i="35392"/>
  <c r="G56" i="35392"/>
  <c r="G64" i="35392"/>
  <c r="G52" i="35392"/>
  <c r="G20" i="35392"/>
  <c r="G42" i="35392"/>
  <c r="G68" i="35392"/>
  <c r="G58" i="35392"/>
  <c r="G80" i="35392"/>
  <c r="G63" i="35392"/>
  <c r="G21" i="35392"/>
  <c r="G11" i="35392"/>
  <c r="G14" i="35392"/>
  <c r="G48" i="35392"/>
  <c r="G13" i="35392"/>
  <c r="G62" i="35392"/>
  <c r="G35" i="35392"/>
  <c r="G46" i="35392"/>
  <c r="G17" i="35392"/>
  <c r="G53" i="35392"/>
  <c r="G81" i="35392"/>
  <c r="G41" i="35392"/>
  <c r="G83" i="35392"/>
  <c r="G27" i="35392"/>
  <c r="G26" i="35392"/>
  <c r="G77" i="35392"/>
  <c r="G47" i="35392"/>
  <c r="G10" i="35392"/>
  <c r="G74" i="35392"/>
  <c r="G18" i="35392"/>
  <c r="G67" i="35392"/>
  <c r="G69" i="35392"/>
  <c r="G60" i="35392"/>
  <c r="G50" i="35392"/>
  <c r="G51" i="35392"/>
  <c r="G65" i="35392"/>
  <c r="G78" i="35392"/>
  <c r="G59" i="35392"/>
  <c r="G22" i="35392"/>
  <c r="G66" i="35392"/>
  <c r="G19" i="35392"/>
  <c r="G36" i="35392"/>
  <c r="G38" i="35392"/>
  <c r="G82" i="35392"/>
  <c r="G45" i="35392"/>
  <c r="G32" i="35392"/>
  <c r="G40" i="35392"/>
  <c r="G75" i="35392"/>
  <c r="G25" i="35392"/>
  <c r="G49" i="35392"/>
  <c r="G34" i="35392"/>
  <c r="G61" i="35392"/>
  <c r="G57" i="35392"/>
  <c r="G79" i="35392"/>
  <c r="G70" i="35392"/>
  <c r="G44" i="35392"/>
  <c r="G16" i="35392"/>
  <c r="G24" i="35392"/>
  <c r="G30" i="35392"/>
  <c r="G55" i="35392"/>
  <c r="G73" i="35392"/>
  <c r="L67" i="35392"/>
  <c r="L68" i="35392"/>
  <c r="L10" i="35392"/>
  <c r="L20" i="35392"/>
  <c r="L35" i="35392"/>
  <c r="L59" i="35392"/>
  <c r="L12" i="35392"/>
  <c r="L79" i="35392"/>
  <c r="L53" i="35392"/>
  <c r="L25" i="35392"/>
  <c r="L44" i="35392"/>
  <c r="L38" i="35392"/>
  <c r="L36" i="35392"/>
  <c r="L60" i="35392"/>
  <c r="L71" i="35392"/>
  <c r="L81" i="35392"/>
  <c r="L21" i="35392"/>
  <c r="L57" i="35392"/>
  <c r="L18" i="35392"/>
  <c r="L28" i="35392"/>
  <c r="L15" i="35392"/>
  <c r="L33" i="35392"/>
  <c r="L41" i="35392"/>
  <c r="L14" i="35392"/>
  <c r="L80" i="35392"/>
  <c r="L22" i="35392"/>
  <c r="L56" i="35392"/>
  <c r="L43" i="35392"/>
  <c r="L45" i="35392"/>
  <c r="L65" i="35392"/>
  <c r="L48" i="35392"/>
  <c r="L13" i="35392"/>
  <c r="L82" i="35392"/>
  <c r="L31" i="35392"/>
  <c r="L77" i="35392"/>
  <c r="L83" i="35392"/>
  <c r="L49" i="35392"/>
  <c r="L17" i="35392"/>
  <c r="L19" i="35392"/>
  <c r="L84" i="35392"/>
  <c r="L39" i="35392"/>
  <c r="L16" i="35392"/>
  <c r="L69" i="35392"/>
  <c r="L78" i="35392"/>
  <c r="L64" i="35392"/>
  <c r="L26" i="35392"/>
  <c r="L58" i="35392"/>
  <c r="L54" i="35392"/>
  <c r="L72" i="35392"/>
  <c r="L40" i="35392"/>
  <c r="L66" i="35392"/>
  <c r="L63" i="35392"/>
  <c r="L51" i="35392"/>
  <c r="L76" i="35392"/>
  <c r="L61" i="35392"/>
  <c r="L37" i="35392"/>
  <c r="L73" i="35392"/>
  <c r="L11" i="35392"/>
  <c r="L23" i="35392"/>
  <c r="L27" i="35392"/>
  <c r="L50" i="35392"/>
  <c r="L34" i="35392"/>
  <c r="L75" i="35392"/>
  <c r="L32" i="35392"/>
  <c r="L70" i="35392"/>
  <c r="L55" i="35392"/>
  <c r="L30" i="35392"/>
  <c r="L52" i="35392"/>
  <c r="L74" i="35392"/>
  <c r="L46" i="35392"/>
  <c r="L24" i="35392"/>
  <c r="L62" i="35392"/>
  <c r="L42" i="35392"/>
  <c r="L29" i="35392"/>
  <c r="L47" i="35392"/>
  <c r="D62" i="35392"/>
  <c r="D58" i="35392"/>
  <c r="D56" i="35392"/>
  <c r="D37" i="35392"/>
  <c r="D79" i="35392"/>
  <c r="D33" i="35392"/>
  <c r="D81" i="35392"/>
  <c r="D80" i="35392"/>
  <c r="D31" i="35392"/>
  <c r="D13" i="35392"/>
  <c r="D84" i="35392"/>
  <c r="D45" i="35392"/>
  <c r="D66" i="35392"/>
  <c r="D26" i="35392"/>
  <c r="D82" i="35392"/>
  <c r="D64" i="35392"/>
  <c r="D23" i="35392"/>
  <c r="D38" i="35392"/>
  <c r="D48" i="35392"/>
  <c r="D75" i="35392"/>
  <c r="D59" i="35392"/>
  <c r="D14" i="35392"/>
  <c r="D53" i="35392"/>
  <c r="D10" i="35392"/>
  <c r="D60" i="35392"/>
  <c r="D49" i="35392"/>
  <c r="D71" i="35392"/>
  <c r="D36" i="35392"/>
  <c r="D65" i="35392"/>
  <c r="D63" i="35392"/>
  <c r="D72" i="35392"/>
  <c r="D42" i="35392"/>
  <c r="D73" i="35392"/>
  <c r="D19" i="35392"/>
  <c r="D30" i="35392"/>
  <c r="D35" i="35392"/>
  <c r="D44" i="35392"/>
  <c r="D32" i="35392"/>
  <c r="D55" i="35392"/>
  <c r="D68" i="35392"/>
  <c r="D51" i="35392"/>
  <c r="D40" i="35392"/>
  <c r="D27" i="35392"/>
  <c r="D47" i="35392"/>
  <c r="D61" i="35392"/>
  <c r="D17" i="35392"/>
  <c r="D83" i="35392"/>
  <c r="D21" i="35392"/>
  <c r="D67" i="35392"/>
  <c r="D43" i="35392"/>
  <c r="D18" i="35392"/>
  <c r="D76" i="35392"/>
  <c r="D54" i="35392"/>
  <c r="D24" i="35392"/>
  <c r="D69" i="35392"/>
  <c r="D34" i="35392"/>
  <c r="D29" i="35392"/>
  <c r="D39" i="35392"/>
  <c r="D77" i="35392"/>
  <c r="D16" i="35392"/>
  <c r="D12" i="35392"/>
  <c r="D46" i="35392"/>
  <c r="D41" i="35392"/>
  <c r="D50" i="35392"/>
  <c r="D20" i="35392"/>
  <c r="D15" i="35392"/>
  <c r="D28" i="35392"/>
  <c r="D52" i="35392"/>
  <c r="D25" i="35392"/>
  <c r="D11" i="35392"/>
  <c r="D22" i="35392"/>
  <c r="D78" i="35392"/>
  <c r="D70" i="35392"/>
  <c r="D74" i="35392"/>
  <c r="D57" i="35392"/>
  <c r="V12" i="35392"/>
  <c r="V66" i="35392"/>
  <c r="V48" i="35392"/>
  <c r="V20" i="35392"/>
  <c r="V68" i="35392"/>
  <c r="V84" i="35392"/>
  <c r="V49" i="35392"/>
  <c r="V18" i="35392"/>
  <c r="V22" i="35392"/>
  <c r="V38" i="35392"/>
  <c r="V64" i="35392"/>
  <c r="V50" i="35392"/>
  <c r="V33" i="35392"/>
  <c r="V27" i="35392"/>
  <c r="V41" i="35392"/>
  <c r="V51" i="35392"/>
  <c r="V56" i="35392"/>
  <c r="V63" i="35392"/>
  <c r="V54" i="35392"/>
  <c r="V31" i="35392"/>
  <c r="V16" i="35392"/>
  <c r="V19" i="35392"/>
  <c r="V74" i="35392"/>
  <c r="V47" i="35392"/>
  <c r="V36" i="35392"/>
  <c r="V78" i="35392"/>
  <c r="V29" i="35392"/>
  <c r="V52" i="35392"/>
  <c r="V73" i="35392"/>
  <c r="V58" i="35392"/>
  <c r="V53" i="35392"/>
  <c r="V60" i="35392"/>
  <c r="V55" i="35392"/>
  <c r="V44" i="35392"/>
  <c r="V69" i="35392"/>
  <c r="V32" i="35392"/>
  <c r="V11" i="35392"/>
  <c r="V34" i="35392"/>
  <c r="V13" i="35392"/>
  <c r="V45" i="35392"/>
  <c r="V14" i="35392"/>
  <c r="V59" i="35392"/>
  <c r="V43" i="35392"/>
  <c r="V24" i="35392"/>
  <c r="V76" i="35392"/>
  <c r="V40" i="35392"/>
  <c r="V62" i="35392"/>
  <c r="V46" i="35392"/>
  <c r="V39" i="35392"/>
  <c r="V61" i="35392"/>
  <c r="V83" i="35392"/>
  <c r="V80" i="35392"/>
  <c r="V77" i="35392"/>
  <c r="V42" i="35392"/>
  <c r="V72" i="35392"/>
  <c r="V21" i="35392"/>
  <c r="V57" i="35392"/>
  <c r="V28" i="35392"/>
  <c r="V15" i="35392"/>
  <c r="V82" i="35392"/>
  <c r="V25" i="35392"/>
  <c r="V23" i="35392"/>
  <c r="V10" i="35392"/>
  <c r="V75" i="35392"/>
  <c r="V30" i="35392"/>
  <c r="V37" i="35392"/>
  <c r="V81" i="35392"/>
  <c r="V67" i="35392"/>
  <c r="V17" i="35392"/>
  <c r="V71" i="35392"/>
  <c r="V65" i="35392"/>
  <c r="V79" i="35392"/>
  <c r="V35" i="35392"/>
  <c r="V26" i="35392"/>
  <c r="V70" i="35392"/>
  <c r="Y46" i="35392"/>
  <c r="Y63" i="35392"/>
  <c r="Y44" i="35392"/>
  <c r="Y39" i="35392"/>
  <c r="Y71" i="35392"/>
  <c r="Y34" i="35392"/>
  <c r="Y24" i="35392"/>
  <c r="Y36" i="35392"/>
  <c r="Y55" i="35392"/>
  <c r="Y32" i="35392"/>
  <c r="Y40" i="35392"/>
  <c r="Y58" i="35392"/>
  <c r="Y12" i="35392"/>
  <c r="Y52" i="35392"/>
  <c r="Y15" i="35392"/>
  <c r="Y54" i="35392"/>
  <c r="Y19" i="35392"/>
  <c r="Y75" i="35392"/>
  <c r="Y28" i="35392"/>
  <c r="Y50" i="35392"/>
  <c r="Y72" i="35392"/>
  <c r="Y56" i="35392"/>
  <c r="Y76" i="35392"/>
  <c r="Y13" i="35392"/>
  <c r="Y84" i="35392"/>
  <c r="Y27" i="35392"/>
  <c r="Y30" i="35392"/>
  <c r="Y64" i="35392"/>
  <c r="Y47" i="35392"/>
  <c r="Y20" i="35392"/>
  <c r="Y69" i="35392"/>
  <c r="Y18" i="35392"/>
  <c r="Y11" i="35392"/>
  <c r="Y31" i="35392"/>
  <c r="Y16" i="35392"/>
  <c r="Y59" i="35392"/>
  <c r="Y23" i="35392"/>
  <c r="Y41" i="35392"/>
  <c r="Y66" i="35392"/>
  <c r="Y45" i="35392"/>
  <c r="Y29" i="35392"/>
  <c r="Y53" i="35392"/>
  <c r="Y81" i="35392"/>
  <c r="Y67" i="35392"/>
  <c r="Y26" i="35392"/>
  <c r="Y21" i="35392"/>
  <c r="Y22" i="35392"/>
  <c r="Y77" i="35392"/>
  <c r="Y65" i="35392"/>
  <c r="Y35" i="35392"/>
  <c r="Y62" i="35392"/>
  <c r="Y60" i="35392"/>
  <c r="Y38" i="35392"/>
  <c r="Y70" i="35392"/>
  <c r="Y74" i="35392"/>
  <c r="Y82" i="35392"/>
  <c r="Y42" i="35392"/>
  <c r="Y33" i="35392"/>
  <c r="Y10" i="35392"/>
  <c r="Y79" i="35392"/>
  <c r="Y73" i="35392"/>
  <c r="Y37" i="35392"/>
  <c r="Y51" i="35392"/>
  <c r="Y25" i="35392"/>
  <c r="Y43" i="35392"/>
  <c r="Y17" i="35392"/>
  <c r="Y57" i="35392"/>
  <c r="Y80" i="35392"/>
  <c r="Y49" i="35392"/>
  <c r="Y48" i="35392"/>
  <c r="Y83" i="35392"/>
  <c r="Y68" i="35392"/>
  <c r="Y61" i="35392"/>
  <c r="Y78" i="35392"/>
  <c r="Y14" i="35392"/>
  <c r="T84" i="34968" l="1"/>
  <c r="R84" i="34968"/>
  <c r="U84" i="34968"/>
  <c r="V84" i="34968"/>
  <c r="S84" i="34968"/>
  <c r="B17" i="34999"/>
  <c r="C16" i="35036"/>
  <c r="B16" i="34993"/>
  <c r="B16" i="35035"/>
  <c r="B16" i="35392"/>
  <c r="L16" i="35035"/>
  <c r="B16" i="34986"/>
  <c r="B16" i="34987"/>
  <c r="B16" i="34998"/>
  <c r="B16" i="34985"/>
  <c r="B16" i="34984"/>
  <c r="B16" i="35017"/>
  <c r="B16" i="34980"/>
  <c r="B16" i="35018"/>
  <c r="B16" i="34968"/>
  <c r="B16" i="35005"/>
  <c r="B16" i="35002"/>
  <c r="B16" i="34996"/>
  <c r="B16" i="35015"/>
  <c r="B16" i="34977"/>
  <c r="B16" i="35016"/>
  <c r="B16" i="34958"/>
  <c r="B16" i="34961"/>
  <c r="B16" i="35010"/>
  <c r="B18" i="34999" l="1"/>
  <c r="C17" i="35036"/>
  <c r="L17" i="35035"/>
  <c r="B17" i="34993"/>
  <c r="B17" i="35035"/>
  <c r="B17" i="34996"/>
  <c r="B17" i="35018"/>
  <c r="B17" i="34986"/>
  <c r="B17" i="34968"/>
  <c r="B17" i="34987"/>
  <c r="B17" i="34985"/>
  <c r="B17" i="35017"/>
  <c r="B17" i="35016"/>
  <c r="B17" i="34977"/>
  <c r="B17" i="35010"/>
  <c r="B17" i="35392"/>
  <c r="B17" i="34984"/>
  <c r="B17" i="34980"/>
  <c r="B17" i="34958"/>
  <c r="B17" i="34961"/>
  <c r="B17" i="35002"/>
  <c r="B17" i="35015"/>
  <c r="B17" i="34998"/>
  <c r="B17" i="35005"/>
  <c r="B19" i="34999" l="1"/>
  <c r="C18" i="35036"/>
  <c r="L18" i="35035"/>
  <c r="B18" i="34987"/>
  <c r="B18" i="34993"/>
  <c r="B18" i="35035"/>
  <c r="B18" i="34998"/>
  <c r="B18" i="34984"/>
  <c r="B18" i="35392"/>
  <c r="B18" i="34980"/>
  <c r="B18" i="34985"/>
  <c r="B18" i="35018"/>
  <c r="B18" i="35017"/>
  <c r="B18" i="35016"/>
  <c r="B18" i="34977"/>
  <c r="B18" i="35015"/>
  <c r="B18" i="34961"/>
  <c r="B18" i="34958"/>
  <c r="B18" i="35002"/>
  <c r="B18" i="34968"/>
  <c r="B18" i="34986"/>
  <c r="B18" i="35010"/>
  <c r="B18" i="35005"/>
  <c r="B18" i="34996"/>
  <c r="B20" i="34999" l="1"/>
  <c r="C19" i="35036"/>
  <c r="B19" i="34987"/>
  <c r="B19" i="34993"/>
  <c r="L19" i="35035"/>
  <c r="B19" i="34998"/>
  <c r="B19" i="35392"/>
  <c r="B19" i="34985"/>
  <c r="B19" i="34996"/>
  <c r="B19" i="34986"/>
  <c r="B19" i="35016"/>
  <c r="B19" i="35015"/>
  <c r="B19" i="34984"/>
  <c r="B19" i="34958"/>
  <c r="B19" i="34977"/>
  <c r="B19" i="34961"/>
  <c r="B19" i="35002"/>
  <c r="B19" i="35018"/>
  <c r="B19" i="35017"/>
  <c r="B19" i="35010"/>
  <c r="B19" i="35005"/>
  <c r="B19" i="35035"/>
  <c r="B19" i="34968"/>
  <c r="B19" i="34980"/>
  <c r="B21" i="34999" l="1"/>
  <c r="C20" i="35036"/>
  <c r="B20" i="34993"/>
  <c r="B20" i="35035"/>
  <c r="B20" i="35392"/>
  <c r="B20" i="34987"/>
  <c r="B20" i="34986"/>
  <c r="B20" i="34996"/>
  <c r="B20" i="34985"/>
  <c r="B20" i="34984"/>
  <c r="B20" i="35017"/>
  <c r="B20" i="34958"/>
  <c r="B20" i="34980"/>
  <c r="B20" i="34968"/>
  <c r="B20" i="35005"/>
  <c r="B20" i="35002"/>
  <c r="B20" i="35018"/>
  <c r="B20" i="35010"/>
  <c r="B20" i="34977"/>
  <c r="B20" i="35016"/>
  <c r="B20" i="35015"/>
  <c r="L20" i="35035"/>
  <c r="B20" i="34998"/>
  <c r="B20" i="34961"/>
  <c r="B22" i="34999" l="1"/>
  <c r="C21" i="35036"/>
  <c r="L21" i="35035"/>
  <c r="B21" i="34987"/>
  <c r="B21" i="34996"/>
  <c r="B21" i="35392"/>
  <c r="B21" i="34986"/>
  <c r="B21" i="34985"/>
  <c r="B21" i="34984"/>
  <c r="B21" i="35035"/>
  <c r="B21" i="34998"/>
  <c r="B21" i="35018"/>
  <c r="B21" i="34980"/>
  <c r="B21" i="34968"/>
  <c r="B21" i="34977"/>
  <c r="B21" i="35010"/>
  <c r="B21" i="35017"/>
  <c r="B21" i="35016"/>
  <c r="B21" i="35015"/>
  <c r="B21" i="35005"/>
  <c r="B21" i="35002"/>
  <c r="B21" i="34958"/>
  <c r="B21" i="34961"/>
  <c r="B21" i="34993"/>
  <c r="B23" i="34999" l="1"/>
  <c r="C22" i="35036"/>
  <c r="L22" i="35035"/>
  <c r="B22" i="34987"/>
  <c r="B22" i="35035"/>
  <c r="B22" i="34998"/>
  <c r="B22" i="34984"/>
  <c r="B22" i="34980"/>
  <c r="B22" i="34977"/>
  <c r="B22" i="34996"/>
  <c r="B22" i="35018"/>
  <c r="B22" i="35017"/>
  <c r="B22" i="35016"/>
  <c r="B22" i="35015"/>
  <c r="B22" i="34961"/>
  <c r="B22" i="34985"/>
  <c r="B22" i="35010"/>
  <c r="B22" i="35005"/>
  <c r="B22" i="34986"/>
  <c r="B22" i="34968"/>
  <c r="B22" i="35002"/>
  <c r="B22" i="34993"/>
  <c r="B22" i="34958"/>
  <c r="B22" i="35392"/>
  <c r="B24" i="34999" l="1"/>
  <c r="C23" i="35036"/>
  <c r="B23" i="34987"/>
  <c r="B23" i="34993"/>
  <c r="B23" i="35035"/>
  <c r="B23" i="34998"/>
  <c r="B23" i="35392"/>
  <c r="B23" i="34985"/>
  <c r="L23" i="35035"/>
  <c r="B23" i="35016"/>
  <c r="B23" i="34996"/>
  <c r="B23" i="34984"/>
  <c r="B23" i="35018"/>
  <c r="B23" i="35017"/>
  <c r="B23" i="35015"/>
  <c r="B23" i="34986"/>
  <c r="B23" i="34958"/>
  <c r="B23" i="34968"/>
  <c r="B23" i="35010"/>
  <c r="B23" i="35005"/>
  <c r="B23" i="34961"/>
  <c r="B23" i="34980"/>
  <c r="B23" i="34977"/>
  <c r="B23" i="35002"/>
  <c r="B25" i="34999" l="1"/>
  <c r="C24" i="35036"/>
  <c r="B24" i="34993"/>
  <c r="B24" i="35035"/>
  <c r="B24" i="35392"/>
  <c r="L24" i="35035"/>
  <c r="B24" i="34986"/>
  <c r="B24" i="34998"/>
  <c r="B24" i="34996"/>
  <c r="B24" i="35017"/>
  <c r="B24" i="34987"/>
  <c r="B24" i="35016"/>
  <c r="B24" i="34958"/>
  <c r="B24" i="34968"/>
  <c r="B24" i="35005"/>
  <c r="B24" i="35002"/>
  <c r="B24" i="34961"/>
  <c r="B24" i="35018"/>
  <c r="B24" i="34980"/>
  <c r="B24" i="34977"/>
  <c r="B24" i="35010"/>
  <c r="B24" i="34985"/>
  <c r="B24" i="34984"/>
  <c r="B24" i="35015"/>
  <c r="B26" i="34999" l="1"/>
  <c r="C25" i="35036"/>
  <c r="L25" i="35035"/>
  <c r="B25" i="34993"/>
  <c r="B25" i="34996"/>
  <c r="B25" i="35035"/>
  <c r="B25" i="34987"/>
  <c r="B25" i="34986"/>
  <c r="B25" i="34985"/>
  <c r="B25" i="34984"/>
  <c r="B25" i="35018"/>
  <c r="B25" i="34968"/>
  <c r="B25" i="35392"/>
  <c r="B25" i="34998"/>
  <c r="B25" i="34980"/>
  <c r="B25" i="34977"/>
  <c r="B25" i="35010"/>
  <c r="B25" i="34961"/>
  <c r="B25" i="34958"/>
  <c r="B25" i="35005"/>
  <c r="B25" i="35015"/>
  <c r="B25" i="35017"/>
  <c r="B25" i="35016"/>
  <c r="B25" i="35002"/>
  <c r="B27" i="34999" l="1"/>
  <c r="C26" i="35036"/>
  <c r="L26" i="35035"/>
  <c r="B26" i="34987"/>
  <c r="B26" i="34993"/>
  <c r="B26" i="34998"/>
  <c r="B26" i="34984"/>
  <c r="B26" i="34996"/>
  <c r="B26" i="34986"/>
  <c r="B26" i="34985"/>
  <c r="B26" i="35392"/>
  <c r="B26" i="34980"/>
  <c r="B26" i="34977"/>
  <c r="B26" i="35035"/>
  <c r="B26" i="35015"/>
  <c r="B26" i="34961"/>
  <c r="B26" i="34958"/>
  <c r="B26" i="35010"/>
  <c r="B26" i="35005"/>
  <c r="B26" i="35002"/>
  <c r="B26" i="35018"/>
  <c r="B26" i="35017"/>
  <c r="B26" i="35016"/>
  <c r="B26" i="34968"/>
  <c r="B28" i="34999" l="1"/>
  <c r="C27" i="35036"/>
  <c r="B27" i="34987"/>
  <c r="B27" i="34993"/>
  <c r="L27" i="35035"/>
  <c r="B27" i="34998"/>
  <c r="B27" i="35035"/>
  <c r="B27" i="35392"/>
  <c r="B27" i="34985"/>
  <c r="B27" i="34984"/>
  <c r="B27" i="35016"/>
  <c r="B27" i="34986"/>
  <c r="B27" i="34980"/>
  <c r="B27" i="35015"/>
  <c r="B27" i="35018"/>
  <c r="B27" i="35017"/>
  <c r="B27" i="34958"/>
  <c r="B27" i="34977"/>
  <c r="B27" i="35002"/>
  <c r="B27" i="34996"/>
  <c r="B27" i="34968"/>
  <c r="B27" i="34961"/>
  <c r="B27" i="35010"/>
  <c r="B27" i="35005"/>
  <c r="B29" i="34999" l="1"/>
  <c r="C28" i="35036"/>
  <c r="B28" i="34993"/>
  <c r="B28" i="35035"/>
  <c r="B28" i="35392"/>
  <c r="B28" i="34987"/>
  <c r="B28" i="34986"/>
  <c r="L28" i="35035"/>
  <c r="B28" i="35017"/>
  <c r="B28" i="34998"/>
  <c r="B28" i="35018"/>
  <c r="B28" i="34958"/>
  <c r="B28" i="34985"/>
  <c r="B28" i="35016"/>
  <c r="B28" i="34968"/>
  <c r="B28" i="35005"/>
  <c r="B28" i="35002"/>
  <c r="B28" i="34980"/>
  <c r="B28" i="34996"/>
  <c r="B28" i="35015"/>
  <c r="B28" i="34961"/>
  <c r="B28" i="34984"/>
  <c r="B28" i="35010"/>
  <c r="B28" i="34977"/>
  <c r="B30" i="34999" l="1"/>
  <c r="C29" i="35036"/>
  <c r="L29" i="35035"/>
  <c r="B29" i="34987"/>
  <c r="B29" i="35035"/>
  <c r="B29" i="34996"/>
  <c r="B29" i="35392"/>
  <c r="B29" i="34993"/>
  <c r="B29" i="34998"/>
  <c r="B29" i="35018"/>
  <c r="B29" i="34985"/>
  <c r="B29" i="35017"/>
  <c r="B29" i="35016"/>
  <c r="B29" i="34968"/>
  <c r="B29" i="34984"/>
  <c r="B29" i="34977"/>
  <c r="B29" i="35010"/>
  <c r="B29" i="34986"/>
  <c r="B29" i="35015"/>
  <c r="B29" i="34961"/>
  <c r="B29" i="35002"/>
  <c r="B29" i="34980"/>
  <c r="B29" i="35005"/>
  <c r="B29" i="34958"/>
  <c r="B31" i="34999" l="1"/>
  <c r="C30" i="35036"/>
  <c r="L30" i="35035"/>
  <c r="B30" i="34987"/>
  <c r="B30" i="34998"/>
  <c r="B30" i="34984"/>
  <c r="B30" i="34993"/>
  <c r="B30" i="34996"/>
  <c r="B30" i="34986"/>
  <c r="B30" i="34985"/>
  <c r="B30" i="34980"/>
  <c r="B30" i="35035"/>
  <c r="B30" i="35392"/>
  <c r="B30" i="34977"/>
  <c r="B30" i="35015"/>
  <c r="B30" i="34961"/>
  <c r="B30" i="35002"/>
  <c r="B30" i="35018"/>
  <c r="B30" i="35017"/>
  <c r="B30" i="35016"/>
  <c r="B30" i="34968"/>
  <c r="B30" i="35010"/>
  <c r="B30" i="35005"/>
  <c r="B30" i="34958"/>
  <c r="B32" i="34999" l="1"/>
  <c r="C31" i="35036"/>
  <c r="B31" i="34987"/>
  <c r="B31" i="34993"/>
  <c r="B31" i="34998"/>
  <c r="B31" i="35392"/>
  <c r="B31" i="34985"/>
  <c r="B31" i="34996"/>
  <c r="B31" i="34986"/>
  <c r="B31" i="35035"/>
  <c r="B31" i="34984"/>
  <c r="B31" i="35016"/>
  <c r="B31" i="35015"/>
  <c r="B31" i="34980"/>
  <c r="B31" i="34958"/>
  <c r="B31" i="35018"/>
  <c r="B31" i="35017"/>
  <c r="B31" i="34968"/>
  <c r="B31" i="35010"/>
  <c r="B31" i="35005"/>
  <c r="B31" i="35002"/>
  <c r="L31" i="35035"/>
  <c r="B31" i="34977"/>
  <c r="B31" i="34961"/>
  <c r="B33" i="34999" l="1"/>
  <c r="C32" i="35036"/>
  <c r="B32" i="34993"/>
  <c r="B32" i="35035"/>
  <c r="B32" i="35392"/>
  <c r="L32" i="35035"/>
  <c r="B32" i="34986"/>
  <c r="B32" i="34987"/>
  <c r="B32" i="34998"/>
  <c r="B32" i="34985"/>
  <c r="B32" i="34984"/>
  <c r="B32" i="35017"/>
  <c r="B32" i="34980"/>
  <c r="B32" i="34958"/>
  <c r="B32" i="34996"/>
  <c r="B32" i="35018"/>
  <c r="B32" i="34968"/>
  <c r="B32" i="35005"/>
  <c r="B32" i="35002"/>
  <c r="B32" i="35016"/>
  <c r="B32" i="35015"/>
  <c r="B32" i="35010"/>
  <c r="B32" i="34977"/>
  <c r="B32" i="34961"/>
  <c r="B34" i="34999" l="1"/>
  <c r="C33" i="35036"/>
  <c r="L33" i="35035"/>
  <c r="B33" i="34993"/>
  <c r="B33" i="35035"/>
  <c r="B33" i="34996"/>
  <c r="B33" i="35018"/>
  <c r="B33" i="34984"/>
  <c r="B33" i="34968"/>
  <c r="B33" i="35017"/>
  <c r="B33" i="35016"/>
  <c r="B33" i="34977"/>
  <c r="B33" i="35010"/>
  <c r="B33" i="34987"/>
  <c r="B33" i="34986"/>
  <c r="B33" i="35005"/>
  <c r="B33" i="34998"/>
  <c r="B33" i="34958"/>
  <c r="B33" i="34961"/>
  <c r="B33" i="35002"/>
  <c r="B33" i="35392"/>
  <c r="B33" i="34985"/>
  <c r="B33" i="34980"/>
  <c r="B33" i="35015"/>
  <c r="B35" i="34999" l="1"/>
  <c r="C34" i="35036"/>
  <c r="L34" i="35035"/>
  <c r="B34" i="34987"/>
  <c r="B34" i="34993"/>
  <c r="B34" i="35035"/>
  <c r="B34" i="34998"/>
  <c r="B34" i="34984"/>
  <c r="B34" i="35392"/>
  <c r="B34" i="34980"/>
  <c r="B34" i="34996"/>
  <c r="B34" i="35018"/>
  <c r="B34" i="35017"/>
  <c r="B34" i="35016"/>
  <c r="B34" i="34977"/>
  <c r="B34" i="34986"/>
  <c r="B34" i="35015"/>
  <c r="B34" i="34961"/>
  <c r="B34" i="34958"/>
  <c r="B34" i="35010"/>
  <c r="B34" i="35005"/>
  <c r="B34" i="34968"/>
  <c r="B34" i="34985"/>
  <c r="B34" i="35002"/>
  <c r="B36" i="34999" l="1"/>
  <c r="C35" i="35036"/>
  <c r="B35" i="34987"/>
  <c r="B35" i="34993"/>
  <c r="L35" i="35035"/>
  <c r="B35" i="34998"/>
  <c r="B35" i="35392"/>
  <c r="B35" i="34985"/>
  <c r="B35" i="35035"/>
  <c r="B35" i="34996"/>
  <c r="B35" i="34986"/>
  <c r="B35" i="35016"/>
  <c r="B35" i="35015"/>
  <c r="B35" i="34958"/>
  <c r="B35" i="34977"/>
  <c r="B35" i="34961"/>
  <c r="B35" i="35017"/>
  <c r="B35" i="34984"/>
  <c r="B35" i="34980"/>
  <c r="B35" i="35010"/>
  <c r="B35" i="35005"/>
  <c r="B35" i="34968"/>
  <c r="B35" i="35018"/>
  <c r="B35" i="35002"/>
  <c r="B37" i="34999" l="1"/>
  <c r="C36" i="35036"/>
  <c r="B36" i="34993"/>
  <c r="B36" i="35035"/>
  <c r="B36" i="35392"/>
  <c r="B36" i="34987"/>
  <c r="B36" i="34986"/>
  <c r="B36" i="34996"/>
  <c r="B36" i="34985"/>
  <c r="B36" i="34984"/>
  <c r="B36" i="35017"/>
  <c r="B36" i="34958"/>
  <c r="L36" i="35035"/>
  <c r="B36" i="34980"/>
  <c r="B36" i="34968"/>
  <c r="B36" i="35005"/>
  <c r="B36" i="35002"/>
  <c r="B36" i="34998"/>
  <c r="B36" i="35010"/>
  <c r="B36" i="35016"/>
  <c r="B36" i="34977"/>
  <c r="B36" i="34961"/>
  <c r="B36" i="35015"/>
  <c r="B36" i="35018"/>
  <c r="B38" i="34999" l="1"/>
  <c r="C37" i="35036"/>
  <c r="L37" i="35035"/>
  <c r="B37" i="34987"/>
  <c r="B37" i="34996"/>
  <c r="B37" i="35392"/>
  <c r="B37" i="34986"/>
  <c r="B37" i="34985"/>
  <c r="B37" i="34984"/>
  <c r="B37" i="34998"/>
  <c r="B37" i="35018"/>
  <c r="B37" i="34980"/>
  <c r="B37" i="34968"/>
  <c r="B37" i="34993"/>
  <c r="B37" i="34977"/>
  <c r="B37" i="35010"/>
  <c r="B37" i="35015"/>
  <c r="B37" i="35005"/>
  <c r="B37" i="35002"/>
  <c r="B37" i="34958"/>
  <c r="B37" i="35035"/>
  <c r="B37" i="35017"/>
  <c r="B37" i="35016"/>
  <c r="B37" i="34961"/>
  <c r="B39" i="34999" l="1"/>
  <c r="C38" i="35036"/>
  <c r="L38" i="35035"/>
  <c r="B38" i="34987"/>
  <c r="B38" i="35035"/>
  <c r="B38" i="34998"/>
  <c r="B38" i="34984"/>
  <c r="B38" i="34980"/>
  <c r="B38" i="34993"/>
  <c r="B38" i="34986"/>
  <c r="B38" i="34977"/>
  <c r="B38" i="34985"/>
  <c r="B38" i="35018"/>
  <c r="B38" i="35017"/>
  <c r="B38" i="35016"/>
  <c r="B38" i="35015"/>
  <c r="B38" i="34961"/>
  <c r="B38" i="34996"/>
  <c r="B38" i="35392"/>
  <c r="B38" i="34968"/>
  <c r="B38" i="35002"/>
  <c r="B38" i="34958"/>
  <c r="B38" i="35010"/>
  <c r="B38" i="35005"/>
  <c r="B40" i="34999" l="1"/>
  <c r="C39" i="35036"/>
  <c r="B39" i="34987"/>
  <c r="B39" i="34993"/>
  <c r="B39" i="35035"/>
  <c r="B39" i="34998"/>
  <c r="B39" i="35392"/>
  <c r="B39" i="34985"/>
  <c r="L39" i="35035"/>
  <c r="B39" i="35016"/>
  <c r="B39" i="35018"/>
  <c r="B39" i="35017"/>
  <c r="B39" i="35015"/>
  <c r="B39" i="34958"/>
  <c r="B39" i="34984"/>
  <c r="B39" i="34980"/>
  <c r="B39" i="34968"/>
  <c r="B39" i="35002"/>
  <c r="B39" i="34961"/>
  <c r="B39" i="34986"/>
  <c r="B39" i="34977"/>
  <c r="B39" i="35010"/>
  <c r="B39" i="35005"/>
  <c r="B39" i="34996"/>
  <c r="B41" i="34999" l="1"/>
  <c r="C40" i="35036"/>
  <c r="B40" i="34993"/>
  <c r="B40" i="35035"/>
  <c r="B40" i="35392"/>
  <c r="L40" i="35035"/>
  <c r="B40" i="34986"/>
  <c r="B40" i="34998"/>
  <c r="B40" i="34996"/>
  <c r="B40" i="35017"/>
  <c r="B40" i="34985"/>
  <c r="B40" i="35016"/>
  <c r="B40" i="34958"/>
  <c r="B40" i="34984"/>
  <c r="B40" i="34968"/>
  <c r="B40" i="35005"/>
  <c r="B40" i="35002"/>
  <c r="B40" i="34961"/>
  <c r="B40" i="34987"/>
  <c r="B40" i="35018"/>
  <c r="B40" i="34977"/>
  <c r="B40" i="35010"/>
  <c r="B40" i="34980"/>
  <c r="B40" i="35015"/>
  <c r="B42" i="34999" l="1"/>
  <c r="C41" i="35036"/>
  <c r="L41" i="35035"/>
  <c r="B41" i="34993"/>
  <c r="B41" i="34996"/>
  <c r="B41" i="34987"/>
  <c r="B41" i="34986"/>
  <c r="B41" i="34985"/>
  <c r="B41" i="34984"/>
  <c r="B41" i="35018"/>
  <c r="B41" i="34968"/>
  <c r="B41" i="35392"/>
  <c r="B41" i="34998"/>
  <c r="B41" i="34980"/>
  <c r="B41" i="34977"/>
  <c r="B41" i="35010"/>
  <c r="B41" i="35035"/>
  <c r="B41" i="35017"/>
  <c r="B41" i="35016"/>
  <c r="B41" i="34958"/>
  <c r="B41" i="35005"/>
  <c r="B41" i="35015"/>
  <c r="B41" i="34961"/>
  <c r="B41" i="35002"/>
  <c r="B43" i="34999" l="1"/>
  <c r="C42" i="35036"/>
  <c r="L42" i="35035"/>
  <c r="B42" i="34987"/>
  <c r="B42" i="34993"/>
  <c r="B42" i="34998"/>
  <c r="B42" i="34984"/>
  <c r="B42" i="34996"/>
  <c r="B42" i="34986"/>
  <c r="B42" i="34985"/>
  <c r="B42" i="35035"/>
  <c r="B42" i="35392"/>
  <c r="B42" i="34980"/>
  <c r="B42" i="34977"/>
  <c r="B42" i="35015"/>
  <c r="B42" i="34961"/>
  <c r="B42" i="35018"/>
  <c r="B42" i="35017"/>
  <c r="B42" i="35016"/>
  <c r="B42" i="34958"/>
  <c r="B42" i="35010"/>
  <c r="B42" i="35005"/>
  <c r="B42" i="35002"/>
  <c r="B42" i="34968"/>
  <c r="B44" i="34999" l="1"/>
  <c r="C43" i="35036"/>
  <c r="B43" i="34987"/>
  <c r="B43" i="34993"/>
  <c r="B43" i="35392"/>
  <c r="L43" i="35035"/>
  <c r="B43" i="34998"/>
  <c r="B43" i="35035"/>
  <c r="B43" i="34985"/>
  <c r="B43" i="34984"/>
  <c r="B43" i="35016"/>
  <c r="B43" i="34980"/>
  <c r="B43" i="35015"/>
  <c r="B43" i="34996"/>
  <c r="B43" i="35018"/>
  <c r="B43" i="35017"/>
  <c r="B43" i="34958"/>
  <c r="B43" i="34977"/>
  <c r="B43" i="35010"/>
  <c r="B43" i="35005"/>
  <c r="B43" i="34986"/>
  <c r="B43" i="35002"/>
  <c r="B43" i="34968"/>
  <c r="B43" i="34961"/>
  <c r="B45" i="34999" l="1"/>
  <c r="C44" i="35036"/>
  <c r="B44" i="34993"/>
  <c r="B44" i="35035"/>
  <c r="B44" i="34987"/>
  <c r="B44" i="35392"/>
  <c r="B44" i="34986"/>
  <c r="L44" i="35035"/>
  <c r="B44" i="35017"/>
  <c r="B44" i="34998"/>
  <c r="B44" i="34996"/>
  <c r="B44" i="34984"/>
  <c r="B44" i="35018"/>
  <c r="B44" i="34958"/>
  <c r="B44" i="35016"/>
  <c r="B44" i="34968"/>
  <c r="B44" i="35005"/>
  <c r="B44" i="35002"/>
  <c r="B44" i="34985"/>
  <c r="B44" i="35010"/>
  <c r="B44" i="35015"/>
  <c r="B44" i="34961"/>
  <c r="B44" i="34980"/>
  <c r="B44" i="34977"/>
  <c r="B46" i="34999" l="1"/>
  <c r="C45" i="35036"/>
  <c r="L45" i="35035"/>
  <c r="B45" i="34987"/>
  <c r="B45" i="35035"/>
  <c r="B45" i="35392"/>
  <c r="B45" i="34996"/>
  <c r="B45" i="34993"/>
  <c r="B45" i="34998"/>
  <c r="B45" i="35018"/>
  <c r="B45" i="35017"/>
  <c r="B45" i="35016"/>
  <c r="B45" i="34968"/>
  <c r="B45" i="34986"/>
  <c r="B45" i="34977"/>
  <c r="B45" i="35010"/>
  <c r="B45" i="35015"/>
  <c r="B45" i="34961"/>
  <c r="B45" i="35005"/>
  <c r="B45" i="34985"/>
  <c r="B45" i="34984"/>
  <c r="B45" i="34958"/>
  <c r="B45" i="34980"/>
  <c r="B45" i="35002"/>
  <c r="B47" i="34999" l="1"/>
  <c r="C46" i="35036"/>
  <c r="L46" i="35035"/>
  <c r="B46" i="34987"/>
  <c r="B46" i="34998"/>
  <c r="B46" i="34984"/>
  <c r="B46" i="34993"/>
  <c r="B46" i="35035"/>
  <c r="B46" i="35392"/>
  <c r="B46" i="34996"/>
  <c r="B46" i="34986"/>
  <c r="B46" i="34985"/>
  <c r="B46" i="34980"/>
  <c r="B46" i="34977"/>
  <c r="B46" i="35015"/>
  <c r="B46" i="34961"/>
  <c r="B46" i="35018"/>
  <c r="B46" i="34968"/>
  <c r="B46" i="35010"/>
  <c r="B46" i="35005"/>
  <c r="B46" i="34958"/>
  <c r="B46" i="35017"/>
  <c r="B46" i="35016"/>
  <c r="B46" i="35002"/>
  <c r="B48" i="34999" l="1"/>
  <c r="R48" i="34999" s="1"/>
  <c r="C47" i="35036"/>
  <c r="B47" i="34987"/>
  <c r="B47" i="34993"/>
  <c r="B47" i="35392"/>
  <c r="B47" i="34998"/>
  <c r="B47" i="34985"/>
  <c r="B47" i="34996"/>
  <c r="B47" i="34986"/>
  <c r="B47" i="34984"/>
  <c r="B47" i="35016"/>
  <c r="L47" i="35035"/>
  <c r="B47" i="35015"/>
  <c r="B47" i="35035"/>
  <c r="B47" i="34980"/>
  <c r="B47" i="34958"/>
  <c r="B47" i="34968"/>
  <c r="B47" i="35010"/>
  <c r="B47" i="35005"/>
  <c r="B47" i="35002"/>
  <c r="B47" i="34961"/>
  <c r="B47" i="35018"/>
  <c r="B47" i="35017"/>
  <c r="B47" i="34977"/>
  <c r="B49" i="34999" l="1"/>
  <c r="R49" i="34999" s="1"/>
  <c r="C48" i="35036"/>
  <c r="B48" i="34993"/>
  <c r="B48" i="35035"/>
  <c r="L48" i="35035"/>
  <c r="B48" i="34986"/>
  <c r="B48" i="34987"/>
  <c r="B48" i="34998"/>
  <c r="B48" i="34985"/>
  <c r="B48" i="34984"/>
  <c r="B48" i="35017"/>
  <c r="B48" i="35392"/>
  <c r="B48" i="34980"/>
  <c r="B48" i="34958"/>
  <c r="B48" i="35018"/>
  <c r="B48" i="34968"/>
  <c r="B48" i="35005"/>
  <c r="B48" i="35002"/>
  <c r="B48" i="35015"/>
  <c r="B48" i="34977"/>
  <c r="B48" i="34996"/>
  <c r="B48" i="35016"/>
  <c r="B48" i="34961"/>
  <c r="B48" i="35010"/>
  <c r="B50" i="34999" l="1"/>
  <c r="R50" i="34999" s="1"/>
  <c r="C49" i="35036"/>
  <c r="L49" i="35035"/>
  <c r="B49" i="34993"/>
  <c r="B49" i="35035"/>
  <c r="B49" i="35392"/>
  <c r="B49" i="34996"/>
  <c r="B49" i="35018"/>
  <c r="B49" i="34986"/>
  <c r="B49" i="34968"/>
  <c r="B49" i="34987"/>
  <c r="B49" i="34985"/>
  <c r="B49" i="35017"/>
  <c r="B49" i="35016"/>
  <c r="B49" i="34977"/>
  <c r="B49" i="35010"/>
  <c r="B49" i="34980"/>
  <c r="B49" i="34958"/>
  <c r="B49" i="34961"/>
  <c r="B49" i="35002"/>
  <c r="B49" i="34984"/>
  <c r="B49" i="35015"/>
  <c r="B49" i="34998"/>
  <c r="B49" i="35005"/>
  <c r="B51" i="34999" l="1"/>
  <c r="R51" i="34999" s="1"/>
  <c r="C50" i="35036"/>
  <c r="L50" i="35035"/>
  <c r="B50" i="34987"/>
  <c r="B50" i="34993"/>
  <c r="B50" i="35035"/>
  <c r="B50" i="35392"/>
  <c r="B50" i="34998"/>
  <c r="B50" i="34984"/>
  <c r="B50" i="34980"/>
  <c r="B50" i="34985"/>
  <c r="B50" i="35018"/>
  <c r="B50" i="35017"/>
  <c r="B50" i="35016"/>
  <c r="B50" i="34977"/>
  <c r="B50" i="35015"/>
  <c r="B50" i="34961"/>
  <c r="B50" i="34986"/>
  <c r="B50" i="34958"/>
  <c r="B50" i="35002"/>
  <c r="B50" i="34968"/>
  <c r="B50" i="34996"/>
  <c r="B50" i="35010"/>
  <c r="B50" i="35005"/>
  <c r="B52" i="34999" l="1"/>
  <c r="R52" i="34999" s="1"/>
  <c r="C51" i="35036"/>
  <c r="B51" i="34987"/>
  <c r="B51" i="34993"/>
  <c r="B51" i="35392"/>
  <c r="L51" i="35035"/>
  <c r="B51" i="34998"/>
  <c r="B51" i="34985"/>
  <c r="B51" i="34996"/>
  <c r="B51" i="34986"/>
  <c r="B51" i="35016"/>
  <c r="B51" i="35035"/>
  <c r="B51" i="35015"/>
  <c r="B51" i="34984"/>
  <c r="B51" i="34958"/>
  <c r="B51" i="34977"/>
  <c r="B51" i="34961"/>
  <c r="B51" i="34980"/>
  <c r="B51" i="35018"/>
  <c r="B51" i="35017"/>
  <c r="B51" i="35010"/>
  <c r="B51" i="35005"/>
  <c r="B51" i="34968"/>
  <c r="B51" i="35002"/>
  <c r="B53" i="34999" l="1"/>
  <c r="R53" i="34999" s="1"/>
  <c r="C52" i="35036"/>
  <c r="B52" i="34993"/>
  <c r="B52" i="35035"/>
  <c r="B52" i="34987"/>
  <c r="B52" i="34986"/>
  <c r="B52" i="34996"/>
  <c r="B52" i="34985"/>
  <c r="B52" i="34984"/>
  <c r="B52" i="35017"/>
  <c r="B52" i="34958"/>
  <c r="B52" i="34980"/>
  <c r="B52" i="34968"/>
  <c r="B52" i="35005"/>
  <c r="B52" i="35002"/>
  <c r="L52" i="35035"/>
  <c r="B52" i="35392"/>
  <c r="B52" i="35018"/>
  <c r="B52" i="35010"/>
  <c r="B52" i="34977"/>
  <c r="B52" i="35016"/>
  <c r="B52" i="35015"/>
  <c r="B52" i="34998"/>
  <c r="B52" i="34961"/>
  <c r="B54" i="34999" l="1"/>
  <c r="R54" i="34999" s="1"/>
  <c r="C53" i="35036"/>
  <c r="L53" i="35035"/>
  <c r="B53" i="34987"/>
  <c r="B53" i="34996"/>
  <c r="B53" i="34986"/>
  <c r="B53" i="34985"/>
  <c r="B53" i="34984"/>
  <c r="B53" i="35035"/>
  <c r="B53" i="35392"/>
  <c r="B53" i="34998"/>
  <c r="B53" i="35018"/>
  <c r="B53" i="34980"/>
  <c r="B53" i="34968"/>
  <c r="B53" i="34977"/>
  <c r="B53" i="35010"/>
  <c r="B53" i="35017"/>
  <c r="B53" i="35016"/>
  <c r="B53" i="35015"/>
  <c r="B53" i="35005"/>
  <c r="B53" i="35002"/>
  <c r="B53" i="34961"/>
  <c r="B53" i="34993"/>
  <c r="B53" i="34958"/>
  <c r="B55" i="34999" l="1"/>
  <c r="R55" i="34999" s="1"/>
  <c r="C54" i="35036"/>
  <c r="L54" i="35035"/>
  <c r="B54" i="34987"/>
  <c r="B54" i="34996"/>
  <c r="B54" i="35035"/>
  <c r="B54" i="35392"/>
  <c r="B54" i="34998"/>
  <c r="B54" i="34984"/>
  <c r="B54" i="34980"/>
  <c r="B54" i="35015"/>
  <c r="B54" i="34977"/>
  <c r="B54" i="35018"/>
  <c r="B54" i="35017"/>
  <c r="B54" i="35016"/>
  <c r="B54" i="34961"/>
  <c r="B54" i="34993"/>
  <c r="B54" i="35010"/>
  <c r="B54" i="35005"/>
  <c r="B54" i="34968"/>
  <c r="B54" i="35002"/>
  <c r="B54" i="34985"/>
  <c r="B54" i="34958"/>
  <c r="B54" i="34986"/>
  <c r="B56" i="34999" l="1"/>
  <c r="R56" i="34999" s="1"/>
  <c r="C55" i="35036"/>
  <c r="B55" i="34987"/>
  <c r="B55" i="34993"/>
  <c r="B55" i="35392"/>
  <c r="B55" i="35035"/>
  <c r="B55" i="34998"/>
  <c r="B55" i="34985"/>
  <c r="B55" i="34980"/>
  <c r="L55" i="35035"/>
  <c r="B55" i="35016"/>
  <c r="B55" i="34984"/>
  <c r="B55" i="35018"/>
  <c r="B55" i="35017"/>
  <c r="B55" i="34996"/>
  <c r="B55" i="34986"/>
  <c r="B55" i="35015"/>
  <c r="B55" i="34958"/>
  <c r="B55" i="34968"/>
  <c r="B55" i="35005"/>
  <c r="B55" i="34961"/>
  <c r="B55" i="34977"/>
  <c r="B55" i="35010"/>
  <c r="B55" i="35002"/>
  <c r="B57" i="34999" l="1"/>
  <c r="R57" i="34999" s="1"/>
  <c r="C56" i="35036"/>
  <c r="B56" i="34993"/>
  <c r="B56" i="35035"/>
  <c r="B56" i="35392"/>
  <c r="L56" i="35035"/>
  <c r="B56" i="34986"/>
  <c r="B56" i="34998"/>
  <c r="B56" i="35017"/>
  <c r="B56" i="34987"/>
  <c r="B56" i="34996"/>
  <c r="B56" i="35016"/>
  <c r="B56" i="35015"/>
  <c r="B56" i="34958"/>
  <c r="B56" i="34968"/>
  <c r="B56" i="35005"/>
  <c r="B56" i="35002"/>
  <c r="B56" i="34961"/>
  <c r="B56" i="34985"/>
  <c r="B56" i="34984"/>
  <c r="B56" i="34977"/>
  <c r="B56" i="35010"/>
  <c r="B56" i="34980"/>
  <c r="B56" i="35018"/>
  <c r="B58" i="34999" l="1"/>
  <c r="R58" i="34999" s="1"/>
  <c r="C57" i="35036"/>
  <c r="L57" i="35035"/>
  <c r="B57" i="34993"/>
  <c r="B57" i="34996"/>
  <c r="B57" i="35035"/>
  <c r="B57" i="35392"/>
  <c r="B57" i="34987"/>
  <c r="B57" i="34986"/>
  <c r="B57" i="34985"/>
  <c r="B57" i="34984"/>
  <c r="B57" i="35018"/>
  <c r="B57" i="34968"/>
  <c r="B57" i="34998"/>
  <c r="B57" i="34977"/>
  <c r="B57" i="35010"/>
  <c r="B57" i="35017"/>
  <c r="B57" i="35016"/>
  <c r="B57" i="34980"/>
  <c r="B57" i="34958"/>
  <c r="B57" i="35005"/>
  <c r="B57" i="35015"/>
  <c r="B57" i="34961"/>
  <c r="B57" i="35002"/>
  <c r="B59" i="34999" l="1"/>
  <c r="R59" i="34999" s="1"/>
  <c r="C58" i="35036"/>
  <c r="L58" i="35035"/>
  <c r="B58" i="34987"/>
  <c r="B58" i="34993"/>
  <c r="B58" i="34996"/>
  <c r="B58" i="34998"/>
  <c r="B58" i="34984"/>
  <c r="B58" i="34986"/>
  <c r="B58" i="34985"/>
  <c r="B58" i="34980"/>
  <c r="B58" i="35015"/>
  <c r="B58" i="34977"/>
  <c r="B58" i="34961"/>
  <c r="B58" i="34958"/>
  <c r="B58" i="35010"/>
  <c r="B58" i="35005"/>
  <c r="B58" i="35002"/>
  <c r="B58" i="35018"/>
  <c r="B58" i="35017"/>
  <c r="B58" i="35016"/>
  <c r="B58" i="35035"/>
  <c r="B58" i="35392"/>
  <c r="B58" i="34968"/>
  <c r="B60" i="34999" l="1"/>
  <c r="R60" i="34999" s="1"/>
  <c r="C59" i="35036"/>
  <c r="B59" i="34987"/>
  <c r="B59" i="34993"/>
  <c r="B59" i="35392"/>
  <c r="L59" i="35035"/>
  <c r="B59" i="34998"/>
  <c r="B59" i="35035"/>
  <c r="B59" i="34985"/>
  <c r="B59" i="34984"/>
  <c r="B59" i="34980"/>
  <c r="B59" i="34996"/>
  <c r="B59" i="35016"/>
  <c r="B59" i="34986"/>
  <c r="B59" i="35018"/>
  <c r="B59" i="35017"/>
  <c r="B59" i="34958"/>
  <c r="B59" i="34977"/>
  <c r="B59" i="35002"/>
  <c r="B59" i="35015"/>
  <c r="B59" i="34968"/>
  <c r="B59" i="34961"/>
  <c r="B59" i="35010"/>
  <c r="B59" i="35005"/>
  <c r="B61" i="34999" l="1"/>
  <c r="R61" i="34999" s="1"/>
  <c r="C60" i="35036"/>
  <c r="B60" i="34993"/>
  <c r="B60" i="35035"/>
  <c r="B60" i="34987"/>
  <c r="B60" i="35392"/>
  <c r="B60" i="34986"/>
  <c r="L60" i="35035"/>
  <c r="B60" i="34996"/>
  <c r="B60" i="35017"/>
  <c r="B60" i="34998"/>
  <c r="B60" i="35018"/>
  <c r="B60" i="34958"/>
  <c r="B60" i="34985"/>
  <c r="B60" i="34980"/>
  <c r="B60" i="35016"/>
  <c r="B60" i="35015"/>
  <c r="B60" i="34968"/>
  <c r="B60" i="35005"/>
  <c r="B60" i="35002"/>
  <c r="B60" i="34984"/>
  <c r="B60" i="35010"/>
  <c r="B60" i="34961"/>
  <c r="B60" i="34977"/>
  <c r="B62" i="34999" l="1"/>
  <c r="R62" i="34999" s="1"/>
  <c r="C61" i="35036"/>
  <c r="L61" i="35035"/>
  <c r="B61" i="34987"/>
  <c r="B61" i="35035"/>
  <c r="B61" i="35392"/>
  <c r="B61" i="34996"/>
  <c r="B61" i="34993"/>
  <c r="B61" i="34998"/>
  <c r="B61" i="35018"/>
  <c r="B61" i="34985"/>
  <c r="B61" i="34980"/>
  <c r="B61" i="35017"/>
  <c r="B61" i="35016"/>
  <c r="B61" i="35015"/>
  <c r="B61" i="34968"/>
  <c r="B61" i="34984"/>
  <c r="B61" i="34977"/>
  <c r="B61" i="35010"/>
  <c r="B61" i="34961"/>
  <c r="B61" i="34958"/>
  <c r="B61" i="34986"/>
  <c r="B61" i="35005"/>
  <c r="B61" i="35002"/>
  <c r="C62" i="35036" l="1"/>
  <c r="L62" i="35035"/>
  <c r="B62" i="34987"/>
  <c r="B62" i="34996"/>
  <c r="B62" i="34998"/>
  <c r="B62" i="34984"/>
  <c r="B62" i="34993"/>
  <c r="B62" i="34986"/>
  <c r="B62" i="34985"/>
  <c r="B62" i="34980"/>
  <c r="B62" i="35015"/>
  <c r="B62" i="34977"/>
  <c r="B62" i="35392"/>
  <c r="B62" i="34961"/>
  <c r="B62" i="35018"/>
  <c r="B62" i="35017"/>
  <c r="B62" i="35016"/>
  <c r="B62" i="34968"/>
  <c r="B62" i="35010"/>
  <c r="B62" i="35005"/>
  <c r="B62" i="35035"/>
  <c r="B62" i="34958"/>
  <c r="B62" i="35002"/>
  <c r="B63" i="34999"/>
  <c r="R63" i="34999" s="1"/>
  <c r="B64" i="34999" l="1"/>
  <c r="R64" i="34999" s="1"/>
  <c r="C63" i="35036"/>
  <c r="B63" i="34987"/>
  <c r="B63" i="34993"/>
  <c r="B63" i="35392"/>
  <c r="B63" i="34998"/>
  <c r="B63" i="34985"/>
  <c r="B63" i="34986"/>
  <c r="B63" i="34980"/>
  <c r="B63" i="35035"/>
  <c r="B63" i="34984"/>
  <c r="B63" i="35016"/>
  <c r="B63" i="34958"/>
  <c r="B63" i="34996"/>
  <c r="B63" i="35018"/>
  <c r="B63" i="35017"/>
  <c r="B63" i="34968"/>
  <c r="B63" i="35010"/>
  <c r="B63" i="35005"/>
  <c r="B63" i="35002"/>
  <c r="B63" i="34961"/>
  <c r="B63" i="35015"/>
  <c r="B63" i="34977"/>
  <c r="L63" i="35035"/>
  <c r="B65" i="34999" l="1"/>
  <c r="R65" i="34999" s="1"/>
  <c r="C64" i="35036"/>
  <c r="B64" i="34993"/>
  <c r="B64" i="35035"/>
  <c r="L64" i="35035"/>
  <c r="B64" i="34986"/>
  <c r="B64" i="34987"/>
  <c r="B64" i="34998"/>
  <c r="B64" i="34985"/>
  <c r="B64" i="34984"/>
  <c r="B64" i="35392"/>
  <c r="B64" i="35017"/>
  <c r="B64" i="34958"/>
  <c r="B64" i="35018"/>
  <c r="B64" i="34968"/>
  <c r="B64" i="35005"/>
  <c r="B64" i="35002"/>
  <c r="B64" i="34980"/>
  <c r="B64" i="35016"/>
  <c r="B64" i="35015"/>
  <c r="B64" i="35010"/>
  <c r="B64" i="34977"/>
  <c r="B64" i="34961"/>
  <c r="B64" i="34996"/>
  <c r="B66" i="34999" l="1"/>
  <c r="R66" i="34999" s="1"/>
  <c r="C65" i="35036"/>
  <c r="L65" i="35035"/>
  <c r="B65" i="34993"/>
  <c r="B65" i="35035"/>
  <c r="B65" i="35392"/>
  <c r="B65" i="34996"/>
  <c r="B65" i="35018"/>
  <c r="B65" i="34984"/>
  <c r="B65" i="34968"/>
  <c r="B65" i="35017"/>
  <c r="B65" i="35016"/>
  <c r="B65" i="35015"/>
  <c r="B65" i="34977"/>
  <c r="B65" i="35010"/>
  <c r="B65" i="34985"/>
  <c r="B65" i="35005"/>
  <c r="B65" i="34998"/>
  <c r="B65" i="34986"/>
  <c r="B65" i="34958"/>
  <c r="B65" i="34961"/>
  <c r="B65" i="35002"/>
  <c r="B65" i="34987"/>
  <c r="B65" i="34980"/>
  <c r="B67" i="34999" l="1"/>
  <c r="R67" i="34999" s="1"/>
  <c r="C66" i="35036"/>
  <c r="L66" i="35035"/>
  <c r="B66" i="34987"/>
  <c r="B66" i="34993"/>
  <c r="B66" i="35035"/>
  <c r="B66" i="35392"/>
  <c r="B66" i="34996"/>
  <c r="B66" i="34998"/>
  <c r="B66" i="34984"/>
  <c r="B66" i="34980"/>
  <c r="B66" i="35015"/>
  <c r="B66" i="35018"/>
  <c r="B66" i="35017"/>
  <c r="B66" i="35016"/>
  <c r="B66" i="34977"/>
  <c r="B66" i="34986"/>
  <c r="B66" i="34961"/>
  <c r="B66" i="34958"/>
  <c r="B66" i="35005"/>
  <c r="B66" i="35002"/>
  <c r="B66" i="34968"/>
  <c r="B66" i="35010"/>
  <c r="B66" i="34985"/>
  <c r="B68" i="34999" l="1"/>
  <c r="R68" i="34999" s="1"/>
  <c r="C67" i="35036"/>
  <c r="B67" i="34987"/>
  <c r="B67" i="34993"/>
  <c r="B67" i="35392"/>
  <c r="L67" i="35035"/>
  <c r="B67" i="34998"/>
  <c r="B67" i="34985"/>
  <c r="B67" i="35035"/>
  <c r="B67" i="34980"/>
  <c r="B67" i="34996"/>
  <c r="B67" i="34986"/>
  <c r="B67" i="35016"/>
  <c r="B67" i="35015"/>
  <c r="B67" i="34958"/>
  <c r="B67" i="34977"/>
  <c r="B67" i="34961"/>
  <c r="B67" i="35018"/>
  <c r="B67" i="35010"/>
  <c r="B67" i="35005"/>
  <c r="B67" i="34968"/>
  <c r="B67" i="34984"/>
  <c r="B67" i="35017"/>
  <c r="B67" i="35002"/>
  <c r="B69" i="34999" l="1"/>
  <c r="R69" i="34999" s="1"/>
  <c r="C68" i="35036"/>
  <c r="B68" i="34993"/>
  <c r="B68" i="35035"/>
  <c r="B68" i="34987"/>
  <c r="B68" i="34986"/>
  <c r="B68" i="35392"/>
  <c r="B68" i="34996"/>
  <c r="B68" i="34985"/>
  <c r="B68" i="34984"/>
  <c r="B68" i="35017"/>
  <c r="B68" i="34958"/>
  <c r="L68" i="35035"/>
  <c r="B68" i="34980"/>
  <c r="B68" i="34968"/>
  <c r="B68" i="35005"/>
  <c r="B68" i="35002"/>
  <c r="B68" i="34998"/>
  <c r="B68" i="35010"/>
  <c r="B68" i="35015"/>
  <c r="B68" i="34977"/>
  <c r="B68" i="35018"/>
  <c r="B68" i="35016"/>
  <c r="B68" i="34961"/>
  <c r="B70" i="34999" l="1"/>
  <c r="R70" i="34999" s="1"/>
  <c r="C69" i="35036"/>
  <c r="L69" i="35035"/>
  <c r="B69" i="34987"/>
  <c r="B69" i="34996"/>
  <c r="B69" i="34986"/>
  <c r="B69" i="34985"/>
  <c r="B69" i="34984"/>
  <c r="B69" i="34998"/>
  <c r="B69" i="35018"/>
  <c r="B69" i="35392"/>
  <c r="B69" i="34980"/>
  <c r="B69" i="34968"/>
  <c r="B69" i="34993"/>
  <c r="B69" i="35035"/>
  <c r="B69" i="34977"/>
  <c r="B69" i="35010"/>
  <c r="B69" i="35005"/>
  <c r="B69" i="35002"/>
  <c r="B69" i="35017"/>
  <c r="B69" i="35016"/>
  <c r="B69" i="35015"/>
  <c r="B69" i="34961"/>
  <c r="B69" i="34958"/>
  <c r="B71" i="34999" l="1"/>
  <c r="R71" i="34999" s="1"/>
  <c r="C70" i="35036"/>
  <c r="L70" i="35035"/>
  <c r="B70" i="34987"/>
  <c r="B70" i="34996"/>
  <c r="B70" i="35035"/>
  <c r="B70" i="35392"/>
  <c r="B70" i="34998"/>
  <c r="B70" i="34984"/>
  <c r="B70" i="34980"/>
  <c r="B70" i="35015"/>
  <c r="B70" i="34993"/>
  <c r="B70" i="34986"/>
  <c r="B70" i="34977"/>
  <c r="B70" i="34985"/>
  <c r="B70" i="35018"/>
  <c r="B70" i="35017"/>
  <c r="B70" i="35016"/>
  <c r="B70" i="34961"/>
  <c r="B70" i="34968"/>
  <c r="B70" i="35002"/>
  <c r="B70" i="34958"/>
  <c r="B70" i="35010"/>
  <c r="B70" i="35005"/>
  <c r="B72" i="34999" l="1"/>
  <c r="R72" i="34999" s="1"/>
  <c r="C71" i="35036"/>
  <c r="B71" i="34987"/>
  <c r="B71" i="34993"/>
  <c r="B71" i="35392"/>
  <c r="B71" i="35035"/>
  <c r="B71" i="34998"/>
  <c r="B71" i="34985"/>
  <c r="B71" i="34980"/>
  <c r="L71" i="35035"/>
  <c r="B71" i="35016"/>
  <c r="B71" i="35018"/>
  <c r="B71" i="35017"/>
  <c r="B71" i="34996"/>
  <c r="B71" i="35015"/>
  <c r="B71" i="34958"/>
  <c r="B71" i="34986"/>
  <c r="B71" i="34968"/>
  <c r="B71" i="35010"/>
  <c r="B71" i="34961"/>
  <c r="B71" i="34984"/>
  <c r="B71" i="34977"/>
  <c r="B71" i="35005"/>
  <c r="B71" i="35002"/>
  <c r="B73" i="34999" l="1"/>
  <c r="R73" i="34999" s="1"/>
  <c r="C72" i="35036"/>
  <c r="B72" i="34993"/>
  <c r="B72" i="35035"/>
  <c r="B72" i="35392"/>
  <c r="L72" i="35035"/>
  <c r="B72" i="34986"/>
  <c r="B72" i="34998"/>
  <c r="B72" i="35017"/>
  <c r="B72" i="34996"/>
  <c r="B72" i="34985"/>
  <c r="B72" i="35016"/>
  <c r="B72" i="35015"/>
  <c r="B72" i="34958"/>
  <c r="B72" i="34984"/>
  <c r="B72" i="34968"/>
  <c r="B72" i="35005"/>
  <c r="B72" i="35002"/>
  <c r="B72" i="34961"/>
  <c r="B72" i="34987"/>
  <c r="B72" i="35018"/>
  <c r="B72" i="34977"/>
  <c r="B72" i="35010"/>
  <c r="B72" i="34980"/>
  <c r="B74" i="34999" l="1"/>
  <c r="R74" i="34999" s="1"/>
  <c r="C73" i="35036"/>
  <c r="L73" i="35035"/>
  <c r="B73" i="34993"/>
  <c r="B73" i="34996"/>
  <c r="B73" i="34980"/>
  <c r="B73" i="34987"/>
  <c r="B73" i="34986"/>
  <c r="B73" i="34985"/>
  <c r="B73" i="34984"/>
  <c r="B73" i="35018"/>
  <c r="B73" i="35035"/>
  <c r="B73" i="34968"/>
  <c r="B73" i="34998"/>
  <c r="B73" i="34977"/>
  <c r="B73" i="35010"/>
  <c r="B73" i="34961"/>
  <c r="B73" i="35017"/>
  <c r="B73" i="35016"/>
  <c r="B73" i="35015"/>
  <c r="B73" i="34958"/>
  <c r="B73" i="35005"/>
  <c r="B73" i="35392"/>
  <c r="B73" i="35002"/>
  <c r="B75" i="34999" l="1"/>
  <c r="R75" i="34999" s="1"/>
  <c r="C74" i="35036"/>
  <c r="L74" i="35035"/>
  <c r="B74" i="34987"/>
  <c r="B74" i="34993"/>
  <c r="B74" i="34996"/>
  <c r="B74" i="34998"/>
  <c r="B74" i="34984"/>
  <c r="B74" i="34986"/>
  <c r="B74" i="34985"/>
  <c r="B74" i="35035"/>
  <c r="B74" i="35392"/>
  <c r="B74" i="35015"/>
  <c r="B74" i="34977"/>
  <c r="B74" i="34961"/>
  <c r="B74" i="35018"/>
  <c r="B74" i="35017"/>
  <c r="B74" i="35016"/>
  <c r="B74" i="34958"/>
  <c r="B74" i="35010"/>
  <c r="B74" i="35005"/>
  <c r="B74" i="35002"/>
  <c r="B74" i="34980"/>
  <c r="B74" i="34968"/>
  <c r="B76" i="34999" l="1"/>
  <c r="R76" i="34999" s="1"/>
  <c r="C75" i="35036"/>
  <c r="B75" i="34987"/>
  <c r="B75" i="34993"/>
  <c r="B75" i="35392"/>
  <c r="L75" i="35035"/>
  <c r="B75" i="34998"/>
  <c r="B75" i="35035"/>
  <c r="B75" i="34985"/>
  <c r="B75" i="34984"/>
  <c r="B75" i="34996"/>
  <c r="B75" i="34980"/>
  <c r="B75" i="35016"/>
  <c r="B75" i="35018"/>
  <c r="B75" i="35017"/>
  <c r="B75" i="34958"/>
  <c r="B75" i="35015"/>
  <c r="B75" i="34977"/>
  <c r="B75" i="35010"/>
  <c r="B75" i="35005"/>
  <c r="B75" i="35002"/>
  <c r="B75" i="34968"/>
  <c r="B75" i="34961"/>
  <c r="B75" i="34986"/>
  <c r="B77" i="34999" l="1"/>
  <c r="R77" i="34999" s="1"/>
  <c r="C76" i="35036"/>
  <c r="B76" i="34993"/>
  <c r="B76" i="35035"/>
  <c r="B76" i="34987"/>
  <c r="B76" i="35392"/>
  <c r="B76" i="34986"/>
  <c r="L76" i="35035"/>
  <c r="B76" i="34996"/>
  <c r="B76" i="34980"/>
  <c r="B76" i="35017"/>
  <c r="B76" i="34998"/>
  <c r="B76" i="34984"/>
  <c r="B76" i="35018"/>
  <c r="B76" i="34958"/>
  <c r="B76" i="35016"/>
  <c r="B76" i="35015"/>
  <c r="B76" i="34968"/>
  <c r="B76" i="35005"/>
  <c r="B76" i="35002"/>
  <c r="B76" i="34961"/>
  <c r="B76" i="34985"/>
  <c r="B76" i="35010"/>
  <c r="B76" i="34977"/>
  <c r="B78" i="34999" l="1"/>
  <c r="R78" i="34999" s="1"/>
  <c r="C77" i="35036"/>
  <c r="L77" i="35035"/>
  <c r="B77" i="34987"/>
  <c r="B77" i="35035"/>
  <c r="B77" i="35392"/>
  <c r="B77" i="34996"/>
  <c r="B77" i="34980"/>
  <c r="B77" i="34993"/>
  <c r="B77" i="34998"/>
  <c r="B77" i="35018"/>
  <c r="B77" i="35017"/>
  <c r="B77" i="35016"/>
  <c r="B77" i="35015"/>
  <c r="B77" i="34968"/>
  <c r="B77" i="34986"/>
  <c r="B77" i="34977"/>
  <c r="B77" i="35010"/>
  <c r="B77" i="34961"/>
  <c r="B77" i="35005"/>
  <c r="B77" i="34958"/>
  <c r="B77" i="34985"/>
  <c r="B77" i="34984"/>
  <c r="B77" i="35002"/>
  <c r="B79" i="34999" l="1"/>
  <c r="R79" i="34999" s="1"/>
  <c r="C78" i="35036"/>
  <c r="L78" i="35035"/>
  <c r="B78" i="34987"/>
  <c r="B78" i="34996"/>
  <c r="B78" i="34998"/>
  <c r="B78" i="34984"/>
  <c r="B78" i="34993"/>
  <c r="B78" i="35035"/>
  <c r="B78" i="35392"/>
  <c r="B78" i="34986"/>
  <c r="B78" i="34985"/>
  <c r="B78" i="35015"/>
  <c r="B78" i="34977"/>
  <c r="B78" i="34980"/>
  <c r="B78" i="34961"/>
  <c r="B78" i="35002"/>
  <c r="B78" i="35017"/>
  <c r="B78" i="34968"/>
  <c r="B78" i="35010"/>
  <c r="B78" i="35005"/>
  <c r="B78" i="34958"/>
  <c r="B78" i="35018"/>
  <c r="B78" i="35016"/>
  <c r="B80" i="34999" l="1"/>
  <c r="R80" i="34999" s="1"/>
  <c r="C79" i="35036"/>
  <c r="B79" i="34987"/>
  <c r="B79" i="34993"/>
  <c r="B79" i="35392"/>
  <c r="B79" i="34998"/>
  <c r="B79" i="34985"/>
  <c r="B79" i="34986"/>
  <c r="B79" i="34984"/>
  <c r="B79" i="35016"/>
  <c r="L79" i="35035"/>
  <c r="B79" i="34980"/>
  <c r="B79" i="34958"/>
  <c r="B79" i="34968"/>
  <c r="B79" i="35010"/>
  <c r="B79" i="35005"/>
  <c r="B79" i="35035"/>
  <c r="B79" i="35002"/>
  <c r="B79" i="34996"/>
  <c r="B79" i="35018"/>
  <c r="B79" i="35017"/>
  <c r="B79" i="34977"/>
  <c r="B79" i="35015"/>
  <c r="B79" i="34961"/>
  <c r="B81" i="34999" l="1"/>
  <c r="R81" i="34999" s="1"/>
  <c r="C80" i="35036"/>
  <c r="B80" i="34993"/>
  <c r="B80" i="35035"/>
  <c r="L80" i="35035"/>
  <c r="B80" i="34986"/>
  <c r="B80" i="34987"/>
  <c r="B80" i="34998"/>
  <c r="B80" i="34985"/>
  <c r="B80" i="34984"/>
  <c r="B80" i="34980"/>
  <c r="B80" i="35017"/>
  <c r="B80" i="34958"/>
  <c r="B80" i="35018"/>
  <c r="B80" i="34968"/>
  <c r="B80" i="35005"/>
  <c r="B80" i="35392"/>
  <c r="B80" i="34996"/>
  <c r="B80" i="34977"/>
  <c r="B80" i="35016"/>
  <c r="B80" i="35015"/>
  <c r="B80" i="34961"/>
  <c r="B80" i="35002"/>
  <c r="B80" i="35010"/>
  <c r="B82" i="34999" l="1"/>
  <c r="R82" i="34999" s="1"/>
  <c r="C81" i="35036"/>
  <c r="L81" i="35035"/>
  <c r="B81" i="34993"/>
  <c r="B81" i="35035"/>
  <c r="B81" i="35392"/>
  <c r="B81" i="34996"/>
  <c r="B81" i="34980"/>
  <c r="B81" i="35018"/>
  <c r="B81" i="34986"/>
  <c r="B81" i="34968"/>
  <c r="B81" i="34987"/>
  <c r="B81" i="34985"/>
  <c r="B81" i="35017"/>
  <c r="B81" i="35016"/>
  <c r="B81" i="35015"/>
  <c r="B81" i="34977"/>
  <c r="B81" i="35010"/>
  <c r="B81" i="34984"/>
  <c r="B81" i="34958"/>
  <c r="B81" i="34961"/>
  <c r="B81" i="34998"/>
  <c r="B81" i="35005"/>
  <c r="B81" i="35002"/>
  <c r="B83" i="34999" l="1"/>
  <c r="R83" i="34999" s="1"/>
  <c r="C82" i="35036"/>
  <c r="L82" i="35035"/>
  <c r="B82" i="34987"/>
  <c r="B82" i="34993"/>
  <c r="B82" i="35035"/>
  <c r="B82" i="35392"/>
  <c r="B82" i="34996"/>
  <c r="B82" i="34998"/>
  <c r="B82" i="34984"/>
  <c r="B82" i="34980"/>
  <c r="B82" i="35015"/>
  <c r="B82" i="34985"/>
  <c r="B82" i="35018"/>
  <c r="B82" i="35017"/>
  <c r="B82" i="35016"/>
  <c r="B82" i="34977"/>
  <c r="B82" i="34961"/>
  <c r="B82" i="34958"/>
  <c r="B82" i="35002"/>
  <c r="B82" i="35010"/>
  <c r="B82" i="34968"/>
  <c r="B82" i="34986"/>
  <c r="B82" i="35005"/>
  <c r="AE10" i="34996" l="1" a="1"/>
  <c r="AE10" i="34996" s="1"/>
  <c r="F17" i="34908" a="1"/>
  <c r="F17" i="34908" s="1"/>
  <c r="B84" i="34999"/>
  <c r="C83" i="35036"/>
  <c r="B83" i="34987"/>
  <c r="B83" i="34993"/>
  <c r="B83" i="35392"/>
  <c r="L83" i="35035"/>
  <c r="B83" i="34998"/>
  <c r="B83" i="34985"/>
  <c r="B83" i="34996"/>
  <c r="B83" i="34986"/>
  <c r="B83" i="35016"/>
  <c r="B83" i="35015"/>
  <c r="B83" i="34984"/>
  <c r="B83" i="34958"/>
  <c r="B83" i="35035"/>
  <c r="B83" i="34980"/>
  <c r="B83" i="34977"/>
  <c r="B83" i="34961"/>
  <c r="B83" i="35018"/>
  <c r="B83" i="35017"/>
  <c r="B83" i="35010"/>
  <c r="B83" i="35005"/>
  <c r="B83" i="35002"/>
  <c r="B83" i="34968"/>
  <c r="R84" i="34999" l="1"/>
  <c r="C84" i="35036"/>
  <c r="B84" i="34993"/>
  <c r="B84" i="35035"/>
  <c r="B84" i="34987"/>
  <c r="B84" i="34986"/>
  <c r="B84" i="34996"/>
  <c r="B84" i="34985"/>
  <c r="B84" i="34984"/>
  <c r="B84" i="35017"/>
  <c r="B84" i="34958"/>
  <c r="B84" i="35392"/>
  <c r="B84" i="34968"/>
  <c r="B84" i="35005"/>
  <c r="B84" i="35018"/>
  <c r="B84" i="35010"/>
  <c r="B84" i="35002"/>
  <c r="B84" i="34980"/>
  <c r="B84" i="34961"/>
  <c r="B84" i="35016"/>
  <c r="B84" i="35015"/>
  <c r="L84" i="35035"/>
  <c r="B84" i="34998"/>
  <c r="B84" i="34977"/>
  <c r="F18" i="34908"/>
  <c r="A60" i="35063"/>
  <c r="A54" i="35063"/>
  <c r="A12" i="35063"/>
  <c r="A74" i="35063"/>
  <c r="A37" i="35063"/>
  <c r="A36" i="35063"/>
  <c r="A5" i="35063"/>
  <c r="A14" i="35063"/>
  <c r="A46" i="35063"/>
  <c r="A66" i="35063"/>
  <c r="A26" i="35063"/>
  <c r="A15" i="35063"/>
  <c r="A34" i="35063"/>
  <c r="A9" i="35063"/>
  <c r="A33" i="35063"/>
  <c r="A72" i="35063"/>
  <c r="A44" i="35063"/>
  <c r="A76" i="35063"/>
  <c r="A75" i="35063"/>
  <c r="A41" i="35063"/>
  <c r="A10" i="35063"/>
  <c r="A20" i="35063"/>
  <c r="A40" i="35063"/>
  <c r="A6" i="35063"/>
  <c r="A4" i="35063"/>
  <c r="A23" i="35063"/>
  <c r="A61" i="35063"/>
  <c r="A50" i="35063"/>
  <c r="A8" i="35063"/>
  <c r="A56" i="35063"/>
  <c r="A53" i="35063"/>
  <c r="A64" i="35063"/>
  <c r="A63" i="35063"/>
  <c r="A52" i="35063"/>
  <c r="A73" i="35063"/>
  <c r="A39" i="35063"/>
  <c r="A70" i="35063"/>
  <c r="A69" i="35063"/>
  <c r="A11" i="35063"/>
  <c r="A16" i="35063"/>
  <c r="A35" i="35063"/>
  <c r="A7" i="35063"/>
  <c r="A49" i="35063"/>
  <c r="A22" i="35063"/>
  <c r="A62" i="35063"/>
  <c r="A47" i="35063"/>
  <c r="A65" i="35063"/>
  <c r="A30" i="35063"/>
  <c r="A51" i="35063"/>
  <c r="A78" i="35063"/>
  <c r="A27" i="35063"/>
  <c r="A57" i="35063"/>
  <c r="A48" i="35063"/>
  <c r="A29" i="35063"/>
  <c r="A38" i="35063"/>
  <c r="A42" i="35063"/>
  <c r="A13" i="35063"/>
  <c r="A24" i="35063"/>
  <c r="A58" i="35063"/>
  <c r="A31" i="35063"/>
  <c r="A21" i="35063"/>
  <c r="A17" i="35063"/>
  <c r="A32" i="35063"/>
  <c r="A55" i="35063"/>
  <c r="A45" i="35063"/>
  <c r="A68" i="35063"/>
  <c r="A19" i="35063"/>
  <c r="A43" i="35063"/>
  <c r="A18" i="35063"/>
  <c r="A25" i="35063"/>
  <c r="A67" i="35063"/>
  <c r="A77" i="35063"/>
  <c r="A28" i="35063"/>
  <c r="A71" i="35063"/>
  <c r="A59" i="35063"/>
  <c r="AA6" i="35404" l="1" a="1"/>
  <c r="AA6" i="35404" s="1"/>
  <c r="AB6" i="35404" a="1"/>
  <c r="Y6" i="35404" a="1"/>
  <c r="Y7" i="35404" s="1"/>
  <c r="Z6" i="35404" a="1"/>
  <c r="W6" i="35404" a="1"/>
  <c r="W7" i="35404" s="1"/>
  <c r="X6" i="35404" a="1"/>
  <c r="U6" i="35404" a="1"/>
  <c r="U6" i="35404" s="1"/>
  <c r="V6" i="35404" a="1"/>
  <c r="S6" i="35404" a="1"/>
  <c r="S66" i="35404" s="1"/>
  <c r="T6" i="35404" a="1"/>
  <c r="Q6" i="35404" a="1"/>
  <c r="Q6" i="35404" s="1"/>
  <c r="R6" i="35404" a="1"/>
  <c r="O6" i="35404" a="1"/>
  <c r="O6" i="35404" s="1"/>
  <c r="P6" i="35404" a="1"/>
  <c r="M6" i="35404" a="1"/>
  <c r="M6" i="35404" s="1"/>
  <c r="N6" i="35404" a="1"/>
  <c r="K6" i="35404" a="1"/>
  <c r="K6" i="35404" s="1"/>
  <c r="L6" i="35404" a="1"/>
  <c r="I6" i="35404" a="1"/>
  <c r="I7" i="35404" s="1"/>
  <c r="J6" i="35404" a="1"/>
  <c r="G6" i="35404" a="1"/>
  <c r="G7" i="35404" s="1"/>
  <c r="H6" i="35404" a="1"/>
  <c r="E6" i="35404" a="1"/>
  <c r="E7" i="35404" s="1"/>
  <c r="F6" i="35404" a="1"/>
  <c r="C6" i="35404" a="1"/>
  <c r="C9" i="35404" s="1"/>
  <c r="D6" i="35404" a="1"/>
  <c r="AA6" i="35401" a="1"/>
  <c r="AA6" i="35401" s="1"/>
  <c r="AB6" i="35401" a="1"/>
  <c r="Y6" i="35401" a="1"/>
  <c r="Y6" i="35401" s="1"/>
  <c r="Z6" i="35401" a="1"/>
  <c r="W6" i="35401" a="1"/>
  <c r="W6" i="35401" s="1"/>
  <c r="X6" i="35401" a="1"/>
  <c r="U6" i="35401" a="1"/>
  <c r="U6" i="35401" s="1"/>
  <c r="V6" i="35401" a="1"/>
  <c r="S6" i="35401" a="1"/>
  <c r="S9" i="35401" s="1"/>
  <c r="T6" i="35401" a="1"/>
  <c r="Q6" i="35401" a="1"/>
  <c r="Q6" i="35401" s="1"/>
  <c r="R6" i="35401" a="1"/>
  <c r="O6" i="35401" a="1"/>
  <c r="O45" i="35401" s="1"/>
  <c r="P6" i="35401" a="1"/>
  <c r="M6" i="35401" a="1"/>
  <c r="M6" i="35401" s="1"/>
  <c r="N6" i="35401" a="1"/>
  <c r="K6" i="35401" a="1"/>
  <c r="K6" i="35401" s="1"/>
  <c r="L6" i="35401" a="1"/>
  <c r="I6" i="35401" a="1"/>
  <c r="I6" i="35401" s="1"/>
  <c r="J6" i="35401" a="1"/>
  <c r="G6" i="35401" a="1"/>
  <c r="G6" i="35401" s="1"/>
  <c r="H6" i="35401" a="1"/>
  <c r="E6" i="35401" a="1"/>
  <c r="E6" i="35401" s="1"/>
  <c r="F6" i="35401" a="1"/>
  <c r="C6" i="35401" a="1"/>
  <c r="C8" i="35401" s="1"/>
  <c r="D6" i="35401" a="1"/>
  <c r="L13" i="35391"/>
  <c r="L14" i="35391"/>
  <c r="C61" i="35391" a="1"/>
  <c r="H41" i="35391" a="1"/>
  <c r="H41" i="35391" s="1"/>
  <c r="L42" i="34908" a="1"/>
  <c r="L42" i="34908" s="1"/>
  <c r="S9" i="35391"/>
  <c r="S8" i="35391"/>
  <c r="D41" i="35391" a="1"/>
  <c r="D41" i="35391" s="1"/>
  <c r="S10" i="35391" s="1"/>
  <c r="L38" i="34908" a="1"/>
  <c r="L38" i="34908" s="1"/>
  <c r="AA76" i="35404" l="1"/>
  <c r="AA75" i="35404"/>
  <c r="AA47" i="35404"/>
  <c r="AA35" i="35404"/>
  <c r="AA63" i="35404"/>
  <c r="AA57" i="35404"/>
  <c r="AA51" i="35404"/>
  <c r="AA45" i="35404"/>
  <c r="AA73" i="35404"/>
  <c r="AA33" i="35404"/>
  <c r="AA61" i="35404"/>
  <c r="AA55" i="35404"/>
  <c r="AA53" i="35404"/>
  <c r="AA37" i="35404"/>
  <c r="AA43" i="35404"/>
  <c r="AA29" i="35404"/>
  <c r="AA59" i="35404"/>
  <c r="AA31" i="35404"/>
  <c r="AA40" i="35404"/>
  <c r="AA39" i="35404"/>
  <c r="AA25" i="35404"/>
  <c r="AA23" i="35404"/>
  <c r="AA21" i="35404"/>
  <c r="AA19" i="35404"/>
  <c r="AA49" i="35404"/>
  <c r="AA27" i="35404"/>
  <c r="AA13" i="35404"/>
  <c r="AA11" i="35404"/>
  <c r="AA9" i="35404"/>
  <c r="AA7" i="35404"/>
  <c r="AA77" i="35404"/>
  <c r="AA15" i="35404"/>
  <c r="AA72" i="35404"/>
  <c r="AA70" i="35404"/>
  <c r="AA68" i="35404"/>
  <c r="AA78" i="35404"/>
  <c r="AA41" i="35404"/>
  <c r="AA74" i="35404"/>
  <c r="AA60" i="35404"/>
  <c r="AA58" i="35404"/>
  <c r="AA56" i="35404"/>
  <c r="AA66" i="35404"/>
  <c r="Y63" i="35404"/>
  <c r="AA17" i="35404"/>
  <c r="AA62" i="35404"/>
  <c r="AA48" i="35404"/>
  <c r="AA46" i="35404"/>
  <c r="AA44" i="35404"/>
  <c r="AA54" i="35404"/>
  <c r="Y78" i="35404"/>
  <c r="AA64" i="35404"/>
  <c r="AA50" i="35404"/>
  <c r="AA36" i="35404"/>
  <c r="AA34" i="35404"/>
  <c r="AA32" i="35404"/>
  <c r="AA42" i="35404"/>
  <c r="AA52" i="35404"/>
  <c r="AA38" i="35404"/>
  <c r="AA24" i="35404"/>
  <c r="AA22" i="35404"/>
  <c r="AA20" i="35404"/>
  <c r="AA30" i="35404"/>
  <c r="AA28" i="35404"/>
  <c r="AA26" i="35404"/>
  <c r="AA12" i="35404"/>
  <c r="AA10" i="35404"/>
  <c r="AA8" i="35404"/>
  <c r="AA18" i="35404"/>
  <c r="AA65" i="35404"/>
  <c r="AA16" i="35404"/>
  <c r="AA14" i="35404"/>
  <c r="AA71" i="35404"/>
  <c r="AA69" i="35404"/>
  <c r="AA67" i="35404"/>
  <c r="AB6" i="35404"/>
  <c r="AB18" i="35404"/>
  <c r="AB30" i="35404"/>
  <c r="AB42" i="35404"/>
  <c r="AB54" i="35404"/>
  <c r="AB66" i="35404"/>
  <c r="AB78" i="35404"/>
  <c r="AB7" i="35404"/>
  <c r="AB19" i="35404"/>
  <c r="AB31" i="35404"/>
  <c r="AB43" i="35404"/>
  <c r="AB55" i="35404"/>
  <c r="AB67" i="35404"/>
  <c r="AB8" i="35404"/>
  <c r="AB20" i="35404"/>
  <c r="AB32" i="35404"/>
  <c r="AB44" i="35404"/>
  <c r="AB56" i="35404"/>
  <c r="AB68" i="35404"/>
  <c r="AB21" i="35404"/>
  <c r="AB33" i="35404"/>
  <c r="AB45" i="35404"/>
  <c r="AB57" i="35404"/>
  <c r="AB69" i="35404"/>
  <c r="AB10" i="35404"/>
  <c r="AB22" i="35404"/>
  <c r="AB34" i="35404"/>
  <c r="AB46" i="35404"/>
  <c r="AB58" i="35404"/>
  <c r="AB70" i="35404"/>
  <c r="AB11" i="35404"/>
  <c r="AB23" i="35404"/>
  <c r="AB35" i="35404"/>
  <c r="AB47" i="35404"/>
  <c r="AB12" i="35404"/>
  <c r="AB36" i="35404"/>
  <c r="AB60" i="35404"/>
  <c r="AB13" i="35404"/>
  <c r="AB49" i="35404"/>
  <c r="AB26" i="35404"/>
  <c r="AB62" i="35404"/>
  <c r="AB15" i="35404"/>
  <c r="AB51" i="35404"/>
  <c r="AB16" i="35404"/>
  <c r="AB64" i="35404"/>
  <c r="AB41" i="35404"/>
  <c r="AB65" i="35404"/>
  <c r="AB9" i="35404"/>
  <c r="AB71" i="35404"/>
  <c r="AB24" i="35404"/>
  <c r="AB48" i="35404"/>
  <c r="AB72" i="35404"/>
  <c r="AB25" i="35404"/>
  <c r="AB73" i="35404"/>
  <c r="AB14" i="35404"/>
  <c r="AB50" i="35404"/>
  <c r="AB39" i="35404"/>
  <c r="AB63" i="35404"/>
  <c r="AB52" i="35404"/>
  <c r="AB17" i="35404"/>
  <c r="AB53" i="35404"/>
  <c r="AB77" i="35404"/>
  <c r="AB59" i="35404"/>
  <c r="AB37" i="35404"/>
  <c r="AB61" i="35404"/>
  <c r="AB38" i="35404"/>
  <c r="AB74" i="35404"/>
  <c r="AB27" i="35404"/>
  <c r="AB75" i="35404"/>
  <c r="AB40" i="35404"/>
  <c r="AB76" i="35404"/>
  <c r="AB29" i="35404"/>
  <c r="AB28" i="35404"/>
  <c r="Y37" i="35404"/>
  <c r="Y54" i="35404"/>
  <c r="Y30" i="35404"/>
  <c r="Y49" i="35404"/>
  <c r="Y13" i="35404"/>
  <c r="Y32" i="35404"/>
  <c r="Y20" i="35404"/>
  <c r="Y36" i="35404"/>
  <c r="Y71" i="35404"/>
  <c r="Y61" i="35404"/>
  <c r="Y42" i="35404"/>
  <c r="Y72" i="35404"/>
  <c r="Y6" i="35404"/>
  <c r="Y48" i="35404"/>
  <c r="Y8" i="35404"/>
  <c r="Y35" i="35404"/>
  <c r="Y18" i="35404"/>
  <c r="Y24" i="35404"/>
  <c r="Y77" i="35404"/>
  <c r="Y12" i="35404"/>
  <c r="Y52" i="35404"/>
  <c r="Y69" i="35404"/>
  <c r="Y65" i="35404"/>
  <c r="Y47" i="35404"/>
  <c r="Y53" i="35404"/>
  <c r="Y59" i="35404"/>
  <c r="Y40" i="35404"/>
  <c r="Y45" i="35404"/>
  <c r="Y41" i="35404"/>
  <c r="Y11" i="35404"/>
  <c r="Y29" i="35404"/>
  <c r="Y23" i="35404"/>
  <c r="Y75" i="35404"/>
  <c r="Y21" i="35404"/>
  <c r="Y17" i="35404"/>
  <c r="Y70" i="35404"/>
  <c r="Y76" i="35404"/>
  <c r="Y57" i="35404"/>
  <c r="Y27" i="35404"/>
  <c r="Y67" i="35404"/>
  <c r="W52" i="35404"/>
  <c r="Y64" i="35404"/>
  <c r="Y58" i="35404"/>
  <c r="Y16" i="35404"/>
  <c r="Y33" i="35404"/>
  <c r="Y74" i="35404"/>
  <c r="Y55" i="35404"/>
  <c r="W75" i="35404"/>
  <c r="Y28" i="35404"/>
  <c r="Y46" i="35404"/>
  <c r="Y51" i="35404"/>
  <c r="Y9" i="35404"/>
  <c r="Y26" i="35404"/>
  <c r="Y43" i="35404"/>
  <c r="Y39" i="35404"/>
  <c r="Y34" i="35404"/>
  <c r="Y15" i="35404"/>
  <c r="Y68" i="35404"/>
  <c r="Y73" i="35404"/>
  <c r="Y31" i="35404"/>
  <c r="Y62" i="35404"/>
  <c r="Y22" i="35404"/>
  <c r="Y50" i="35404"/>
  <c r="Y56" i="35404"/>
  <c r="Y25" i="35404"/>
  <c r="Y19" i="35404"/>
  <c r="Y66" i="35404"/>
  <c r="Y38" i="35404"/>
  <c r="Y10" i="35404"/>
  <c r="Y14" i="35404"/>
  <c r="Y44" i="35404"/>
  <c r="Y60" i="35404"/>
  <c r="Z6" i="35404"/>
  <c r="Z18" i="35404"/>
  <c r="Z30" i="35404"/>
  <c r="Z42" i="35404"/>
  <c r="Z54" i="35404"/>
  <c r="Z66" i="35404"/>
  <c r="Z78" i="35404"/>
  <c r="Z7" i="35404"/>
  <c r="Z19" i="35404"/>
  <c r="Z31" i="35404"/>
  <c r="Z43" i="35404"/>
  <c r="Z55" i="35404"/>
  <c r="Z67" i="35404"/>
  <c r="Z22" i="35404"/>
  <c r="Z46" i="35404"/>
  <c r="Z35" i="35404"/>
  <c r="Z59" i="35404"/>
  <c r="Z24" i="35404"/>
  <c r="Z60" i="35404"/>
  <c r="Z37" i="35404"/>
  <c r="Z61" i="35404"/>
  <c r="Z14" i="35404"/>
  <c r="Z50" i="35404"/>
  <c r="Z15" i="35404"/>
  <c r="Z51" i="35404"/>
  <c r="Z16" i="35404"/>
  <c r="Z52" i="35404"/>
  <c r="Z29" i="35404"/>
  <c r="Z65" i="35404"/>
  <c r="Z8" i="35404"/>
  <c r="Z20" i="35404"/>
  <c r="Z32" i="35404"/>
  <c r="Z44" i="35404"/>
  <c r="Z56" i="35404"/>
  <c r="Z68" i="35404"/>
  <c r="Z9" i="35404"/>
  <c r="Z21" i="35404"/>
  <c r="Z33" i="35404"/>
  <c r="Z45" i="35404"/>
  <c r="Z57" i="35404"/>
  <c r="Z69" i="35404"/>
  <c r="Z10" i="35404"/>
  <c r="Z34" i="35404"/>
  <c r="Z58" i="35404"/>
  <c r="Z70" i="35404"/>
  <c r="Z11" i="35404"/>
  <c r="Z23" i="35404"/>
  <c r="Z47" i="35404"/>
  <c r="Z71" i="35404"/>
  <c r="Z12" i="35404"/>
  <c r="Z36" i="35404"/>
  <c r="Z72" i="35404"/>
  <c r="Z13" i="35404"/>
  <c r="Z25" i="35404"/>
  <c r="Z49" i="35404"/>
  <c r="Z73" i="35404"/>
  <c r="Z26" i="35404"/>
  <c r="Z62" i="35404"/>
  <c r="Z27" i="35404"/>
  <c r="Z63" i="35404"/>
  <c r="Z28" i="35404"/>
  <c r="Z40" i="35404"/>
  <c r="Z76" i="35404"/>
  <c r="Z41" i="35404"/>
  <c r="Z77" i="35404"/>
  <c r="Z48" i="35404"/>
  <c r="Z38" i="35404"/>
  <c r="Z74" i="35404"/>
  <c r="Z39" i="35404"/>
  <c r="Z75" i="35404"/>
  <c r="Z64" i="35404"/>
  <c r="Z17" i="35404"/>
  <c r="Z53" i="35404"/>
  <c r="W11" i="35404"/>
  <c r="W25" i="35404"/>
  <c r="W48" i="35404"/>
  <c r="W41" i="35404"/>
  <c r="W76" i="35404"/>
  <c r="W33" i="35404"/>
  <c r="W21" i="35404"/>
  <c r="W68" i="35404"/>
  <c r="W56" i="35404"/>
  <c r="W23" i="35404"/>
  <c r="W15" i="35404"/>
  <c r="W54" i="35404"/>
  <c r="W24" i="35404"/>
  <c r="W28" i="35404"/>
  <c r="W9" i="35404"/>
  <c r="W44" i="35404"/>
  <c r="W38" i="35404"/>
  <c r="W18" i="35404"/>
  <c r="W70" i="35404"/>
  <c r="W39" i="35404"/>
  <c r="W78" i="35404"/>
  <c r="W32" i="35404"/>
  <c r="W73" i="35404"/>
  <c r="W65" i="35404"/>
  <c r="W58" i="35404"/>
  <c r="W50" i="35404"/>
  <c r="W42" i="35404"/>
  <c r="W20" i="35404"/>
  <c r="W37" i="35404"/>
  <c r="W29" i="35404"/>
  <c r="W46" i="35404"/>
  <c r="W49" i="35404"/>
  <c r="W6" i="35404"/>
  <c r="W8" i="35404"/>
  <c r="W60" i="35404"/>
  <c r="W64" i="35404"/>
  <c r="W34" i="35404"/>
  <c r="W13" i="35404"/>
  <c r="W53" i="35404"/>
  <c r="W67" i="35404"/>
  <c r="W12" i="35404"/>
  <c r="W16" i="35404"/>
  <c r="W22" i="35404"/>
  <c r="W72" i="35404"/>
  <c r="W17" i="35404"/>
  <c r="W55" i="35404"/>
  <c r="U16" i="35404"/>
  <c r="W71" i="35404"/>
  <c r="W51" i="35404"/>
  <c r="W10" i="35404"/>
  <c r="W36" i="35404"/>
  <c r="W40" i="35404"/>
  <c r="W43" i="35404"/>
  <c r="W59" i="35404"/>
  <c r="W74" i="35404"/>
  <c r="W66" i="35404"/>
  <c r="W69" i="35404"/>
  <c r="W63" i="35404"/>
  <c r="W31" i="35404"/>
  <c r="W47" i="35404"/>
  <c r="W26" i="35404"/>
  <c r="W30" i="35404"/>
  <c r="W57" i="35404"/>
  <c r="W27" i="35404"/>
  <c r="W19" i="35404"/>
  <c r="W14" i="35404"/>
  <c r="W35" i="35404"/>
  <c r="W61" i="35404"/>
  <c r="W77" i="35404"/>
  <c r="W45" i="35404"/>
  <c r="W62" i="35404"/>
  <c r="X8" i="35404"/>
  <c r="X20" i="35404"/>
  <c r="X32" i="35404"/>
  <c r="X44" i="35404"/>
  <c r="X56" i="35404"/>
  <c r="X68" i="35404"/>
  <c r="X22" i="35404"/>
  <c r="X46" i="35404"/>
  <c r="X58" i="35404"/>
  <c r="X23" i="35404"/>
  <c r="X47" i="35404"/>
  <c r="X71" i="35404"/>
  <c r="X24" i="35404"/>
  <c r="X49" i="35404"/>
  <c r="X73" i="35404"/>
  <c r="X26" i="35404"/>
  <c r="X50" i="35404"/>
  <c r="X15" i="35404"/>
  <c r="X51" i="35404"/>
  <c r="X16" i="35404"/>
  <c r="X52" i="35404"/>
  <c r="X17" i="35404"/>
  <c r="X53" i="35404"/>
  <c r="X6" i="35404"/>
  <c r="X42" i="35404"/>
  <c r="X78" i="35404"/>
  <c r="X31" i="35404"/>
  <c r="X9" i="35404"/>
  <c r="X21" i="35404"/>
  <c r="X33" i="35404"/>
  <c r="X45" i="35404"/>
  <c r="X57" i="35404"/>
  <c r="X69" i="35404"/>
  <c r="X10" i="35404"/>
  <c r="X34" i="35404"/>
  <c r="X70" i="35404"/>
  <c r="X35" i="35404"/>
  <c r="X59" i="35404"/>
  <c r="X12" i="35404"/>
  <c r="X36" i="35404"/>
  <c r="X60" i="35404"/>
  <c r="X13" i="35404"/>
  <c r="X37" i="35404"/>
  <c r="X38" i="35404"/>
  <c r="X74" i="35404"/>
  <c r="X27" i="35404"/>
  <c r="X63" i="35404"/>
  <c r="X28" i="35404"/>
  <c r="X76" i="35404"/>
  <c r="X41" i="35404"/>
  <c r="X77" i="35404"/>
  <c r="X18" i="35404"/>
  <c r="X66" i="35404"/>
  <c r="X7" i="35404"/>
  <c r="X55" i="35404"/>
  <c r="X11" i="35404"/>
  <c r="X48" i="35404"/>
  <c r="X72" i="35404"/>
  <c r="X25" i="35404"/>
  <c r="X61" i="35404"/>
  <c r="X14" i="35404"/>
  <c r="X62" i="35404"/>
  <c r="X39" i="35404"/>
  <c r="X75" i="35404"/>
  <c r="X40" i="35404"/>
  <c r="X64" i="35404"/>
  <c r="X29" i="35404"/>
  <c r="X65" i="35404"/>
  <c r="X30" i="35404"/>
  <c r="X54" i="35404"/>
  <c r="X19" i="35404"/>
  <c r="X67" i="35404"/>
  <c r="X43" i="35404"/>
  <c r="U73" i="35404"/>
  <c r="U77" i="35404"/>
  <c r="U41" i="35404"/>
  <c r="U37" i="35404"/>
  <c r="U60" i="35404"/>
  <c r="U69" i="35404"/>
  <c r="U57" i="35404"/>
  <c r="U55" i="35404"/>
  <c r="U43" i="35404"/>
  <c r="U64" i="35404"/>
  <c r="U38" i="35404"/>
  <c r="U13" i="35404"/>
  <c r="U49" i="35404"/>
  <c r="U17" i="35404"/>
  <c r="U36" i="35404"/>
  <c r="U45" i="35404"/>
  <c r="U31" i="35404"/>
  <c r="U14" i="35404"/>
  <c r="U25" i="35404"/>
  <c r="U52" i="35404"/>
  <c r="U12" i="35404"/>
  <c r="U33" i="35404"/>
  <c r="U19" i="35404"/>
  <c r="U65" i="35404"/>
  <c r="U72" i="35404"/>
  <c r="U40" i="35404"/>
  <c r="U59" i="35404"/>
  <c r="U21" i="35404"/>
  <c r="U7" i="35404"/>
  <c r="U29" i="35404"/>
  <c r="U48" i="35404"/>
  <c r="U75" i="35404"/>
  <c r="U35" i="35404"/>
  <c r="U9" i="35404"/>
  <c r="U78" i="35404"/>
  <c r="U76" i="35404"/>
  <c r="U24" i="35404"/>
  <c r="U51" i="35404"/>
  <c r="U11" i="35404"/>
  <c r="U68" i="35404"/>
  <c r="U66" i="35404"/>
  <c r="S55" i="35404"/>
  <c r="U28" i="35404"/>
  <c r="U71" i="35404"/>
  <c r="U39" i="35404"/>
  <c r="U58" i="35404"/>
  <c r="U56" i="35404"/>
  <c r="U54" i="35404"/>
  <c r="S7" i="35404"/>
  <c r="U63" i="35404"/>
  <c r="U47" i="35404"/>
  <c r="U15" i="35404"/>
  <c r="U46" i="35404"/>
  <c r="U44" i="35404"/>
  <c r="U42" i="35404"/>
  <c r="U27" i="35404"/>
  <c r="U23" i="35404"/>
  <c r="U50" i="35404"/>
  <c r="U34" i="35404"/>
  <c r="U32" i="35404"/>
  <c r="U30" i="35404"/>
  <c r="U74" i="35404"/>
  <c r="U70" i="35404"/>
  <c r="U26" i="35404"/>
  <c r="U22" i="35404"/>
  <c r="U8" i="35404"/>
  <c r="U18" i="35404"/>
  <c r="U53" i="35404"/>
  <c r="U62" i="35404"/>
  <c r="U20" i="35404"/>
  <c r="U61" i="35404"/>
  <c r="U10" i="35404"/>
  <c r="U67" i="35404"/>
  <c r="V6" i="35404"/>
  <c r="V18" i="35404"/>
  <c r="V30" i="35404"/>
  <c r="V42" i="35404"/>
  <c r="V54" i="35404"/>
  <c r="V66" i="35404"/>
  <c r="V78" i="35404"/>
  <c r="V7" i="35404"/>
  <c r="V19" i="35404"/>
  <c r="V31" i="35404"/>
  <c r="V43" i="35404"/>
  <c r="V55" i="35404"/>
  <c r="V67" i="35404"/>
  <c r="V20" i="35404"/>
  <c r="V32" i="35404"/>
  <c r="V44" i="35404"/>
  <c r="V56" i="35404"/>
  <c r="V9" i="35404"/>
  <c r="V21" i="35404"/>
  <c r="V33" i="35404"/>
  <c r="V45" i="35404"/>
  <c r="V57" i="35404"/>
  <c r="V10" i="35404"/>
  <c r="V22" i="35404"/>
  <c r="V46" i="35404"/>
  <c r="V11" i="35404"/>
  <c r="V47" i="35404"/>
  <c r="V71" i="35404"/>
  <c r="V24" i="35404"/>
  <c r="V48" i="35404"/>
  <c r="V25" i="35404"/>
  <c r="V61" i="35404"/>
  <c r="V26" i="35404"/>
  <c r="V62" i="35404"/>
  <c r="V39" i="35404"/>
  <c r="V75" i="35404"/>
  <c r="V52" i="35404"/>
  <c r="V8" i="35404"/>
  <c r="V68" i="35404"/>
  <c r="V69" i="35404"/>
  <c r="V34" i="35404"/>
  <c r="V58" i="35404"/>
  <c r="V23" i="35404"/>
  <c r="V35" i="35404"/>
  <c r="V59" i="35404"/>
  <c r="V12" i="35404"/>
  <c r="V36" i="35404"/>
  <c r="V60" i="35404"/>
  <c r="V49" i="35404"/>
  <c r="V14" i="35404"/>
  <c r="V50" i="35404"/>
  <c r="V15" i="35404"/>
  <c r="V51" i="35404"/>
  <c r="V28" i="35404"/>
  <c r="V64" i="35404"/>
  <c r="V29" i="35404"/>
  <c r="V65" i="35404"/>
  <c r="V70" i="35404"/>
  <c r="V72" i="35404"/>
  <c r="V37" i="35404"/>
  <c r="V73" i="35404"/>
  <c r="V38" i="35404"/>
  <c r="V74" i="35404"/>
  <c r="V27" i="35404"/>
  <c r="V40" i="35404"/>
  <c r="V17" i="35404"/>
  <c r="V53" i="35404"/>
  <c r="V13" i="35404"/>
  <c r="V63" i="35404"/>
  <c r="V16" i="35404"/>
  <c r="V76" i="35404"/>
  <c r="V41" i="35404"/>
  <c r="V77" i="35404"/>
  <c r="S73" i="35404"/>
  <c r="S53" i="35404"/>
  <c r="S17" i="35404"/>
  <c r="S78" i="35404"/>
  <c r="S18" i="35404"/>
  <c r="S48" i="35404"/>
  <c r="S12" i="35404"/>
  <c r="S45" i="35404"/>
  <c r="S33" i="35404"/>
  <c r="S38" i="35404"/>
  <c r="S42" i="35404"/>
  <c r="S37" i="35404"/>
  <c r="S40" i="35404"/>
  <c r="S65" i="35404"/>
  <c r="S59" i="35404"/>
  <c r="S21" i="35404"/>
  <c r="S30" i="35404"/>
  <c r="S25" i="35404"/>
  <c r="S63" i="35404"/>
  <c r="S29" i="35404"/>
  <c r="S35" i="35404"/>
  <c r="S9" i="35404"/>
  <c r="S77" i="35404"/>
  <c r="S60" i="35404"/>
  <c r="S15" i="35404"/>
  <c r="S76" i="35404"/>
  <c r="S23" i="35404"/>
  <c r="S68" i="35404"/>
  <c r="S41" i="35404"/>
  <c r="S24" i="35404"/>
  <c r="S50" i="35404"/>
  <c r="S52" i="35404"/>
  <c r="S70" i="35404"/>
  <c r="S56" i="35404"/>
  <c r="S64" i="35404"/>
  <c r="S71" i="35404"/>
  <c r="S14" i="35404"/>
  <c r="S75" i="35404"/>
  <c r="S58" i="35404"/>
  <c r="S44" i="35404"/>
  <c r="S28" i="35404"/>
  <c r="S47" i="35404"/>
  <c r="S49" i="35404"/>
  <c r="S27" i="35404"/>
  <c r="S46" i="35404"/>
  <c r="S32" i="35404"/>
  <c r="S16" i="35404"/>
  <c r="S11" i="35404"/>
  <c r="S72" i="35404"/>
  <c r="S74" i="35404"/>
  <c r="S34" i="35404"/>
  <c r="S20" i="35404"/>
  <c r="S51" i="35404"/>
  <c r="S43" i="35404"/>
  <c r="S36" i="35404"/>
  <c r="S26" i="35404"/>
  <c r="S22" i="35404"/>
  <c r="S8" i="35404"/>
  <c r="S39" i="35404"/>
  <c r="S54" i="35404"/>
  <c r="S10" i="35404"/>
  <c r="S61" i="35404"/>
  <c r="S69" i="35404"/>
  <c r="S31" i="35404"/>
  <c r="S19" i="35404"/>
  <c r="S62" i="35404"/>
  <c r="S6" i="35404"/>
  <c r="S67" i="35404"/>
  <c r="S13" i="35404"/>
  <c r="S57" i="35404"/>
  <c r="T6" i="35404"/>
  <c r="T18" i="35404"/>
  <c r="T30" i="35404"/>
  <c r="T42" i="35404"/>
  <c r="T54" i="35404"/>
  <c r="T66" i="35404"/>
  <c r="T78" i="35404"/>
  <c r="T19" i="35404"/>
  <c r="T31" i="35404"/>
  <c r="T55" i="35404"/>
  <c r="T67" i="35404"/>
  <c r="T8" i="35404"/>
  <c r="T20" i="35404"/>
  <c r="T32" i="35404"/>
  <c r="T56" i="35404"/>
  <c r="T21" i="35404"/>
  <c r="T34" i="35404"/>
  <c r="T58" i="35404"/>
  <c r="T11" i="35404"/>
  <c r="T35" i="35404"/>
  <c r="T59" i="35404"/>
  <c r="T12" i="35404"/>
  <c r="T36" i="35404"/>
  <c r="T60" i="35404"/>
  <c r="T13" i="35404"/>
  <c r="T37" i="35404"/>
  <c r="T73" i="35404"/>
  <c r="T26" i="35404"/>
  <c r="T50" i="35404"/>
  <c r="T74" i="35404"/>
  <c r="T27" i="35404"/>
  <c r="T63" i="35404"/>
  <c r="T16" i="35404"/>
  <c r="T52" i="35404"/>
  <c r="T17" i="35404"/>
  <c r="T53" i="35404"/>
  <c r="T7" i="35404"/>
  <c r="T43" i="35404"/>
  <c r="T44" i="35404"/>
  <c r="T68" i="35404"/>
  <c r="T9" i="35404"/>
  <c r="T33" i="35404"/>
  <c r="T45" i="35404"/>
  <c r="T57" i="35404"/>
  <c r="T69" i="35404"/>
  <c r="T10" i="35404"/>
  <c r="T22" i="35404"/>
  <c r="T46" i="35404"/>
  <c r="T70" i="35404"/>
  <c r="T23" i="35404"/>
  <c r="T47" i="35404"/>
  <c r="T71" i="35404"/>
  <c r="T24" i="35404"/>
  <c r="T48" i="35404"/>
  <c r="T72" i="35404"/>
  <c r="T25" i="35404"/>
  <c r="T61" i="35404"/>
  <c r="T14" i="35404"/>
  <c r="T38" i="35404"/>
  <c r="T62" i="35404"/>
  <c r="T39" i="35404"/>
  <c r="T75" i="35404"/>
  <c r="T28" i="35404"/>
  <c r="T64" i="35404"/>
  <c r="T29" i="35404"/>
  <c r="T65" i="35404"/>
  <c r="T49" i="35404"/>
  <c r="T15" i="35404"/>
  <c r="T51" i="35404"/>
  <c r="T40" i="35404"/>
  <c r="T76" i="35404"/>
  <c r="T41" i="35404"/>
  <c r="T77" i="35404"/>
  <c r="Q53" i="35404"/>
  <c r="Q29" i="35404"/>
  <c r="Q28" i="35404"/>
  <c r="Q24" i="35404"/>
  <c r="Q12" i="35404"/>
  <c r="Q9" i="35404"/>
  <c r="Q56" i="35404"/>
  <c r="Q27" i="35404"/>
  <c r="Q74" i="35404"/>
  <c r="Q33" i="35404"/>
  <c r="Q68" i="35404"/>
  <c r="Q52" i="35404"/>
  <c r="Q76" i="35404"/>
  <c r="Q51" i="35404"/>
  <c r="Q71" i="35404"/>
  <c r="Q32" i="35404"/>
  <c r="Q38" i="35404"/>
  <c r="Q44" i="35404"/>
  <c r="Q16" i="35404"/>
  <c r="Q15" i="35404"/>
  <c r="Q47" i="35404"/>
  <c r="Q67" i="35404"/>
  <c r="Q73" i="35404"/>
  <c r="Q20" i="35404"/>
  <c r="Q75" i="35404"/>
  <c r="Q50" i="35404"/>
  <c r="Q23" i="35404"/>
  <c r="Q55" i="35404"/>
  <c r="Q49" i="35404"/>
  <c r="Q8" i="35404"/>
  <c r="Q39" i="35404"/>
  <c r="Q26" i="35404"/>
  <c r="Q11" i="35404"/>
  <c r="Q43" i="35404"/>
  <c r="Q72" i="35404"/>
  <c r="Q78" i="35404"/>
  <c r="O65" i="35404"/>
  <c r="Q62" i="35404"/>
  <c r="Q61" i="35404"/>
  <c r="Q70" i="35404"/>
  <c r="Q31" i="35404"/>
  <c r="Q36" i="35404"/>
  <c r="Q66" i="35404"/>
  <c r="O41" i="35404"/>
  <c r="Q14" i="35404"/>
  <c r="Q37" i="35404"/>
  <c r="Q34" i="35404"/>
  <c r="Q19" i="35404"/>
  <c r="Q59" i="35404"/>
  <c r="Q54" i="35404"/>
  <c r="O38" i="35404"/>
  <c r="Q58" i="35404"/>
  <c r="Q25" i="35404"/>
  <c r="Q10" i="35404"/>
  <c r="Q7" i="35404"/>
  <c r="Q35" i="35404"/>
  <c r="Q42" i="35404"/>
  <c r="Q65" i="35404"/>
  <c r="Q13" i="35404"/>
  <c r="Q69" i="35404"/>
  <c r="Q64" i="35404"/>
  <c r="Q46" i="35404"/>
  <c r="Q30" i="35404"/>
  <c r="Q41" i="35404"/>
  <c r="Q60" i="35404"/>
  <c r="Q45" i="35404"/>
  <c r="Q40" i="35404"/>
  <c r="Q22" i="35404"/>
  <c r="Q18" i="35404"/>
  <c r="Q77" i="35404"/>
  <c r="Q17" i="35404"/>
  <c r="Q48" i="35404"/>
  <c r="Q21" i="35404"/>
  <c r="Q63" i="35404"/>
  <c r="Q57" i="35404"/>
  <c r="R6" i="35404"/>
  <c r="R18" i="35404"/>
  <c r="R30" i="35404"/>
  <c r="R42" i="35404"/>
  <c r="R54" i="35404"/>
  <c r="R66" i="35404"/>
  <c r="R78" i="35404"/>
  <c r="R45" i="35404"/>
  <c r="R10" i="35404"/>
  <c r="R58" i="35404"/>
  <c r="R47" i="35404"/>
  <c r="R12" i="35404"/>
  <c r="R49" i="35404"/>
  <c r="R14" i="35404"/>
  <c r="R50" i="35404"/>
  <c r="R27" i="35404"/>
  <c r="R75" i="35404"/>
  <c r="R52" i="35404"/>
  <c r="R29" i="35404"/>
  <c r="R7" i="35404"/>
  <c r="R19" i="35404"/>
  <c r="R31" i="35404"/>
  <c r="R43" i="35404"/>
  <c r="R55" i="35404"/>
  <c r="R67" i="35404"/>
  <c r="R57" i="35404"/>
  <c r="R22" i="35404"/>
  <c r="R46" i="35404"/>
  <c r="R35" i="35404"/>
  <c r="R36" i="35404"/>
  <c r="R37" i="35404"/>
  <c r="R73" i="35404"/>
  <c r="R38" i="35404"/>
  <c r="R74" i="35404"/>
  <c r="R63" i="35404"/>
  <c r="R16" i="35404"/>
  <c r="R76" i="35404"/>
  <c r="R65" i="35404"/>
  <c r="R8" i="35404"/>
  <c r="R20" i="35404"/>
  <c r="R32" i="35404"/>
  <c r="R44" i="35404"/>
  <c r="R56" i="35404"/>
  <c r="R68" i="35404"/>
  <c r="R33" i="35404"/>
  <c r="R69" i="35404"/>
  <c r="R34" i="35404"/>
  <c r="R11" i="35404"/>
  <c r="R59" i="35404"/>
  <c r="R48" i="35404"/>
  <c r="R13" i="35404"/>
  <c r="R15" i="35404"/>
  <c r="R51" i="35404"/>
  <c r="R28" i="35404"/>
  <c r="R41" i="35404"/>
  <c r="R77" i="35404"/>
  <c r="R9" i="35404"/>
  <c r="R21" i="35404"/>
  <c r="R70" i="35404"/>
  <c r="R23" i="35404"/>
  <c r="R71" i="35404"/>
  <c r="R24" i="35404"/>
  <c r="R72" i="35404"/>
  <c r="R25" i="35404"/>
  <c r="R61" i="35404"/>
  <c r="R26" i="35404"/>
  <c r="R62" i="35404"/>
  <c r="R39" i="35404"/>
  <c r="R40" i="35404"/>
  <c r="R17" i="35404"/>
  <c r="R53" i="35404"/>
  <c r="R60" i="35404"/>
  <c r="R64" i="35404"/>
  <c r="O45" i="35404"/>
  <c r="O21" i="35404"/>
  <c r="O17" i="35404"/>
  <c r="O64" i="35404"/>
  <c r="O36" i="35404"/>
  <c r="O71" i="35404"/>
  <c r="O9" i="35404"/>
  <c r="O68" i="35404"/>
  <c r="O74" i="35404"/>
  <c r="O29" i="35404"/>
  <c r="O14" i="35404"/>
  <c r="O44" i="35404"/>
  <c r="O28" i="35404"/>
  <c r="O59" i="35404"/>
  <c r="O56" i="35404"/>
  <c r="O76" i="35404"/>
  <c r="O73" i="35404"/>
  <c r="O20" i="35404"/>
  <c r="O51" i="35404"/>
  <c r="O35" i="35404"/>
  <c r="O32" i="35404"/>
  <c r="O52" i="35404"/>
  <c r="O49" i="35404"/>
  <c r="O67" i="35404"/>
  <c r="O15" i="35404"/>
  <c r="O11" i="35404"/>
  <c r="O8" i="35404"/>
  <c r="O75" i="35404"/>
  <c r="O25" i="35404"/>
  <c r="O55" i="35404"/>
  <c r="O50" i="35404"/>
  <c r="O70" i="35404"/>
  <c r="O78" i="35404"/>
  <c r="O27" i="35404"/>
  <c r="O72" i="35404"/>
  <c r="O43" i="35404"/>
  <c r="O26" i="35404"/>
  <c r="O46" i="35404"/>
  <c r="O66" i="35404"/>
  <c r="M77" i="35404"/>
  <c r="O62" i="35404"/>
  <c r="O24" i="35404"/>
  <c r="O31" i="35404"/>
  <c r="O61" i="35404"/>
  <c r="O22" i="35404"/>
  <c r="O54" i="35404"/>
  <c r="M29" i="35404"/>
  <c r="O12" i="35404"/>
  <c r="O47" i="35404"/>
  <c r="O19" i="35404"/>
  <c r="O37" i="35404"/>
  <c r="O10" i="35404"/>
  <c r="O42" i="35404"/>
  <c r="O40" i="35404"/>
  <c r="O23" i="35404"/>
  <c r="O7" i="35404"/>
  <c r="O13" i="35404"/>
  <c r="O69" i="35404"/>
  <c r="O30" i="35404"/>
  <c r="O63" i="35404"/>
  <c r="O58" i="35404"/>
  <c r="O77" i="35404"/>
  <c r="O60" i="35404"/>
  <c r="O57" i="35404"/>
  <c r="O18" i="35404"/>
  <c r="O16" i="35404"/>
  <c r="O39" i="35404"/>
  <c r="O34" i="35404"/>
  <c r="O53" i="35404"/>
  <c r="O48" i="35404"/>
  <c r="O33" i="35404"/>
  <c r="P7" i="35404"/>
  <c r="P19" i="35404"/>
  <c r="P31" i="35404"/>
  <c r="P43" i="35404"/>
  <c r="P55" i="35404"/>
  <c r="P67" i="35404"/>
  <c r="P44" i="35404"/>
  <c r="P68" i="35404"/>
  <c r="P9" i="35404"/>
  <c r="P33" i="35404"/>
  <c r="P57" i="35404"/>
  <c r="P10" i="35404"/>
  <c r="P34" i="35404"/>
  <c r="P58" i="35404"/>
  <c r="P11" i="35404"/>
  <c r="P47" i="35404"/>
  <c r="P71" i="35404"/>
  <c r="P24" i="35404"/>
  <c r="P48" i="35404"/>
  <c r="P72" i="35404"/>
  <c r="P25" i="35404"/>
  <c r="P49" i="35404"/>
  <c r="P14" i="35404"/>
  <c r="P38" i="35404"/>
  <c r="P74" i="35404"/>
  <c r="P15" i="35404"/>
  <c r="P51" i="35404"/>
  <c r="P16" i="35404"/>
  <c r="P40" i="35404"/>
  <c r="P64" i="35404"/>
  <c r="P17" i="35404"/>
  <c r="P41" i="35404"/>
  <c r="P77" i="35404"/>
  <c r="P18" i="35404"/>
  <c r="P42" i="35404"/>
  <c r="P66" i="35404"/>
  <c r="P8" i="35404"/>
  <c r="P20" i="35404"/>
  <c r="P32" i="35404"/>
  <c r="P56" i="35404"/>
  <c r="P45" i="35404"/>
  <c r="P69" i="35404"/>
  <c r="P22" i="35404"/>
  <c r="P46" i="35404"/>
  <c r="P70" i="35404"/>
  <c r="P23" i="35404"/>
  <c r="P35" i="35404"/>
  <c r="P59" i="35404"/>
  <c r="P12" i="35404"/>
  <c r="P36" i="35404"/>
  <c r="P60" i="35404"/>
  <c r="P13" i="35404"/>
  <c r="P37" i="35404"/>
  <c r="P73" i="35404"/>
  <c r="P26" i="35404"/>
  <c r="P50" i="35404"/>
  <c r="P39" i="35404"/>
  <c r="P75" i="35404"/>
  <c r="P52" i="35404"/>
  <c r="P29" i="35404"/>
  <c r="P65" i="35404"/>
  <c r="P30" i="35404"/>
  <c r="P54" i="35404"/>
  <c r="P78" i="35404"/>
  <c r="P21" i="35404"/>
  <c r="P61" i="35404"/>
  <c r="P62" i="35404"/>
  <c r="P27" i="35404"/>
  <c r="P63" i="35404"/>
  <c r="P28" i="35404"/>
  <c r="P76" i="35404"/>
  <c r="P53" i="35404"/>
  <c r="P6" i="35404"/>
  <c r="M12" i="35404"/>
  <c r="M64" i="35404"/>
  <c r="M15" i="35404"/>
  <c r="M21" i="35404"/>
  <c r="M9" i="35404"/>
  <c r="M8" i="35404"/>
  <c r="M67" i="35404"/>
  <c r="M72" i="35404"/>
  <c r="M36" i="35404"/>
  <c r="M49" i="35404"/>
  <c r="M52" i="35404"/>
  <c r="M59" i="35404"/>
  <c r="M26" i="35404"/>
  <c r="M53" i="35404"/>
  <c r="M55" i="35404"/>
  <c r="M56" i="35404"/>
  <c r="M63" i="35404"/>
  <c r="M47" i="35404"/>
  <c r="M37" i="35404"/>
  <c r="M76" i="35404"/>
  <c r="M43" i="35404"/>
  <c r="M32" i="35404"/>
  <c r="M38" i="35404"/>
  <c r="M23" i="35404"/>
  <c r="M60" i="35404"/>
  <c r="M16" i="35404"/>
  <c r="M31" i="35404"/>
  <c r="M20" i="35404"/>
  <c r="M73" i="35404"/>
  <c r="M70" i="35404"/>
  <c r="M24" i="35404"/>
  <c r="M39" i="35404"/>
  <c r="M19" i="35404"/>
  <c r="M78" i="35404"/>
  <c r="K77" i="35404"/>
  <c r="M11" i="35404"/>
  <c r="M58" i="35404"/>
  <c r="M71" i="35404"/>
  <c r="M62" i="35404"/>
  <c r="M7" i="35404"/>
  <c r="M66" i="35404"/>
  <c r="K16" i="35404"/>
  <c r="M65" i="35404"/>
  <c r="M46" i="35404"/>
  <c r="M35" i="35404"/>
  <c r="M61" i="35404"/>
  <c r="M28" i="35404"/>
  <c r="M54" i="35404"/>
  <c r="K73" i="35404"/>
  <c r="M41" i="35404"/>
  <c r="M34" i="35404"/>
  <c r="M69" i="35404"/>
  <c r="M13" i="35404"/>
  <c r="M75" i="35404"/>
  <c r="M42" i="35404"/>
  <c r="M40" i="35404"/>
  <c r="M22" i="35404"/>
  <c r="M57" i="35404"/>
  <c r="M48" i="35404"/>
  <c r="M74" i="35404"/>
  <c r="M30" i="35404"/>
  <c r="M51" i="35404"/>
  <c r="M10" i="35404"/>
  <c r="M45" i="35404"/>
  <c r="M68" i="35404"/>
  <c r="M14" i="35404"/>
  <c r="M18" i="35404"/>
  <c r="M27" i="35404"/>
  <c r="M50" i="35404"/>
  <c r="M17" i="35404"/>
  <c r="M33" i="35404"/>
  <c r="M44" i="35404"/>
  <c r="M25" i="35404"/>
  <c r="N6" i="35404"/>
  <c r="N18" i="35404"/>
  <c r="N30" i="35404"/>
  <c r="N42" i="35404"/>
  <c r="N54" i="35404"/>
  <c r="N66" i="35404"/>
  <c r="N78" i="35404"/>
  <c r="N7" i="35404"/>
  <c r="N19" i="35404"/>
  <c r="N31" i="35404"/>
  <c r="N43" i="35404"/>
  <c r="N55" i="35404"/>
  <c r="N67" i="35404"/>
  <c r="N8" i="35404"/>
  <c r="N20" i="35404"/>
  <c r="N32" i="35404"/>
  <c r="N44" i="35404"/>
  <c r="N56" i="35404"/>
  <c r="N68" i="35404"/>
  <c r="N9" i="35404"/>
  <c r="N21" i="35404"/>
  <c r="N33" i="35404"/>
  <c r="N45" i="35404"/>
  <c r="N57" i="35404"/>
  <c r="N69" i="35404"/>
  <c r="N10" i="35404"/>
  <c r="N22" i="35404"/>
  <c r="N34" i="35404"/>
  <c r="N46" i="35404"/>
  <c r="N58" i="35404"/>
  <c r="N70" i="35404"/>
  <c r="N11" i="35404"/>
  <c r="N23" i="35404"/>
  <c r="N35" i="35404"/>
  <c r="N47" i="35404"/>
  <c r="N59" i="35404"/>
  <c r="N71" i="35404"/>
  <c r="N12" i="35404"/>
  <c r="N24" i="35404"/>
  <c r="N36" i="35404"/>
  <c r="N48" i="35404"/>
  <c r="N60" i="35404"/>
  <c r="N72" i="35404"/>
  <c r="N13" i="35404"/>
  <c r="N25" i="35404"/>
  <c r="N37" i="35404"/>
  <c r="N49" i="35404"/>
  <c r="N73" i="35404"/>
  <c r="N14" i="35404"/>
  <c r="N26" i="35404"/>
  <c r="N38" i="35404"/>
  <c r="N50" i="35404"/>
  <c r="N62" i="35404"/>
  <c r="N74" i="35404"/>
  <c r="N15" i="35404"/>
  <c r="N27" i="35404"/>
  <c r="N39" i="35404"/>
  <c r="N63" i="35404"/>
  <c r="N75" i="35404"/>
  <c r="N28" i="35404"/>
  <c r="N52" i="35404"/>
  <c r="N76" i="35404"/>
  <c r="N29" i="35404"/>
  <c r="N53" i="35404"/>
  <c r="N77" i="35404"/>
  <c r="N61" i="35404"/>
  <c r="N51" i="35404"/>
  <c r="N40" i="35404"/>
  <c r="N64" i="35404"/>
  <c r="N17" i="35404"/>
  <c r="N41" i="35404"/>
  <c r="N65" i="35404"/>
  <c r="N16" i="35404"/>
  <c r="K61" i="35404"/>
  <c r="K59" i="35404"/>
  <c r="K47" i="35404"/>
  <c r="K57" i="35404"/>
  <c r="K45" i="35404"/>
  <c r="K55" i="35404"/>
  <c r="K43" i="35404"/>
  <c r="K62" i="35404"/>
  <c r="K28" i="35404"/>
  <c r="K53" i="35404"/>
  <c r="K75" i="35404"/>
  <c r="K49" i="35404"/>
  <c r="K35" i="35404"/>
  <c r="K33" i="35404"/>
  <c r="K31" i="35404"/>
  <c r="K29" i="35404"/>
  <c r="K63" i="35404"/>
  <c r="K37" i="35404"/>
  <c r="K23" i="35404"/>
  <c r="K21" i="35404"/>
  <c r="K19" i="35404"/>
  <c r="K64" i="35404"/>
  <c r="K51" i="35404"/>
  <c r="K25" i="35404"/>
  <c r="K11" i="35404"/>
  <c r="K9" i="35404"/>
  <c r="K7" i="35404"/>
  <c r="K40" i="35404"/>
  <c r="K27" i="35404"/>
  <c r="K13" i="35404"/>
  <c r="K70" i="35404"/>
  <c r="K68" i="35404"/>
  <c r="K78" i="35404"/>
  <c r="I76" i="35404"/>
  <c r="K39" i="35404"/>
  <c r="K15" i="35404"/>
  <c r="K72" i="35404"/>
  <c r="K58" i="35404"/>
  <c r="K56" i="35404"/>
  <c r="K66" i="35404"/>
  <c r="I78" i="35404"/>
  <c r="K48" i="35404"/>
  <c r="K74" i="35404"/>
  <c r="K60" i="35404"/>
  <c r="K46" i="35404"/>
  <c r="K44" i="35404"/>
  <c r="K54" i="35404"/>
  <c r="I27" i="35404"/>
  <c r="K65" i="35404"/>
  <c r="K50" i="35404"/>
  <c r="K36" i="35404"/>
  <c r="K34" i="35404"/>
  <c r="K32" i="35404"/>
  <c r="K42" i="35404"/>
  <c r="K41" i="35404"/>
  <c r="K38" i="35404"/>
  <c r="K24" i="35404"/>
  <c r="K22" i="35404"/>
  <c r="K20" i="35404"/>
  <c r="K30" i="35404"/>
  <c r="K76" i="35404"/>
  <c r="K26" i="35404"/>
  <c r="K12" i="35404"/>
  <c r="K10" i="35404"/>
  <c r="K8" i="35404"/>
  <c r="K18" i="35404"/>
  <c r="K17" i="35404"/>
  <c r="K52" i="35404"/>
  <c r="K14" i="35404"/>
  <c r="K71" i="35404"/>
  <c r="K69" i="35404"/>
  <c r="K67" i="35404"/>
  <c r="L6" i="35404"/>
  <c r="L18" i="35404"/>
  <c r="L30" i="35404"/>
  <c r="L42" i="35404"/>
  <c r="L54" i="35404"/>
  <c r="L66" i="35404"/>
  <c r="L78" i="35404"/>
  <c r="L20" i="35404"/>
  <c r="L44" i="35404"/>
  <c r="L56" i="35404"/>
  <c r="L57" i="35404"/>
  <c r="L69" i="35404"/>
  <c r="L10" i="35404"/>
  <c r="L34" i="35404"/>
  <c r="L11" i="35404"/>
  <c r="L47" i="35404"/>
  <c r="L12" i="35404"/>
  <c r="L48" i="35404"/>
  <c r="L13" i="35404"/>
  <c r="L26" i="35404"/>
  <c r="L74" i="35404"/>
  <c r="L39" i="35404"/>
  <c r="L28" i="35404"/>
  <c r="L76" i="35404"/>
  <c r="L65" i="35404"/>
  <c r="L7" i="35404"/>
  <c r="L19" i="35404"/>
  <c r="L31" i="35404"/>
  <c r="L43" i="35404"/>
  <c r="L55" i="35404"/>
  <c r="L67" i="35404"/>
  <c r="L8" i="35404"/>
  <c r="L32" i="35404"/>
  <c r="L68" i="35404"/>
  <c r="L21" i="35404"/>
  <c r="L45" i="35404"/>
  <c r="L22" i="35404"/>
  <c r="L70" i="35404"/>
  <c r="L35" i="35404"/>
  <c r="L71" i="35404"/>
  <c r="L24" i="35404"/>
  <c r="L60" i="35404"/>
  <c r="L73" i="35404"/>
  <c r="L50" i="35404"/>
  <c r="L15" i="35404"/>
  <c r="L63" i="35404"/>
  <c r="L52" i="35404"/>
  <c r="L29" i="35404"/>
  <c r="L9" i="35404"/>
  <c r="L33" i="35404"/>
  <c r="L46" i="35404"/>
  <c r="L23" i="35404"/>
  <c r="L59" i="35404"/>
  <c r="L36" i="35404"/>
  <c r="L72" i="35404"/>
  <c r="L25" i="35404"/>
  <c r="L38" i="35404"/>
  <c r="L27" i="35404"/>
  <c r="L75" i="35404"/>
  <c r="L64" i="35404"/>
  <c r="L17" i="35404"/>
  <c r="L77" i="35404"/>
  <c r="L58" i="35404"/>
  <c r="L49" i="35404"/>
  <c r="L14" i="35404"/>
  <c r="L62" i="35404"/>
  <c r="L51" i="35404"/>
  <c r="L40" i="35404"/>
  <c r="L41" i="35404"/>
  <c r="L37" i="35404"/>
  <c r="L61" i="35404"/>
  <c r="L16" i="35404"/>
  <c r="L53" i="35404"/>
  <c r="I24" i="35404"/>
  <c r="I12" i="35404"/>
  <c r="I22" i="35404"/>
  <c r="I10" i="35404"/>
  <c r="I15" i="35404"/>
  <c r="I74" i="35404"/>
  <c r="I68" i="35404"/>
  <c r="I56" i="35404"/>
  <c r="I51" i="35404"/>
  <c r="I54" i="35404"/>
  <c r="I62" i="35404"/>
  <c r="I71" i="35404"/>
  <c r="I66" i="35404"/>
  <c r="I50" i="35404"/>
  <c r="I44" i="35404"/>
  <c r="I18" i="35404"/>
  <c r="I38" i="35404"/>
  <c r="I59" i="35404"/>
  <c r="I30" i="35404"/>
  <c r="I26" i="35404"/>
  <c r="I32" i="35404"/>
  <c r="I77" i="35404"/>
  <c r="I14" i="35404"/>
  <c r="I47" i="35404"/>
  <c r="I6" i="35404"/>
  <c r="I49" i="35404"/>
  <c r="I20" i="35404"/>
  <c r="I53" i="35404"/>
  <c r="I61" i="35404"/>
  <c r="I35" i="35404"/>
  <c r="I65" i="35404"/>
  <c r="I13" i="35404"/>
  <c r="I8" i="35404"/>
  <c r="I29" i="35404"/>
  <c r="I37" i="35404"/>
  <c r="I23" i="35404"/>
  <c r="I41" i="35404"/>
  <c r="I69" i="35404"/>
  <c r="I67" i="35404"/>
  <c r="G21" i="35404"/>
  <c r="I64" i="35404"/>
  <c r="I25" i="35404"/>
  <c r="I11" i="35404"/>
  <c r="I17" i="35404"/>
  <c r="I57" i="35404"/>
  <c r="I55" i="35404"/>
  <c r="G9" i="35404"/>
  <c r="I73" i="35404"/>
  <c r="I72" i="35404"/>
  <c r="I70" i="35404"/>
  <c r="I52" i="35404"/>
  <c r="I45" i="35404"/>
  <c r="I43" i="35404"/>
  <c r="I40" i="35404"/>
  <c r="I60" i="35404"/>
  <c r="I58" i="35404"/>
  <c r="I28" i="35404"/>
  <c r="I33" i="35404"/>
  <c r="I31" i="35404"/>
  <c r="I16" i="35404"/>
  <c r="I48" i="35404"/>
  <c r="I46" i="35404"/>
  <c r="I63" i="35404"/>
  <c r="I21" i="35404"/>
  <c r="I19" i="35404"/>
  <c r="I42" i="35404"/>
  <c r="I75" i="35404"/>
  <c r="I36" i="35404"/>
  <c r="I34" i="35404"/>
  <c r="I39" i="35404"/>
  <c r="I9" i="35404"/>
  <c r="J7" i="35404"/>
  <c r="J19" i="35404"/>
  <c r="J31" i="35404"/>
  <c r="J43" i="35404"/>
  <c r="J55" i="35404"/>
  <c r="J67" i="35404"/>
  <c r="J33" i="35404"/>
  <c r="J57" i="35404"/>
  <c r="J10" i="35404"/>
  <c r="J34" i="35404"/>
  <c r="J70" i="35404"/>
  <c r="J35" i="35404"/>
  <c r="J47" i="35404"/>
  <c r="J12" i="35404"/>
  <c r="J48" i="35404"/>
  <c r="J25" i="35404"/>
  <c r="J73" i="35404"/>
  <c r="J62" i="35404"/>
  <c r="J15" i="35404"/>
  <c r="J63" i="35404"/>
  <c r="J40" i="35404"/>
  <c r="J41" i="35404"/>
  <c r="J18" i="35404"/>
  <c r="J78" i="35404"/>
  <c r="J8" i="35404"/>
  <c r="J20" i="35404"/>
  <c r="J32" i="35404"/>
  <c r="J44" i="35404"/>
  <c r="J56" i="35404"/>
  <c r="J68" i="35404"/>
  <c r="J21" i="35404"/>
  <c r="J45" i="35404"/>
  <c r="J69" i="35404"/>
  <c r="J22" i="35404"/>
  <c r="J46" i="35404"/>
  <c r="J23" i="35404"/>
  <c r="J59" i="35404"/>
  <c r="J24" i="35404"/>
  <c r="J60" i="35404"/>
  <c r="J13" i="35404"/>
  <c r="J49" i="35404"/>
  <c r="J50" i="35404"/>
  <c r="J39" i="35404"/>
  <c r="J75" i="35404"/>
  <c r="J52" i="35404"/>
  <c r="J17" i="35404"/>
  <c r="J65" i="35404"/>
  <c r="J54" i="35404"/>
  <c r="J9" i="35404"/>
  <c r="J11" i="35404"/>
  <c r="J71" i="35404"/>
  <c r="J36" i="35404"/>
  <c r="J72" i="35404"/>
  <c r="J37" i="35404"/>
  <c r="J14" i="35404"/>
  <c r="J74" i="35404"/>
  <c r="J51" i="35404"/>
  <c r="J16" i="35404"/>
  <c r="J64" i="35404"/>
  <c r="J53" i="35404"/>
  <c r="J30" i="35404"/>
  <c r="J58" i="35404"/>
  <c r="J61" i="35404"/>
  <c r="J38" i="35404"/>
  <c r="J27" i="35404"/>
  <c r="J28" i="35404"/>
  <c r="J76" i="35404"/>
  <c r="J77" i="35404"/>
  <c r="J6" i="35404"/>
  <c r="J66" i="35404"/>
  <c r="J26" i="35404"/>
  <c r="J29" i="35404"/>
  <c r="J42" i="35404"/>
  <c r="G72" i="35404"/>
  <c r="G36" i="35404"/>
  <c r="G71" i="35404"/>
  <c r="G6" i="35404"/>
  <c r="G54" i="35404"/>
  <c r="G27" i="35404"/>
  <c r="G30" i="35404"/>
  <c r="G61" i="35404"/>
  <c r="G65" i="35404"/>
  <c r="G73" i="35404"/>
  <c r="G60" i="35404"/>
  <c r="G13" i="35404"/>
  <c r="G12" i="35404"/>
  <c r="G48" i="35404"/>
  <c r="G47" i="35404"/>
  <c r="G42" i="35404"/>
  <c r="G78" i="35404"/>
  <c r="G24" i="35404"/>
  <c r="G77" i="35404"/>
  <c r="G35" i="35404"/>
  <c r="G29" i="35404"/>
  <c r="G23" i="35404"/>
  <c r="G18" i="35404"/>
  <c r="G59" i="35404"/>
  <c r="G17" i="35404"/>
  <c r="G70" i="35404"/>
  <c r="G64" i="35404"/>
  <c r="G58" i="35404"/>
  <c r="G53" i="35404"/>
  <c r="G11" i="35404"/>
  <c r="G52" i="35404"/>
  <c r="G34" i="35404"/>
  <c r="G40" i="35404"/>
  <c r="G22" i="35404"/>
  <c r="G41" i="35404"/>
  <c r="G46" i="35404"/>
  <c r="G16" i="35404"/>
  <c r="G68" i="35404"/>
  <c r="G75" i="35404"/>
  <c r="G67" i="35404"/>
  <c r="E43" i="35404"/>
  <c r="G76" i="35404"/>
  <c r="G10" i="35404"/>
  <c r="G39" i="35404"/>
  <c r="G56" i="35404"/>
  <c r="G51" i="35404"/>
  <c r="G55" i="35404"/>
  <c r="E51" i="35404"/>
  <c r="G28" i="35404"/>
  <c r="G69" i="35404"/>
  <c r="G62" i="35404"/>
  <c r="G44" i="35404"/>
  <c r="G74" i="35404"/>
  <c r="G43" i="35404"/>
  <c r="G63" i="35404"/>
  <c r="G57" i="35404"/>
  <c r="G26" i="35404"/>
  <c r="G32" i="35404"/>
  <c r="G38" i="35404"/>
  <c r="G31" i="35404"/>
  <c r="G15" i="35404"/>
  <c r="G45" i="35404"/>
  <c r="G49" i="35404"/>
  <c r="G20" i="35404"/>
  <c r="G14" i="35404"/>
  <c r="G19" i="35404"/>
  <c r="G66" i="35404"/>
  <c r="G50" i="35404"/>
  <c r="G33" i="35404"/>
  <c r="G25" i="35404"/>
  <c r="G8" i="35404"/>
  <c r="G37" i="35404"/>
  <c r="H6" i="35404"/>
  <c r="H18" i="35404"/>
  <c r="H30" i="35404"/>
  <c r="H42" i="35404"/>
  <c r="H54" i="35404"/>
  <c r="H66" i="35404"/>
  <c r="H78" i="35404"/>
  <c r="H19" i="35404"/>
  <c r="H31" i="35404"/>
  <c r="H55" i="35404"/>
  <c r="H67" i="35404"/>
  <c r="H8" i="35404"/>
  <c r="H20" i="35404"/>
  <c r="H44" i="35404"/>
  <c r="H68" i="35404"/>
  <c r="H33" i="35404"/>
  <c r="H57" i="35404"/>
  <c r="H22" i="35404"/>
  <c r="H58" i="35404"/>
  <c r="H23" i="35404"/>
  <c r="H59" i="35404"/>
  <c r="H60" i="35404"/>
  <c r="H13" i="35404"/>
  <c r="H61" i="35404"/>
  <c r="H14" i="35404"/>
  <c r="H38" i="35404"/>
  <c r="H62" i="35404"/>
  <c r="H15" i="35404"/>
  <c r="H51" i="35404"/>
  <c r="H28" i="35404"/>
  <c r="H76" i="35404"/>
  <c r="H41" i="35404"/>
  <c r="H7" i="35404"/>
  <c r="H43" i="35404"/>
  <c r="H32" i="35404"/>
  <c r="H56" i="35404"/>
  <c r="H9" i="35404"/>
  <c r="H21" i="35404"/>
  <c r="H45" i="35404"/>
  <c r="H69" i="35404"/>
  <c r="H10" i="35404"/>
  <c r="H34" i="35404"/>
  <c r="H46" i="35404"/>
  <c r="H70" i="35404"/>
  <c r="H11" i="35404"/>
  <c r="H35" i="35404"/>
  <c r="H47" i="35404"/>
  <c r="H71" i="35404"/>
  <c r="H12" i="35404"/>
  <c r="H24" i="35404"/>
  <c r="H36" i="35404"/>
  <c r="H48" i="35404"/>
  <c r="H72" i="35404"/>
  <c r="H25" i="35404"/>
  <c r="H49" i="35404"/>
  <c r="H73" i="35404"/>
  <c r="H26" i="35404"/>
  <c r="H50" i="35404"/>
  <c r="H74" i="35404"/>
  <c r="H27" i="35404"/>
  <c r="H39" i="35404"/>
  <c r="H63" i="35404"/>
  <c r="H75" i="35404"/>
  <c r="H16" i="35404"/>
  <c r="H64" i="35404"/>
  <c r="H17" i="35404"/>
  <c r="H53" i="35404"/>
  <c r="H37" i="35404"/>
  <c r="H52" i="35404"/>
  <c r="H29" i="35404"/>
  <c r="H77" i="35404"/>
  <c r="H40" i="35404"/>
  <c r="H65" i="35404"/>
  <c r="E14" i="35404"/>
  <c r="E8" i="35404"/>
  <c r="E55" i="35404"/>
  <c r="E26" i="35404"/>
  <c r="E61" i="35404"/>
  <c r="E67" i="35404"/>
  <c r="E31" i="35404"/>
  <c r="E13" i="35404"/>
  <c r="E60" i="35404"/>
  <c r="E38" i="35404"/>
  <c r="E44" i="35404"/>
  <c r="E49" i="35404"/>
  <c r="E78" i="35404"/>
  <c r="E25" i="35404"/>
  <c r="E66" i="35404"/>
  <c r="E36" i="35404"/>
  <c r="E19" i="35404"/>
  <c r="E37" i="35404"/>
  <c r="E42" i="35404"/>
  <c r="E72" i="35404"/>
  <c r="E18" i="35404"/>
  <c r="E69" i="35404"/>
  <c r="E54" i="35404"/>
  <c r="E48" i="35404"/>
  <c r="E6" i="35404"/>
  <c r="E12" i="35404"/>
  <c r="E77" i="35404"/>
  <c r="E57" i="35404"/>
  <c r="E30" i="35404"/>
  <c r="E24" i="35404"/>
  <c r="E53" i="35404"/>
  <c r="E70" i="35404"/>
  <c r="E41" i="35404"/>
  <c r="E45" i="35404"/>
  <c r="E65" i="35404"/>
  <c r="E71" i="35404"/>
  <c r="E17" i="35404"/>
  <c r="E58" i="35404"/>
  <c r="E64" i="35404"/>
  <c r="E33" i="35404"/>
  <c r="C44" i="35404"/>
  <c r="E29" i="35404"/>
  <c r="E59" i="35404"/>
  <c r="E76" i="35404"/>
  <c r="E46" i="35404"/>
  <c r="E28" i="35404"/>
  <c r="E21" i="35404"/>
  <c r="C8" i="35404"/>
  <c r="E52" i="35404"/>
  <c r="E47" i="35404"/>
  <c r="E40" i="35404"/>
  <c r="E34" i="35404"/>
  <c r="E39" i="35404"/>
  <c r="E9" i="35404"/>
  <c r="E16" i="35404"/>
  <c r="E35" i="35404"/>
  <c r="E75" i="35404"/>
  <c r="E22" i="35404"/>
  <c r="E15" i="35404"/>
  <c r="E68" i="35404"/>
  <c r="E63" i="35404"/>
  <c r="E23" i="35404"/>
  <c r="E27" i="35404"/>
  <c r="E10" i="35404"/>
  <c r="E50" i="35404"/>
  <c r="E32" i="35404"/>
  <c r="E20" i="35404"/>
  <c r="E74" i="35404"/>
  <c r="E11" i="35404"/>
  <c r="E62" i="35404"/>
  <c r="E56" i="35404"/>
  <c r="E73" i="35404"/>
  <c r="F7" i="35404"/>
  <c r="F19" i="35404"/>
  <c r="F31" i="35404"/>
  <c r="F43" i="35404"/>
  <c r="F55" i="35404"/>
  <c r="F67" i="35404"/>
  <c r="F9" i="35404"/>
  <c r="F45" i="35404"/>
  <c r="F69" i="35404"/>
  <c r="F22" i="35404"/>
  <c r="F34" i="35404"/>
  <c r="F70" i="35404"/>
  <c r="F23" i="35404"/>
  <c r="F47" i="35404"/>
  <c r="F71" i="35404"/>
  <c r="F24" i="35404"/>
  <c r="F48" i="35404"/>
  <c r="F72" i="35404"/>
  <c r="F13" i="35404"/>
  <c r="F37" i="35404"/>
  <c r="F73" i="35404"/>
  <c r="F50" i="35404"/>
  <c r="F74" i="35404"/>
  <c r="F27" i="35404"/>
  <c r="F51" i="35404"/>
  <c r="F16" i="35404"/>
  <c r="F40" i="35404"/>
  <c r="F41" i="35404"/>
  <c r="F77" i="35404"/>
  <c r="F18" i="35404"/>
  <c r="F54" i="35404"/>
  <c r="F8" i="35404"/>
  <c r="F20" i="35404"/>
  <c r="F32" i="35404"/>
  <c r="F44" i="35404"/>
  <c r="F56" i="35404"/>
  <c r="F68" i="35404"/>
  <c r="F21" i="35404"/>
  <c r="F33" i="35404"/>
  <c r="F57" i="35404"/>
  <c r="F10" i="35404"/>
  <c r="F46" i="35404"/>
  <c r="F11" i="35404"/>
  <c r="F35" i="35404"/>
  <c r="F59" i="35404"/>
  <c r="F12" i="35404"/>
  <c r="F36" i="35404"/>
  <c r="F60" i="35404"/>
  <c r="F25" i="35404"/>
  <c r="F61" i="35404"/>
  <c r="F26" i="35404"/>
  <c r="F62" i="35404"/>
  <c r="F39" i="35404"/>
  <c r="F63" i="35404"/>
  <c r="F28" i="35404"/>
  <c r="F64" i="35404"/>
  <c r="F58" i="35404"/>
  <c r="F49" i="35404"/>
  <c r="F38" i="35404"/>
  <c r="F15" i="35404"/>
  <c r="F75" i="35404"/>
  <c r="F52" i="35404"/>
  <c r="F29" i="35404"/>
  <c r="F65" i="35404"/>
  <c r="F30" i="35404"/>
  <c r="F66" i="35404"/>
  <c r="F14" i="35404"/>
  <c r="F76" i="35404"/>
  <c r="F17" i="35404"/>
  <c r="F53" i="35404"/>
  <c r="F6" i="35404"/>
  <c r="F42" i="35404"/>
  <c r="F78" i="35404"/>
  <c r="C50" i="35404"/>
  <c r="C30" i="35404"/>
  <c r="C18" i="35404"/>
  <c r="C51" i="35404"/>
  <c r="C39" i="35404"/>
  <c r="C72" i="35404"/>
  <c r="C60" i="35404"/>
  <c r="C70" i="35404"/>
  <c r="C58" i="35404"/>
  <c r="C28" i="35404"/>
  <c r="C55" i="35404"/>
  <c r="C26" i="35404"/>
  <c r="C77" i="35404"/>
  <c r="C27" i="35404"/>
  <c r="C48" i="35404"/>
  <c r="C46" i="35404"/>
  <c r="C31" i="35404"/>
  <c r="C14" i="35404"/>
  <c r="C53" i="35404"/>
  <c r="C15" i="35404"/>
  <c r="C36" i="35404"/>
  <c r="C34" i="35404"/>
  <c r="C19" i="35404"/>
  <c r="C56" i="35404"/>
  <c r="C29" i="35404"/>
  <c r="C74" i="35404"/>
  <c r="C24" i="35404"/>
  <c r="C22" i="35404"/>
  <c r="C66" i="35404"/>
  <c r="C32" i="35404"/>
  <c r="C64" i="35404"/>
  <c r="C62" i="35404"/>
  <c r="C12" i="35404"/>
  <c r="C10" i="35404"/>
  <c r="C42" i="35404"/>
  <c r="C20" i="35404"/>
  <c r="C16" i="35404"/>
  <c r="C38" i="35404"/>
  <c r="C71" i="35404"/>
  <c r="C69" i="35404"/>
  <c r="AA76" i="35401"/>
  <c r="C6" i="35404"/>
  <c r="C67" i="35404"/>
  <c r="C13" i="35404"/>
  <c r="C73" i="35404"/>
  <c r="C59" i="35404"/>
  <c r="C57" i="35404"/>
  <c r="AA40" i="35401"/>
  <c r="C65" i="35404"/>
  <c r="C43" i="35404"/>
  <c r="C52" i="35404"/>
  <c r="C61" i="35404"/>
  <c r="C47" i="35404"/>
  <c r="C45" i="35404"/>
  <c r="C41" i="35404"/>
  <c r="C7" i="35404"/>
  <c r="C40" i="35404"/>
  <c r="C49" i="35404"/>
  <c r="C35" i="35404"/>
  <c r="C33" i="35404"/>
  <c r="C17" i="35404"/>
  <c r="C78" i="35404"/>
  <c r="C75" i="35404"/>
  <c r="C37" i="35404"/>
  <c r="C23" i="35404"/>
  <c r="C21" i="35404"/>
  <c r="C68" i="35404"/>
  <c r="C76" i="35404"/>
  <c r="C54" i="35404"/>
  <c r="C63" i="35404"/>
  <c r="C25" i="35404"/>
  <c r="C11" i="35404"/>
  <c r="D6" i="35404"/>
  <c r="D18" i="35404"/>
  <c r="D30" i="35404"/>
  <c r="D42" i="35404"/>
  <c r="D54" i="35404"/>
  <c r="D66" i="35404"/>
  <c r="D78" i="35404"/>
  <c r="D20" i="35404"/>
  <c r="D44" i="35404"/>
  <c r="D21" i="35404"/>
  <c r="D45" i="35404"/>
  <c r="D46" i="35404"/>
  <c r="D11" i="35404"/>
  <c r="D47" i="35404"/>
  <c r="D12" i="35404"/>
  <c r="D72" i="35404"/>
  <c r="D61" i="35404"/>
  <c r="D26" i="35404"/>
  <c r="D63" i="35404"/>
  <c r="D76" i="35404"/>
  <c r="D29" i="35404"/>
  <c r="D7" i="35404"/>
  <c r="D19" i="35404"/>
  <c r="D31" i="35404"/>
  <c r="D43" i="35404"/>
  <c r="D55" i="35404"/>
  <c r="D67" i="35404"/>
  <c r="D32" i="35404"/>
  <c r="D68" i="35404"/>
  <c r="D33" i="35404"/>
  <c r="D57" i="35404"/>
  <c r="D22" i="35404"/>
  <c r="D58" i="35404"/>
  <c r="D35" i="35404"/>
  <c r="D71" i="35404"/>
  <c r="D24" i="35404"/>
  <c r="D37" i="35404"/>
  <c r="D38" i="35404"/>
  <c r="D75" i="35404"/>
  <c r="D16" i="35404"/>
  <c r="D65" i="35404"/>
  <c r="D8" i="35404"/>
  <c r="D56" i="35404"/>
  <c r="D69" i="35404"/>
  <c r="D34" i="35404"/>
  <c r="D70" i="35404"/>
  <c r="D23" i="35404"/>
  <c r="D59" i="35404"/>
  <c r="D60" i="35404"/>
  <c r="D13" i="35404"/>
  <c r="D50" i="35404"/>
  <c r="D27" i="35404"/>
  <c r="D40" i="35404"/>
  <c r="D53" i="35404"/>
  <c r="D9" i="35404"/>
  <c r="D36" i="35404"/>
  <c r="D49" i="35404"/>
  <c r="D14" i="35404"/>
  <c r="D51" i="35404"/>
  <c r="D64" i="35404"/>
  <c r="D10" i="35404"/>
  <c r="D48" i="35404"/>
  <c r="D25" i="35404"/>
  <c r="D73" i="35404"/>
  <c r="D62" i="35404"/>
  <c r="D39" i="35404"/>
  <c r="D28" i="35404"/>
  <c r="D41" i="35404"/>
  <c r="D15" i="35404"/>
  <c r="D74" i="35404"/>
  <c r="D52" i="35404"/>
  <c r="D17" i="35404"/>
  <c r="D77" i="35404"/>
  <c r="AA27" i="35401"/>
  <c r="AA47" i="35401"/>
  <c r="AA35" i="35401"/>
  <c r="AA45" i="35401"/>
  <c r="AA33" i="35401"/>
  <c r="AA73" i="35401"/>
  <c r="AA37" i="35401"/>
  <c r="AA55" i="35401"/>
  <c r="AA43" i="35401"/>
  <c r="AA51" i="35401"/>
  <c r="AA26" i="35401"/>
  <c r="AA74" i="35401"/>
  <c r="AA23" i="35401"/>
  <c r="AA21" i="35401"/>
  <c r="AA13" i="35401"/>
  <c r="AA31" i="35401"/>
  <c r="AA77" i="35401"/>
  <c r="AA50" i="35401"/>
  <c r="AA11" i="35401"/>
  <c r="AA9" i="35401"/>
  <c r="AA48" i="35401"/>
  <c r="AA19" i="35401"/>
  <c r="AA29" i="35401"/>
  <c r="AA14" i="35401"/>
  <c r="AA70" i="35401"/>
  <c r="AA41" i="35401"/>
  <c r="AA12" i="35401"/>
  <c r="AA7" i="35401"/>
  <c r="AA49" i="35401"/>
  <c r="AA61" i="35401"/>
  <c r="AA58" i="35401"/>
  <c r="AA52" i="35401"/>
  <c r="AA68" i="35401"/>
  <c r="AA78" i="35401"/>
  <c r="AA17" i="35401"/>
  <c r="AA25" i="35401"/>
  <c r="AA46" i="35401"/>
  <c r="AA16" i="35401"/>
  <c r="AA56" i="35401"/>
  <c r="AA66" i="35401"/>
  <c r="Y77" i="35401"/>
  <c r="AA60" i="35401"/>
  <c r="AA72" i="35401"/>
  <c r="AA34" i="35401"/>
  <c r="AA63" i="35401"/>
  <c r="AA44" i="35401"/>
  <c r="AA54" i="35401"/>
  <c r="Y53" i="35401"/>
  <c r="AA53" i="35401"/>
  <c r="AA36" i="35401"/>
  <c r="AA22" i="35401"/>
  <c r="AA39" i="35401"/>
  <c r="AA32" i="35401"/>
  <c r="AA42" i="35401"/>
  <c r="AA64" i="35401"/>
  <c r="AA24" i="35401"/>
  <c r="AA10" i="35401"/>
  <c r="AA15" i="35401"/>
  <c r="AA20" i="35401"/>
  <c r="AA30" i="35401"/>
  <c r="AA28" i="35401"/>
  <c r="AA71" i="35401"/>
  <c r="AA69" i="35401"/>
  <c r="AA62" i="35401"/>
  <c r="AA8" i="35401"/>
  <c r="AA18" i="35401"/>
  <c r="AA65" i="35401"/>
  <c r="AA75" i="35401"/>
  <c r="AA59" i="35401"/>
  <c r="AA57" i="35401"/>
  <c r="AA38" i="35401"/>
  <c r="AA67" i="35401"/>
  <c r="AB10" i="35401"/>
  <c r="AB22" i="35401"/>
  <c r="AB34" i="35401"/>
  <c r="AB46" i="35401"/>
  <c r="AB58" i="35401"/>
  <c r="AB70" i="35401"/>
  <c r="AB11" i="35401"/>
  <c r="AB23" i="35401"/>
  <c r="AB35" i="35401"/>
  <c r="AB47" i="35401"/>
  <c r="AB59" i="35401"/>
  <c r="AB71" i="35401"/>
  <c r="AB24" i="35401"/>
  <c r="AB36" i="35401"/>
  <c r="AB48" i="35401"/>
  <c r="AB60" i="35401"/>
  <c r="AB72" i="35401"/>
  <c r="AB13" i="35401"/>
  <c r="AB25" i="35401"/>
  <c r="AB37" i="35401"/>
  <c r="AB49" i="35401"/>
  <c r="AB61" i="35401"/>
  <c r="AB73" i="35401"/>
  <c r="AB26" i="35401"/>
  <c r="AB38" i="35401"/>
  <c r="AB50" i="35401"/>
  <c r="AB74" i="35401"/>
  <c r="AB15" i="35401"/>
  <c r="AB39" i="35401"/>
  <c r="AB63" i="35401"/>
  <c r="AB28" i="35401"/>
  <c r="AB40" i="35401"/>
  <c r="AB52" i="35401"/>
  <c r="AB76" i="35401"/>
  <c r="AB29" i="35401"/>
  <c r="AB41" i="35401"/>
  <c r="AB65" i="35401"/>
  <c r="AB6" i="35401"/>
  <c r="AB30" i="35401"/>
  <c r="AB54" i="35401"/>
  <c r="AB7" i="35401"/>
  <c r="AB31" i="35401"/>
  <c r="AB55" i="35401"/>
  <c r="AB20" i="35401"/>
  <c r="AB56" i="35401"/>
  <c r="AB21" i="35401"/>
  <c r="AB57" i="35401"/>
  <c r="AB12" i="35401"/>
  <c r="AB14" i="35401"/>
  <c r="AB62" i="35401"/>
  <c r="AB27" i="35401"/>
  <c r="AB51" i="35401"/>
  <c r="AB75" i="35401"/>
  <c r="AB16" i="35401"/>
  <c r="AB64" i="35401"/>
  <c r="AB17" i="35401"/>
  <c r="AB53" i="35401"/>
  <c r="AB77" i="35401"/>
  <c r="AB18" i="35401"/>
  <c r="AB42" i="35401"/>
  <c r="AB66" i="35401"/>
  <c r="AB19" i="35401"/>
  <c r="AB43" i="35401"/>
  <c r="AB67" i="35401"/>
  <c r="AB8" i="35401"/>
  <c r="AB44" i="35401"/>
  <c r="AB9" i="35401"/>
  <c r="AB33" i="35401"/>
  <c r="AB78" i="35401"/>
  <c r="AB32" i="35401"/>
  <c r="AB68" i="35401"/>
  <c r="AB45" i="35401"/>
  <c r="AB69" i="35401"/>
  <c r="Y15" i="35401"/>
  <c r="Y14" i="35401"/>
  <c r="Y73" i="35401"/>
  <c r="Y71" i="35401"/>
  <c r="Y59" i="35401"/>
  <c r="Y57" i="35401"/>
  <c r="Y45" i="35401"/>
  <c r="Y55" i="35401"/>
  <c r="Y43" i="35401"/>
  <c r="Y51" i="35401"/>
  <c r="Y17" i="35401"/>
  <c r="Y74" i="35401"/>
  <c r="Y61" i="35401"/>
  <c r="Y47" i="35401"/>
  <c r="Y33" i="35401"/>
  <c r="Y31" i="35401"/>
  <c r="Y76" i="35401"/>
  <c r="Y50" i="35401"/>
  <c r="Y49" i="35401"/>
  <c r="Y35" i="35401"/>
  <c r="Y21" i="35401"/>
  <c r="Y19" i="35401"/>
  <c r="Y40" i="35401"/>
  <c r="Y26" i="35401"/>
  <c r="Y37" i="35401"/>
  <c r="Y23" i="35401"/>
  <c r="Y9" i="35401"/>
  <c r="Y7" i="35401"/>
  <c r="Y63" i="35401"/>
  <c r="Y58" i="35401"/>
  <c r="Y13" i="35401"/>
  <c r="Y11" i="35401"/>
  <c r="Y68" i="35401"/>
  <c r="Y78" i="35401"/>
  <c r="Y27" i="35401"/>
  <c r="Y52" i="35401"/>
  <c r="Y72" i="35401"/>
  <c r="Y70" i="35401"/>
  <c r="Y56" i="35401"/>
  <c r="Y66" i="35401"/>
  <c r="W36" i="35401"/>
  <c r="Y25" i="35401"/>
  <c r="Y16" i="35401"/>
  <c r="Y60" i="35401"/>
  <c r="Y46" i="35401"/>
  <c r="Y44" i="35401"/>
  <c r="Y54" i="35401"/>
  <c r="W71" i="35401"/>
  <c r="Y65" i="35401"/>
  <c r="Y75" i="35401"/>
  <c r="Y48" i="35401"/>
  <c r="Y34" i="35401"/>
  <c r="Y32" i="35401"/>
  <c r="Y42" i="35401"/>
  <c r="Y29" i="35401"/>
  <c r="Y39" i="35401"/>
  <c r="Y36" i="35401"/>
  <c r="Y22" i="35401"/>
  <c r="Y20" i="35401"/>
  <c r="Y30" i="35401"/>
  <c r="Y64" i="35401"/>
  <c r="Y62" i="35401"/>
  <c r="Y24" i="35401"/>
  <c r="Y10" i="35401"/>
  <c r="Y8" i="35401"/>
  <c r="Y18" i="35401"/>
  <c r="Y41" i="35401"/>
  <c r="Y28" i="35401"/>
  <c r="Y38" i="35401"/>
  <c r="Y12" i="35401"/>
  <c r="Y69" i="35401"/>
  <c r="Y67" i="35401"/>
  <c r="Z9" i="35401"/>
  <c r="Z21" i="35401"/>
  <c r="Z33" i="35401"/>
  <c r="Z45" i="35401"/>
  <c r="Z57" i="35401"/>
  <c r="Z69" i="35401"/>
  <c r="Z22" i="35401"/>
  <c r="Z34" i="35401"/>
  <c r="Z46" i="35401"/>
  <c r="Z58" i="35401"/>
  <c r="Z70" i="35401"/>
  <c r="Z47" i="35401"/>
  <c r="Z71" i="35401"/>
  <c r="Z24" i="35401"/>
  <c r="Z36" i="35401"/>
  <c r="Z60" i="35401"/>
  <c r="Z13" i="35401"/>
  <c r="Z37" i="35401"/>
  <c r="Z61" i="35401"/>
  <c r="Z14" i="35401"/>
  <c r="Z50" i="35401"/>
  <c r="Z27" i="35401"/>
  <c r="Z63" i="35401"/>
  <c r="Z16" i="35401"/>
  <c r="Z52" i="35401"/>
  <c r="Z29" i="35401"/>
  <c r="Z77" i="35401"/>
  <c r="Z42" i="35401"/>
  <c r="Z78" i="35401"/>
  <c r="Z19" i="35401"/>
  <c r="Z55" i="35401"/>
  <c r="Z20" i="35401"/>
  <c r="Z44" i="35401"/>
  <c r="Z10" i="35401"/>
  <c r="Z26" i="35401"/>
  <c r="Z74" i="35401"/>
  <c r="Z39" i="35401"/>
  <c r="Z75" i="35401"/>
  <c r="Z28" i="35401"/>
  <c r="Z64" i="35401"/>
  <c r="Z17" i="35401"/>
  <c r="Z53" i="35401"/>
  <c r="Z18" i="35401"/>
  <c r="Z54" i="35401"/>
  <c r="Z7" i="35401"/>
  <c r="Z43" i="35401"/>
  <c r="Z32" i="35401"/>
  <c r="Z68" i="35401"/>
  <c r="Z11" i="35401"/>
  <c r="Z23" i="35401"/>
  <c r="Z35" i="35401"/>
  <c r="Z59" i="35401"/>
  <c r="Z12" i="35401"/>
  <c r="Z48" i="35401"/>
  <c r="Z72" i="35401"/>
  <c r="Z25" i="35401"/>
  <c r="Z49" i="35401"/>
  <c r="Z73" i="35401"/>
  <c r="Z38" i="35401"/>
  <c r="Z62" i="35401"/>
  <c r="Z15" i="35401"/>
  <c r="Z51" i="35401"/>
  <c r="Z40" i="35401"/>
  <c r="Z76" i="35401"/>
  <c r="Z41" i="35401"/>
  <c r="Z6" i="35401"/>
  <c r="Z30" i="35401"/>
  <c r="Z66" i="35401"/>
  <c r="Z31" i="35401"/>
  <c r="Z67" i="35401"/>
  <c r="Z8" i="35401"/>
  <c r="Z56" i="35401"/>
  <c r="Z65" i="35401"/>
  <c r="W48" i="35401"/>
  <c r="W12" i="35401"/>
  <c r="W59" i="35401"/>
  <c r="W40" i="35401"/>
  <c r="W69" i="35401"/>
  <c r="W50" i="35401"/>
  <c r="W57" i="35401"/>
  <c r="W77" i="35401"/>
  <c r="W45" i="35401"/>
  <c r="W24" i="35401"/>
  <c r="W55" i="35401"/>
  <c r="W34" i="35401"/>
  <c r="W43" i="35401"/>
  <c r="W29" i="35401"/>
  <c r="W31" i="35401"/>
  <c r="W9" i="35401"/>
  <c r="W41" i="35401"/>
  <c r="W64" i="35401"/>
  <c r="W53" i="35401"/>
  <c r="W47" i="35401"/>
  <c r="W33" i="35401"/>
  <c r="W19" i="35401"/>
  <c r="W76" i="35401"/>
  <c r="W28" i="35401"/>
  <c r="W17" i="35401"/>
  <c r="W35" i="35401"/>
  <c r="W21" i="35401"/>
  <c r="W7" i="35401"/>
  <c r="W16" i="35401"/>
  <c r="W75" i="35401"/>
  <c r="W52" i="35401"/>
  <c r="W23" i="35401"/>
  <c r="W68" i="35401"/>
  <c r="W78" i="35401"/>
  <c r="W63" i="35401"/>
  <c r="W39" i="35401"/>
  <c r="W51" i="35401"/>
  <c r="W11" i="35401"/>
  <c r="W56" i="35401"/>
  <c r="W66" i="35401"/>
  <c r="U65" i="35401"/>
  <c r="W27" i="35401"/>
  <c r="W74" i="35401"/>
  <c r="W15" i="35401"/>
  <c r="W70" i="35401"/>
  <c r="W44" i="35401"/>
  <c r="W54" i="35401"/>
  <c r="U53" i="35401"/>
  <c r="W26" i="35401"/>
  <c r="W38" i="35401"/>
  <c r="W62" i="35401"/>
  <c r="W58" i="35401"/>
  <c r="W32" i="35401"/>
  <c r="W42" i="35401"/>
  <c r="W73" i="35401"/>
  <c r="W61" i="35401"/>
  <c r="W14" i="35401"/>
  <c r="W46" i="35401"/>
  <c r="W20" i="35401"/>
  <c r="W30" i="35401"/>
  <c r="W25" i="35401"/>
  <c r="W37" i="35401"/>
  <c r="W49" i="35401"/>
  <c r="W22" i="35401"/>
  <c r="W8" i="35401"/>
  <c r="W18" i="35401"/>
  <c r="W65" i="35401"/>
  <c r="W60" i="35401"/>
  <c r="W72" i="35401"/>
  <c r="W13" i="35401"/>
  <c r="W10" i="35401"/>
  <c r="W67" i="35401"/>
  <c r="X6" i="35401"/>
  <c r="X18" i="35401"/>
  <c r="X30" i="35401"/>
  <c r="X42" i="35401"/>
  <c r="X54" i="35401"/>
  <c r="X66" i="35401"/>
  <c r="X78" i="35401"/>
  <c r="X32" i="35401"/>
  <c r="X56" i="35401"/>
  <c r="X33" i="35401"/>
  <c r="X57" i="35401"/>
  <c r="X22" i="35401"/>
  <c r="X46" i="35401"/>
  <c r="X35" i="35401"/>
  <c r="X59" i="35401"/>
  <c r="X24" i="35401"/>
  <c r="X60" i="35401"/>
  <c r="X25" i="35401"/>
  <c r="X61" i="35401"/>
  <c r="X26" i="35401"/>
  <c r="X74" i="35401"/>
  <c r="X39" i="35401"/>
  <c r="X63" i="35401"/>
  <c r="X40" i="35401"/>
  <c r="X64" i="35401"/>
  <c r="X29" i="35401"/>
  <c r="X77" i="35401"/>
  <c r="X7" i="35401"/>
  <c r="X19" i="35401"/>
  <c r="X31" i="35401"/>
  <c r="X43" i="35401"/>
  <c r="X55" i="35401"/>
  <c r="X67" i="35401"/>
  <c r="X8" i="35401"/>
  <c r="X20" i="35401"/>
  <c r="X44" i="35401"/>
  <c r="X68" i="35401"/>
  <c r="X9" i="35401"/>
  <c r="X21" i="35401"/>
  <c r="X45" i="35401"/>
  <c r="X69" i="35401"/>
  <c r="X10" i="35401"/>
  <c r="X34" i="35401"/>
  <c r="X58" i="35401"/>
  <c r="X70" i="35401"/>
  <c r="X23" i="35401"/>
  <c r="X47" i="35401"/>
  <c r="X71" i="35401"/>
  <c r="X12" i="35401"/>
  <c r="X36" i="35401"/>
  <c r="X48" i="35401"/>
  <c r="X72" i="35401"/>
  <c r="X13" i="35401"/>
  <c r="X37" i="35401"/>
  <c r="X49" i="35401"/>
  <c r="X73" i="35401"/>
  <c r="X14" i="35401"/>
  <c r="X38" i="35401"/>
  <c r="X62" i="35401"/>
  <c r="X15" i="35401"/>
  <c r="X27" i="35401"/>
  <c r="X51" i="35401"/>
  <c r="X75" i="35401"/>
  <c r="X16" i="35401"/>
  <c r="X52" i="35401"/>
  <c r="X17" i="35401"/>
  <c r="X41" i="35401"/>
  <c r="X65" i="35401"/>
  <c r="X11" i="35401"/>
  <c r="X28" i="35401"/>
  <c r="X76" i="35401"/>
  <c r="X53" i="35401"/>
  <c r="X50" i="35401"/>
  <c r="U40" i="35401"/>
  <c r="U73" i="35401"/>
  <c r="U61" i="35401"/>
  <c r="U59" i="35401"/>
  <c r="U47" i="35401"/>
  <c r="U57" i="35401"/>
  <c r="U45" i="35401"/>
  <c r="U55" i="35401"/>
  <c r="U43" i="35401"/>
  <c r="U64" i="35401"/>
  <c r="U41" i="35401"/>
  <c r="U16" i="35401"/>
  <c r="U49" i="35401"/>
  <c r="U35" i="35401"/>
  <c r="U33" i="35401"/>
  <c r="U31" i="35401"/>
  <c r="U29" i="35401"/>
  <c r="U75" i="35401"/>
  <c r="U25" i="35401"/>
  <c r="U23" i="35401"/>
  <c r="U21" i="35401"/>
  <c r="U19" i="35401"/>
  <c r="U17" i="35401"/>
  <c r="U51" i="35401"/>
  <c r="U13" i="35401"/>
  <c r="U11" i="35401"/>
  <c r="U9" i="35401"/>
  <c r="U7" i="35401"/>
  <c r="U76" i="35401"/>
  <c r="U27" i="35401"/>
  <c r="U72" i="35401"/>
  <c r="U70" i="35401"/>
  <c r="U68" i="35401"/>
  <c r="U78" i="35401"/>
  <c r="U52" i="35401"/>
  <c r="U74" i="35401"/>
  <c r="U60" i="35401"/>
  <c r="U58" i="35401"/>
  <c r="U56" i="35401"/>
  <c r="U66" i="35401"/>
  <c r="S55" i="35401"/>
  <c r="U28" i="35401"/>
  <c r="U62" i="35401"/>
  <c r="U48" i="35401"/>
  <c r="U46" i="35401"/>
  <c r="U44" i="35401"/>
  <c r="U54" i="35401"/>
  <c r="S7" i="35401"/>
  <c r="U63" i="35401"/>
  <c r="U50" i="35401"/>
  <c r="U36" i="35401"/>
  <c r="U34" i="35401"/>
  <c r="U32" i="35401"/>
  <c r="U42" i="35401"/>
  <c r="U39" i="35401"/>
  <c r="U38" i="35401"/>
  <c r="U24" i="35401"/>
  <c r="U22" i="35401"/>
  <c r="U20" i="35401"/>
  <c r="U30" i="35401"/>
  <c r="U15" i="35401"/>
  <c r="U26" i="35401"/>
  <c r="U12" i="35401"/>
  <c r="U10" i="35401"/>
  <c r="U8" i="35401"/>
  <c r="U18" i="35401"/>
  <c r="U77" i="35401"/>
  <c r="U37" i="35401"/>
  <c r="U14" i="35401"/>
  <c r="U71" i="35401"/>
  <c r="U69" i="35401"/>
  <c r="U67" i="35401"/>
  <c r="V10" i="35401"/>
  <c r="V22" i="35401"/>
  <c r="V34" i="35401"/>
  <c r="V46" i="35401"/>
  <c r="V58" i="35401"/>
  <c r="V70" i="35401"/>
  <c r="V24" i="35401"/>
  <c r="V48" i="35401"/>
  <c r="V72" i="35401"/>
  <c r="V25" i="35401"/>
  <c r="V61" i="35401"/>
  <c r="V38" i="35401"/>
  <c r="V62" i="35401"/>
  <c r="V27" i="35401"/>
  <c r="V51" i="35401"/>
  <c r="V75" i="35401"/>
  <c r="V28" i="35401"/>
  <c r="V52" i="35401"/>
  <c r="V76" i="35401"/>
  <c r="V29" i="35401"/>
  <c r="V53" i="35401"/>
  <c r="V77" i="35401"/>
  <c r="V6" i="35401"/>
  <c r="V54" i="35401"/>
  <c r="V19" i="35401"/>
  <c r="V55" i="35401"/>
  <c r="V32" i="35401"/>
  <c r="V56" i="35401"/>
  <c r="V69" i="35401"/>
  <c r="V11" i="35401"/>
  <c r="V23" i="35401"/>
  <c r="V35" i="35401"/>
  <c r="V47" i="35401"/>
  <c r="V59" i="35401"/>
  <c r="V71" i="35401"/>
  <c r="V12" i="35401"/>
  <c r="V36" i="35401"/>
  <c r="V60" i="35401"/>
  <c r="V13" i="35401"/>
  <c r="V37" i="35401"/>
  <c r="V49" i="35401"/>
  <c r="V73" i="35401"/>
  <c r="V26" i="35401"/>
  <c r="V50" i="35401"/>
  <c r="V74" i="35401"/>
  <c r="V15" i="35401"/>
  <c r="V39" i="35401"/>
  <c r="V63" i="35401"/>
  <c r="V16" i="35401"/>
  <c r="V40" i="35401"/>
  <c r="V64" i="35401"/>
  <c r="V17" i="35401"/>
  <c r="V41" i="35401"/>
  <c r="V65" i="35401"/>
  <c r="V18" i="35401"/>
  <c r="V42" i="35401"/>
  <c r="V66" i="35401"/>
  <c r="V7" i="35401"/>
  <c r="V43" i="35401"/>
  <c r="V8" i="35401"/>
  <c r="V44" i="35401"/>
  <c r="V45" i="35401"/>
  <c r="V14" i="35401"/>
  <c r="V30" i="35401"/>
  <c r="V78" i="35401"/>
  <c r="V31" i="35401"/>
  <c r="V67" i="35401"/>
  <c r="V20" i="35401"/>
  <c r="V68" i="35401"/>
  <c r="V9" i="35401"/>
  <c r="V21" i="35401"/>
  <c r="V57" i="35401"/>
  <c r="V33" i="35401"/>
  <c r="S16" i="35401"/>
  <c r="S47" i="35401"/>
  <c r="S35" i="35401"/>
  <c r="S28" i="35401"/>
  <c r="S63" i="35401"/>
  <c r="S34" i="35401"/>
  <c r="S22" i="35401"/>
  <c r="S39" i="35401"/>
  <c r="S50" i="35401"/>
  <c r="S52" i="35401"/>
  <c r="S30" i="35401"/>
  <c r="S51" i="35401"/>
  <c r="S23" i="35401"/>
  <c r="S27" i="35401"/>
  <c r="S10" i="35401"/>
  <c r="S14" i="35401"/>
  <c r="S41" i="35401"/>
  <c r="S15" i="35401"/>
  <c r="S11" i="35401"/>
  <c r="S74" i="35401"/>
  <c r="S56" i="35401"/>
  <c r="S49" i="35401"/>
  <c r="S73" i="35401"/>
  <c r="S62" i="35401"/>
  <c r="S44" i="35401"/>
  <c r="S38" i="35401"/>
  <c r="S8" i="35401"/>
  <c r="S72" i="35401"/>
  <c r="S68" i="35401"/>
  <c r="S26" i="35401"/>
  <c r="S67" i="35401"/>
  <c r="S61" i="35401"/>
  <c r="S43" i="35401"/>
  <c r="S24" i="35401"/>
  <c r="S20" i="35401"/>
  <c r="S37" i="35401"/>
  <c r="S19" i="35401"/>
  <c r="S25" i="35401"/>
  <c r="S54" i="35401"/>
  <c r="S69" i="35401"/>
  <c r="Q29" i="35401"/>
  <c r="S31" i="35401"/>
  <c r="S13" i="35401"/>
  <c r="S78" i="35401"/>
  <c r="S60" i="35401"/>
  <c r="S6" i="35401"/>
  <c r="S57" i="35401"/>
  <c r="Q28" i="35401"/>
  <c r="S66" i="35401"/>
  <c r="S48" i="35401"/>
  <c r="S42" i="35401"/>
  <c r="S36" i="35401"/>
  <c r="S53" i="35401"/>
  <c r="S45" i="35401"/>
  <c r="S18" i="35401"/>
  <c r="S12" i="35401"/>
  <c r="S65" i="35401"/>
  <c r="S70" i="35401"/>
  <c r="S64" i="35401"/>
  <c r="S33" i="35401"/>
  <c r="S77" i="35401"/>
  <c r="S71" i="35401"/>
  <c r="S29" i="35401"/>
  <c r="S58" i="35401"/>
  <c r="S40" i="35401"/>
  <c r="S21" i="35401"/>
  <c r="S32" i="35401"/>
  <c r="S17" i="35401"/>
  <c r="S59" i="35401"/>
  <c r="S76" i="35401"/>
  <c r="S46" i="35401"/>
  <c r="S75" i="35401"/>
  <c r="T7" i="35401"/>
  <c r="T19" i="35401"/>
  <c r="T31" i="35401"/>
  <c r="T43" i="35401"/>
  <c r="T55" i="35401"/>
  <c r="T67" i="35401"/>
  <c r="T8" i="35401"/>
  <c r="T20" i="35401"/>
  <c r="T32" i="35401"/>
  <c r="T44" i="35401"/>
  <c r="T56" i="35401"/>
  <c r="T68" i="35401"/>
  <c r="T9" i="35401"/>
  <c r="T21" i="35401"/>
  <c r="T33" i="35401"/>
  <c r="T45" i="35401"/>
  <c r="T57" i="35401"/>
  <c r="T69" i="35401"/>
  <c r="T10" i="35401"/>
  <c r="T22" i="35401"/>
  <c r="T34" i="35401"/>
  <c r="T46" i="35401"/>
  <c r="T58" i="35401"/>
  <c r="T70" i="35401"/>
  <c r="T11" i="35401"/>
  <c r="T23" i="35401"/>
  <c r="T35" i="35401"/>
  <c r="T47" i="35401"/>
  <c r="T59" i="35401"/>
  <c r="T71" i="35401"/>
  <c r="T12" i="35401"/>
  <c r="T24" i="35401"/>
  <c r="T36" i="35401"/>
  <c r="T48" i="35401"/>
  <c r="T60" i="35401"/>
  <c r="T72" i="35401"/>
  <c r="T13" i="35401"/>
  <c r="T25" i="35401"/>
  <c r="T37" i="35401"/>
  <c r="T49" i="35401"/>
  <c r="T61" i="35401"/>
  <c r="T73" i="35401"/>
  <c r="T14" i="35401"/>
  <c r="T26" i="35401"/>
  <c r="T38" i="35401"/>
  <c r="T50" i="35401"/>
  <c r="T62" i="35401"/>
  <c r="T15" i="35401"/>
  <c r="T27" i="35401"/>
  <c r="T39" i="35401"/>
  <c r="T51" i="35401"/>
  <c r="T63" i="35401"/>
  <c r="T75" i="35401"/>
  <c r="T16" i="35401"/>
  <c r="T28" i="35401"/>
  <c r="T40" i="35401"/>
  <c r="T52" i="35401"/>
  <c r="T64" i="35401"/>
  <c r="T76" i="35401"/>
  <c r="T17" i="35401"/>
  <c r="T29" i="35401"/>
  <c r="T41" i="35401"/>
  <c r="T53" i="35401"/>
  <c r="T65" i="35401"/>
  <c r="T77" i="35401"/>
  <c r="T6" i="35401"/>
  <c r="T18" i="35401"/>
  <c r="T42" i="35401"/>
  <c r="T66" i="35401"/>
  <c r="T74" i="35401"/>
  <c r="T30" i="35401"/>
  <c r="T54" i="35401"/>
  <c r="T78" i="35401"/>
  <c r="Q63" i="35401"/>
  <c r="Q73" i="35401"/>
  <c r="Q61" i="35401"/>
  <c r="Q59" i="35401"/>
  <c r="Q47" i="35401"/>
  <c r="Q57" i="35401"/>
  <c r="Q45" i="35401"/>
  <c r="Q55" i="35401"/>
  <c r="Q43" i="35401"/>
  <c r="Q75" i="35401"/>
  <c r="Q49" i="35401"/>
  <c r="Q51" i="35401"/>
  <c r="Q37" i="35401"/>
  <c r="Q35" i="35401"/>
  <c r="Q33" i="35401"/>
  <c r="Q31" i="35401"/>
  <c r="Q77" i="35401"/>
  <c r="Q39" i="35401"/>
  <c r="Q25" i="35401"/>
  <c r="Q23" i="35401"/>
  <c r="Q21" i="35401"/>
  <c r="Q19" i="35401"/>
  <c r="Q53" i="35401"/>
  <c r="Q27" i="35401"/>
  <c r="Q13" i="35401"/>
  <c r="Q11" i="35401"/>
  <c r="Q9" i="35401"/>
  <c r="Q7" i="35401"/>
  <c r="Q41" i="35401"/>
  <c r="Q15" i="35401"/>
  <c r="Q72" i="35401"/>
  <c r="Q70" i="35401"/>
  <c r="Q68" i="35401"/>
  <c r="Q78" i="35401"/>
  <c r="Q17" i="35401"/>
  <c r="Q74" i="35401"/>
  <c r="Q60" i="35401"/>
  <c r="Q58" i="35401"/>
  <c r="Q56" i="35401"/>
  <c r="Q66" i="35401"/>
  <c r="O9" i="35401"/>
  <c r="Q76" i="35401"/>
  <c r="Q62" i="35401"/>
  <c r="Q48" i="35401"/>
  <c r="Q46" i="35401"/>
  <c r="Q44" i="35401"/>
  <c r="Q54" i="35401"/>
  <c r="O44" i="35401"/>
  <c r="Q64" i="35401"/>
  <c r="Q50" i="35401"/>
  <c r="Q36" i="35401"/>
  <c r="Q34" i="35401"/>
  <c r="Q32" i="35401"/>
  <c r="Q42" i="35401"/>
  <c r="Q52" i="35401"/>
  <c r="Q38" i="35401"/>
  <c r="Q24" i="35401"/>
  <c r="Q22" i="35401"/>
  <c r="Q20" i="35401"/>
  <c r="Q30" i="35401"/>
  <c r="Q40" i="35401"/>
  <c r="Q26" i="35401"/>
  <c r="Q12" i="35401"/>
  <c r="Q10" i="35401"/>
  <c r="Q8" i="35401"/>
  <c r="Q18" i="35401"/>
  <c r="Q65" i="35401"/>
  <c r="Q16" i="35401"/>
  <c r="Q14" i="35401"/>
  <c r="Q71" i="35401"/>
  <c r="Q69" i="35401"/>
  <c r="Q67" i="35401"/>
  <c r="R6" i="35401"/>
  <c r="R18" i="35401"/>
  <c r="R30" i="35401"/>
  <c r="R42" i="35401"/>
  <c r="R54" i="35401"/>
  <c r="R66" i="35401"/>
  <c r="R78" i="35401"/>
  <c r="R7" i="35401"/>
  <c r="R19" i="35401"/>
  <c r="R31" i="35401"/>
  <c r="R43" i="35401"/>
  <c r="R55" i="35401"/>
  <c r="R67" i="35401"/>
  <c r="R8" i="35401"/>
  <c r="R20" i="35401"/>
  <c r="R32" i="35401"/>
  <c r="R44" i="35401"/>
  <c r="R56" i="35401"/>
  <c r="R68" i="35401"/>
  <c r="R21" i="35401"/>
  <c r="R33" i="35401"/>
  <c r="R45" i="35401"/>
  <c r="R57" i="35401"/>
  <c r="R69" i="35401"/>
  <c r="R10" i="35401"/>
  <c r="R22" i="35401"/>
  <c r="R34" i="35401"/>
  <c r="R46" i="35401"/>
  <c r="R58" i="35401"/>
  <c r="R70" i="35401"/>
  <c r="R11" i="35401"/>
  <c r="R23" i="35401"/>
  <c r="R35" i="35401"/>
  <c r="R47" i="35401"/>
  <c r="R71" i="35401"/>
  <c r="R12" i="35401"/>
  <c r="R48" i="35401"/>
  <c r="R60" i="35401"/>
  <c r="R72" i="35401"/>
  <c r="R13" i="35401"/>
  <c r="R25" i="35401"/>
  <c r="R37" i="35401"/>
  <c r="R49" i="35401"/>
  <c r="R61" i="35401"/>
  <c r="R26" i="35401"/>
  <c r="R74" i="35401"/>
  <c r="R16" i="35401"/>
  <c r="R52" i="35401"/>
  <c r="R17" i="35401"/>
  <c r="R53" i="35401"/>
  <c r="R9" i="35401"/>
  <c r="R59" i="35401"/>
  <c r="R24" i="35401"/>
  <c r="R14" i="35401"/>
  <c r="R50" i="35401"/>
  <c r="R15" i="35401"/>
  <c r="R39" i="35401"/>
  <c r="R63" i="35401"/>
  <c r="R28" i="35401"/>
  <c r="R64" i="35401"/>
  <c r="R41" i="35401"/>
  <c r="R77" i="35401"/>
  <c r="R36" i="35401"/>
  <c r="R73" i="35401"/>
  <c r="R38" i="35401"/>
  <c r="R62" i="35401"/>
  <c r="R27" i="35401"/>
  <c r="R51" i="35401"/>
  <c r="R75" i="35401"/>
  <c r="R40" i="35401"/>
  <c r="R76" i="35401"/>
  <c r="R29" i="35401"/>
  <c r="R65" i="35401"/>
  <c r="O6" i="35401"/>
  <c r="O26" i="35401"/>
  <c r="O14" i="35401"/>
  <c r="O24" i="35401"/>
  <c r="O12" i="35401"/>
  <c r="O41" i="35401"/>
  <c r="O17" i="35401"/>
  <c r="O59" i="35401"/>
  <c r="O47" i="35401"/>
  <c r="O42" i="35401"/>
  <c r="O8" i="35401"/>
  <c r="O77" i="35401"/>
  <c r="O73" i="35401"/>
  <c r="O33" i="35401"/>
  <c r="O64" i="35401"/>
  <c r="O35" i="35401"/>
  <c r="O67" i="35401"/>
  <c r="O53" i="35401"/>
  <c r="O61" i="35401"/>
  <c r="O56" i="35401"/>
  <c r="O40" i="35401"/>
  <c r="O23" i="35401"/>
  <c r="O30" i="35401"/>
  <c r="O29" i="35401"/>
  <c r="O49" i="35401"/>
  <c r="O20" i="35401"/>
  <c r="O16" i="35401"/>
  <c r="O11" i="35401"/>
  <c r="O57" i="35401"/>
  <c r="O76" i="35401"/>
  <c r="O37" i="35401"/>
  <c r="O55" i="35401"/>
  <c r="O75" i="35401"/>
  <c r="O70" i="35401"/>
  <c r="M77" i="35401"/>
  <c r="O21" i="35401"/>
  <c r="O52" i="35401"/>
  <c r="O25" i="35401"/>
  <c r="O31" i="35401"/>
  <c r="O63" i="35401"/>
  <c r="O58" i="35401"/>
  <c r="M29" i="35401"/>
  <c r="O68" i="35401"/>
  <c r="O28" i="35401"/>
  <c r="O13" i="35401"/>
  <c r="O7" i="35401"/>
  <c r="O39" i="35401"/>
  <c r="O46" i="35401"/>
  <c r="M75" i="35401"/>
  <c r="O32" i="35401"/>
  <c r="O51" i="35401"/>
  <c r="O72" i="35401"/>
  <c r="O78" i="35401"/>
  <c r="O15" i="35401"/>
  <c r="O34" i="35401"/>
  <c r="O43" i="35401"/>
  <c r="O27" i="35401"/>
  <c r="O60" i="35401"/>
  <c r="O54" i="35401"/>
  <c r="O62" i="35401"/>
  <c r="O22" i="35401"/>
  <c r="O19" i="35401"/>
  <c r="O74" i="35401"/>
  <c r="O48" i="35401"/>
  <c r="O18" i="35401"/>
  <c r="O38" i="35401"/>
  <c r="O10" i="35401"/>
  <c r="O69" i="35401"/>
  <c r="O66" i="35401"/>
  <c r="O50" i="35401"/>
  <c r="O36" i="35401"/>
  <c r="O65" i="35401"/>
  <c r="O71" i="35401"/>
  <c r="P8" i="35401"/>
  <c r="P20" i="35401"/>
  <c r="P32" i="35401"/>
  <c r="P44" i="35401"/>
  <c r="P56" i="35401"/>
  <c r="P68" i="35401"/>
  <c r="P22" i="35401"/>
  <c r="P58" i="35401"/>
  <c r="P35" i="35401"/>
  <c r="P71" i="35401"/>
  <c r="P36" i="35401"/>
  <c r="P60" i="35401"/>
  <c r="P25" i="35401"/>
  <c r="P73" i="35401"/>
  <c r="P74" i="35401"/>
  <c r="P15" i="35401"/>
  <c r="P63" i="35401"/>
  <c r="P40" i="35401"/>
  <c r="P76" i="35401"/>
  <c r="P53" i="35401"/>
  <c r="P18" i="35401"/>
  <c r="P54" i="35401"/>
  <c r="P43" i="35401"/>
  <c r="P9" i="35401"/>
  <c r="P21" i="35401"/>
  <c r="P33" i="35401"/>
  <c r="P45" i="35401"/>
  <c r="P57" i="35401"/>
  <c r="P69" i="35401"/>
  <c r="P34" i="35401"/>
  <c r="P46" i="35401"/>
  <c r="P70" i="35401"/>
  <c r="P23" i="35401"/>
  <c r="P59" i="35401"/>
  <c r="P24" i="35401"/>
  <c r="P72" i="35401"/>
  <c r="P61" i="35401"/>
  <c r="P14" i="35401"/>
  <c r="P50" i="35401"/>
  <c r="P39" i="35401"/>
  <c r="P16" i="35401"/>
  <c r="P64" i="35401"/>
  <c r="P17" i="35401"/>
  <c r="P77" i="35401"/>
  <c r="P66" i="35401"/>
  <c r="P19" i="35401"/>
  <c r="P67" i="35401"/>
  <c r="P10" i="35401"/>
  <c r="P47" i="35401"/>
  <c r="P12" i="35401"/>
  <c r="P48" i="35401"/>
  <c r="P37" i="35401"/>
  <c r="P26" i="35401"/>
  <c r="P62" i="35401"/>
  <c r="P51" i="35401"/>
  <c r="P28" i="35401"/>
  <c r="P41" i="35401"/>
  <c r="P65" i="35401"/>
  <c r="P30" i="35401"/>
  <c r="P78" i="35401"/>
  <c r="P31" i="35401"/>
  <c r="P11" i="35401"/>
  <c r="P13" i="35401"/>
  <c r="P49" i="35401"/>
  <c r="P38" i="35401"/>
  <c r="P27" i="35401"/>
  <c r="P75" i="35401"/>
  <c r="P52" i="35401"/>
  <c r="P29" i="35401"/>
  <c r="P42" i="35401"/>
  <c r="P7" i="35401"/>
  <c r="P55" i="35401"/>
  <c r="P6" i="35401"/>
  <c r="M39" i="35401"/>
  <c r="M74" i="35401"/>
  <c r="M68" i="35401"/>
  <c r="M56" i="35401"/>
  <c r="M37" i="35401"/>
  <c r="M60" i="35401"/>
  <c r="M55" i="35401"/>
  <c r="M43" i="35401"/>
  <c r="M52" i="35401"/>
  <c r="M76" i="35401"/>
  <c r="M15" i="35401"/>
  <c r="M26" i="35401"/>
  <c r="M44" i="35401"/>
  <c r="M12" i="35401"/>
  <c r="M31" i="35401"/>
  <c r="M40" i="35401"/>
  <c r="M38" i="35401"/>
  <c r="M61" i="35401"/>
  <c r="M32" i="35401"/>
  <c r="M47" i="35401"/>
  <c r="M19" i="35401"/>
  <c r="M63" i="35401"/>
  <c r="M14" i="35401"/>
  <c r="M25" i="35401"/>
  <c r="M20" i="35401"/>
  <c r="M35" i="35401"/>
  <c r="M7" i="35401"/>
  <c r="M27" i="35401"/>
  <c r="M48" i="35401"/>
  <c r="M72" i="35401"/>
  <c r="M8" i="35401"/>
  <c r="M70" i="35401"/>
  <c r="M78" i="35401"/>
  <c r="M62" i="35401"/>
  <c r="M71" i="35401"/>
  <c r="M36" i="35401"/>
  <c r="M53" i="35401"/>
  <c r="M46" i="35401"/>
  <c r="M66" i="35401"/>
  <c r="K17" i="35401"/>
  <c r="M49" i="35401"/>
  <c r="M11" i="35401"/>
  <c r="M23" i="35401"/>
  <c r="M64" i="35401"/>
  <c r="M34" i="35401"/>
  <c r="M54" i="35401"/>
  <c r="K76" i="35401"/>
  <c r="M13" i="35401"/>
  <c r="M9" i="35401"/>
  <c r="M58" i="35401"/>
  <c r="M16" i="35401"/>
  <c r="M69" i="35401"/>
  <c r="M42" i="35401"/>
  <c r="M24" i="35401"/>
  <c r="M65" i="35401"/>
  <c r="M22" i="35401"/>
  <c r="M51" i="35401"/>
  <c r="M45" i="35401"/>
  <c r="M30" i="35401"/>
  <c r="M59" i="35401"/>
  <c r="M17" i="35401"/>
  <c r="M57" i="35401"/>
  <c r="M50" i="35401"/>
  <c r="M21" i="35401"/>
  <c r="M18" i="35401"/>
  <c r="M41" i="35401"/>
  <c r="M10" i="35401"/>
  <c r="M28" i="35401"/>
  <c r="M33" i="35401"/>
  <c r="M73" i="35401"/>
  <c r="M67" i="35401"/>
  <c r="N12" i="35401"/>
  <c r="N24" i="35401"/>
  <c r="N36" i="35401"/>
  <c r="N48" i="35401"/>
  <c r="N60" i="35401"/>
  <c r="N72" i="35401"/>
  <c r="N57" i="35401"/>
  <c r="N10" i="35401"/>
  <c r="N58" i="35401"/>
  <c r="N23" i="35401"/>
  <c r="N71" i="35401"/>
  <c r="N13" i="35401"/>
  <c r="N25" i="35401"/>
  <c r="N37" i="35401"/>
  <c r="N49" i="35401"/>
  <c r="N61" i="35401"/>
  <c r="N73" i="35401"/>
  <c r="N14" i="35401"/>
  <c r="N26" i="35401"/>
  <c r="N38" i="35401"/>
  <c r="N50" i="35401"/>
  <c r="N62" i="35401"/>
  <c r="N74" i="35401"/>
  <c r="N52" i="35401"/>
  <c r="N76" i="35401"/>
  <c r="N17" i="35401"/>
  <c r="N41" i="35401"/>
  <c r="N65" i="35401"/>
  <c r="N6" i="35401"/>
  <c r="N30" i="35401"/>
  <c r="N42" i="35401"/>
  <c r="N66" i="35401"/>
  <c r="N78" i="35401"/>
  <c r="N7" i="35401"/>
  <c r="N43" i="35401"/>
  <c r="N67" i="35401"/>
  <c r="N8" i="35401"/>
  <c r="N32" i="35401"/>
  <c r="N56" i="35401"/>
  <c r="N9" i="35401"/>
  <c r="N33" i="35401"/>
  <c r="N69" i="35401"/>
  <c r="N22" i="35401"/>
  <c r="N46" i="35401"/>
  <c r="N11" i="35401"/>
  <c r="N47" i="35401"/>
  <c r="N15" i="35401"/>
  <c r="N27" i="35401"/>
  <c r="N39" i="35401"/>
  <c r="N51" i="35401"/>
  <c r="N63" i="35401"/>
  <c r="N75" i="35401"/>
  <c r="N16" i="35401"/>
  <c r="N28" i="35401"/>
  <c r="N40" i="35401"/>
  <c r="N64" i="35401"/>
  <c r="N29" i="35401"/>
  <c r="N53" i="35401"/>
  <c r="N77" i="35401"/>
  <c r="N18" i="35401"/>
  <c r="N54" i="35401"/>
  <c r="N19" i="35401"/>
  <c r="N31" i="35401"/>
  <c r="N55" i="35401"/>
  <c r="N20" i="35401"/>
  <c r="N44" i="35401"/>
  <c r="N68" i="35401"/>
  <c r="N21" i="35401"/>
  <c r="N45" i="35401"/>
  <c r="N34" i="35401"/>
  <c r="N70" i="35401"/>
  <c r="N35" i="35401"/>
  <c r="N59" i="35401"/>
  <c r="K62" i="35401"/>
  <c r="K70" i="35401"/>
  <c r="K46" i="35401"/>
  <c r="K8" i="35401"/>
  <c r="K77" i="35401"/>
  <c r="K72" i="35401"/>
  <c r="K48" i="35401"/>
  <c r="K55" i="35401"/>
  <c r="K43" i="35401"/>
  <c r="K27" i="35401"/>
  <c r="K40" i="35401"/>
  <c r="K14" i="35401"/>
  <c r="K10" i="35401"/>
  <c r="K29" i="35401"/>
  <c r="K24" i="35401"/>
  <c r="K31" i="35401"/>
  <c r="K75" i="35401"/>
  <c r="K49" i="35401"/>
  <c r="K57" i="35401"/>
  <c r="K52" i="35401"/>
  <c r="K71" i="35401"/>
  <c r="K19" i="35401"/>
  <c r="K39" i="35401"/>
  <c r="K37" i="35401"/>
  <c r="K45" i="35401"/>
  <c r="K16" i="35401"/>
  <c r="K47" i="35401"/>
  <c r="K7" i="35401"/>
  <c r="K73" i="35401"/>
  <c r="K13" i="35401"/>
  <c r="K21" i="35401"/>
  <c r="K51" i="35401"/>
  <c r="K11" i="35401"/>
  <c r="K78" i="35401"/>
  <c r="K65" i="35401"/>
  <c r="K60" i="35401"/>
  <c r="K9" i="35401"/>
  <c r="K15" i="35401"/>
  <c r="K58" i="35401"/>
  <c r="K66" i="35401"/>
  <c r="I63" i="35401"/>
  <c r="K38" i="35401"/>
  <c r="K36" i="35401"/>
  <c r="K68" i="35401"/>
  <c r="K74" i="35401"/>
  <c r="K34" i="35401"/>
  <c r="K54" i="35401"/>
  <c r="I53" i="35401"/>
  <c r="K41" i="35401"/>
  <c r="K12" i="35401"/>
  <c r="K56" i="35401"/>
  <c r="K50" i="35401"/>
  <c r="K22" i="35401"/>
  <c r="K42" i="35401"/>
  <c r="K64" i="35401"/>
  <c r="K59" i="35401"/>
  <c r="K44" i="35401"/>
  <c r="K26" i="35401"/>
  <c r="K69" i="35401"/>
  <c r="K30" i="35401"/>
  <c r="K28" i="35401"/>
  <c r="K35" i="35401"/>
  <c r="K32" i="35401"/>
  <c r="K61" i="35401"/>
  <c r="K33" i="35401"/>
  <c r="K18" i="35401"/>
  <c r="K53" i="35401"/>
  <c r="K63" i="35401"/>
  <c r="K23" i="35401"/>
  <c r="K20" i="35401"/>
  <c r="K25" i="35401"/>
  <c r="K67" i="35401"/>
  <c r="L8" i="35401"/>
  <c r="L20" i="35401"/>
  <c r="L32" i="35401"/>
  <c r="L44" i="35401"/>
  <c r="L56" i="35401"/>
  <c r="L68" i="35401"/>
  <c r="L9" i="35401"/>
  <c r="L21" i="35401"/>
  <c r="L33" i="35401"/>
  <c r="L45" i="35401"/>
  <c r="L57" i="35401"/>
  <c r="L69" i="35401"/>
  <c r="L24" i="35401"/>
  <c r="L36" i="35401"/>
  <c r="L60" i="35401"/>
  <c r="L13" i="35401"/>
  <c r="L37" i="35401"/>
  <c r="L73" i="35401"/>
  <c r="L26" i="35401"/>
  <c r="L50" i="35401"/>
  <c r="L74" i="35401"/>
  <c r="L15" i="35401"/>
  <c r="L51" i="35401"/>
  <c r="L75" i="35401"/>
  <c r="L28" i="35401"/>
  <c r="L40" i="35401"/>
  <c r="L64" i="35401"/>
  <c r="L10" i="35401"/>
  <c r="L22" i="35401"/>
  <c r="L34" i="35401"/>
  <c r="L46" i="35401"/>
  <c r="L58" i="35401"/>
  <c r="L70" i="35401"/>
  <c r="L11" i="35401"/>
  <c r="L23" i="35401"/>
  <c r="L35" i="35401"/>
  <c r="L47" i="35401"/>
  <c r="L59" i="35401"/>
  <c r="L71" i="35401"/>
  <c r="L12" i="35401"/>
  <c r="L48" i="35401"/>
  <c r="L72" i="35401"/>
  <c r="L25" i="35401"/>
  <c r="L49" i="35401"/>
  <c r="L61" i="35401"/>
  <c r="L14" i="35401"/>
  <c r="L38" i="35401"/>
  <c r="L62" i="35401"/>
  <c r="L27" i="35401"/>
  <c r="L39" i="35401"/>
  <c r="L63" i="35401"/>
  <c r="L16" i="35401"/>
  <c r="L52" i="35401"/>
  <c r="L76" i="35401"/>
  <c r="L17" i="35401"/>
  <c r="L41" i="35401"/>
  <c r="L53" i="35401"/>
  <c r="L65" i="35401"/>
  <c r="L77" i="35401"/>
  <c r="L6" i="35401"/>
  <c r="L18" i="35401"/>
  <c r="L30" i="35401"/>
  <c r="L42" i="35401"/>
  <c r="L54" i="35401"/>
  <c r="L66" i="35401"/>
  <c r="L78" i="35401"/>
  <c r="L7" i="35401"/>
  <c r="L19" i="35401"/>
  <c r="L31" i="35401"/>
  <c r="L43" i="35401"/>
  <c r="L55" i="35401"/>
  <c r="L67" i="35401"/>
  <c r="L29" i="35401"/>
  <c r="I50" i="35401"/>
  <c r="I65" i="35401"/>
  <c r="I29" i="35401"/>
  <c r="I72" i="35401"/>
  <c r="I48" i="35401"/>
  <c r="I10" i="35401"/>
  <c r="I69" i="35401"/>
  <c r="I55" i="35401"/>
  <c r="I43" i="35401"/>
  <c r="I74" i="35401"/>
  <c r="I52" i="35401"/>
  <c r="I26" i="35401"/>
  <c r="I64" i="35401"/>
  <c r="I24" i="35401"/>
  <c r="I45" i="35401"/>
  <c r="I31" i="35401"/>
  <c r="I16" i="35401"/>
  <c r="I73" i="35401"/>
  <c r="I28" i="35401"/>
  <c r="I71" i="35401"/>
  <c r="I33" i="35401"/>
  <c r="I19" i="35401"/>
  <c r="I35" i="35401"/>
  <c r="I49" i="35401"/>
  <c r="I51" i="35401"/>
  <c r="I47" i="35401"/>
  <c r="I21" i="35401"/>
  <c r="I7" i="35401"/>
  <c r="I76" i="35401"/>
  <c r="I25" i="35401"/>
  <c r="I27" i="35401"/>
  <c r="I23" i="35401"/>
  <c r="I68" i="35401"/>
  <c r="I78" i="35401"/>
  <c r="I41" i="35401"/>
  <c r="I60" i="35401"/>
  <c r="I62" i="35401"/>
  <c r="I11" i="35401"/>
  <c r="I56" i="35401"/>
  <c r="I66" i="35401"/>
  <c r="G65" i="35401"/>
  <c r="I17" i="35401"/>
  <c r="I36" i="35401"/>
  <c r="I38" i="35401"/>
  <c r="I70" i="35401"/>
  <c r="I44" i="35401"/>
  <c r="I54" i="35401"/>
  <c r="G29" i="35401"/>
  <c r="I40" i="35401"/>
  <c r="I12" i="35401"/>
  <c r="I14" i="35401"/>
  <c r="I58" i="35401"/>
  <c r="I32" i="35401"/>
  <c r="I42" i="35401"/>
  <c r="I75" i="35401"/>
  <c r="I59" i="35401"/>
  <c r="I61" i="35401"/>
  <c r="I46" i="35401"/>
  <c r="I20" i="35401"/>
  <c r="I30" i="35401"/>
  <c r="I39" i="35401"/>
  <c r="I57" i="35401"/>
  <c r="I37" i="35401"/>
  <c r="I34" i="35401"/>
  <c r="I8" i="35401"/>
  <c r="I18" i="35401"/>
  <c r="I77" i="35401"/>
  <c r="I15" i="35401"/>
  <c r="I9" i="35401"/>
  <c r="I13" i="35401"/>
  <c r="I22" i="35401"/>
  <c r="I67" i="35401"/>
  <c r="J9" i="35401"/>
  <c r="J21" i="35401"/>
  <c r="J33" i="35401"/>
  <c r="J45" i="35401"/>
  <c r="J57" i="35401"/>
  <c r="J69" i="35401"/>
  <c r="J12" i="35401"/>
  <c r="J48" i="35401"/>
  <c r="J13" i="35401"/>
  <c r="J25" i="35401"/>
  <c r="J61" i="35401"/>
  <c r="J26" i="35401"/>
  <c r="J62" i="35401"/>
  <c r="J27" i="35401"/>
  <c r="J63" i="35401"/>
  <c r="J52" i="35401"/>
  <c r="J17" i="35401"/>
  <c r="J53" i="35401"/>
  <c r="J6" i="35401"/>
  <c r="J54" i="35401"/>
  <c r="J19" i="35401"/>
  <c r="J67" i="35401"/>
  <c r="J20" i="35401"/>
  <c r="J10" i="35401"/>
  <c r="J22" i="35401"/>
  <c r="J34" i="35401"/>
  <c r="J46" i="35401"/>
  <c r="J58" i="35401"/>
  <c r="J70" i="35401"/>
  <c r="J71" i="35401"/>
  <c r="J24" i="35401"/>
  <c r="J60" i="35401"/>
  <c r="J37" i="35401"/>
  <c r="J73" i="35401"/>
  <c r="J38" i="35401"/>
  <c r="J74" i="35401"/>
  <c r="J15" i="35401"/>
  <c r="J51" i="35401"/>
  <c r="J28" i="35401"/>
  <c r="J64" i="35401"/>
  <c r="J29" i="35401"/>
  <c r="J65" i="35401"/>
  <c r="J18" i="35401"/>
  <c r="J42" i="35401"/>
  <c r="J78" i="35401"/>
  <c r="J7" i="35401"/>
  <c r="J43" i="35401"/>
  <c r="J44" i="35401"/>
  <c r="J68" i="35401"/>
  <c r="J11" i="35401"/>
  <c r="J23" i="35401"/>
  <c r="J35" i="35401"/>
  <c r="J47" i="35401"/>
  <c r="J59" i="35401"/>
  <c r="J36" i="35401"/>
  <c r="J72" i="35401"/>
  <c r="J49" i="35401"/>
  <c r="J14" i="35401"/>
  <c r="J50" i="35401"/>
  <c r="J39" i="35401"/>
  <c r="J75" i="35401"/>
  <c r="J40" i="35401"/>
  <c r="J76" i="35401"/>
  <c r="J41" i="35401"/>
  <c r="J77" i="35401"/>
  <c r="J30" i="35401"/>
  <c r="J66" i="35401"/>
  <c r="J31" i="35401"/>
  <c r="J55" i="35401"/>
  <c r="J32" i="35401"/>
  <c r="J16" i="35401"/>
  <c r="J8" i="35401"/>
  <c r="J56" i="35401"/>
  <c r="G9" i="35401"/>
  <c r="G50" i="35401"/>
  <c r="G26" i="35401"/>
  <c r="G71" i="35401"/>
  <c r="G59" i="35401"/>
  <c r="G69" i="35401"/>
  <c r="G57" i="35401"/>
  <c r="G55" i="35401"/>
  <c r="G43" i="35401"/>
  <c r="G25" i="35401"/>
  <c r="G64" i="35401"/>
  <c r="G77" i="35401"/>
  <c r="G73" i="35401"/>
  <c r="G47" i="35401"/>
  <c r="G45" i="35401"/>
  <c r="G31" i="35401"/>
  <c r="G40" i="35401"/>
  <c r="G41" i="35401"/>
  <c r="G49" i="35401"/>
  <c r="G35" i="35401"/>
  <c r="G33" i="35401"/>
  <c r="G19" i="35401"/>
  <c r="G16" i="35401"/>
  <c r="G17" i="35401"/>
  <c r="G37" i="35401"/>
  <c r="G23" i="35401"/>
  <c r="G21" i="35401"/>
  <c r="G7" i="35401"/>
  <c r="G63" i="35401"/>
  <c r="G76" i="35401"/>
  <c r="G13" i="35401"/>
  <c r="G11" i="35401"/>
  <c r="G68" i="35401"/>
  <c r="G78" i="35401"/>
  <c r="G39" i="35401"/>
  <c r="G52" i="35401"/>
  <c r="G72" i="35401"/>
  <c r="G70" i="35401"/>
  <c r="G56" i="35401"/>
  <c r="G66" i="35401"/>
  <c r="E16" i="35401"/>
  <c r="G15" i="35401"/>
  <c r="G28" i="35401"/>
  <c r="G60" i="35401"/>
  <c r="G58" i="35401"/>
  <c r="G44" i="35401"/>
  <c r="G54" i="35401"/>
  <c r="E51" i="35401"/>
  <c r="G62" i="35401"/>
  <c r="G75" i="35401"/>
  <c r="G48" i="35401"/>
  <c r="G46" i="35401"/>
  <c r="G32" i="35401"/>
  <c r="G42" i="35401"/>
  <c r="G38" i="35401"/>
  <c r="G51" i="35401"/>
  <c r="G36" i="35401"/>
  <c r="G34" i="35401"/>
  <c r="G20" i="35401"/>
  <c r="G30" i="35401"/>
  <c r="G14" i="35401"/>
  <c r="G27" i="35401"/>
  <c r="G24" i="35401"/>
  <c r="G22" i="35401"/>
  <c r="G8" i="35401"/>
  <c r="G18" i="35401"/>
  <c r="G53" i="35401"/>
  <c r="G61" i="35401"/>
  <c r="G74" i="35401"/>
  <c r="G12" i="35401"/>
  <c r="G10" i="35401"/>
  <c r="G67" i="35401"/>
  <c r="H8" i="35401"/>
  <c r="H20" i="35401"/>
  <c r="H32" i="35401"/>
  <c r="H44" i="35401"/>
  <c r="H56" i="35401"/>
  <c r="H68" i="35401"/>
  <c r="H9" i="35401"/>
  <c r="H21" i="35401"/>
  <c r="H33" i="35401"/>
  <c r="H45" i="35401"/>
  <c r="H57" i="35401"/>
  <c r="H69" i="35401"/>
  <c r="H22" i="35401"/>
  <c r="H34" i="35401"/>
  <c r="H46" i="35401"/>
  <c r="H58" i="35401"/>
  <c r="H70" i="35401"/>
  <c r="H23" i="35401"/>
  <c r="H35" i="35401"/>
  <c r="H47" i="35401"/>
  <c r="H59" i="35401"/>
  <c r="H24" i="35401"/>
  <c r="H48" i="35401"/>
  <c r="H72" i="35401"/>
  <c r="H13" i="35401"/>
  <c r="H37" i="35401"/>
  <c r="H61" i="35401"/>
  <c r="H26" i="35401"/>
  <c r="H62" i="35401"/>
  <c r="H15" i="35401"/>
  <c r="H75" i="35401"/>
  <c r="H40" i="35401"/>
  <c r="H29" i="35401"/>
  <c r="H77" i="35401"/>
  <c r="H30" i="35401"/>
  <c r="H78" i="35401"/>
  <c r="H31" i="35401"/>
  <c r="H10" i="35401"/>
  <c r="H71" i="35401"/>
  <c r="H36" i="35401"/>
  <c r="H60" i="35401"/>
  <c r="H25" i="35401"/>
  <c r="H49" i="35401"/>
  <c r="H73" i="35401"/>
  <c r="H38" i="35401"/>
  <c r="H74" i="35401"/>
  <c r="H39" i="35401"/>
  <c r="H16" i="35401"/>
  <c r="H64" i="35401"/>
  <c r="H41" i="35401"/>
  <c r="H6" i="35401"/>
  <c r="H54" i="35401"/>
  <c r="H43" i="35401"/>
  <c r="H11" i="35401"/>
  <c r="H14" i="35401"/>
  <c r="H50" i="35401"/>
  <c r="H27" i="35401"/>
  <c r="H63" i="35401"/>
  <c r="H28" i="35401"/>
  <c r="H76" i="35401"/>
  <c r="H53" i="35401"/>
  <c r="H18" i="35401"/>
  <c r="H66" i="35401"/>
  <c r="H55" i="35401"/>
  <c r="H12" i="35401"/>
  <c r="H51" i="35401"/>
  <c r="H52" i="35401"/>
  <c r="H17" i="35401"/>
  <c r="H65" i="35401"/>
  <c r="H42" i="35401"/>
  <c r="H19" i="35401"/>
  <c r="H67" i="35401"/>
  <c r="H7" i="35401"/>
  <c r="E17" i="35401"/>
  <c r="E24" i="35401"/>
  <c r="E71" i="35401"/>
  <c r="E69" i="35401"/>
  <c r="E57" i="35401"/>
  <c r="E39" i="35401"/>
  <c r="E62" i="35401"/>
  <c r="E55" i="35401"/>
  <c r="E43" i="35401"/>
  <c r="E53" i="35401"/>
  <c r="E15" i="35401"/>
  <c r="E76" i="35401"/>
  <c r="E59" i="35401"/>
  <c r="E45" i="35401"/>
  <c r="E14" i="35401"/>
  <c r="E31" i="35401"/>
  <c r="E50" i="35401"/>
  <c r="E40" i="35401"/>
  <c r="E47" i="35401"/>
  <c r="E33" i="35401"/>
  <c r="E73" i="35401"/>
  <c r="E19" i="35401"/>
  <c r="E26" i="35401"/>
  <c r="E63" i="35401"/>
  <c r="E35" i="35401"/>
  <c r="E21" i="35401"/>
  <c r="E37" i="35401"/>
  <c r="E7" i="35401"/>
  <c r="E49" i="35401"/>
  <c r="E27" i="35401"/>
  <c r="E23" i="35401"/>
  <c r="E9" i="35401"/>
  <c r="E68" i="35401"/>
  <c r="E78" i="35401"/>
  <c r="E13" i="35401"/>
  <c r="E74" i="35401"/>
  <c r="E11" i="35401"/>
  <c r="E65" i="35401"/>
  <c r="E56" i="35401"/>
  <c r="E66" i="35401"/>
  <c r="C31" i="35401"/>
  <c r="E60" i="35401"/>
  <c r="E38" i="35401"/>
  <c r="E70" i="35401"/>
  <c r="E41" i="35401"/>
  <c r="E44" i="35401"/>
  <c r="E54" i="35401"/>
  <c r="C54" i="35401"/>
  <c r="E36" i="35401"/>
  <c r="E61" i="35401"/>
  <c r="E58" i="35401"/>
  <c r="E29" i="35401"/>
  <c r="E32" i="35401"/>
  <c r="E42" i="35401"/>
  <c r="E12" i="35401"/>
  <c r="E25" i="35401"/>
  <c r="E46" i="35401"/>
  <c r="E64" i="35401"/>
  <c r="E20" i="35401"/>
  <c r="E30" i="35401"/>
  <c r="E10" i="35401"/>
  <c r="E72" i="35401"/>
  <c r="E34" i="35401"/>
  <c r="E28" i="35401"/>
  <c r="E8" i="35401"/>
  <c r="E18" i="35401"/>
  <c r="E52" i="35401"/>
  <c r="E77" i="35401"/>
  <c r="E48" i="35401"/>
  <c r="E22" i="35401"/>
  <c r="E75" i="35401"/>
  <c r="E67" i="35401"/>
  <c r="F9" i="35401"/>
  <c r="F21" i="35401"/>
  <c r="F33" i="35401"/>
  <c r="F45" i="35401"/>
  <c r="F57" i="35401"/>
  <c r="F69" i="35401"/>
  <c r="F36" i="35401"/>
  <c r="F72" i="35401"/>
  <c r="F25" i="35401"/>
  <c r="F61" i="35401"/>
  <c r="F26" i="35401"/>
  <c r="F62" i="35401"/>
  <c r="F27" i="35401"/>
  <c r="F75" i="35401"/>
  <c r="F52" i="35401"/>
  <c r="F76" i="35401"/>
  <c r="F41" i="35401"/>
  <c r="F77" i="35401"/>
  <c r="F42" i="35401"/>
  <c r="F78" i="35401"/>
  <c r="F19" i="35401"/>
  <c r="F67" i="35401"/>
  <c r="F44" i="35401"/>
  <c r="F10" i="35401"/>
  <c r="F22" i="35401"/>
  <c r="F34" i="35401"/>
  <c r="F46" i="35401"/>
  <c r="F58" i="35401"/>
  <c r="F70" i="35401"/>
  <c r="F24" i="35401"/>
  <c r="F60" i="35401"/>
  <c r="F37" i="35401"/>
  <c r="F73" i="35401"/>
  <c r="F38" i="35401"/>
  <c r="F74" i="35401"/>
  <c r="F39" i="35401"/>
  <c r="F51" i="35401"/>
  <c r="F16" i="35401"/>
  <c r="F28" i="35401"/>
  <c r="F64" i="35401"/>
  <c r="F29" i="35401"/>
  <c r="F65" i="35401"/>
  <c r="F18" i="35401"/>
  <c r="F66" i="35401"/>
  <c r="F31" i="35401"/>
  <c r="F20" i="35401"/>
  <c r="F68" i="35401"/>
  <c r="F11" i="35401"/>
  <c r="F23" i="35401"/>
  <c r="F35" i="35401"/>
  <c r="F47" i="35401"/>
  <c r="F59" i="35401"/>
  <c r="F71" i="35401"/>
  <c r="F12" i="35401"/>
  <c r="F48" i="35401"/>
  <c r="F13" i="35401"/>
  <c r="F49" i="35401"/>
  <c r="F50" i="35401"/>
  <c r="F15" i="35401"/>
  <c r="F63" i="35401"/>
  <c r="F40" i="35401"/>
  <c r="F17" i="35401"/>
  <c r="F53" i="35401"/>
  <c r="F30" i="35401"/>
  <c r="F7" i="35401"/>
  <c r="F55" i="35401"/>
  <c r="F32" i="35401"/>
  <c r="F14" i="35401"/>
  <c r="F6" i="35401"/>
  <c r="F54" i="35401"/>
  <c r="F43" i="35401"/>
  <c r="F8" i="35401"/>
  <c r="F56" i="35401"/>
  <c r="C77" i="35401"/>
  <c r="C35" i="35401"/>
  <c r="C70" i="35401"/>
  <c r="C74" i="35401"/>
  <c r="C38" i="35401"/>
  <c r="C33" i="35401"/>
  <c r="C21" i="35401"/>
  <c r="C37" i="35401"/>
  <c r="C72" i="35401"/>
  <c r="C42" i="35401"/>
  <c r="C18" i="35401"/>
  <c r="C29" i="35401"/>
  <c r="C34" i="35401"/>
  <c r="C61" i="35401"/>
  <c r="C9" i="35401"/>
  <c r="C24" i="35401"/>
  <c r="C53" i="35401"/>
  <c r="C52" i="35401"/>
  <c r="C22" i="35401"/>
  <c r="C25" i="35401"/>
  <c r="C55" i="35401"/>
  <c r="C59" i="35401"/>
  <c r="C76" i="35401"/>
  <c r="C63" i="35401"/>
  <c r="C10" i="35401"/>
  <c r="C60" i="35401"/>
  <c r="C7" i="35401"/>
  <c r="C23" i="35401"/>
  <c r="C16" i="35401"/>
  <c r="C27" i="35401"/>
  <c r="C43" i="35401"/>
  <c r="C12" i="35401"/>
  <c r="C30" i="35401"/>
  <c r="C58" i="35401"/>
  <c r="C39" i="35401"/>
  <c r="C50" i="35401"/>
  <c r="C66" i="35401"/>
  <c r="C47" i="35401"/>
  <c r="C17" i="35401"/>
  <c r="C68" i="35401"/>
  <c r="C26" i="35401"/>
  <c r="C14" i="35401"/>
  <c r="C6" i="35401"/>
  <c r="C11" i="35401"/>
  <c r="C40" i="35401"/>
  <c r="C56" i="35401"/>
  <c r="C48" i="35401"/>
  <c r="C49" i="35401"/>
  <c r="C65" i="35401"/>
  <c r="C46" i="35401"/>
  <c r="C75" i="35401"/>
  <c r="C44" i="35401"/>
  <c r="C67" i="35401"/>
  <c r="C13" i="35401"/>
  <c r="C64" i="35401"/>
  <c r="C69" i="35401"/>
  <c r="C15" i="35401"/>
  <c r="C32" i="35401"/>
  <c r="C19" i="35401"/>
  <c r="C36" i="35401"/>
  <c r="C28" i="35401"/>
  <c r="C57" i="35401"/>
  <c r="C62" i="35401"/>
  <c r="C20" i="35401"/>
  <c r="C41" i="35401"/>
  <c r="C78" i="35401"/>
  <c r="C71" i="35401"/>
  <c r="C51" i="35401"/>
  <c r="C45" i="35401"/>
  <c r="C73" i="35401"/>
  <c r="D7" i="35401"/>
  <c r="D19" i="35401"/>
  <c r="D31" i="35401"/>
  <c r="D43" i="35401"/>
  <c r="D55" i="35401"/>
  <c r="D67" i="35401"/>
  <c r="D8" i="35401"/>
  <c r="D20" i="35401"/>
  <c r="D32" i="35401"/>
  <c r="D44" i="35401"/>
  <c r="D56" i="35401"/>
  <c r="D68" i="35401"/>
  <c r="D9" i="35401"/>
  <c r="D21" i="35401"/>
  <c r="D33" i="35401"/>
  <c r="D45" i="35401"/>
  <c r="D57" i="35401"/>
  <c r="D69" i="35401"/>
  <c r="D10" i="35401"/>
  <c r="D22" i="35401"/>
  <c r="D46" i="35401"/>
  <c r="D58" i="35401"/>
  <c r="D70" i="35401"/>
  <c r="D11" i="35401"/>
  <c r="D23" i="35401"/>
  <c r="D35" i="35401"/>
  <c r="D47" i="35401"/>
  <c r="D59" i="35401"/>
  <c r="D71" i="35401"/>
  <c r="D12" i="35401"/>
  <c r="D24" i="35401"/>
  <c r="D36" i="35401"/>
  <c r="D48" i="35401"/>
  <c r="D60" i="35401"/>
  <c r="D72" i="35401"/>
  <c r="D13" i="35401"/>
  <c r="D25" i="35401"/>
  <c r="D37" i="35401"/>
  <c r="D49" i="35401"/>
  <c r="D61" i="35401"/>
  <c r="D73" i="35401"/>
  <c r="D14" i="35401"/>
  <c r="D38" i="35401"/>
  <c r="D50" i="35401"/>
  <c r="D62" i="35401"/>
  <c r="D15" i="35401"/>
  <c r="D27" i="35401"/>
  <c r="D51" i="35401"/>
  <c r="D75" i="35401"/>
  <c r="D16" i="35401"/>
  <c r="D40" i="35401"/>
  <c r="D52" i="35401"/>
  <c r="D76" i="35401"/>
  <c r="D17" i="35401"/>
  <c r="D41" i="35401"/>
  <c r="D65" i="35401"/>
  <c r="D6" i="35401"/>
  <c r="D18" i="35401"/>
  <c r="D42" i="35401"/>
  <c r="D78" i="35401"/>
  <c r="D34" i="35401"/>
  <c r="D26" i="35401"/>
  <c r="D74" i="35401"/>
  <c r="D39" i="35401"/>
  <c r="D63" i="35401"/>
  <c r="D28" i="35401"/>
  <c r="D64" i="35401"/>
  <c r="D29" i="35401"/>
  <c r="D53" i="35401"/>
  <c r="D77" i="35401"/>
  <c r="D30" i="35401"/>
  <c r="D54" i="35401"/>
  <c r="D66" i="35401"/>
  <c r="C135" i="35391"/>
  <c r="C93" i="35391"/>
  <c r="C98" i="35391"/>
  <c r="C114" i="35391"/>
  <c r="C96" i="35391"/>
  <c r="C129" i="35391"/>
  <c r="C108" i="35391"/>
  <c r="C72" i="35391"/>
  <c r="C91" i="35391"/>
  <c r="C74" i="35391"/>
  <c r="C80" i="35391"/>
  <c r="C102" i="35391"/>
  <c r="C87" i="35391"/>
  <c r="C94" i="35391"/>
  <c r="C123" i="35391"/>
  <c r="C71" i="35391"/>
  <c r="C117" i="35391"/>
  <c r="C79" i="35391"/>
  <c r="C90" i="35391"/>
  <c r="C113" i="35391"/>
  <c r="C105" i="35391"/>
  <c r="C88" i="35391"/>
  <c r="C69" i="35391"/>
  <c r="C128" i="35391"/>
  <c r="C73" i="35391"/>
  <c r="C132" i="35391"/>
  <c r="C95" i="35391"/>
  <c r="C65" i="35391"/>
  <c r="C101" i="35391"/>
  <c r="C106" i="35391"/>
  <c r="C133" i="35391"/>
  <c r="C84" i="35391"/>
  <c r="C130" i="35391"/>
  <c r="C70" i="35391"/>
  <c r="C131" i="35391"/>
  <c r="C103" i="35391"/>
  <c r="C124" i="35391"/>
  <c r="C82" i="35391"/>
  <c r="C134" i="35391"/>
  <c r="C116" i="35391"/>
  <c r="C64" i="35391"/>
  <c r="C126" i="35391"/>
  <c r="C86" i="35391"/>
  <c r="C78" i="35391"/>
  <c r="C81" i="35391"/>
  <c r="C77" i="35391"/>
  <c r="C89" i="35391"/>
  <c r="C109" i="35391"/>
  <c r="C125" i="35391"/>
  <c r="C120" i="35391"/>
  <c r="C75" i="35391"/>
  <c r="C110" i="35391"/>
  <c r="C112" i="35391"/>
  <c r="C122" i="35391"/>
  <c r="C97" i="35391"/>
  <c r="C119" i="35391"/>
  <c r="C68" i="35391"/>
  <c r="C63" i="35391"/>
  <c r="C67" i="35391"/>
  <c r="C85" i="35391"/>
  <c r="C127" i="35391"/>
  <c r="C83" i="35391"/>
  <c r="C107" i="35391"/>
  <c r="C100" i="35391"/>
  <c r="C104" i="35391"/>
  <c r="C118" i="35391"/>
  <c r="C66" i="35391"/>
  <c r="C115" i="35391"/>
  <c r="C92" i="35391"/>
  <c r="C61" i="35391"/>
  <c r="C121" i="35391"/>
  <c r="C111" i="35391"/>
  <c r="C76" i="35391"/>
  <c r="C62" i="35391"/>
  <c r="C99" i="35391"/>
  <c r="G79" i="35404" l="1"/>
  <c r="M79" i="35404"/>
  <c r="O79" i="35404"/>
  <c r="I79" i="35404"/>
  <c r="C79" i="35404"/>
  <c r="T79" i="35404"/>
  <c r="V79" i="35404"/>
  <c r="X79" i="35404"/>
  <c r="AB79" i="35404"/>
  <c r="W79" i="35404"/>
  <c r="H79" i="35404"/>
  <c r="J79" i="35404"/>
  <c r="L79" i="35404"/>
  <c r="N79" i="35404"/>
  <c r="Q79" i="35404"/>
  <c r="S79" i="35404"/>
  <c r="Y79" i="35404"/>
  <c r="F79" i="35404"/>
  <c r="D79" i="35404"/>
  <c r="P79" i="35404"/>
  <c r="R79" i="35404"/>
  <c r="U79" i="35404"/>
  <c r="Z79" i="35404"/>
  <c r="AA79" i="35404"/>
  <c r="K79" i="35404"/>
  <c r="E79" i="35404"/>
  <c r="J79" i="35401"/>
  <c r="Q79" i="35401"/>
  <c r="E79" i="35401"/>
  <c r="G79" i="35401"/>
  <c r="I79" i="35401"/>
  <c r="S79" i="35401"/>
  <c r="N79" i="35401"/>
  <c r="T79" i="35401"/>
  <c r="L79" i="35401"/>
  <c r="Y79" i="35401"/>
  <c r="AB79" i="35401"/>
  <c r="D79" i="35401"/>
  <c r="V79" i="35401"/>
  <c r="O79" i="35401"/>
  <c r="R79" i="35401"/>
  <c r="U79" i="35401"/>
  <c r="AA79" i="35401"/>
  <c r="X79" i="35401"/>
  <c r="P79" i="35401"/>
  <c r="H79" i="35401"/>
  <c r="K79" i="35401"/>
  <c r="M79" i="35401"/>
  <c r="W79" i="35401"/>
  <c r="Z79" i="35401"/>
  <c r="F79" i="35401"/>
  <c r="C79" i="35401"/>
  <c r="AC13" i="35404"/>
  <c r="AC29" i="35404"/>
  <c r="AC45" i="35404"/>
  <c r="AC61" i="35404"/>
  <c r="AC77" i="35404"/>
  <c r="AC40" i="35404"/>
  <c r="AC72" i="35404"/>
  <c r="AC14" i="35404"/>
  <c r="AC30" i="35404"/>
  <c r="AC46" i="35404"/>
  <c r="AC62" i="35404"/>
  <c r="AC78" i="35404"/>
  <c r="AC36" i="35404"/>
  <c r="AC68" i="35404"/>
  <c r="AC19" i="35404"/>
  <c r="AC35" i="35404"/>
  <c r="AC51" i="35404"/>
  <c r="AC67" i="35404"/>
  <c r="AC17" i="35404"/>
  <c r="AC33" i="35404"/>
  <c r="AC49" i="35404"/>
  <c r="AC65" i="35404"/>
  <c r="AC12" i="35404"/>
  <c r="AC48" i="35404"/>
  <c r="AC76" i="35404"/>
  <c r="AC18" i="35404"/>
  <c r="AC34" i="35404"/>
  <c r="AC50" i="35404"/>
  <c r="AC66" i="35404"/>
  <c r="AC8" i="35404"/>
  <c r="AC44" i="35404"/>
  <c r="AC7" i="35404"/>
  <c r="AC23" i="35404"/>
  <c r="AC39" i="35404"/>
  <c r="AC55" i="35404"/>
  <c r="AC71" i="35404"/>
  <c r="AC24" i="35404"/>
  <c r="AC21" i="35404"/>
  <c r="AC37" i="35404"/>
  <c r="AC53" i="35404"/>
  <c r="AC69" i="35404"/>
  <c r="AC20" i="35404"/>
  <c r="AC56" i="35404"/>
  <c r="AC6" i="35404"/>
  <c r="AC22" i="35404"/>
  <c r="AC38" i="35404"/>
  <c r="AC54" i="35404"/>
  <c r="AC70" i="35404"/>
  <c r="AC16" i="35404"/>
  <c r="AC52" i="35404"/>
  <c r="AC11" i="35404"/>
  <c r="AC27" i="35404"/>
  <c r="AC43" i="35404"/>
  <c r="AC59" i="35404"/>
  <c r="AC75" i="35404"/>
  <c r="AC9" i="35404"/>
  <c r="AC25" i="35404"/>
  <c r="AC41" i="35404"/>
  <c r="AC57" i="35404"/>
  <c r="AC73" i="35404"/>
  <c r="AC32" i="35404"/>
  <c r="AC64" i="35404"/>
  <c r="AC10" i="35404"/>
  <c r="AC26" i="35404"/>
  <c r="AC42" i="35404"/>
  <c r="AC58" i="35404"/>
  <c r="AC74" i="35404"/>
  <c r="AC28" i="35404"/>
  <c r="AC60" i="35404"/>
  <c r="AC15" i="35404"/>
  <c r="AC31" i="35404"/>
  <c r="AC47" i="35404"/>
  <c r="AC63" i="35404"/>
  <c r="AC23" i="35401"/>
  <c r="AC71" i="35401"/>
  <c r="AC33" i="35401"/>
  <c r="AC13" i="35401"/>
  <c r="AC68" i="35401"/>
  <c r="AC65" i="35401"/>
  <c r="AC9" i="35401"/>
  <c r="AC21" i="35401"/>
  <c r="AC60" i="35401"/>
  <c r="AC14" i="35401"/>
  <c r="AC73" i="35401"/>
  <c r="AC26" i="35401"/>
  <c r="AC49" i="35401"/>
  <c r="AC54" i="35401"/>
  <c r="AC24" i="35401"/>
  <c r="AC31" i="35401"/>
  <c r="AC45" i="35401"/>
  <c r="AC57" i="35401"/>
  <c r="AC56" i="35401"/>
  <c r="AC11" i="35401"/>
  <c r="AC42" i="35401"/>
  <c r="AC36" i="35401"/>
  <c r="AC27" i="35401"/>
  <c r="AC34" i="35401"/>
  <c r="AC74" i="35401"/>
  <c r="AC6" i="35401"/>
  <c r="AC61" i="35401"/>
  <c r="AC32" i="35401"/>
  <c r="AC7" i="35401"/>
  <c r="AC29" i="35401"/>
  <c r="AC64" i="35401"/>
  <c r="AC69" i="35401"/>
  <c r="AC47" i="35401"/>
  <c r="AC72" i="35401"/>
  <c r="AC30" i="35401"/>
  <c r="AC35" i="35401"/>
  <c r="AC46" i="35401"/>
  <c r="AC17" i="35401"/>
  <c r="AC16" i="35401"/>
  <c r="AC55" i="35401"/>
  <c r="AC38" i="35401"/>
  <c r="AC22" i="35401"/>
  <c r="AC39" i="35401"/>
  <c r="AC48" i="35401"/>
  <c r="AC15" i="35401"/>
  <c r="AC41" i="35401"/>
  <c r="AC44" i="35401"/>
  <c r="AC63" i="35401"/>
  <c r="AC25" i="35401"/>
  <c r="AC78" i="35401"/>
  <c r="AC28" i="35401"/>
  <c r="AC75" i="35401"/>
  <c r="AC77" i="35401"/>
  <c r="AC51" i="35401"/>
  <c r="AC12" i="35401"/>
  <c r="AC20" i="35401"/>
  <c r="AC8" i="35401"/>
  <c r="AC67" i="35401"/>
  <c r="AC52" i="35401"/>
  <c r="AC53" i="35401"/>
  <c r="AC66" i="35401"/>
  <c r="AC18" i="35401"/>
  <c r="AC50" i="35401"/>
  <c r="AC19" i="35401"/>
  <c r="AC62" i="35401"/>
  <c r="AC58" i="35401"/>
  <c r="AC40" i="35401"/>
  <c r="AC43" i="35401"/>
  <c r="AC37" i="35401"/>
  <c r="AC70" i="35401"/>
  <c r="AC59" i="35401"/>
  <c r="AC10" i="35401"/>
  <c r="AC76" i="35401"/>
  <c r="I10" i="34958" a="1"/>
  <c r="I10" i="34958" s="1"/>
  <c r="G10" i="34977" a="1"/>
  <c r="G27" i="34977" s="1"/>
  <c r="AC79" i="35404" l="1"/>
  <c r="AL43" i="35404" s="1"/>
  <c r="AC79" i="35401"/>
  <c r="AI9" i="35401" s="1"/>
  <c r="G13" i="34977"/>
  <c r="G26" i="34977"/>
  <c r="G29" i="34977"/>
  <c r="G12" i="34977"/>
  <c r="G23" i="34977"/>
  <c r="G11" i="34977"/>
  <c r="G16" i="34977"/>
  <c r="G28" i="34977"/>
  <c r="G21" i="34977"/>
  <c r="G15" i="34977"/>
  <c r="G18" i="34977"/>
  <c r="G19" i="34977"/>
  <c r="G17" i="34977"/>
  <c r="G20" i="34977"/>
  <c r="G30" i="34977"/>
  <c r="G10" i="34977"/>
  <c r="C10" i="34986" s="1" a="1"/>
  <c r="D10" i="34986" s="1"/>
  <c r="C10" i="34984" a="1"/>
  <c r="G25" i="34977"/>
  <c r="G31" i="34977"/>
  <c r="G22" i="34977"/>
  <c r="G24" i="34977"/>
  <c r="G14" i="34977"/>
  <c r="I21" i="34958"/>
  <c r="I17" i="34958"/>
  <c r="I30" i="34958"/>
  <c r="I28" i="34958"/>
  <c r="I25" i="34958"/>
  <c r="I22" i="34958"/>
  <c r="I18" i="34958"/>
  <c r="I15" i="34958"/>
  <c r="I13" i="34958"/>
  <c r="I26" i="34958"/>
  <c r="I12" i="34958"/>
  <c r="I20" i="34958"/>
  <c r="I16" i="34958"/>
  <c r="I14" i="34958"/>
  <c r="I27" i="34958"/>
  <c r="I24" i="34958"/>
  <c r="I23" i="34958"/>
  <c r="I19" i="34958"/>
  <c r="I31" i="34958"/>
  <c r="I29" i="34958"/>
  <c r="I11" i="34958"/>
  <c r="AO23" i="35401" l="1"/>
  <c r="AV11" i="35401"/>
  <c r="AE21" i="35401"/>
  <c r="BB20" i="35401"/>
  <c r="AN46" i="35401"/>
  <c r="AR26" i="35401"/>
  <c r="AH43" i="35401"/>
  <c r="AL25" i="35401"/>
  <c r="BC29" i="35401"/>
  <c r="AT13" i="35401"/>
  <c r="AU35" i="35401"/>
  <c r="AZ42" i="35401"/>
  <c r="AE27" i="35401"/>
  <c r="AL13" i="35401"/>
  <c r="AX21" i="35401"/>
  <c r="AD26" i="35401"/>
  <c r="AF34" i="35401"/>
  <c r="AN35" i="35401"/>
  <c r="BC53" i="35401"/>
  <c r="AV43" i="35401"/>
  <c r="AN49" i="35401"/>
  <c r="BB42" i="35401"/>
  <c r="AJ38" i="35401"/>
  <c r="AG8" i="35401"/>
  <c r="BC22" i="35401"/>
  <c r="AS44" i="35401"/>
  <c r="AH13" i="35401"/>
  <c r="AG21" i="35401"/>
  <c r="AW31" i="35401"/>
  <c r="AO32" i="35401"/>
  <c r="AZ48" i="35401"/>
  <c r="AG53" i="35401"/>
  <c r="AF10" i="35401"/>
  <c r="AO49" i="35401"/>
  <c r="AJ47" i="35401"/>
  <c r="AT38" i="35401"/>
  <c r="BC37" i="35401"/>
  <c r="AK51" i="35401"/>
  <c r="AR52" i="35401"/>
  <c r="AV13" i="35401"/>
  <c r="AV26" i="35401"/>
  <c r="AP11" i="35401"/>
  <c r="AI32" i="35401"/>
  <c r="AV20" i="35401"/>
  <c r="AL19" i="35401"/>
  <c r="AQ23" i="35401"/>
  <c r="AD45" i="35401"/>
  <c r="AG47" i="35401"/>
  <c r="AT15" i="35401"/>
  <c r="AU14" i="35401"/>
  <c r="AL22" i="35404"/>
  <c r="AI65" i="35401"/>
  <c r="AP40" i="35401"/>
  <c r="AE40" i="35401"/>
  <c r="AU40" i="35401"/>
  <c r="AR40" i="35401"/>
  <c r="BA40" i="35401"/>
  <c r="AG40" i="35401"/>
  <c r="AI50" i="35401"/>
  <c r="AY50" i="35401"/>
  <c r="AN50" i="35401"/>
  <c r="AK50" i="35401"/>
  <c r="AL50" i="35401"/>
  <c r="AO50" i="35401"/>
  <c r="AX50" i="35401"/>
  <c r="AQ52" i="35401"/>
  <c r="AF52" i="35401"/>
  <c r="AV52" i="35401"/>
  <c r="AW52" i="35401"/>
  <c r="AK52" i="35401"/>
  <c r="AL52" i="35401"/>
  <c r="AH12" i="35401"/>
  <c r="AX12" i="35401"/>
  <c r="AM12" i="35401"/>
  <c r="BC12" i="35401"/>
  <c r="AK12" i="35401"/>
  <c r="AV12" i="35401"/>
  <c r="AO12" i="35401"/>
  <c r="AP28" i="35401"/>
  <c r="AE28" i="35401"/>
  <c r="AU28" i="35401"/>
  <c r="AR28" i="35401"/>
  <c r="BA28" i="35401"/>
  <c r="AG28" i="35401"/>
  <c r="AH44" i="35401"/>
  <c r="AX44" i="35401"/>
  <c r="AM44" i="35401"/>
  <c r="BC44" i="35401"/>
  <c r="AK44" i="35401"/>
  <c r="AG44" i="35401"/>
  <c r="BA44" i="35401"/>
  <c r="AR39" i="35401"/>
  <c r="AK39" i="35401"/>
  <c r="BA39" i="35401"/>
  <c r="BB39" i="35401"/>
  <c r="BC39" i="35401"/>
  <c r="AI39" i="35401"/>
  <c r="AH16" i="35401"/>
  <c r="AX16" i="35401"/>
  <c r="AM16" i="35401"/>
  <c r="BC16" i="35401"/>
  <c r="AK16" i="35401"/>
  <c r="AO16" i="35401"/>
  <c r="AW16" i="35401"/>
  <c r="AP30" i="35401"/>
  <c r="AE30" i="35401"/>
  <c r="AU30" i="35401"/>
  <c r="AN30" i="35401"/>
  <c r="AW30" i="35401"/>
  <c r="AD40" i="35401"/>
  <c r="AT40" i="35401"/>
  <c r="AI40" i="35401"/>
  <c r="AY40" i="35401"/>
  <c r="AZ40" i="35401"/>
  <c r="AF40" i="35401"/>
  <c r="AO40" i="35401"/>
  <c r="AM50" i="35401"/>
  <c r="BC50" i="35401"/>
  <c r="AR50" i="35401"/>
  <c r="AS50" i="35401"/>
  <c r="AT50" i="35401"/>
  <c r="AW50" i="35401"/>
  <c r="AE52" i="35401"/>
  <c r="AU52" i="35401"/>
  <c r="AJ52" i="35401"/>
  <c r="AZ52" i="35401"/>
  <c r="AH52" i="35401"/>
  <c r="AH40" i="35401"/>
  <c r="AX40" i="35401"/>
  <c r="AM40" i="35401"/>
  <c r="BC40" i="35401"/>
  <c r="AK40" i="35401"/>
  <c r="AN40" i="35401"/>
  <c r="AW40" i="35401"/>
  <c r="AQ50" i="35401"/>
  <c r="AF50" i="35401"/>
  <c r="AV50" i="35401"/>
  <c r="BA50" i="35401"/>
  <c r="BB50" i="35401"/>
  <c r="AH50" i="35401"/>
  <c r="AI52" i="35401"/>
  <c r="AY52" i="35401"/>
  <c r="AN52" i="35401"/>
  <c r="AG52" i="35401"/>
  <c r="AP52" i="35401"/>
  <c r="BA52" i="35401"/>
  <c r="AL40" i="35401"/>
  <c r="AS40" i="35401"/>
  <c r="AJ50" i="35401"/>
  <c r="AP50" i="35401"/>
  <c r="AO52" i="35401"/>
  <c r="AT52" i="35401"/>
  <c r="AP12" i="35401"/>
  <c r="AI12" i="35401"/>
  <c r="AJ12" i="35401"/>
  <c r="BA12" i="35401"/>
  <c r="AN12" i="35401"/>
  <c r="AT28" i="35401"/>
  <c r="AM28" i="35401"/>
  <c r="AJ28" i="35401"/>
  <c r="AF28" i="35401"/>
  <c r="AW28" i="35401"/>
  <c r="AT44" i="35401"/>
  <c r="AQ44" i="35401"/>
  <c r="AR44" i="35401"/>
  <c r="AV44" i="35401"/>
  <c r="AF39" i="35401"/>
  <c r="AZ39" i="35401"/>
  <c r="AW39" i="35401"/>
  <c r="AE39" i="35401"/>
  <c r="AP39" i="35401"/>
  <c r="AD16" i="35401"/>
  <c r="BB16" i="35401"/>
  <c r="AU16" i="35401"/>
  <c r="AZ16" i="35401"/>
  <c r="AF16" i="35401"/>
  <c r="AH30" i="35401"/>
  <c r="BB30" i="35401"/>
  <c r="AY30" i="35401"/>
  <c r="AG30" i="35401"/>
  <c r="AZ30" i="35401"/>
  <c r="AG27" i="35401"/>
  <c r="AJ27" i="35401"/>
  <c r="AV27" i="35401"/>
  <c r="AN27" i="35401"/>
  <c r="AF27" i="35401"/>
  <c r="AU27" i="35401"/>
  <c r="AQ27" i="35401"/>
  <c r="AL24" i="35401"/>
  <c r="BB24" i="35401"/>
  <c r="AQ24" i="35401"/>
  <c r="AJ24" i="35401"/>
  <c r="AS24" i="35401"/>
  <c r="AV24" i="35401"/>
  <c r="AF9" i="35401"/>
  <c r="AV9" i="35401"/>
  <c r="AO9" i="35401"/>
  <c r="AH9" i="35401"/>
  <c r="AQ9" i="35401"/>
  <c r="AE9" i="35401"/>
  <c r="AM9" i="35401"/>
  <c r="AN33" i="35401"/>
  <c r="AG33" i="35401"/>
  <c r="AW33" i="35401"/>
  <c r="AX33" i="35401"/>
  <c r="AD33" i="35401"/>
  <c r="AE33" i="35401"/>
  <c r="AD18" i="35401"/>
  <c r="AT18" i="35401"/>
  <c r="AI18" i="35401"/>
  <c r="AY18" i="35401"/>
  <c r="AV18" i="35401"/>
  <c r="AJ18" i="35401"/>
  <c r="AR18" i="35401"/>
  <c r="AO51" i="35401"/>
  <c r="AD51" i="35401"/>
  <c r="AT51" i="35401"/>
  <c r="AQ51" i="35401"/>
  <c r="AZ51" i="35401"/>
  <c r="BC51" i="35401"/>
  <c r="AF41" i="35401"/>
  <c r="AV41" i="35401"/>
  <c r="AO41" i="35401"/>
  <c r="AH41" i="35401"/>
  <c r="AQ41" i="35401"/>
  <c r="AT41" i="35401"/>
  <c r="AU41" i="35401"/>
  <c r="AL22" i="35401"/>
  <c r="BB22" i="35401"/>
  <c r="AQ22" i="35401"/>
  <c r="AF22" i="35401"/>
  <c r="AO22" i="35401"/>
  <c r="AZ22" i="35401"/>
  <c r="AF17" i="35401"/>
  <c r="AV17" i="35401"/>
  <c r="AO17" i="35401"/>
  <c r="AH17" i="35401"/>
  <c r="AQ17" i="35401"/>
  <c r="AE17" i="35401"/>
  <c r="AM17" i="35401"/>
  <c r="AN29" i="35401"/>
  <c r="AG29" i="35401"/>
  <c r="AW29" i="35401"/>
  <c r="AX29" i="35401"/>
  <c r="AD29" i="35401"/>
  <c r="AE29" i="35401"/>
  <c r="AD36" i="35401"/>
  <c r="AT36" i="35401"/>
  <c r="AI36" i="35401"/>
  <c r="AY36" i="35401"/>
  <c r="AZ36" i="35401"/>
  <c r="AF36" i="35401"/>
  <c r="AO36" i="35401"/>
  <c r="AM54" i="35401"/>
  <c r="BC54" i="35401"/>
  <c r="AR54" i="35401"/>
  <c r="AS54" i="35401"/>
  <c r="AT54" i="35401"/>
  <c r="AW54" i="35401"/>
  <c r="AD14" i="35401"/>
  <c r="AT14" i="35401"/>
  <c r="AI14" i="35401"/>
  <c r="AY14" i="35401"/>
  <c r="AV14" i="35401"/>
  <c r="AR14" i="35401"/>
  <c r="AK14" i="35401"/>
  <c r="AN37" i="35401"/>
  <c r="AG37" i="35401"/>
  <c r="AW37" i="35401"/>
  <c r="AX37" i="35401"/>
  <c r="AD37" i="35401"/>
  <c r="AE37" i="35401"/>
  <c r="AD8" i="35401"/>
  <c r="AT8" i="35401"/>
  <c r="AI8" i="35401"/>
  <c r="BB40" i="35401"/>
  <c r="AV40" i="35401"/>
  <c r="AZ50" i="35401"/>
  <c r="AM52" i="35401"/>
  <c r="AX52" i="35401"/>
  <c r="BB52" i="35401"/>
  <c r="AT12" i="35401"/>
  <c r="AQ12" i="35401"/>
  <c r="AR12" i="35401"/>
  <c r="AF12" i="35401"/>
  <c r="AD28" i="35401"/>
  <c r="AX28" i="35401"/>
  <c r="AQ28" i="35401"/>
  <c r="AZ28" i="35401"/>
  <c r="AN28" i="35401"/>
  <c r="AD44" i="35401"/>
  <c r="BB44" i="35401"/>
  <c r="AU44" i="35401"/>
  <c r="AZ44" i="35401"/>
  <c r="AO44" i="35401"/>
  <c r="AJ39" i="35401"/>
  <c r="AG39" i="35401"/>
  <c r="AD39" i="35401"/>
  <c r="AM39" i="35401"/>
  <c r="AX39" i="35401"/>
  <c r="AL16" i="35401"/>
  <c r="AE16" i="35401"/>
  <c r="AY16" i="35401"/>
  <c r="AS16" i="35401"/>
  <c r="AV16" i="35401"/>
  <c r="AL30" i="35401"/>
  <c r="AI30" i="35401"/>
  <c r="BC30" i="35401"/>
  <c r="AO30" i="35401"/>
  <c r="AK30" i="35401"/>
  <c r="AK27" i="35401"/>
  <c r="AH27" i="35401"/>
  <c r="AZ27" i="35401"/>
  <c r="AS27" i="35401"/>
  <c r="AT27" i="35401"/>
  <c r="BC27" i="35401"/>
  <c r="AY27" i="35401"/>
  <c r="AP24" i="35401"/>
  <c r="AE24" i="35401"/>
  <c r="AU24" i="35401"/>
  <c r="AR24" i="35401"/>
  <c r="BA24" i="35401"/>
  <c r="AG24" i="35401"/>
  <c r="AJ9" i="35401"/>
  <c r="AZ9" i="35401"/>
  <c r="AS9" i="35401"/>
  <c r="AP9" i="35401"/>
  <c r="AY9" i="35401"/>
  <c r="AU9" i="35401"/>
  <c r="BC9" i="35401"/>
  <c r="AR33" i="35401"/>
  <c r="AK33" i="35401"/>
  <c r="BA33" i="35401"/>
  <c r="AI33" i="35401"/>
  <c r="AL33" i="35401"/>
  <c r="AM33" i="35401"/>
  <c r="AH18" i="35401"/>
  <c r="AX18" i="35401"/>
  <c r="AM18" i="35401"/>
  <c r="BC18" i="35401"/>
  <c r="AG18" i="35401"/>
  <c r="AZ18" i="35401"/>
  <c r="AS18" i="35401"/>
  <c r="AS51" i="35401"/>
  <c r="AH51" i="35401"/>
  <c r="AX51" i="35401"/>
  <c r="AY51" i="35401"/>
  <c r="AE51" i="35401"/>
  <c r="AF51" i="35401"/>
  <c r="AJ41" i="35401"/>
  <c r="AZ41" i="35401"/>
  <c r="AS41" i="35401"/>
  <c r="AP41" i="35401"/>
  <c r="AY41" i="35401"/>
  <c r="BB41" i="35401"/>
  <c r="BC41" i="35401"/>
  <c r="AP22" i="35401"/>
  <c r="AE22" i="35401"/>
  <c r="AU22" i="35401"/>
  <c r="AN22" i="35401"/>
  <c r="AW22" i="35401"/>
  <c r="AK22" i="35401"/>
  <c r="AJ17" i="35401"/>
  <c r="AZ17" i="35401"/>
  <c r="AS17" i="35401"/>
  <c r="AP17" i="35401"/>
  <c r="AY17" i="35401"/>
  <c r="AU17" i="35401"/>
  <c r="BC17" i="35401"/>
  <c r="AR29" i="35401"/>
  <c r="AK29" i="35401"/>
  <c r="BA29" i="35401"/>
  <c r="AI29" i="35401"/>
  <c r="AL29" i="35401"/>
  <c r="AM29" i="35401"/>
  <c r="AH36" i="35401"/>
  <c r="AX36" i="35401"/>
  <c r="AM36" i="35401"/>
  <c r="BC36" i="35401"/>
  <c r="AK36" i="35401"/>
  <c r="AN36" i="35401"/>
  <c r="AW36" i="35401"/>
  <c r="AQ54" i="35401"/>
  <c r="AF54" i="35401"/>
  <c r="AV54" i="35401"/>
  <c r="BA54" i="35401"/>
  <c r="BB54" i="35401"/>
  <c r="AH54" i="35401"/>
  <c r="AH14" i="35401"/>
  <c r="AX14" i="35401"/>
  <c r="AM14" i="35401"/>
  <c r="BC14" i="35401"/>
  <c r="AG14" i="35401"/>
  <c r="AS14" i="35401"/>
  <c r="BA14" i="35401"/>
  <c r="AQ40" i="35401"/>
  <c r="AE50" i="35401"/>
  <c r="AD50" i="35401"/>
  <c r="BC52" i="35401"/>
  <c r="AS52" i="35401"/>
  <c r="AD12" i="35401"/>
  <c r="BB12" i="35401"/>
  <c r="AU12" i="35401"/>
  <c r="AZ12" i="35401"/>
  <c r="AG12" i="35401"/>
  <c r="AH28" i="35401"/>
  <c r="BB28" i="35401"/>
  <c r="AY28" i="35401"/>
  <c r="AK28" i="35401"/>
  <c r="AV28" i="35401"/>
  <c r="AL44" i="35401"/>
  <c r="AE44" i="35401"/>
  <c r="AY44" i="35401"/>
  <c r="AF44" i="35401"/>
  <c r="AW44" i="35401"/>
  <c r="AN39" i="35401"/>
  <c r="AO39" i="35401"/>
  <c r="AL39" i="35401"/>
  <c r="AU39" i="35401"/>
  <c r="AQ39" i="35401"/>
  <c r="AP16" i="35401"/>
  <c r="AI16" i="35401"/>
  <c r="AJ16" i="35401"/>
  <c r="BA16" i="35401"/>
  <c r="AG16" i="35401"/>
  <c r="AT30" i="35401"/>
  <c r="AM30" i="35401"/>
  <c r="AF30" i="35401"/>
  <c r="AJ30" i="35401"/>
  <c r="AS30" i="35401"/>
  <c r="AO27" i="35401"/>
  <c r="AM27" i="35401"/>
  <c r="AD27" i="35401"/>
  <c r="AW27" i="35401"/>
  <c r="BB27" i="35401"/>
  <c r="AP27" i="35401"/>
  <c r="AD24" i="35401"/>
  <c r="AT24" i="35401"/>
  <c r="AI24" i="35401"/>
  <c r="AY24" i="35401"/>
  <c r="AZ24" i="35401"/>
  <c r="AF24" i="35401"/>
  <c r="AO24" i="35401"/>
  <c r="AN9" i="35401"/>
  <c r="AG9" i="35401"/>
  <c r="AW9" i="35401"/>
  <c r="AX9" i="35401"/>
  <c r="AD9" i="35401"/>
  <c r="AL9" i="35401"/>
  <c r="AF33" i="35401"/>
  <c r="AV33" i="35401"/>
  <c r="AO33" i="35401"/>
  <c r="AH33" i="35401"/>
  <c r="AQ33" i="35401"/>
  <c r="AT33" i="35401"/>
  <c r="AU33" i="35401"/>
  <c r="AL18" i="35401"/>
  <c r="BB18" i="35401"/>
  <c r="AQ18" i="35401"/>
  <c r="AF18" i="35401"/>
  <c r="AO18" i="35401"/>
  <c r="AK18" i="35401"/>
  <c r="AG51" i="35401"/>
  <c r="AW51" i="35401"/>
  <c r="AL51" i="35401"/>
  <c r="BB51" i="35401"/>
  <c r="AJ51" i="35401"/>
  <c r="AM51" i="35401"/>
  <c r="AN51" i="35401"/>
  <c r="AN41" i="35401"/>
  <c r="AG41" i="35401"/>
  <c r="AW41" i="35401"/>
  <c r="AX41" i="35401"/>
  <c r="AD41" i="35401"/>
  <c r="AE41" i="35401"/>
  <c r="AD22" i="35401"/>
  <c r="AT22" i="35401"/>
  <c r="AI22" i="35401"/>
  <c r="AY22" i="35401"/>
  <c r="AV22" i="35401"/>
  <c r="AJ22" i="35401"/>
  <c r="AS22" i="35401"/>
  <c r="AN17" i="35401"/>
  <c r="AG17" i="35401"/>
  <c r="AW17" i="35401"/>
  <c r="AX17" i="35401"/>
  <c r="AD17" i="35401"/>
  <c r="AL17" i="35401"/>
  <c r="AF29" i="35401"/>
  <c r="AV29" i="35401"/>
  <c r="AO29" i="35401"/>
  <c r="AH29" i="35401"/>
  <c r="AQ29" i="35401"/>
  <c r="AT29" i="35401"/>
  <c r="AU29" i="35401"/>
  <c r="AL36" i="35401"/>
  <c r="BB36" i="35401"/>
  <c r="AQ36" i="35401"/>
  <c r="AJ36" i="35401"/>
  <c r="AS36" i="35401"/>
  <c r="AV36" i="35401"/>
  <c r="AE54" i="35401"/>
  <c r="AU54" i="35401"/>
  <c r="AJ54" i="35401"/>
  <c r="AZ54" i="35401"/>
  <c r="AD54" i="35401"/>
  <c r="AG54" i="35401"/>
  <c r="AP54" i="35401"/>
  <c r="AL14" i="35401"/>
  <c r="BB14" i="35401"/>
  <c r="AQ14" i="35401"/>
  <c r="AF14" i="35401"/>
  <c r="AO14" i="35401"/>
  <c r="AJ14" i="35401"/>
  <c r="AF37" i="35401"/>
  <c r="AV37" i="35401"/>
  <c r="AO37" i="35401"/>
  <c r="AH37" i="35401"/>
  <c r="AQ37" i="35401"/>
  <c r="AT37" i="35401"/>
  <c r="AU37" i="35401"/>
  <c r="AL8" i="35401"/>
  <c r="BB8" i="35401"/>
  <c r="AQ8" i="35401"/>
  <c r="AJ8" i="35401"/>
  <c r="AS8" i="35401"/>
  <c r="AF8" i="35401"/>
  <c r="AF25" i="35401"/>
  <c r="AV25" i="35401"/>
  <c r="AO25" i="35401"/>
  <c r="AH25" i="35401"/>
  <c r="AQ25" i="35401"/>
  <c r="AT25" i="35401"/>
  <c r="AU25" i="35401"/>
  <c r="AN15" i="35401"/>
  <c r="AG15" i="35401"/>
  <c r="AW15" i="35401"/>
  <c r="AJ40" i="35401"/>
  <c r="AD52" i="35401"/>
  <c r="AS12" i="35401"/>
  <c r="BC28" i="35401"/>
  <c r="AI44" i="35401"/>
  <c r="AV39" i="35401"/>
  <c r="AY39" i="35401"/>
  <c r="AN16" i="35401"/>
  <c r="AV30" i="35401"/>
  <c r="AR27" i="35401"/>
  <c r="AX27" i="35401"/>
  <c r="BC24" i="35401"/>
  <c r="AR9" i="35401"/>
  <c r="AT9" i="35401"/>
  <c r="AS33" i="35401"/>
  <c r="BC33" i="35401"/>
  <c r="AN18" i="35401"/>
  <c r="BA51" i="35401"/>
  <c r="AU51" i="35401"/>
  <c r="BA41" i="35401"/>
  <c r="AH22" i="35401"/>
  <c r="AG22" i="35401"/>
  <c r="AK17" i="35401"/>
  <c r="BB17" i="35401"/>
  <c r="AP29" i="35401"/>
  <c r="AP36" i="35401"/>
  <c r="BA36" i="35401"/>
  <c r="AN54" i="35401"/>
  <c r="AX54" i="35401"/>
  <c r="AN14" i="35401"/>
  <c r="AR37" i="35401"/>
  <c r="BA37" i="35401"/>
  <c r="AL37" i="35401"/>
  <c r="AH8" i="35401"/>
  <c r="AM8" i="35401"/>
  <c r="AR8" i="35401"/>
  <c r="AN8" i="35401"/>
  <c r="AW8" i="35401"/>
  <c r="AZ25" i="35401"/>
  <c r="AW25" i="35401"/>
  <c r="AI25" i="35401"/>
  <c r="BB25" i="35401"/>
  <c r="AF15" i="35401"/>
  <c r="AZ15" i="35401"/>
  <c r="BA15" i="35401"/>
  <c r="BB15" i="35401"/>
  <c r="BC15" i="35401"/>
  <c r="AY15" i="35401"/>
  <c r="AH38" i="35401"/>
  <c r="AX38" i="35401"/>
  <c r="AM38" i="35401"/>
  <c r="BC38" i="35401"/>
  <c r="AG38" i="35401"/>
  <c r="AR38" i="35401"/>
  <c r="BA38" i="35401"/>
  <c r="AG46" i="35401"/>
  <c r="AY46" i="35401"/>
  <c r="AR46" i="35401"/>
  <c r="AS46" i="35401"/>
  <c r="BB46" i="35401"/>
  <c r="AF46" i="35401"/>
  <c r="AK47" i="35401"/>
  <c r="BA47" i="35401"/>
  <c r="AP47" i="35401"/>
  <c r="AI47" i="35401"/>
  <c r="AR47" i="35401"/>
  <c r="AU47" i="35401"/>
  <c r="AV47" i="35401"/>
  <c r="AP42" i="35401"/>
  <c r="AE42" i="35401"/>
  <c r="AU42" i="35401"/>
  <c r="AN42" i="35401"/>
  <c r="AW42" i="35401"/>
  <c r="AK42" i="35401"/>
  <c r="AJ45" i="35401"/>
  <c r="AS45" i="35401"/>
  <c r="AN45" i="35401"/>
  <c r="AL45" i="35401"/>
  <c r="AE45" i="35401"/>
  <c r="BC45" i="35401"/>
  <c r="AP45" i="35401"/>
  <c r="AS49" i="35401"/>
  <c r="AH49" i="35401"/>
  <c r="AX49" i="35401"/>
  <c r="AU49" i="35401"/>
  <c r="AV49" i="35401"/>
  <c r="AJ49" i="35401"/>
  <c r="AJ23" i="35401"/>
  <c r="AZ23" i="35401"/>
  <c r="AS23" i="35401"/>
  <c r="AL23" i="35401"/>
  <c r="AM23" i="35401"/>
  <c r="AP23" i="35401"/>
  <c r="AY23" i="35401"/>
  <c r="AP10" i="35401"/>
  <c r="AE10" i="35401"/>
  <c r="AU10" i="35401"/>
  <c r="AN10" i="35401"/>
  <c r="AW10" i="35401"/>
  <c r="BA10" i="35401"/>
  <c r="AJ43" i="35401"/>
  <c r="AZ43" i="35401"/>
  <c r="AS43" i="35401"/>
  <c r="AL43" i="35401"/>
  <c r="AM43" i="35401"/>
  <c r="AP43" i="35401"/>
  <c r="AY43" i="35401"/>
  <c r="AG19" i="35401"/>
  <c r="AW19" i="35401"/>
  <c r="AR19" i="35401"/>
  <c r="AM19" i="35401"/>
  <c r="AZ19" i="35401"/>
  <c r="AU19" i="35401"/>
  <c r="AK53" i="35401"/>
  <c r="BA53" i="35401"/>
  <c r="AP53" i="35401"/>
  <c r="AE53" i="35401"/>
  <c r="AF53" i="35401"/>
  <c r="AQ53" i="35401"/>
  <c r="AZ53" i="35401"/>
  <c r="AP20" i="35401"/>
  <c r="AD20" i="35401"/>
  <c r="AU20" i="35401"/>
  <c r="AR20" i="35401"/>
  <c r="BA20" i="35401"/>
  <c r="AG20" i="35401"/>
  <c r="AI48" i="35401"/>
  <c r="AY48" i="35401"/>
  <c r="AN48" i="35401"/>
  <c r="AG48" i="35401"/>
  <c r="AP48" i="35401"/>
  <c r="BA48" i="35401"/>
  <c r="BB48" i="35401"/>
  <c r="AR35" i="35401"/>
  <c r="AK35" i="35401"/>
  <c r="BA35" i="35401"/>
  <c r="BB35" i="35401"/>
  <c r="BC35" i="35401"/>
  <c r="AI35" i="35401"/>
  <c r="AH32" i="35401"/>
  <c r="AX32" i="35401"/>
  <c r="AM32" i="35401"/>
  <c r="BC32" i="35401"/>
  <c r="AK32" i="35401"/>
  <c r="AN32" i="35401"/>
  <c r="AW32" i="35401"/>
  <c r="AP34" i="35401"/>
  <c r="AE34" i="35401"/>
  <c r="AU34" i="35401"/>
  <c r="AN34" i="35401"/>
  <c r="AW34" i="35401"/>
  <c r="AK34" i="35401"/>
  <c r="AJ11" i="35401"/>
  <c r="AZ11" i="35401"/>
  <c r="AS11" i="35401"/>
  <c r="AL11" i="35401"/>
  <c r="AM11" i="35401"/>
  <c r="AQ11" i="35401"/>
  <c r="AY11" i="35401"/>
  <c r="AR31" i="35401"/>
  <c r="AK31" i="35401"/>
  <c r="BA31" i="35401"/>
  <c r="BB31" i="35401"/>
  <c r="BC31" i="35401"/>
  <c r="AI31" i="35401"/>
  <c r="AH26" i="35401"/>
  <c r="AI26" i="35401"/>
  <c r="AY26" i="35401"/>
  <c r="AT26" i="35401"/>
  <c r="AW26" i="35401"/>
  <c r="AX26" i="35401"/>
  <c r="BA26" i="35401"/>
  <c r="AR21" i="35401"/>
  <c r="AK21" i="35401"/>
  <c r="BA21" i="35401"/>
  <c r="AI21" i="35401"/>
  <c r="AL21" i="35401"/>
  <c r="AM21" i="35401"/>
  <c r="AJ13" i="35401"/>
  <c r="AZ13" i="35401"/>
  <c r="AS13" i="35401"/>
  <c r="AP13" i="35401"/>
  <c r="AY13" i="35401"/>
  <c r="BC13" i="35401"/>
  <c r="AU13" i="35401"/>
  <c r="AS34" i="35401"/>
  <c r="AT11" i="35401"/>
  <c r="AU11" i="35401"/>
  <c r="AF31" i="35401"/>
  <c r="AO31" i="35401"/>
  <c r="AD31" i="35401"/>
  <c r="AH31" i="35401"/>
  <c r="AQ31" i="35401"/>
  <c r="AM26" i="35401"/>
  <c r="BC26" i="35401"/>
  <c r="BB26" i="35401"/>
  <c r="AF21" i="35401"/>
  <c r="AV21" i="35401"/>
  <c r="AH21" i="35401"/>
  <c r="AQ21" i="35401"/>
  <c r="AU21" i="35401"/>
  <c r="AG13" i="35401"/>
  <c r="AW13" i="35401"/>
  <c r="AU50" i="35401"/>
  <c r="AL12" i="35401"/>
  <c r="AW12" i="35401"/>
  <c r="AS28" i="35401"/>
  <c r="AJ44" i="35401"/>
  <c r="AS39" i="35401"/>
  <c r="AT16" i="35401"/>
  <c r="AD30" i="35401"/>
  <c r="AR30" i="35401"/>
  <c r="AI27" i="35401"/>
  <c r="AH24" i="35401"/>
  <c r="AK24" i="35401"/>
  <c r="AK9" i="35401"/>
  <c r="BB9" i="35401"/>
  <c r="AP33" i="35401"/>
  <c r="AP18" i="35401"/>
  <c r="AW18" i="35401"/>
  <c r="AP51" i="35401"/>
  <c r="AV51" i="35401"/>
  <c r="AI41" i="35401"/>
  <c r="AX22" i="35401"/>
  <c r="AR22" i="35401"/>
  <c r="BA17" i="35401"/>
  <c r="AJ29" i="35401"/>
  <c r="AY29" i="35401"/>
  <c r="AE36" i="35401"/>
  <c r="AG36" i="35401"/>
  <c r="AK54" i="35401"/>
  <c r="AP14" i="35401"/>
  <c r="AW14" i="35401"/>
  <c r="AZ37" i="35401"/>
  <c r="AP37" i="35401"/>
  <c r="BB37" i="35401"/>
  <c r="AP8" i="35401"/>
  <c r="AU8" i="35401"/>
  <c r="AZ8" i="35401"/>
  <c r="AO8" i="35401"/>
  <c r="AJ25" i="35401"/>
  <c r="AG25" i="35401"/>
  <c r="BA25" i="35401"/>
  <c r="AY25" i="35401"/>
  <c r="AE25" i="35401"/>
  <c r="AJ15" i="35401"/>
  <c r="AK15" i="35401"/>
  <c r="AD15" i="35401"/>
  <c r="AE15" i="35401"/>
  <c r="AH15" i="35401"/>
  <c r="AP15" i="35401"/>
  <c r="AL38" i="35401"/>
  <c r="BB38" i="35401"/>
  <c r="AQ38" i="35401"/>
  <c r="AF38" i="35401"/>
  <c r="AO38" i="35401"/>
  <c r="AZ38" i="35401"/>
  <c r="AE46" i="35401"/>
  <c r="AL46" i="35401"/>
  <c r="BC46" i="35401"/>
  <c r="AV46" i="35401"/>
  <c r="BA46" i="35401"/>
  <c r="AD46" i="35401"/>
  <c r="AP46" i="35401"/>
  <c r="AO47" i="35401"/>
  <c r="AD47" i="35401"/>
  <c r="AT47" i="35401"/>
  <c r="AQ47" i="35401"/>
  <c r="AZ47" i="35401"/>
  <c r="BC47" i="35401"/>
  <c r="AD42" i="35401"/>
  <c r="AT42" i="35401"/>
  <c r="AI42" i="35401"/>
  <c r="AY42" i="35401"/>
  <c r="AV42" i="35401"/>
  <c r="AJ42" i="35401"/>
  <c r="AS42" i="35401"/>
  <c r="AG45" i="35401"/>
  <c r="AW45" i="35401"/>
  <c r="AT45" i="35401"/>
  <c r="AQ45" i="35401"/>
  <c r="AM45" i="35401"/>
  <c r="AU45" i="35401"/>
  <c r="AG49" i="35401"/>
  <c r="AW49" i="35401"/>
  <c r="AL49" i="35401"/>
  <c r="BB49" i="35401"/>
  <c r="BC49" i="35401"/>
  <c r="AI49" i="35401"/>
  <c r="AR49" i="35401"/>
  <c r="AN23" i="35401"/>
  <c r="AG23" i="35401"/>
  <c r="AW23" i="35401"/>
  <c r="AT23" i="35401"/>
  <c r="AU23" i="35401"/>
  <c r="AX23" i="35401"/>
  <c r="AD10" i="35401"/>
  <c r="AT10" i="35401"/>
  <c r="AI10" i="35401"/>
  <c r="AY10" i="35401"/>
  <c r="AV10" i="35401"/>
  <c r="AJ10" i="35401"/>
  <c r="AR10" i="35401"/>
  <c r="AN43" i="35401"/>
  <c r="AG43" i="35401"/>
  <c r="AW43" i="35401"/>
  <c r="AT43" i="35401"/>
  <c r="AU43" i="35401"/>
  <c r="AX43" i="35401"/>
  <c r="AF19" i="35401"/>
  <c r="AK19" i="35401"/>
  <c r="BA19" i="35401"/>
  <c r="AX19" i="35401"/>
  <c r="AT19" i="35401"/>
  <c r="AQ19" i="35401"/>
  <c r="AI19" i="35401"/>
  <c r="AO53" i="35401"/>
  <c r="AD53" i="35401"/>
  <c r="AT53" i="35401"/>
  <c r="AM53" i="35401"/>
  <c r="AN53" i="35401"/>
  <c r="AY53" i="35401"/>
  <c r="AE20" i="35401"/>
  <c r="AT20" i="35401"/>
  <c r="AI20" i="35401"/>
  <c r="AY20" i="35401"/>
  <c r="AZ20" i="35401"/>
  <c r="AF20" i="35401"/>
  <c r="AO20" i="35401"/>
  <c r="AM48" i="35401"/>
  <c r="BC48" i="35401"/>
  <c r="AR48" i="35401"/>
  <c r="AO48" i="35401"/>
  <c r="AX48" i="35401"/>
  <c r="AD48" i="35401"/>
  <c r="AF35" i="35401"/>
  <c r="AV35" i="35401"/>
  <c r="AO35" i="35401"/>
  <c r="AD35" i="35401"/>
  <c r="AE35" i="35401"/>
  <c r="AH35" i="35401"/>
  <c r="AQ35" i="35401"/>
  <c r="AL32" i="35401"/>
  <c r="BB32" i="35401"/>
  <c r="AQ32" i="35401"/>
  <c r="AJ32" i="35401"/>
  <c r="AS32" i="35401"/>
  <c r="AV32" i="35401"/>
  <c r="AD34" i="35401"/>
  <c r="AT34" i="35401"/>
  <c r="AI34" i="35401"/>
  <c r="AY34" i="35401"/>
  <c r="AV34" i="35401"/>
  <c r="AJ34" i="35401"/>
  <c r="AN11" i="35401"/>
  <c r="AG11" i="35401"/>
  <c r="AW11" i="35401"/>
  <c r="AH11" i="35401"/>
  <c r="AV31" i="35401"/>
  <c r="AE31" i="35401"/>
  <c r="AL26" i="35401"/>
  <c r="AZ26" i="35401"/>
  <c r="AG26" i="35401"/>
  <c r="AO21" i="35401"/>
  <c r="AT21" i="35401"/>
  <c r="AN13" i="35401"/>
  <c r="AG50" i="35401"/>
  <c r="AE12" i="35401"/>
  <c r="AL28" i="35401"/>
  <c r="AO28" i="35401"/>
  <c r="AN44" i="35401"/>
  <c r="AT39" i="35401"/>
  <c r="AQ16" i="35401"/>
  <c r="AX30" i="35401"/>
  <c r="BA30" i="35401"/>
  <c r="BA27" i="35401"/>
  <c r="AX24" i="35401"/>
  <c r="AN24" i="35401"/>
  <c r="BA9" i="35401"/>
  <c r="AJ33" i="35401"/>
  <c r="AY33" i="35401"/>
  <c r="AE18" i="35401"/>
  <c r="BA18" i="35401"/>
  <c r="AI51" i="35401"/>
  <c r="AR41" i="35401"/>
  <c r="AL41" i="35401"/>
  <c r="AM22" i="35401"/>
  <c r="BA22" i="35401"/>
  <c r="AI17" i="35401"/>
  <c r="AZ29" i="35401"/>
  <c r="BB29" i="35401"/>
  <c r="AU36" i="35401"/>
  <c r="AI54" i="35401"/>
  <c r="AL54" i="35401"/>
  <c r="AE14" i="35401"/>
  <c r="AZ14" i="35401"/>
  <c r="AK37" i="35401"/>
  <c r="AI37" i="35401"/>
  <c r="AM37" i="35401"/>
  <c r="AX8" i="35401"/>
  <c r="AY8" i="35401"/>
  <c r="AK8" i="35401"/>
  <c r="AV8" i="35401"/>
  <c r="AN25" i="35401"/>
  <c r="AK25" i="35401"/>
  <c r="AP25" i="35401"/>
  <c r="AD25" i="35401"/>
  <c r="AM25" i="35401"/>
  <c r="AR15" i="35401"/>
  <c r="AO15" i="35401"/>
  <c r="AL15" i="35401"/>
  <c r="AM15" i="35401"/>
  <c r="AX15" i="35401"/>
  <c r="AQ15" i="35401"/>
  <c r="AP38" i="35401"/>
  <c r="AE38" i="35401"/>
  <c r="AU38" i="35401"/>
  <c r="AN38" i="35401"/>
  <c r="AW38" i="35401"/>
  <c r="AK38" i="35401"/>
  <c r="AI46" i="35401"/>
  <c r="AQ46" i="35401"/>
  <c r="AH46" i="35401"/>
  <c r="AZ46" i="35401"/>
  <c r="AK46" i="35401"/>
  <c r="AO46" i="35401"/>
  <c r="AX46" i="35401"/>
  <c r="AS47" i="35401"/>
  <c r="AH47" i="35401"/>
  <c r="AX47" i="35401"/>
  <c r="AY47" i="35401"/>
  <c r="AE47" i="35401"/>
  <c r="AF47" i="35401"/>
  <c r="AH42" i="35401"/>
  <c r="AX42" i="35401"/>
  <c r="AM42" i="35401"/>
  <c r="BC42" i="35401"/>
  <c r="AG42" i="35401"/>
  <c r="AR42" i="35401"/>
  <c r="BA42" i="35401"/>
  <c r="AK45" i="35401"/>
  <c r="BA45" i="35401"/>
  <c r="AY45" i="35401"/>
  <c r="AV45" i="35401"/>
  <c r="AR45" i="35401"/>
  <c r="AZ45" i="35401"/>
  <c r="AK49" i="35401"/>
  <c r="BA49" i="35401"/>
  <c r="AP49" i="35401"/>
  <c r="AE49" i="35401"/>
  <c r="AF49" i="35401"/>
  <c r="AQ49" i="35401"/>
  <c r="AZ49" i="35401"/>
  <c r="AR23" i="35401"/>
  <c r="AK23" i="35401"/>
  <c r="BA23" i="35401"/>
  <c r="BB23" i="35401"/>
  <c r="BC23" i="35401"/>
  <c r="AI23" i="35401"/>
  <c r="AH10" i="35401"/>
  <c r="AX10" i="35401"/>
  <c r="AM10" i="35401"/>
  <c r="BC10" i="35401"/>
  <c r="AG10" i="35401"/>
  <c r="AZ10" i="35401"/>
  <c r="AS10" i="35401"/>
  <c r="AR43" i="35401"/>
  <c r="AK43" i="35401"/>
  <c r="BA43" i="35401"/>
  <c r="BB43" i="35401"/>
  <c r="BC43" i="35401"/>
  <c r="AI43" i="35401"/>
  <c r="AJ19" i="35401"/>
  <c r="AO19" i="35401"/>
  <c r="AD19" i="35401"/>
  <c r="BC19" i="35401"/>
  <c r="AY19" i="35401"/>
  <c r="BB19" i="35401"/>
  <c r="AV19" i="35401"/>
  <c r="AS53" i="35401"/>
  <c r="AH53" i="35401"/>
  <c r="AX53" i="35401"/>
  <c r="AU53" i="35401"/>
  <c r="AV53" i="35401"/>
  <c r="AJ53" i="35401"/>
  <c r="AH20" i="35401"/>
  <c r="AX20" i="35401"/>
  <c r="AM20" i="35401"/>
  <c r="BC20" i="35401"/>
  <c r="AK20" i="35401"/>
  <c r="AN20" i="35401"/>
  <c r="AW20" i="35401"/>
  <c r="AQ48" i="35401"/>
  <c r="AF48" i="35401"/>
  <c r="AV48" i="35401"/>
  <c r="AW48" i="35401"/>
  <c r="AK48" i="35401"/>
  <c r="AL48" i="35401"/>
  <c r="AJ35" i="35401"/>
  <c r="AZ35" i="35401"/>
  <c r="AS35" i="35401"/>
  <c r="AL35" i="35401"/>
  <c r="AM35" i="35401"/>
  <c r="AP35" i="35401"/>
  <c r="AY35" i="35401"/>
  <c r="AP32" i="35401"/>
  <c r="AE32" i="35401"/>
  <c r="AU32" i="35401"/>
  <c r="AR32" i="35401"/>
  <c r="BA32" i="35401"/>
  <c r="AG32" i="35401"/>
  <c r="AH34" i="35401"/>
  <c r="AX34" i="35401"/>
  <c r="AM34" i="35401"/>
  <c r="BC34" i="35401"/>
  <c r="AG34" i="35401"/>
  <c r="AR34" i="35401"/>
  <c r="BA34" i="35401"/>
  <c r="AR11" i="35401"/>
  <c r="AK11" i="35401"/>
  <c r="BA11" i="35401"/>
  <c r="BB11" i="35401"/>
  <c r="BC11" i="35401"/>
  <c r="AX11" i="35401"/>
  <c r="AJ31" i="35401"/>
  <c r="AZ31" i="35401"/>
  <c r="AS31" i="35401"/>
  <c r="AL31" i="35401"/>
  <c r="AM31" i="35401"/>
  <c r="AP31" i="35401"/>
  <c r="AY31" i="35401"/>
  <c r="AP26" i="35401"/>
  <c r="AQ26" i="35401"/>
  <c r="AF26" i="35401"/>
  <c r="AJ26" i="35401"/>
  <c r="AD13" i="35401"/>
  <c r="AQ13" i="35401"/>
  <c r="BA13" i="35401"/>
  <c r="AR13" i="35401"/>
  <c r="BB21" i="35401"/>
  <c r="AP21" i="35401"/>
  <c r="AZ21" i="35401"/>
  <c r="AO26" i="35401"/>
  <c r="AN26" i="35401"/>
  <c r="AX31" i="35401"/>
  <c r="AG31" i="35401"/>
  <c r="AE11" i="35401"/>
  <c r="AF11" i="35401"/>
  <c r="AQ34" i="35401"/>
  <c r="AF32" i="35401"/>
  <c r="AT32" i="35401"/>
  <c r="AT35" i="35401"/>
  <c r="AT48" i="35401"/>
  <c r="AJ48" i="35401"/>
  <c r="AS20" i="35401"/>
  <c r="AL20" i="35401"/>
  <c r="BB53" i="35401"/>
  <c r="AH19" i="35401"/>
  <c r="AS19" i="35401"/>
  <c r="AE43" i="35401"/>
  <c r="AF43" i="35401"/>
  <c r="AQ10" i="35401"/>
  <c r="AH23" i="35401"/>
  <c r="AV23" i="35401"/>
  <c r="AM49" i="35401"/>
  <c r="AI45" i="35401"/>
  <c r="AH45" i="35401"/>
  <c r="AO42" i="35401"/>
  <c r="AL42" i="35401"/>
  <c r="BB47" i="35401"/>
  <c r="AW46" i="35401"/>
  <c r="AU46" i="35401"/>
  <c r="AV38" i="35401"/>
  <c r="AD38" i="35401"/>
  <c r="AS15" i="35401"/>
  <c r="AX25" i="35401"/>
  <c r="BA8" i="35401"/>
  <c r="AY37" i="35401"/>
  <c r="AO54" i="35401"/>
  <c r="AS29" i="35401"/>
  <c r="AM41" i="35401"/>
  <c r="AU18" i="35401"/>
  <c r="AW24" i="35401"/>
  <c r="AQ30" i="35401"/>
  <c r="AP44" i="35401"/>
  <c r="AR13" i="35404"/>
  <c r="BA62" i="35404"/>
  <c r="AD47" i="35404"/>
  <c r="AT47" i="35404"/>
  <c r="AI47" i="35404"/>
  <c r="AY47" i="35404"/>
  <c r="AV47" i="35404"/>
  <c r="AJ47" i="35404"/>
  <c r="AS47" i="35404"/>
  <c r="AN28" i="35404"/>
  <c r="AG28" i="35404"/>
  <c r="BB28" i="35404"/>
  <c r="AX28" i="35404"/>
  <c r="AK28" i="35404"/>
  <c r="AY28" i="35404"/>
  <c r="AF26" i="35404"/>
  <c r="AV26" i="35404"/>
  <c r="AD26" i="35404"/>
  <c r="AT26" i="35404"/>
  <c r="AI26" i="35404"/>
  <c r="AY26" i="35404"/>
  <c r="AO26" i="35404"/>
  <c r="AL9" i="35404"/>
  <c r="BB9" i="35404"/>
  <c r="AQ9" i="35404"/>
  <c r="AG9" i="35404"/>
  <c r="AW9" i="35404"/>
  <c r="AV9" i="35404"/>
  <c r="AD27" i="35404"/>
  <c r="AT27" i="35404"/>
  <c r="AJ27" i="35404"/>
  <c r="AG27" i="35404"/>
  <c r="AW27" i="35404"/>
  <c r="AQ27" i="35404"/>
  <c r="AE27" i="35404"/>
  <c r="AL53" i="35404"/>
  <c r="BB53" i="35404"/>
  <c r="AQ53" i="35404"/>
  <c r="AJ53" i="35404"/>
  <c r="AS53" i="35404"/>
  <c r="AG53" i="35404"/>
  <c r="AF50" i="35404"/>
  <c r="AV50" i="35404"/>
  <c r="AO50" i="35404"/>
  <c r="AH50" i="35404"/>
  <c r="AQ50" i="35404"/>
  <c r="AT50" i="35404"/>
  <c r="AU50" i="35404"/>
  <c r="AN48" i="35404"/>
  <c r="AG48" i="35404"/>
  <c r="AW48" i="35404"/>
  <c r="AT48" i="35404"/>
  <c r="AU48" i="35404"/>
  <c r="AX48" i="35404"/>
  <c r="AF33" i="35404"/>
  <c r="AV33" i="35404"/>
  <c r="AO33" i="35404"/>
  <c r="AD33" i="35404"/>
  <c r="AE33" i="35404"/>
  <c r="AH33" i="35404"/>
  <c r="AQ33" i="35404"/>
  <c r="AN35" i="35404"/>
  <c r="AG35" i="35404"/>
  <c r="AW35" i="35404"/>
  <c r="AX35" i="35404"/>
  <c r="AL35" i="35404"/>
  <c r="AM35" i="35404"/>
  <c r="AF14" i="35404"/>
  <c r="AV14" i="35404"/>
  <c r="AM14" i="35404"/>
  <c r="BC14" i="35404"/>
  <c r="AD14" i="35404"/>
  <c r="AG14" i="35404"/>
  <c r="AP14" i="35404"/>
  <c r="AN31" i="35404"/>
  <c r="AG31" i="35404"/>
  <c r="AW31" i="35404"/>
  <c r="AX31" i="35404"/>
  <c r="AD31" i="35404"/>
  <c r="AE31" i="35404"/>
  <c r="AF10" i="35404"/>
  <c r="AV10" i="35404"/>
  <c r="AO10" i="35404"/>
  <c r="AE10" i="35404"/>
  <c r="AU10" i="35404"/>
  <c r="AX10" i="35404"/>
  <c r="AD10" i="35404"/>
  <c r="AH47" i="35404"/>
  <c r="AX47" i="35404"/>
  <c r="AM47" i="35404"/>
  <c r="BC47" i="35404"/>
  <c r="AG47" i="35404"/>
  <c r="AR47" i="35404"/>
  <c r="BA47" i="35404"/>
  <c r="AR28" i="35404"/>
  <c r="AL28" i="35404"/>
  <c r="AH28" i="35404"/>
  <c r="BC28" i="35404"/>
  <c r="AU28" i="35404"/>
  <c r="AE28" i="35404"/>
  <c r="AJ26" i="35404"/>
  <c r="AZ26" i="35404"/>
  <c r="AH26" i="35404"/>
  <c r="AX26" i="35404"/>
  <c r="AM26" i="35404"/>
  <c r="BC26" i="35404"/>
  <c r="AS26" i="35404"/>
  <c r="AP9" i="35404"/>
  <c r="AE9" i="35404"/>
  <c r="AU9" i="35404"/>
  <c r="AK9" i="35404"/>
  <c r="BA9" i="35404"/>
  <c r="AJ9" i="35404"/>
  <c r="AH27" i="35404"/>
  <c r="AX27" i="35404"/>
  <c r="AN27" i="35404"/>
  <c r="AK27" i="35404"/>
  <c r="BA27" i="35404"/>
  <c r="BC27" i="35404"/>
  <c r="AI27" i="35404"/>
  <c r="AP53" i="35404"/>
  <c r="AE53" i="35404"/>
  <c r="AU53" i="35404"/>
  <c r="AR53" i="35404"/>
  <c r="AF53" i="35404"/>
  <c r="AO53" i="35404"/>
  <c r="AJ50" i="35404"/>
  <c r="AZ50" i="35404"/>
  <c r="AS50" i="35404"/>
  <c r="AP50" i="35404"/>
  <c r="AY50" i="35404"/>
  <c r="BB50" i="35404"/>
  <c r="BC50" i="35404"/>
  <c r="AR48" i="35404"/>
  <c r="AK48" i="35404"/>
  <c r="BA48" i="35404"/>
  <c r="BB48" i="35404"/>
  <c r="BC48" i="35404"/>
  <c r="AI48" i="35404"/>
  <c r="AJ33" i="35404"/>
  <c r="AZ33" i="35404"/>
  <c r="AS33" i="35404"/>
  <c r="AL33" i="35404"/>
  <c r="AM33" i="35404"/>
  <c r="AP33" i="35404"/>
  <c r="AY33" i="35404"/>
  <c r="AR35" i="35404"/>
  <c r="AK35" i="35404"/>
  <c r="BA35" i="35404"/>
  <c r="AI35" i="35404"/>
  <c r="AT35" i="35404"/>
  <c r="AU35" i="35404"/>
  <c r="AJ14" i="35404"/>
  <c r="AZ14" i="35404"/>
  <c r="AQ14" i="35404"/>
  <c r="AK14" i="35404"/>
  <c r="AL14" i="35404"/>
  <c r="AO14" i="35404"/>
  <c r="AX14" i="35404"/>
  <c r="AR31" i="35404"/>
  <c r="AK31" i="35404"/>
  <c r="BA31" i="35404"/>
  <c r="AI31" i="35404"/>
  <c r="AL31" i="35404"/>
  <c r="AM31" i="35404"/>
  <c r="AJ10" i="35404"/>
  <c r="AZ10" i="35404"/>
  <c r="AS10" i="35404"/>
  <c r="AI10" i="35404"/>
  <c r="AY10" i="35404"/>
  <c r="AL10" i="35404"/>
  <c r="AT10" i="35404"/>
  <c r="AL47" i="35404"/>
  <c r="BB47" i="35404"/>
  <c r="AQ47" i="35404"/>
  <c r="AF47" i="35404"/>
  <c r="AO47" i="35404"/>
  <c r="AZ47" i="35404"/>
  <c r="AF28" i="35404"/>
  <c r="AV28" i="35404"/>
  <c r="AQ28" i="35404"/>
  <c r="AM28" i="35404"/>
  <c r="AI28" i="35404"/>
  <c r="AD28" i="35404"/>
  <c r="AP28" i="35404"/>
  <c r="AN26" i="35404"/>
  <c r="AG26" i="35404"/>
  <c r="AL26" i="35404"/>
  <c r="BB26" i="35404"/>
  <c r="AQ26" i="35404"/>
  <c r="AW26" i="35404"/>
  <c r="AD9" i="35404"/>
  <c r="AT9" i="35404"/>
  <c r="AI9" i="35404"/>
  <c r="AY9" i="35404"/>
  <c r="AO9" i="35404"/>
  <c r="AR9" i="35404"/>
  <c r="AZ9" i="35404"/>
  <c r="AL27" i="35404"/>
  <c r="BB27" i="35404"/>
  <c r="AR27" i="35404"/>
  <c r="AO27" i="35404"/>
  <c r="AM27" i="35404"/>
  <c r="AU27" i="35404"/>
  <c r="AD53" i="35404"/>
  <c r="AT53" i="35404"/>
  <c r="AI53" i="35404"/>
  <c r="AY53" i="35404"/>
  <c r="AZ53" i="35404"/>
  <c r="AN53" i="35404"/>
  <c r="AW53" i="35404"/>
  <c r="AN50" i="35404"/>
  <c r="AG50" i="35404"/>
  <c r="AW50" i="35404"/>
  <c r="AX50" i="35404"/>
  <c r="AD50" i="35404"/>
  <c r="AE50" i="35404"/>
  <c r="AF48" i="35404"/>
  <c r="AV48" i="35404"/>
  <c r="AO48" i="35404"/>
  <c r="AD48" i="35404"/>
  <c r="AE48" i="35404"/>
  <c r="AH48" i="35404"/>
  <c r="AQ48" i="35404"/>
  <c r="AN33" i="35404"/>
  <c r="AG33" i="35404"/>
  <c r="AW33" i="35404"/>
  <c r="AT33" i="35404"/>
  <c r="AU33" i="35404"/>
  <c r="AX33" i="35404"/>
  <c r="AF35" i="35404"/>
  <c r="AV35" i="35404"/>
  <c r="AO35" i="35404"/>
  <c r="AH35" i="35404"/>
  <c r="AQ35" i="35404"/>
  <c r="BB35" i="35404"/>
  <c r="BC35" i="35404"/>
  <c r="AN14" i="35404"/>
  <c r="AE14" i="35404"/>
  <c r="AU14" i="35404"/>
  <c r="AS14" i="35404"/>
  <c r="AT14" i="35404"/>
  <c r="AW14" i="35404"/>
  <c r="AF31" i="35404"/>
  <c r="AV31" i="35404"/>
  <c r="AO31" i="35404"/>
  <c r="AP47" i="35404"/>
  <c r="AW47" i="35404"/>
  <c r="AW28" i="35404"/>
  <c r="BA28" i="35404"/>
  <c r="AE26" i="35404"/>
  <c r="AX9" i="35404"/>
  <c r="AF9" i="35404"/>
  <c r="AV27" i="35404"/>
  <c r="AH53" i="35404"/>
  <c r="AK53" i="35404"/>
  <c r="AK50" i="35404"/>
  <c r="AM50" i="35404"/>
  <c r="AL48" i="35404"/>
  <c r="AR33" i="35404"/>
  <c r="BC33" i="35404"/>
  <c r="AS35" i="35404"/>
  <c r="AY35" i="35404"/>
  <c r="BA14" i="35404"/>
  <c r="AZ31" i="35404"/>
  <c r="AQ31" i="35404"/>
  <c r="AU31" i="35404"/>
  <c r="AG10" i="35404"/>
  <c r="AM10" i="35404"/>
  <c r="BB10" i="35404"/>
  <c r="AL11" i="35404"/>
  <c r="BB11" i="35404"/>
  <c r="AQ11" i="35404"/>
  <c r="AG11" i="35404"/>
  <c r="AW11" i="35404"/>
  <c r="AF11" i="35404"/>
  <c r="AF54" i="35404"/>
  <c r="AV54" i="35404"/>
  <c r="AO54" i="35404"/>
  <c r="AH54" i="35404"/>
  <c r="AL54" i="35404"/>
  <c r="AM54" i="35404"/>
  <c r="AQ54" i="35404"/>
  <c r="AN37" i="35404"/>
  <c r="AG37" i="35404"/>
  <c r="AW37" i="35404"/>
  <c r="AX37" i="35404"/>
  <c r="AL37" i="35404"/>
  <c r="AD37" i="35404"/>
  <c r="AF44" i="35404"/>
  <c r="AV44" i="35404"/>
  <c r="AO44" i="35404"/>
  <c r="AD44" i="35404"/>
  <c r="AE44" i="35404"/>
  <c r="AH44" i="35404"/>
  <c r="AQ44" i="35404"/>
  <c r="AL34" i="35404"/>
  <c r="BB34" i="35404"/>
  <c r="AQ34" i="35404"/>
  <c r="AJ34" i="35404"/>
  <c r="AS34" i="35404"/>
  <c r="AV34" i="35404"/>
  <c r="AF12" i="35404"/>
  <c r="AV12" i="35404"/>
  <c r="AI12" i="35404"/>
  <c r="AY12" i="35404"/>
  <c r="AW12" i="35404"/>
  <c r="AK12" i="35404"/>
  <c r="AT12" i="35404"/>
  <c r="AL17" i="35404"/>
  <c r="BB17" i="35404"/>
  <c r="AS17" i="35404"/>
  <c r="AM17" i="35404"/>
  <c r="AN17" i="35404"/>
  <c r="AY17" i="35404"/>
  <c r="AD19" i="35404"/>
  <c r="AT19" i="35404"/>
  <c r="AK19" i="35404"/>
  <c r="BA19" i="35404"/>
  <c r="AJ19" i="35404"/>
  <c r="AM19" i="35404"/>
  <c r="AN19" i="35404"/>
  <c r="AL45" i="35404"/>
  <c r="BB45" i="35404"/>
  <c r="AQ45" i="35404"/>
  <c r="AJ45" i="35404"/>
  <c r="AS45" i="35404"/>
  <c r="AV45" i="35404"/>
  <c r="AD15" i="35404"/>
  <c r="AT15" i="35404"/>
  <c r="AE47" i="35404"/>
  <c r="AK47" i="35404"/>
  <c r="AS28" i="35404"/>
  <c r="AR26" i="35404"/>
  <c r="AU26" i="35404"/>
  <c r="AM9" i="35404"/>
  <c r="AN9" i="35404"/>
  <c r="AS27" i="35404"/>
  <c r="AX53" i="35404"/>
  <c r="AV53" i="35404"/>
  <c r="BA50" i="35404"/>
  <c r="AJ48" i="35404"/>
  <c r="AM48" i="35404"/>
  <c r="AK33" i="35404"/>
  <c r="AI33" i="35404"/>
  <c r="AP35" i="35404"/>
  <c r="AR14" i="35404"/>
  <c r="BB14" i="35404"/>
  <c r="AS31" i="35404"/>
  <c r="AY31" i="35404"/>
  <c r="BC31" i="35404"/>
  <c r="AK10" i="35404"/>
  <c r="AQ10" i="35404"/>
  <c r="AP10" i="35404"/>
  <c r="AP11" i="35404"/>
  <c r="AE11" i="35404"/>
  <c r="AU11" i="35404"/>
  <c r="AK11" i="35404"/>
  <c r="BA11" i="35404"/>
  <c r="AV11" i="35404"/>
  <c r="AJ54" i="35404"/>
  <c r="AZ54" i="35404"/>
  <c r="AS54" i="35404"/>
  <c r="AP54" i="35404"/>
  <c r="AT54" i="35404"/>
  <c r="AU54" i="35404"/>
  <c r="AY54" i="35404"/>
  <c r="AR37" i="35404"/>
  <c r="AK37" i="35404"/>
  <c r="BA37" i="35404"/>
  <c r="AI37" i="35404"/>
  <c r="BB37" i="35404"/>
  <c r="AT37" i="35404"/>
  <c r="AJ44" i="35404"/>
  <c r="AZ44" i="35404"/>
  <c r="AS44" i="35404"/>
  <c r="AL44" i="35404"/>
  <c r="AM44" i="35404"/>
  <c r="AP44" i="35404"/>
  <c r="AY44" i="35404"/>
  <c r="AP34" i="35404"/>
  <c r="AE34" i="35404"/>
  <c r="AU34" i="35404"/>
  <c r="AR34" i="35404"/>
  <c r="BA34" i="35404"/>
  <c r="AG34" i="35404"/>
  <c r="AJ12" i="35404"/>
  <c r="AZ12" i="35404"/>
  <c r="AM12" i="35404"/>
  <c r="BC12" i="35404"/>
  <c r="AH12" i="35404"/>
  <c r="AS12" i="35404"/>
  <c r="BB12" i="35404"/>
  <c r="AP17" i="35404"/>
  <c r="AG17" i="35404"/>
  <c r="AW17" i="35404"/>
  <c r="AU17" i="35404"/>
  <c r="AV17" i="35404"/>
  <c r="AJ17" i="35404"/>
  <c r="AH19" i="35404"/>
  <c r="AX19" i="35404"/>
  <c r="AO19" i="35404"/>
  <c r="AI19" i="35404"/>
  <c r="AR19" i="35404"/>
  <c r="AU19" i="35404"/>
  <c r="AV19" i="35404"/>
  <c r="AP45" i="35404"/>
  <c r="AE45" i="35404"/>
  <c r="AU45" i="35404"/>
  <c r="AR45" i="35404"/>
  <c r="BA45" i="35404"/>
  <c r="AG45" i="35404"/>
  <c r="AH15" i="35404"/>
  <c r="AX15" i="35404"/>
  <c r="AO15" i="35404"/>
  <c r="AU47" i="35404"/>
  <c r="AJ28" i="35404"/>
  <c r="AT28" i="35404"/>
  <c r="AK26" i="35404"/>
  <c r="BA26" i="35404"/>
  <c r="BC9" i="35404"/>
  <c r="AP27" i="35404"/>
  <c r="AZ27" i="35404"/>
  <c r="AM53" i="35404"/>
  <c r="BA53" i="35404"/>
  <c r="AI50" i="35404"/>
  <c r="AZ48" i="35404"/>
  <c r="AP48" i="35404"/>
  <c r="BA33" i="35404"/>
  <c r="AJ35" i="35404"/>
  <c r="AD35" i="35404"/>
  <c r="AI14" i="35404"/>
  <c r="AH14" i="35404"/>
  <c r="AH31" i="35404"/>
  <c r="AT31" i="35404"/>
  <c r="AN10" i="35404"/>
  <c r="AW10" i="35404"/>
  <c r="BC10" i="35404"/>
  <c r="AD11" i="35404"/>
  <c r="AT11" i="35404"/>
  <c r="AI11" i="35404"/>
  <c r="AY11" i="35404"/>
  <c r="AO11" i="35404"/>
  <c r="AN11" i="35404"/>
  <c r="AJ11" i="35404"/>
  <c r="AN54" i="35404"/>
  <c r="AG54" i="35404"/>
  <c r="AW54" i="35404"/>
  <c r="AX54" i="35404"/>
  <c r="BB54" i="35404"/>
  <c r="BC54" i="35404"/>
  <c r="AF37" i="35404"/>
  <c r="AV37" i="35404"/>
  <c r="AO37" i="35404"/>
  <c r="AH37" i="35404"/>
  <c r="AQ37" i="35404"/>
  <c r="AM37" i="35404"/>
  <c r="AE37" i="35404"/>
  <c r="AN44" i="35404"/>
  <c r="AG44" i="35404"/>
  <c r="AW44" i="35404"/>
  <c r="AT44" i="35404"/>
  <c r="AU44" i="35404"/>
  <c r="AX44" i="35404"/>
  <c r="AD34" i="35404"/>
  <c r="AT34" i="35404"/>
  <c r="AI34" i="35404"/>
  <c r="AY34" i="35404"/>
  <c r="AZ34" i="35404"/>
  <c r="AF34" i="35404"/>
  <c r="AO34" i="35404"/>
  <c r="AN12" i="35404"/>
  <c r="AG12" i="35404"/>
  <c r="AQ12" i="35404"/>
  <c r="AD12" i="35404"/>
  <c r="AP12" i="35404"/>
  <c r="BA12" i="35404"/>
  <c r="AD17" i="35404"/>
  <c r="AT17" i="35404"/>
  <c r="AK17" i="35404"/>
  <c r="BA17" i="35404"/>
  <c r="BC17" i="35404"/>
  <c r="AI17" i="35404"/>
  <c r="AR17" i="35404"/>
  <c r="AL19" i="35404"/>
  <c r="BB19" i="35404"/>
  <c r="AS19" i="35404"/>
  <c r="AQ19" i="35404"/>
  <c r="AZ19" i="35404"/>
  <c r="BC19" i="35404"/>
  <c r="AD45" i="35404"/>
  <c r="AT45" i="35404"/>
  <c r="AI45" i="35404"/>
  <c r="AY45" i="35404"/>
  <c r="AZ45" i="35404"/>
  <c r="AF45" i="35404"/>
  <c r="AO45" i="35404"/>
  <c r="AL15" i="35404"/>
  <c r="BB15" i="35404"/>
  <c r="AS15" i="35404"/>
  <c r="AN47" i="35404"/>
  <c r="AH9" i="35404"/>
  <c r="BC53" i="35404"/>
  <c r="AY48" i="35404"/>
  <c r="AY14" i="35404"/>
  <c r="AR10" i="35404"/>
  <c r="AX11" i="35404"/>
  <c r="AR11" i="35404"/>
  <c r="BA54" i="35404"/>
  <c r="AJ37" i="35404"/>
  <c r="AY37" i="35404"/>
  <c r="AK44" i="35404"/>
  <c r="AI44" i="35404"/>
  <c r="BC34" i="35404"/>
  <c r="AR12" i="35404"/>
  <c r="AX12" i="35404"/>
  <c r="AO17" i="35404"/>
  <c r="AZ17" i="35404"/>
  <c r="AY19" i="35404"/>
  <c r="AX45" i="35404"/>
  <c r="AN45" i="35404"/>
  <c r="AK15" i="35404"/>
  <c r="AQ15" i="35404"/>
  <c r="AZ15" i="35404"/>
  <c r="BC15" i="35404"/>
  <c r="AD41" i="35404"/>
  <c r="AT41" i="35404"/>
  <c r="AI41" i="35404"/>
  <c r="AY41" i="35404"/>
  <c r="AZ41" i="35404"/>
  <c r="AF41" i="35404"/>
  <c r="AO41" i="35404"/>
  <c r="AN52" i="35404"/>
  <c r="AG52" i="35404"/>
  <c r="AW52" i="35404"/>
  <c r="AT52" i="35404"/>
  <c r="AU52" i="35404"/>
  <c r="AX52" i="35404"/>
  <c r="AD38" i="35404"/>
  <c r="AT38" i="35404"/>
  <c r="AI38" i="35404"/>
  <c r="AY38" i="35404"/>
  <c r="AV38" i="35404"/>
  <c r="AR38" i="35404"/>
  <c r="AK38" i="35404"/>
  <c r="AJ20" i="35404"/>
  <c r="AZ20" i="35404"/>
  <c r="AS20" i="35404"/>
  <c r="AL20" i="35404"/>
  <c r="BB20" i="35404"/>
  <c r="AQ20" i="35404"/>
  <c r="AD21" i="35404"/>
  <c r="AT21" i="35404"/>
  <c r="AI21" i="35404"/>
  <c r="AY21" i="35404"/>
  <c r="AN21" i="35404"/>
  <c r="AG21" i="35404"/>
  <c r="AW21" i="35404"/>
  <c r="AN39" i="35404"/>
  <c r="AG39" i="35404"/>
  <c r="AW39" i="35404"/>
  <c r="AT39" i="35404"/>
  <c r="AU39" i="35404"/>
  <c r="AI39" i="35404"/>
  <c r="AF8" i="35404"/>
  <c r="AV8" i="35404"/>
  <c r="AO8" i="35404"/>
  <c r="AE8" i="35404"/>
  <c r="AU8" i="35404"/>
  <c r="BB8" i="35404"/>
  <c r="AH8" i="35404"/>
  <c r="AN18" i="35404"/>
  <c r="AE18" i="35404"/>
  <c r="AU18" i="35404"/>
  <c r="AS18" i="35404"/>
  <c r="AT18" i="35404"/>
  <c r="AW18" i="35404"/>
  <c r="AF46" i="35404"/>
  <c r="AV46" i="35404"/>
  <c r="AO46" i="35404"/>
  <c r="AH46" i="35404"/>
  <c r="AQ46" i="35404"/>
  <c r="AT46" i="35404"/>
  <c r="AU46" i="35404"/>
  <c r="AL40" i="35404"/>
  <c r="AE40" i="35404"/>
  <c r="AU40" i="35404"/>
  <c r="AZ40" i="35404"/>
  <c r="AN40" i="35404"/>
  <c r="AF40" i="35404"/>
  <c r="AF29" i="35404"/>
  <c r="AV29" i="35404"/>
  <c r="AO29" i="35404"/>
  <c r="AD29" i="35404"/>
  <c r="AE29" i="35404"/>
  <c r="AH29" i="35404"/>
  <c r="AQ29" i="35404"/>
  <c r="AN42" i="35404"/>
  <c r="AZ28" i="35404"/>
  <c r="AS9" i="35404"/>
  <c r="AR50" i="35404"/>
  <c r="BB33" i="35404"/>
  <c r="AJ31" i="35404"/>
  <c r="BA10" i="35404"/>
  <c r="AM11" i="35404"/>
  <c r="AZ11" i="35404"/>
  <c r="AD54" i="35404"/>
  <c r="AZ37" i="35404"/>
  <c r="BC37" i="35404"/>
  <c r="BA44" i="35404"/>
  <c r="AH34" i="35404"/>
  <c r="AK34" i="35404"/>
  <c r="AE12" i="35404"/>
  <c r="AL12" i="35404"/>
  <c r="AE17" i="35404"/>
  <c r="AP19" i="35404"/>
  <c r="AE19" i="35404"/>
  <c r="AM45" i="35404"/>
  <c r="AW45" i="35404"/>
  <c r="AW15" i="35404"/>
  <c r="AY15" i="35404"/>
  <c r="AE15" i="35404"/>
  <c r="AF15" i="35404"/>
  <c r="AH41" i="35404"/>
  <c r="AX41" i="35404"/>
  <c r="AM41" i="35404"/>
  <c r="BC41" i="35404"/>
  <c r="AK41" i="35404"/>
  <c r="AN41" i="35404"/>
  <c r="AW41" i="35404"/>
  <c r="AR52" i="35404"/>
  <c r="AK52" i="35404"/>
  <c r="BA52" i="35404"/>
  <c r="BB52" i="35404"/>
  <c r="BC52" i="35404"/>
  <c r="AI52" i="35404"/>
  <c r="AH38" i="35404"/>
  <c r="AX38" i="35404"/>
  <c r="AM38" i="35404"/>
  <c r="BC38" i="35404"/>
  <c r="AG38" i="35404"/>
  <c r="AS38" i="35404"/>
  <c r="BA38" i="35404"/>
  <c r="AN20" i="35404"/>
  <c r="AG20" i="35404"/>
  <c r="AW20" i="35404"/>
  <c r="AP20" i="35404"/>
  <c r="AD20" i="35404"/>
  <c r="AU20" i="35404"/>
  <c r="AH21" i="35404"/>
  <c r="AX21" i="35404"/>
  <c r="AM21" i="35404"/>
  <c r="BC21" i="35404"/>
  <c r="AR21" i="35404"/>
  <c r="AK21" i="35404"/>
  <c r="BA21" i="35404"/>
  <c r="AR39" i="35404"/>
  <c r="AK39" i="35404"/>
  <c r="BA39" i="35404"/>
  <c r="BB39" i="35404"/>
  <c r="BC39" i="35404"/>
  <c r="AY39" i="35404"/>
  <c r="AJ8" i="35404"/>
  <c r="AZ8" i="35404"/>
  <c r="AS8" i="35404"/>
  <c r="AI8" i="35404"/>
  <c r="AY8" i="35404"/>
  <c r="AP8" i="35404"/>
  <c r="AX8" i="35404"/>
  <c r="AR18" i="35404"/>
  <c r="AI18" i="35404"/>
  <c r="AY18" i="35404"/>
  <c r="BA18" i="35404"/>
  <c r="BB18" i="35404"/>
  <c r="AH18" i="35404"/>
  <c r="AJ46" i="35404"/>
  <c r="AZ46" i="35404"/>
  <c r="AS46" i="35404"/>
  <c r="AP46" i="35404"/>
  <c r="AY46" i="35404"/>
  <c r="BB46" i="35404"/>
  <c r="BC46" i="35404"/>
  <c r="AP40" i="35404"/>
  <c r="AI40" i="35404"/>
  <c r="AY40" i="35404"/>
  <c r="AK40" i="35404"/>
  <c r="BB40" i="35404"/>
  <c r="AV40" i="35404"/>
  <c r="AJ29" i="35404"/>
  <c r="AZ29" i="35404"/>
  <c r="AO28" i="35404"/>
  <c r="AF27" i="35404"/>
  <c r="AL50" i="35404"/>
  <c r="AZ35" i="35404"/>
  <c r="AP31" i="35404"/>
  <c r="AH10" i="35404"/>
  <c r="BC11" i="35404"/>
  <c r="AR54" i="35404"/>
  <c r="AE54" i="35404"/>
  <c r="AS37" i="35404"/>
  <c r="AU37" i="35404"/>
  <c r="BB44" i="35404"/>
  <c r="AX34" i="35404"/>
  <c r="AN34" i="35404"/>
  <c r="AU12" i="35404"/>
  <c r="AH17" i="35404"/>
  <c r="AF17" i="35404"/>
  <c r="AG19" i="35404"/>
  <c r="AF19" i="35404"/>
  <c r="BC45" i="35404"/>
  <c r="AP15" i="35404"/>
  <c r="BA15" i="35404"/>
  <c r="AJ15" i="35404"/>
  <c r="AM15" i="35404"/>
  <c r="AN15" i="35404"/>
  <c r="AL41" i="35404"/>
  <c r="BB41" i="35404"/>
  <c r="AQ41" i="35404"/>
  <c r="AJ41" i="35404"/>
  <c r="AS41" i="35404"/>
  <c r="AV41" i="35404"/>
  <c r="AF52" i="35404"/>
  <c r="AV52" i="35404"/>
  <c r="AO52" i="35404"/>
  <c r="AD52" i="35404"/>
  <c r="AE52" i="35404"/>
  <c r="AH52" i="35404"/>
  <c r="AQ52" i="35404"/>
  <c r="AL38" i="35404"/>
  <c r="BB38" i="35404"/>
  <c r="AQ38" i="35404"/>
  <c r="AF38" i="35404"/>
  <c r="AO38" i="35404"/>
  <c r="AJ38" i="35404"/>
  <c r="AE20" i="35404"/>
  <c r="AR20" i="35404"/>
  <c r="AK20" i="35404"/>
  <c r="BA20" i="35404"/>
  <c r="AT20" i="35404"/>
  <c r="AI20" i="35404"/>
  <c r="AY20" i="35404"/>
  <c r="AL21" i="35404"/>
  <c r="BB21" i="35404"/>
  <c r="AQ21" i="35404"/>
  <c r="AF21" i="35404"/>
  <c r="AV21" i="35404"/>
  <c r="AO21" i="35404"/>
  <c r="AF39" i="35404"/>
  <c r="AV39" i="35404"/>
  <c r="AO39" i="35404"/>
  <c r="AD39" i="35404"/>
  <c r="AE39" i="35404"/>
  <c r="AH39" i="35404"/>
  <c r="AP39" i="35404"/>
  <c r="AN8" i="35404"/>
  <c r="AG8" i="35404"/>
  <c r="AW8" i="35404"/>
  <c r="AM8" i="35404"/>
  <c r="BC8" i="35404"/>
  <c r="AD8" i="35404"/>
  <c r="AF18" i="35404"/>
  <c r="AV18" i="35404"/>
  <c r="AM18" i="35404"/>
  <c r="BC18" i="35404"/>
  <c r="AD18" i="35404"/>
  <c r="AG18" i="35404"/>
  <c r="AP18" i="35404"/>
  <c r="AN46" i="35404"/>
  <c r="AG46" i="35404"/>
  <c r="AW46" i="35404"/>
  <c r="AX46" i="35404"/>
  <c r="AD46" i="35404"/>
  <c r="AE46" i="35404"/>
  <c r="AD40" i="35404"/>
  <c r="AT40" i="35404"/>
  <c r="AP26" i="35404"/>
  <c r="BB31" i="35404"/>
  <c r="AI54" i="35404"/>
  <c r="AM34" i="35404"/>
  <c r="AQ17" i="35404"/>
  <c r="AG15" i="35404"/>
  <c r="AV15" i="35404"/>
  <c r="AR41" i="35404"/>
  <c r="AZ52" i="35404"/>
  <c r="AP52" i="35404"/>
  <c r="AU38" i="35404"/>
  <c r="AF20" i="35404"/>
  <c r="AX20" i="35404"/>
  <c r="AE21" i="35404"/>
  <c r="AS21" i="35404"/>
  <c r="AL39" i="35404"/>
  <c r="AR8" i="35404"/>
  <c r="AL8" i="35404"/>
  <c r="AQ18" i="35404"/>
  <c r="AX18" i="35404"/>
  <c r="AI46" i="35404"/>
  <c r="AX40" i="35404"/>
  <c r="AR40" i="35404"/>
  <c r="BC40" i="35404"/>
  <c r="AR29" i="35404"/>
  <c r="AW29" i="35404"/>
  <c r="BB29" i="35404"/>
  <c r="AP29" i="35404"/>
  <c r="AF42" i="35404"/>
  <c r="AZ42" i="35404"/>
  <c r="AS42" i="35404"/>
  <c r="AP42" i="35404"/>
  <c r="AY42" i="35404"/>
  <c r="BB42" i="35404"/>
  <c r="BC42" i="35404"/>
  <c r="AP32" i="35404"/>
  <c r="AE32" i="35404"/>
  <c r="AU32" i="35404"/>
  <c r="AN32" i="35404"/>
  <c r="AW32" i="35404"/>
  <c r="AK32" i="35404"/>
  <c r="AH25" i="35404"/>
  <c r="AX25" i="35404"/>
  <c r="AM25" i="35404"/>
  <c r="BC25" i="35404"/>
  <c r="AR25" i="35404"/>
  <c r="AK25" i="35404"/>
  <c r="BA25" i="35404"/>
  <c r="AP43" i="35404"/>
  <c r="AE43" i="35404"/>
  <c r="AU43" i="35404"/>
  <c r="AN43" i="35404"/>
  <c r="AW43" i="35404"/>
  <c r="AK43" i="35404"/>
  <c r="AJ16" i="35404"/>
  <c r="AZ16" i="35404"/>
  <c r="AQ16" i="35404"/>
  <c r="AG16" i="35404"/>
  <c r="AP16" i="35404"/>
  <c r="BA16" i="35404"/>
  <c r="BB16" i="35404"/>
  <c r="AR22" i="35404"/>
  <c r="AK22" i="35404"/>
  <c r="BA22" i="35404"/>
  <c r="AP22" i="35404"/>
  <c r="AE22" i="35404"/>
  <c r="AU22" i="35404"/>
  <c r="AJ24" i="35404"/>
  <c r="AZ24" i="35404"/>
  <c r="AS24" i="35404"/>
  <c r="AH24" i="35404"/>
  <c r="AX24" i="35404"/>
  <c r="AM24" i="35404"/>
  <c r="BC24" i="35404"/>
  <c r="AP23" i="35404"/>
  <c r="AE23" i="35404"/>
  <c r="AU23" i="35404"/>
  <c r="AJ23" i="35404"/>
  <c r="AZ23" i="35404"/>
  <c r="AS23" i="35404"/>
  <c r="AH49" i="35404"/>
  <c r="AX49" i="35404"/>
  <c r="AM49" i="35404"/>
  <c r="BC49" i="35404"/>
  <c r="AK49" i="35404"/>
  <c r="AN49" i="35404"/>
  <c r="AW49" i="35404"/>
  <c r="AP51" i="35404"/>
  <c r="AE51" i="35404"/>
  <c r="AU51" i="35404"/>
  <c r="AN51" i="35404"/>
  <c r="AW51" i="35404"/>
  <c r="AK51" i="35404"/>
  <c r="AH36" i="35404"/>
  <c r="AX36" i="35404"/>
  <c r="AM36" i="35404"/>
  <c r="BC36" i="35404"/>
  <c r="AZ36" i="35404"/>
  <c r="AV36" i="35404"/>
  <c r="AO36" i="35404"/>
  <c r="AP30" i="35404"/>
  <c r="AE30" i="35404"/>
  <c r="AU30" i="35404"/>
  <c r="AR30" i="35404"/>
  <c r="BA30" i="35404"/>
  <c r="AG30" i="35404"/>
  <c r="AH13" i="35404"/>
  <c r="AX13" i="35404"/>
  <c r="AO13" i="35404"/>
  <c r="AE13" i="35404"/>
  <c r="AF13" i="35404"/>
  <c r="AQ13" i="35404"/>
  <c r="AZ13" i="35404"/>
  <c r="AY27" i="35404"/>
  <c r="AH11" i="35404"/>
  <c r="AP37" i="35404"/>
  <c r="AW34" i="35404"/>
  <c r="AW19" i="35404"/>
  <c r="AI15" i="35404"/>
  <c r="AP41" i="35404"/>
  <c r="BA41" i="35404"/>
  <c r="AS52" i="35404"/>
  <c r="AY52" i="35404"/>
  <c r="AN38" i="35404"/>
  <c r="AV20" i="35404"/>
  <c r="AM20" i="35404"/>
  <c r="AU21" i="35404"/>
  <c r="AJ39" i="35404"/>
  <c r="AM39" i="35404"/>
  <c r="AK8" i="35404"/>
  <c r="AT8" i="35404"/>
  <c r="AK18" i="35404"/>
  <c r="AR46" i="35404"/>
  <c r="AL46" i="35404"/>
  <c r="AM40" i="35404"/>
  <c r="AS40" i="35404"/>
  <c r="AG40" i="35404"/>
  <c r="AG29" i="35404"/>
  <c r="BA29" i="35404"/>
  <c r="AM29" i="35404"/>
  <c r="AX29" i="35404"/>
  <c r="AJ42" i="35404"/>
  <c r="AG42" i="35404"/>
  <c r="AW42" i="35404"/>
  <c r="AX42" i="35404"/>
  <c r="AD42" i="35404"/>
  <c r="AE42" i="35404"/>
  <c r="AD32" i="35404"/>
  <c r="AT32" i="35404"/>
  <c r="AI32" i="35404"/>
  <c r="AY32" i="35404"/>
  <c r="AV32" i="35404"/>
  <c r="AJ32" i="35404"/>
  <c r="AS32" i="35404"/>
  <c r="AL25" i="35404"/>
  <c r="BB25" i="35404"/>
  <c r="AQ25" i="35404"/>
  <c r="AF25" i="35404"/>
  <c r="AV25" i="35404"/>
  <c r="AO25" i="35404"/>
  <c r="AD43" i="35404"/>
  <c r="AT43" i="35404"/>
  <c r="AI43" i="35404"/>
  <c r="AY43" i="35404"/>
  <c r="AV43" i="35404"/>
  <c r="AJ43" i="35404"/>
  <c r="AS43" i="35404"/>
  <c r="AN16" i="35404"/>
  <c r="AE16" i="35404"/>
  <c r="AU16" i="35404"/>
  <c r="AO16" i="35404"/>
  <c r="AX16" i="35404"/>
  <c r="AD16" i="35404"/>
  <c r="AF22" i="35404"/>
  <c r="AV22" i="35404"/>
  <c r="AO22" i="35404"/>
  <c r="AD22" i="35404"/>
  <c r="AT22" i="35404"/>
  <c r="AI22" i="35404"/>
  <c r="AY22" i="35404"/>
  <c r="AN24" i="35404"/>
  <c r="AG24" i="35404"/>
  <c r="AW24" i="35404"/>
  <c r="AL24" i="35404"/>
  <c r="BB24" i="35404"/>
  <c r="AQ24" i="35404"/>
  <c r="AD23" i="35404"/>
  <c r="AT23" i="35404"/>
  <c r="AI23" i="35404"/>
  <c r="AY23" i="35404"/>
  <c r="AN23" i="35404"/>
  <c r="AG23" i="35404"/>
  <c r="AW23" i="35404"/>
  <c r="AL49" i="35404"/>
  <c r="BB49" i="35404"/>
  <c r="AQ49" i="35404"/>
  <c r="AJ49" i="35404"/>
  <c r="AS49" i="35404"/>
  <c r="AV49" i="35404"/>
  <c r="AD51" i="35404"/>
  <c r="AT51" i="35404"/>
  <c r="AI51" i="35404"/>
  <c r="AY51" i="35404"/>
  <c r="AV51" i="35404"/>
  <c r="AJ51" i="35404"/>
  <c r="AS51" i="35404"/>
  <c r="AL36" i="35404"/>
  <c r="BB36" i="35404"/>
  <c r="AQ36" i="35404"/>
  <c r="AF36" i="35404"/>
  <c r="AK36" i="35404"/>
  <c r="AG36" i="35404"/>
  <c r="AD30" i="35404"/>
  <c r="AT30" i="35404"/>
  <c r="AI30" i="35404"/>
  <c r="AY30" i="35404"/>
  <c r="AZ30" i="35404"/>
  <c r="AF30" i="35404"/>
  <c r="AO30" i="35404"/>
  <c r="AL13" i="35404"/>
  <c r="BB13" i="35404"/>
  <c r="AS13" i="35404"/>
  <c r="AM13" i="35404"/>
  <c r="AN13" i="35404"/>
  <c r="AY13" i="35404"/>
  <c r="AS48" i="35404"/>
  <c r="AS11" i="35404"/>
  <c r="AR44" i="35404"/>
  <c r="AO12" i="35404"/>
  <c r="AH45" i="35404"/>
  <c r="AR15" i="35404"/>
  <c r="AE41" i="35404"/>
  <c r="AG41" i="35404"/>
  <c r="AL52" i="35404"/>
  <c r="AP38" i="35404"/>
  <c r="AW38" i="35404"/>
  <c r="AO20" i="35404"/>
  <c r="BC20" i="35404"/>
  <c r="AJ21" i="35404"/>
  <c r="AZ39" i="35404"/>
  <c r="AX39" i="35404"/>
  <c r="BA8" i="35404"/>
  <c r="AJ18" i="35404"/>
  <c r="AL18" i="35404"/>
  <c r="AK46" i="35404"/>
  <c r="AM46" i="35404"/>
  <c r="AQ40" i="35404"/>
  <c r="BA40" i="35404"/>
  <c r="AW40" i="35404"/>
  <c r="AK29" i="35404"/>
  <c r="AL29" i="35404"/>
  <c r="AU29" i="35404"/>
  <c r="AI29" i="35404"/>
  <c r="AR42" i="35404"/>
  <c r="AK42" i="35404"/>
  <c r="BA42" i="35404"/>
  <c r="AI42" i="35404"/>
  <c r="AL42" i="35404"/>
  <c r="AM42" i="35404"/>
  <c r="AH32" i="35404"/>
  <c r="AX32" i="35404"/>
  <c r="AM32" i="35404"/>
  <c r="BC32" i="35404"/>
  <c r="AG32" i="35404"/>
  <c r="AR32" i="35404"/>
  <c r="BA32" i="35404"/>
  <c r="AP25" i="35404"/>
  <c r="AE25" i="35404"/>
  <c r="AU25" i="35404"/>
  <c r="AJ25" i="35404"/>
  <c r="AZ25" i="35404"/>
  <c r="AS25" i="35404"/>
  <c r="AH43" i="35404"/>
  <c r="AX43" i="35404"/>
  <c r="AM43" i="35404"/>
  <c r="BC43" i="35404"/>
  <c r="AG43" i="35404"/>
  <c r="AR43" i="35404"/>
  <c r="BA43" i="35404"/>
  <c r="AR16" i="35404"/>
  <c r="AI16" i="35404"/>
  <c r="AY16" i="35404"/>
  <c r="AW16" i="35404"/>
  <c r="AK16" i="35404"/>
  <c r="AL16" i="35404"/>
  <c r="AJ22" i="35404"/>
  <c r="AZ22" i="35404"/>
  <c r="AS22" i="35404"/>
  <c r="AH22" i="35404"/>
  <c r="AX22" i="35404"/>
  <c r="AM22" i="35404"/>
  <c r="BC22" i="35404"/>
  <c r="AR24" i="35404"/>
  <c r="AK24" i="35404"/>
  <c r="BA24" i="35404"/>
  <c r="AP24" i="35404"/>
  <c r="AE24" i="35404"/>
  <c r="AU24" i="35404"/>
  <c r="AH23" i="35404"/>
  <c r="AX23" i="35404"/>
  <c r="AM23" i="35404"/>
  <c r="BC23" i="35404"/>
  <c r="AR23" i="35404"/>
  <c r="AK23" i="35404"/>
  <c r="BA23" i="35404"/>
  <c r="AP49" i="35404"/>
  <c r="AE49" i="35404"/>
  <c r="AU49" i="35404"/>
  <c r="AR49" i="35404"/>
  <c r="BA49" i="35404"/>
  <c r="AG49" i="35404"/>
  <c r="AH51" i="35404"/>
  <c r="AX51" i="35404"/>
  <c r="AM51" i="35404"/>
  <c r="BC51" i="35404"/>
  <c r="AG51" i="35404"/>
  <c r="AR51" i="35404"/>
  <c r="BA51" i="35404"/>
  <c r="AP36" i="35404"/>
  <c r="AE36" i="35404"/>
  <c r="AU36" i="35404"/>
  <c r="AJ36" i="35404"/>
  <c r="AS36" i="35404"/>
  <c r="AW36" i="35404"/>
  <c r="AH30" i="35404"/>
  <c r="AX30" i="35404"/>
  <c r="AM30" i="35404"/>
  <c r="BC30" i="35404"/>
  <c r="AK30" i="35404"/>
  <c r="AN30" i="35404"/>
  <c r="AW30" i="35404"/>
  <c r="AP13" i="35404"/>
  <c r="AG13" i="35404"/>
  <c r="AW13" i="35404"/>
  <c r="AU13" i="35404"/>
  <c r="AV13" i="35404"/>
  <c r="AJ13" i="35404"/>
  <c r="AE35" i="35404"/>
  <c r="AK45" i="35404"/>
  <c r="AM52" i="35404"/>
  <c r="AP21" i="35404"/>
  <c r="AQ8" i="35404"/>
  <c r="AH40" i="35404"/>
  <c r="AS29" i="35404"/>
  <c r="AV42" i="35404"/>
  <c r="AT42" i="35404"/>
  <c r="AQ32" i="35404"/>
  <c r="AD25" i="35404"/>
  <c r="AN25" i="35404"/>
  <c r="BB43" i="35404"/>
  <c r="AZ43" i="35404"/>
  <c r="BC16" i="35404"/>
  <c r="AN22" i="35404"/>
  <c r="BB22" i="35404"/>
  <c r="AO24" i="35404"/>
  <c r="AY24" i="35404"/>
  <c r="AF23" i="35404"/>
  <c r="AT49" i="35404"/>
  <c r="AF49" i="35404"/>
  <c r="AQ51" i="35404"/>
  <c r="AD36" i="35404"/>
  <c r="AR36" i="35404"/>
  <c r="BB30" i="35404"/>
  <c r="AV30" i="35404"/>
  <c r="BA13" i="35404"/>
  <c r="AK54" i="35404"/>
  <c r="AU15" i="35404"/>
  <c r="AE38" i="35404"/>
  <c r="AZ21" i="35404"/>
  <c r="AZ18" i="35404"/>
  <c r="AJ40" i="35404"/>
  <c r="AT29" i="35404"/>
  <c r="AO42" i="35404"/>
  <c r="AU42" i="35404"/>
  <c r="AF32" i="35404"/>
  <c r="AT25" i="35404"/>
  <c r="AG25" i="35404"/>
  <c r="AQ43" i="35404"/>
  <c r="AF16" i="35404"/>
  <c r="AH16" i="35404"/>
  <c r="AG22" i="35404"/>
  <c r="AQ22" i="35404"/>
  <c r="AD24" i="35404"/>
  <c r="AL23" i="35404"/>
  <c r="AV23" i="35404"/>
  <c r="AI49" i="35404"/>
  <c r="AO49" i="35404"/>
  <c r="AF51" i="35404"/>
  <c r="AT36" i="35404"/>
  <c r="BA36" i="35404"/>
  <c r="AQ30" i="35404"/>
  <c r="AD13" i="35404"/>
  <c r="BC13" i="35404"/>
  <c r="BC44" i="35404"/>
  <c r="AU41" i="35404"/>
  <c r="AZ38" i="35404"/>
  <c r="AS39" i="35404"/>
  <c r="AO18" i="35404"/>
  <c r="AO40" i="35404"/>
  <c r="BC29" i="35404"/>
  <c r="AH42" i="35404"/>
  <c r="AL32" i="35404"/>
  <c r="AO32" i="35404"/>
  <c r="AI25" i="35404"/>
  <c r="AW25" i="35404"/>
  <c r="AF43" i="35404"/>
  <c r="AV16" i="35404"/>
  <c r="AS16" i="35404"/>
  <c r="AW22" i="35404"/>
  <c r="AF24" i="35404"/>
  <c r="AT24" i="35404"/>
  <c r="BB23" i="35404"/>
  <c r="AO23" i="35404"/>
  <c r="AY49" i="35404"/>
  <c r="AL51" i="35404"/>
  <c r="AO51" i="35404"/>
  <c r="AI36" i="35404"/>
  <c r="AN36" i="35404"/>
  <c r="AJ30" i="35404"/>
  <c r="AT13" i="35404"/>
  <c r="AI13" i="35404"/>
  <c r="AX17" i="35404"/>
  <c r="BA46" i="35404"/>
  <c r="BB32" i="35404"/>
  <c r="AO43" i="35404"/>
  <c r="AV24" i="35404"/>
  <c r="AZ49" i="35404"/>
  <c r="AL30" i="35404"/>
  <c r="AJ52" i="35404"/>
  <c r="AN29" i="35404"/>
  <c r="AZ32" i="35404"/>
  <c r="AM16" i="35404"/>
  <c r="AI24" i="35404"/>
  <c r="BB51" i="35404"/>
  <c r="AS30" i="35404"/>
  <c r="AH20" i="35404"/>
  <c r="AY29" i="35404"/>
  <c r="AY25" i="35404"/>
  <c r="AT16" i="35404"/>
  <c r="AQ23" i="35404"/>
  <c r="AZ51" i="35404"/>
  <c r="AK13" i="35404"/>
  <c r="AM13" i="35401"/>
  <c r="AI13" i="35401"/>
  <c r="AO13" i="35401"/>
  <c r="AF13" i="35401"/>
  <c r="AD21" i="35401"/>
  <c r="AW21" i="35401"/>
  <c r="AN21" i="35401"/>
  <c r="AS26" i="35401"/>
  <c r="AU26" i="35401"/>
  <c r="AU31" i="35401"/>
  <c r="AN31" i="35401"/>
  <c r="AD11" i="35401"/>
  <c r="AZ34" i="35401"/>
  <c r="BB34" i="35401"/>
  <c r="AZ32" i="35401"/>
  <c r="AD32" i="35401"/>
  <c r="AW35" i="35401"/>
  <c r="AS48" i="35401"/>
  <c r="AU48" i="35401"/>
  <c r="AJ20" i="35401"/>
  <c r="AR53" i="35401"/>
  <c r="AL53" i="35401"/>
  <c r="AP19" i="35401"/>
  <c r="AN19" i="35401"/>
  <c r="AD43" i="35401"/>
  <c r="AK10" i="35401"/>
  <c r="BB10" i="35401"/>
  <c r="AE23" i="35401"/>
  <c r="AF23" i="35401"/>
  <c r="AT49" i="35401"/>
  <c r="AX45" i="35401"/>
  <c r="AO45" i="35401"/>
  <c r="AF42" i="35401"/>
  <c r="AN47" i="35401"/>
  <c r="AL47" i="35401"/>
  <c r="AT46" i="35401"/>
  <c r="AM46" i="35401"/>
  <c r="AY38" i="35401"/>
  <c r="AI15" i="35401"/>
  <c r="AV15" i="35401"/>
  <c r="AS25" i="35401"/>
  <c r="BC8" i="35401"/>
  <c r="AS37" i="35401"/>
  <c r="AY54" i="35401"/>
  <c r="AT17" i="35401"/>
  <c r="AK41" i="35401"/>
  <c r="BB33" i="35401"/>
  <c r="AM24" i="35401"/>
  <c r="AR16" i="35401"/>
  <c r="AI28" i="35401"/>
  <c r="AY36" i="35404"/>
  <c r="AQ42" i="35404"/>
  <c r="AE13" i="35401"/>
  <c r="BB13" i="35401"/>
  <c r="AX13" i="35401"/>
  <c r="AK13" i="35401"/>
  <c r="BC21" i="35401"/>
  <c r="AY21" i="35401"/>
  <c r="AS21" i="35401"/>
  <c r="AJ21" i="35401"/>
  <c r="AK26" i="35401"/>
  <c r="AE26" i="35401"/>
  <c r="AT31" i="35401"/>
  <c r="AI11" i="35401"/>
  <c r="AO11" i="35401"/>
  <c r="AO34" i="35401"/>
  <c r="AL34" i="35401"/>
  <c r="AY32" i="35401"/>
  <c r="AX35" i="35401"/>
  <c r="AG35" i="35401"/>
  <c r="AH48" i="35401"/>
  <c r="AE48" i="35401"/>
  <c r="AQ20" i="35401"/>
  <c r="AI53" i="35401"/>
  <c r="AW53" i="35401"/>
  <c r="AE19" i="35401"/>
  <c r="AQ43" i="35401"/>
  <c r="AO43" i="35401"/>
  <c r="AO10" i="35401"/>
  <c r="AL10" i="35401"/>
  <c r="AD23" i="35401"/>
  <c r="AY49" i="35401"/>
  <c r="AD49" i="35401"/>
  <c r="BB45" i="35401"/>
  <c r="AF45" i="35401"/>
  <c r="AQ42" i="35401"/>
  <c r="AM47" i="35401"/>
  <c r="AW47" i="35401"/>
  <c r="AJ46" i="35401"/>
  <c r="AS38" i="35401"/>
  <c r="AI38" i="35401"/>
  <c r="AU15" i="35401"/>
  <c r="BC25" i="35401"/>
  <c r="AR25" i="35401"/>
  <c r="AE8" i="35401"/>
  <c r="AJ37" i="35401"/>
  <c r="AR36" i="35401"/>
  <c r="AR17" i="35401"/>
  <c r="AR51" i="35401"/>
  <c r="AZ33" i="35401"/>
  <c r="AL27" i="35401"/>
  <c r="AH39" i="35401"/>
  <c r="AY12" i="35401"/>
  <c r="AD49" i="35404"/>
  <c r="AQ39" i="35404"/>
  <c r="AT77" i="35404"/>
  <c r="AW77" i="35404"/>
  <c r="AG77" i="35404"/>
  <c r="AP77" i="35404"/>
  <c r="AR77" i="35404"/>
  <c r="AU77" i="35404"/>
  <c r="AW76" i="35404"/>
  <c r="AF76" i="35404"/>
  <c r="AQ76" i="35404"/>
  <c r="AS76" i="35404"/>
  <c r="BB76" i="35404"/>
  <c r="AL76" i="35404"/>
  <c r="BA76" i="35404"/>
  <c r="BA66" i="35404"/>
  <c r="BB66" i="35404"/>
  <c r="AH66" i="35404"/>
  <c r="AV66" i="35404"/>
  <c r="AF66" i="35404"/>
  <c r="AQ66" i="35404"/>
  <c r="AY69" i="35404"/>
  <c r="AU69" i="35404"/>
  <c r="AN69" i="35404"/>
  <c r="AI69" i="35404"/>
  <c r="AP69" i="35404"/>
  <c r="BA69" i="35404"/>
  <c r="AK69" i="35404"/>
  <c r="AW60" i="35404"/>
  <c r="AX60" i="35404"/>
  <c r="AJ60" i="35404"/>
  <c r="AR60" i="35404"/>
  <c r="AY60" i="35404"/>
  <c r="AF60" i="35404"/>
  <c r="AM63" i="35404"/>
  <c r="AI63" i="35404"/>
  <c r="AV63" i="35404"/>
  <c r="BC63" i="35404"/>
  <c r="AP63" i="35404"/>
  <c r="BA63" i="35404"/>
  <c r="AK63" i="35404"/>
  <c r="BA68" i="35404"/>
  <c r="AG68" i="35404"/>
  <c r="BB68" i="35404"/>
  <c r="AK68" i="35404"/>
  <c r="AN68" i="35404"/>
  <c r="AY68" i="35404"/>
  <c r="AI68" i="35404"/>
  <c r="AZ67" i="35404"/>
  <c r="AI67" i="35404"/>
  <c r="AN67" i="35404"/>
  <c r="AX67" i="35404"/>
  <c r="AH67" i="35404"/>
  <c r="AS67" i="35404"/>
  <c r="AY65" i="35404"/>
  <c r="AU65" i="35404"/>
  <c r="AF65" i="35404"/>
  <c r="AI65" i="35404"/>
  <c r="AP65" i="35404"/>
  <c r="BA65" i="35404"/>
  <c r="AK65" i="35404"/>
  <c r="AO59" i="35404"/>
  <c r="AV59" i="35404"/>
  <c r="AK59" i="35404"/>
  <c r="BC59" i="35404"/>
  <c r="AM59" i="35404"/>
  <c r="AX59" i="35404"/>
  <c r="AH59" i="35404"/>
  <c r="AK64" i="35404"/>
  <c r="AO64" i="35404"/>
  <c r="BB64" i="35404"/>
  <c r="AS64" i="35404"/>
  <c r="AN64" i="35404"/>
  <c r="AU64" i="35404"/>
  <c r="AI58" i="35404"/>
  <c r="BC58" i="35404"/>
  <c r="AT58" i="35404"/>
  <c r="AS58" i="35404"/>
  <c r="AR58" i="35404"/>
  <c r="AK72" i="35404"/>
  <c r="AL72" i="35404"/>
  <c r="AE72" i="35404"/>
  <c r="AH77" i="35404"/>
  <c r="AS77" i="35404"/>
  <c r="BC77" i="35404"/>
  <c r="AL77" i="35404"/>
  <c r="AN77" i="35404"/>
  <c r="AE77" i="35404"/>
  <c r="AK76" i="35404"/>
  <c r="BC76" i="35404"/>
  <c r="AM76" i="35404"/>
  <c r="AZ76" i="35404"/>
  <c r="AX76" i="35404"/>
  <c r="AH76" i="35404"/>
  <c r="AG76" i="35404"/>
  <c r="AS66" i="35404"/>
  <c r="AL66" i="35404"/>
  <c r="AG66" i="35404"/>
  <c r="AR66" i="35404"/>
  <c r="BC66" i="35404"/>
  <c r="AM66" i="35404"/>
  <c r="AV69" i="35404"/>
  <c r="AM69" i="35404"/>
  <c r="AZ69" i="35404"/>
  <c r="BB69" i="35404"/>
  <c r="AL69" i="35404"/>
  <c r="AW69" i="35404"/>
  <c r="AG69" i="35404"/>
  <c r="AN60" i="35404"/>
  <c r="AE60" i="35404"/>
  <c r="AI60" i="35404"/>
  <c r="AM60" i="35404"/>
  <c r="AU60" i="35404"/>
  <c r="AO60" i="35404"/>
  <c r="AR63" i="35404"/>
  <c r="AU63" i="35404"/>
  <c r="AN63" i="35404"/>
  <c r="BB63" i="35404"/>
  <c r="AL63" i="35404"/>
  <c r="AW63" i="35404"/>
  <c r="AG63" i="35404"/>
  <c r="AP68" i="35404"/>
  <c r="AS68" i="35404"/>
  <c r="AT68" i="35404"/>
  <c r="AZ68" i="35404"/>
  <c r="AJ68" i="35404"/>
  <c r="AU68" i="35404"/>
  <c r="AE68" i="35404"/>
  <c r="AJ67" i="35404"/>
  <c r="AM67" i="35404"/>
  <c r="AF67" i="35404"/>
  <c r="AT67" i="35404"/>
  <c r="AD67" i="35404"/>
  <c r="AO67" i="35404"/>
  <c r="AQ65" i="35404"/>
  <c r="AM65" i="35404"/>
  <c r="AZ65" i="35404"/>
  <c r="BB65" i="35404"/>
  <c r="AL65" i="35404"/>
  <c r="AW65" i="35404"/>
  <c r="AG65" i="35404"/>
  <c r="AN59" i="35404"/>
  <c r="AF59" i="35404"/>
  <c r="AZ59" i="35404"/>
  <c r="AY59" i="35404"/>
  <c r="AI59" i="35404"/>
  <c r="AT59" i="35404"/>
  <c r="AD59" i="35404"/>
  <c r="AX64" i="35404"/>
  <c r="AG64" i="35404"/>
  <c r="AT64" i="35404"/>
  <c r="AZ64" i="35404"/>
  <c r="AJ64" i="35404"/>
  <c r="AQ64" i="35404"/>
  <c r="AH58" i="35404"/>
  <c r="AU58" i="35404"/>
  <c r="AL58" i="35404"/>
  <c r="AK58" i="35404"/>
  <c r="AN58" i="35404"/>
  <c r="AH72" i="35404"/>
  <c r="AZ72" i="35404"/>
  <c r="AO73" i="35404"/>
  <c r="AD73" i="35404"/>
  <c r="AT73" i="35404"/>
  <c r="AJ73" i="35404"/>
  <c r="AQ73" i="35404"/>
  <c r="BC73" i="35404"/>
  <c r="AE70" i="35404"/>
  <c r="AU70" i="35404"/>
  <c r="AJ70" i="35404"/>
  <c r="AZ70" i="35404"/>
  <c r="AP70" i="35404"/>
  <c r="AW70" i="35404"/>
  <c r="AL70" i="35404"/>
  <c r="AG71" i="35404"/>
  <c r="AW71" i="35404"/>
  <c r="AL71" i="35404"/>
  <c r="BB71" i="35404"/>
  <c r="AN71" i="35404"/>
  <c r="BC71" i="35404"/>
  <c r="AR71" i="35404"/>
  <c r="AL7" i="35404"/>
  <c r="BB7" i="35404"/>
  <c r="AQ7" i="35404"/>
  <c r="AG7" i="35404"/>
  <c r="AW7" i="35404"/>
  <c r="AJ7" i="35404"/>
  <c r="AG78" i="35404"/>
  <c r="AD78" i="35404"/>
  <c r="AT78" i="35404"/>
  <c r="AV78" i="35404"/>
  <c r="AM78" i="35404"/>
  <c r="BC78" i="35404"/>
  <c r="AZ78" i="35404"/>
  <c r="AG61" i="35404"/>
  <c r="AW61" i="35404"/>
  <c r="AL61" i="35404"/>
  <c r="BB61" i="35404"/>
  <c r="AJ61" i="35404"/>
  <c r="AE61" i="35404"/>
  <c r="AF61" i="35404"/>
  <c r="AE74" i="35404"/>
  <c r="AU74" i="35404"/>
  <c r="AJ74" i="35404"/>
  <c r="AZ74" i="35404"/>
  <c r="AX74" i="35404"/>
  <c r="AK74" i="35404"/>
  <c r="AT74" i="35404"/>
  <c r="AD57" i="35404"/>
  <c r="AT57" i="35404"/>
  <c r="AI57" i="35404"/>
  <c r="AY57" i="35404"/>
  <c r="AV57" i="35404"/>
  <c r="AJ57" i="35404"/>
  <c r="AS57" i="35404"/>
  <c r="AO75" i="35404"/>
  <c r="AP75" i="35404"/>
  <c r="AE75" i="35404"/>
  <c r="AZ75" i="35404"/>
  <c r="BC75" i="35404"/>
  <c r="BA75" i="35404"/>
  <c r="AF56" i="35404"/>
  <c r="AV56" i="35404"/>
  <c r="AO56" i="35404"/>
  <c r="AD56" i="35404"/>
  <c r="AX56" i="35404"/>
  <c r="AT56" i="35404"/>
  <c r="BB56" i="35404"/>
  <c r="AD55" i="35404"/>
  <c r="AT55" i="35404"/>
  <c r="AI55" i="35404"/>
  <c r="AY55" i="35404"/>
  <c r="AV55" i="35404"/>
  <c r="AK55" i="35404"/>
  <c r="AW55" i="35404"/>
  <c r="AE62" i="35404"/>
  <c r="AU62" i="35404"/>
  <c r="AJ62" i="35404"/>
  <c r="AZ62" i="35404"/>
  <c r="AX62" i="35404"/>
  <c r="AK62" i="35404"/>
  <c r="BB62" i="35404"/>
  <c r="AM72" i="35404"/>
  <c r="BC72" i="35404"/>
  <c r="AR72" i="35404"/>
  <c r="BA72" i="35404"/>
  <c r="BB72" i="35404"/>
  <c r="AW72" i="35404"/>
  <c r="AF58" i="35404"/>
  <c r="AV58" i="35404"/>
  <c r="AO58" i="35404"/>
  <c r="AD58" i="35404"/>
  <c r="AE58" i="35404"/>
  <c r="AP58" i="35404"/>
  <c r="AX58" i="35404"/>
  <c r="AM64" i="35404"/>
  <c r="BC64" i="35404"/>
  <c r="AS73" i="35404"/>
  <c r="AH73" i="35404"/>
  <c r="AX73" i="35404"/>
  <c r="AR73" i="35404"/>
  <c r="AE73" i="35404"/>
  <c r="AF73" i="35404"/>
  <c r="AI70" i="35404"/>
  <c r="AY70" i="35404"/>
  <c r="AN70" i="35404"/>
  <c r="AO70" i="35404"/>
  <c r="AX70" i="35404"/>
  <c r="AK70" i="35404"/>
  <c r="BB70" i="35404"/>
  <c r="AK71" i="35404"/>
  <c r="BA71" i="35404"/>
  <c r="AP71" i="35404"/>
  <c r="AM71" i="35404"/>
  <c r="AV71" i="35404"/>
  <c r="AI71" i="35404"/>
  <c r="AE71" i="35404"/>
  <c r="AP7" i="35404"/>
  <c r="AE7" i="35404"/>
  <c r="AU7" i="35404"/>
  <c r="AK7" i="35404"/>
  <c r="BA7" i="35404"/>
  <c r="AZ7" i="35404"/>
  <c r="AW78" i="35404"/>
  <c r="AH78" i="35404"/>
  <c r="AX78" i="35404"/>
  <c r="AO78" i="35404"/>
  <c r="AQ78" i="35404"/>
  <c r="AF78" i="35404"/>
  <c r="AS78" i="35404"/>
  <c r="AK61" i="35404"/>
  <c r="BA61" i="35404"/>
  <c r="AP61" i="35404"/>
  <c r="AQ61" i="35404"/>
  <c r="AR61" i="35404"/>
  <c r="AM61" i="35404"/>
  <c r="AV61" i="35404"/>
  <c r="AI74" i="35404"/>
  <c r="AY74" i="35404"/>
  <c r="AN74" i="35404"/>
  <c r="AG74" i="35404"/>
  <c r="AL74" i="35404"/>
  <c r="AS74" i="35404"/>
  <c r="AW74" i="35404"/>
  <c r="AH57" i="35404"/>
  <c r="AX57" i="35404"/>
  <c r="AM57" i="35404"/>
  <c r="BC57" i="35404"/>
  <c r="AG57" i="35404"/>
  <c r="AZ57" i="35404"/>
  <c r="AR57" i="35404"/>
  <c r="AD75" i="35404"/>
  <c r="AT75" i="35404"/>
  <c r="AF75" i="35404"/>
  <c r="AR75" i="35404"/>
  <c r="AI75" i="35404"/>
  <c r="AJ75" i="35404"/>
  <c r="AJ56" i="35404"/>
  <c r="AZ56" i="35404"/>
  <c r="AS56" i="35404"/>
  <c r="AL56" i="35404"/>
  <c r="AI56" i="35404"/>
  <c r="AU56" i="35404"/>
  <c r="BC56" i="35404"/>
  <c r="AH55" i="35404"/>
  <c r="AX55" i="35404"/>
  <c r="AM55" i="35404"/>
  <c r="BC55" i="35404"/>
  <c r="AJ55" i="35404"/>
  <c r="AS55" i="35404"/>
  <c r="AG55" i="35404"/>
  <c r="AI62" i="35404"/>
  <c r="AY62" i="35404"/>
  <c r="AN62" i="35404"/>
  <c r="AG62" i="35404"/>
  <c r="AD62" i="35404"/>
  <c r="AS62" i="35404"/>
  <c r="AO62" i="35404"/>
  <c r="AQ72" i="35404"/>
  <c r="AF72" i="35404"/>
  <c r="AV72" i="35404"/>
  <c r="AD72" i="35404"/>
  <c r="AG73" i="35404"/>
  <c r="AW73" i="35404"/>
  <c r="AL73" i="35404"/>
  <c r="BB73" i="35404"/>
  <c r="AZ73" i="35404"/>
  <c r="AM73" i="35404"/>
  <c r="AV73" i="35404"/>
  <c r="AM70" i="35404"/>
  <c r="BC70" i="35404"/>
  <c r="AR70" i="35404"/>
  <c r="AG70" i="35404"/>
  <c r="AD70" i="35404"/>
  <c r="AS70" i="35404"/>
  <c r="AO71" i="35404"/>
  <c r="AD71" i="35404"/>
  <c r="AT71" i="35404"/>
  <c r="AU71" i="35404"/>
  <c r="AJ71" i="35404"/>
  <c r="AQ71" i="35404"/>
  <c r="AD7" i="35404"/>
  <c r="AT7" i="35404"/>
  <c r="AI7" i="35404"/>
  <c r="AY7" i="35404"/>
  <c r="AO7" i="35404"/>
  <c r="AF7" i="35404"/>
  <c r="AN7" i="35404"/>
  <c r="AK78" i="35404"/>
  <c r="AL78" i="35404"/>
  <c r="BB78" i="35404"/>
  <c r="AE78" i="35404"/>
  <c r="AU78" i="35404"/>
  <c r="AN78" i="35404"/>
  <c r="AO61" i="35404"/>
  <c r="AD61" i="35404"/>
  <c r="AT61" i="35404"/>
  <c r="AI61" i="35404"/>
  <c r="AZ61" i="35404"/>
  <c r="AU61" i="35404"/>
  <c r="AM74" i="35404"/>
  <c r="BC74" i="35404"/>
  <c r="AR74" i="35404"/>
  <c r="AH74" i="35404"/>
  <c r="BB74" i="35404"/>
  <c r="BA74" i="35404"/>
  <c r="AL57" i="35404"/>
  <c r="BB57" i="35404"/>
  <c r="AQ57" i="35404"/>
  <c r="AF57" i="35404"/>
  <c r="AO57" i="35404"/>
  <c r="AK57" i="35404"/>
  <c r="AG75" i="35404"/>
  <c r="AH75" i="35404"/>
  <c r="AX75" i="35404"/>
  <c r="AN75" i="35404"/>
  <c r="BB75" i="35404"/>
  <c r="AQ75" i="35404"/>
  <c r="AW75" i="35404"/>
  <c r="AN56" i="35404"/>
  <c r="AG56" i="35404"/>
  <c r="AW56" i="35404"/>
  <c r="AH56" i="35404"/>
  <c r="AQ56" i="35404"/>
  <c r="AM56" i="35404"/>
  <c r="AL55" i="35404"/>
  <c r="BB55" i="35404"/>
  <c r="AQ55" i="35404"/>
  <c r="AF55" i="35404"/>
  <c r="AR55" i="35404"/>
  <c r="BA55" i="35404"/>
  <c r="AM62" i="35404"/>
  <c r="BC62" i="35404"/>
  <c r="AR62" i="35404"/>
  <c r="AH62" i="35404"/>
  <c r="AT62" i="35404"/>
  <c r="AK73" i="35404"/>
  <c r="BA73" i="35404"/>
  <c r="AP73" i="35404"/>
  <c r="AI73" i="35404"/>
  <c r="AN73" i="35404"/>
  <c r="AU73" i="35404"/>
  <c r="AY73" i="35404"/>
  <c r="AQ70" i="35404"/>
  <c r="AF70" i="35404"/>
  <c r="AV70" i="35404"/>
  <c r="AH70" i="35404"/>
  <c r="AT70" i="35404"/>
  <c r="BA70" i="35404"/>
  <c r="AS71" i="35404"/>
  <c r="AH71" i="35404"/>
  <c r="AX71" i="35404"/>
  <c r="AF71" i="35404"/>
  <c r="AZ71" i="35404"/>
  <c r="AY71" i="35404"/>
  <c r="AH7" i="35404"/>
  <c r="AX7" i="35404"/>
  <c r="AM7" i="35404"/>
  <c r="BC7" i="35404"/>
  <c r="AS7" i="35404"/>
  <c r="AV7" i="35404"/>
  <c r="AR7" i="35404"/>
  <c r="BA78" i="35404"/>
  <c r="AP78" i="35404"/>
  <c r="AJ78" i="35404"/>
  <c r="AI78" i="35404"/>
  <c r="AY78" i="35404"/>
  <c r="AR78" i="35404"/>
  <c r="AS61" i="35404"/>
  <c r="AH61" i="35404"/>
  <c r="AX61" i="35404"/>
  <c r="AY61" i="35404"/>
  <c r="AN61" i="35404"/>
  <c r="BC61" i="35404"/>
  <c r="AQ74" i="35404"/>
  <c r="AF74" i="35404"/>
  <c r="AV74" i="35404"/>
  <c r="AP74" i="35404"/>
  <c r="AO74" i="35404"/>
  <c r="AD74" i="35404"/>
  <c r="AP57" i="35404"/>
  <c r="AE57" i="35404"/>
  <c r="AU57" i="35404"/>
  <c r="AN57" i="35404"/>
  <c r="AW57" i="35404"/>
  <c r="BA57" i="35404"/>
  <c r="AK75" i="35404"/>
  <c r="AL75" i="35404"/>
  <c r="AM75" i="35404"/>
  <c r="AU75" i="35404"/>
  <c r="AS75" i="35404"/>
  <c r="AV75" i="35404"/>
  <c r="AY75" i="35404"/>
  <c r="AR56" i="35404"/>
  <c r="AK56" i="35404"/>
  <c r="BA56" i="35404"/>
  <c r="AP56" i="35404"/>
  <c r="AY56" i="35404"/>
  <c r="AE56" i="35404"/>
  <c r="AP55" i="35404"/>
  <c r="AE55" i="35404"/>
  <c r="AU55" i="35404"/>
  <c r="AN55" i="35404"/>
  <c r="AZ55" i="35404"/>
  <c r="AO55" i="35404"/>
  <c r="AQ62" i="35404"/>
  <c r="AF62" i="35404"/>
  <c r="AV62" i="35404"/>
  <c r="AP62" i="35404"/>
  <c r="AW62" i="35404"/>
  <c r="AL62" i="35404"/>
  <c r="AI72" i="35404"/>
  <c r="AY72" i="35404"/>
  <c r="AN72" i="35404"/>
  <c r="AP72" i="35404"/>
  <c r="AT72" i="35404"/>
  <c r="AO72" i="35404"/>
  <c r="AY77" i="35404"/>
  <c r="AD77" i="35404"/>
  <c r="AO77" i="35404"/>
  <c r="AI77" i="35404"/>
  <c r="AZ77" i="35404"/>
  <c r="AJ77" i="35404"/>
  <c r="AQ77" i="35404"/>
  <c r="AV76" i="35404"/>
  <c r="AY76" i="35404"/>
  <c r="AI76" i="35404"/>
  <c r="AR76" i="35404"/>
  <c r="AT76" i="35404"/>
  <c r="AD76" i="35404"/>
  <c r="AT66" i="35404"/>
  <c r="AK66" i="35404"/>
  <c r="AX66" i="35404"/>
  <c r="AW66" i="35404"/>
  <c r="AN66" i="35404"/>
  <c r="AY66" i="35404"/>
  <c r="AI66" i="35404"/>
  <c r="AF69" i="35404"/>
  <c r="AE69" i="35404"/>
  <c r="AR69" i="35404"/>
  <c r="AX69" i="35404"/>
  <c r="AH69" i="35404"/>
  <c r="AS69" i="35404"/>
  <c r="BA60" i="35404"/>
  <c r="AD60" i="35404"/>
  <c r="BB60" i="35404"/>
  <c r="AZ60" i="35404"/>
  <c r="AH60" i="35404"/>
  <c r="AQ60" i="35404"/>
  <c r="AK60" i="35404"/>
  <c r="AY63" i="35404"/>
  <c r="AZ63" i="35404"/>
  <c r="AF63" i="35404"/>
  <c r="AX63" i="35404"/>
  <c r="AH63" i="35404"/>
  <c r="AS63" i="35404"/>
  <c r="AW68" i="35404"/>
  <c r="AX68" i="35404"/>
  <c r="AL68" i="35404"/>
  <c r="AV68" i="35404"/>
  <c r="AF68" i="35404"/>
  <c r="AQ68" i="35404"/>
  <c r="BC67" i="35404"/>
  <c r="AY67" i="35404"/>
  <c r="AR67" i="35404"/>
  <c r="AU67" i="35404"/>
  <c r="AP67" i="35404"/>
  <c r="BA67" i="35404"/>
  <c r="AK67" i="35404"/>
  <c r="AN65" i="35404"/>
  <c r="AE65" i="35404"/>
  <c r="AR65" i="35404"/>
  <c r="AX65" i="35404"/>
  <c r="AH65" i="35404"/>
  <c r="AS65" i="35404"/>
  <c r="AW59" i="35404"/>
  <c r="BA59" i="35404"/>
  <c r="AR59" i="35404"/>
  <c r="AU59" i="35404"/>
  <c r="AE59" i="35404"/>
  <c r="AP59" i="35404"/>
  <c r="AH64" i="35404"/>
  <c r="BA64" i="35404"/>
  <c r="AL64" i="35404"/>
  <c r="AV64" i="35404"/>
  <c r="AF64" i="35404"/>
  <c r="AI64" i="35404"/>
  <c r="AY58" i="35404"/>
  <c r="AM58" i="35404"/>
  <c r="BA58" i="35404"/>
  <c r="AG58" i="35404"/>
  <c r="AJ58" i="35404"/>
  <c r="AG72" i="35404"/>
  <c r="AJ72" i="35404"/>
  <c r="AM77" i="35404"/>
  <c r="BA77" i="35404"/>
  <c r="AK77" i="35404"/>
  <c r="AX77" i="35404"/>
  <c r="AV77" i="35404"/>
  <c r="AF77" i="35404"/>
  <c r="BB77" i="35404"/>
  <c r="AN76" i="35404"/>
  <c r="AU76" i="35404"/>
  <c r="AE76" i="35404"/>
  <c r="AJ76" i="35404"/>
  <c r="AP76" i="35404"/>
  <c r="AO76" i="35404"/>
  <c r="AD66" i="35404"/>
  <c r="AO66" i="35404"/>
  <c r="AP66" i="35404"/>
  <c r="AZ66" i="35404"/>
  <c r="AJ66" i="35404"/>
  <c r="AU66" i="35404"/>
  <c r="AE66" i="35404"/>
  <c r="BC69" i="35404"/>
  <c r="AQ69" i="35404"/>
  <c r="AJ69" i="35404"/>
  <c r="AT69" i="35404"/>
  <c r="AD69" i="35404"/>
  <c r="AO69" i="35404"/>
  <c r="AP60" i="35404"/>
  <c r="AS60" i="35404"/>
  <c r="AT60" i="35404"/>
  <c r="AV60" i="35404"/>
  <c r="BC60" i="35404"/>
  <c r="AL60" i="35404"/>
  <c r="AG60" i="35404"/>
  <c r="AQ63" i="35404"/>
  <c r="AJ63" i="35404"/>
  <c r="AE63" i="35404"/>
  <c r="AT63" i="35404"/>
  <c r="AD63" i="35404"/>
  <c r="AO63" i="35404"/>
  <c r="AO68" i="35404"/>
  <c r="AH68" i="35404"/>
  <c r="AD68" i="35404"/>
  <c r="AR68" i="35404"/>
  <c r="BC68" i="35404"/>
  <c r="AM68" i="35404"/>
  <c r="AE67" i="35404"/>
  <c r="AQ67" i="35404"/>
  <c r="AV67" i="35404"/>
  <c r="BB67" i="35404"/>
  <c r="AL67" i="35404"/>
  <c r="AW67" i="35404"/>
  <c r="AG67" i="35404"/>
  <c r="BC65" i="35404"/>
  <c r="AV65" i="35404"/>
  <c r="AJ65" i="35404"/>
  <c r="AT65" i="35404"/>
  <c r="AD65" i="35404"/>
  <c r="AO65" i="35404"/>
  <c r="AG59" i="35404"/>
  <c r="AS59" i="35404"/>
  <c r="AJ59" i="35404"/>
  <c r="AQ59" i="35404"/>
  <c r="BB59" i="35404"/>
  <c r="AL59" i="35404"/>
  <c r="AW64" i="35404"/>
  <c r="AP64" i="35404"/>
  <c r="AD64" i="35404"/>
  <c r="AR64" i="35404"/>
  <c r="AY64" i="35404"/>
  <c r="AE64" i="35404"/>
  <c r="AQ58" i="35404"/>
  <c r="BB58" i="35404"/>
  <c r="AW58" i="35404"/>
  <c r="AZ58" i="35404"/>
  <c r="AS72" i="35404"/>
  <c r="AX72" i="35404"/>
  <c r="AU72" i="35404"/>
  <c r="AY6" i="35404"/>
  <c r="AI6" i="35404"/>
  <c r="AT6" i="35404"/>
  <c r="BA6" i="35404"/>
  <c r="AK6" i="35404"/>
  <c r="AR6" i="35404"/>
  <c r="AU6" i="35404"/>
  <c r="AE6" i="35404"/>
  <c r="AP6" i="35404"/>
  <c r="AW6" i="35404"/>
  <c r="AG6" i="35404"/>
  <c r="AN6" i="35404"/>
  <c r="AQ6" i="35404"/>
  <c r="BB6" i="35404"/>
  <c r="AL6" i="35404"/>
  <c r="AS6" i="35404"/>
  <c r="AZ6" i="35404"/>
  <c r="AJ6" i="35404"/>
  <c r="BC6" i="35404"/>
  <c r="AM6" i="35404"/>
  <c r="AX6" i="35404"/>
  <c r="AH6" i="35404"/>
  <c r="AO6" i="35404"/>
  <c r="AV6" i="35404"/>
  <c r="AF6" i="35404"/>
  <c r="AD6" i="35404"/>
  <c r="AU6" i="35401"/>
  <c r="AW6" i="35401"/>
  <c r="AX6" i="35401"/>
  <c r="AY6" i="35401"/>
  <c r="BC69" i="35401"/>
  <c r="AY69" i="35401"/>
  <c r="AK69" i="35401"/>
  <c r="AH69" i="35401"/>
  <c r="AN69" i="35401"/>
  <c r="AL69" i="35401"/>
  <c r="AW55" i="35401"/>
  <c r="BC6" i="35401"/>
  <c r="AL6" i="35401"/>
  <c r="BA6" i="35401"/>
  <c r="AM69" i="35401"/>
  <c r="AI69" i="35401"/>
  <c r="AW69" i="35401"/>
  <c r="AG69" i="35401"/>
  <c r="AZ69" i="35401"/>
  <c r="AJ69" i="35401"/>
  <c r="AF55" i="35401"/>
  <c r="AE55" i="35401"/>
  <c r="AY55" i="35401"/>
  <c r="AX55" i="35401"/>
  <c r="AH55" i="35401"/>
  <c r="AS55" i="35401"/>
  <c r="BC63" i="35401"/>
  <c r="AG63" i="35401"/>
  <c r="AK63" i="35401"/>
  <c r="AO63" i="35401"/>
  <c r="AI63" i="35401"/>
  <c r="AP63" i="35401"/>
  <c r="BC75" i="35401"/>
  <c r="BB75" i="35401"/>
  <c r="AI75" i="35401"/>
  <c r="AP75" i="35401"/>
  <c r="AS75" i="35401"/>
  <c r="AZ75" i="35401"/>
  <c r="AJ75" i="35401"/>
  <c r="BA76" i="35401"/>
  <c r="AW76" i="35401"/>
  <c r="AJ76" i="35401"/>
  <c r="BC76" i="35401"/>
  <c r="AM76" i="35401"/>
  <c r="AX76" i="35401"/>
  <c r="AH76" i="35401"/>
  <c r="BA68" i="35401"/>
  <c r="AO68" i="35401"/>
  <c r="BC68" i="35401"/>
  <c r="AM68" i="35401"/>
  <c r="AJ68" i="35401"/>
  <c r="AP68" i="35401"/>
  <c r="AZ68" i="35401"/>
  <c r="AL60" i="35401"/>
  <c r="AK60" i="35401"/>
  <c r="AW60" i="35401"/>
  <c r="AV60" i="35401"/>
  <c r="AF60" i="35401"/>
  <c r="AQ60" i="35401"/>
  <c r="BA74" i="35401"/>
  <c r="AZ74" i="35401"/>
  <c r="AU74" i="35401"/>
  <c r="AE74" i="35401"/>
  <c r="AX74" i="35401"/>
  <c r="AH74" i="35401"/>
  <c r="AQ7" i="35401"/>
  <c r="AX7" i="35401"/>
  <c r="AM7" i="35401"/>
  <c r="BA7" i="35401"/>
  <c r="AK7" i="35401"/>
  <c r="AR7" i="35401"/>
  <c r="AE7" i="35401"/>
  <c r="AY77" i="35401"/>
  <c r="AH77" i="35401"/>
  <c r="AE77" i="35401"/>
  <c r="AL77" i="35401"/>
  <c r="AS77" i="35401"/>
  <c r="AZ77" i="35401"/>
  <c r="AJ77" i="35401"/>
  <c r="AR66" i="35401"/>
  <c r="AU66" i="35401"/>
  <c r="AE66" i="35401"/>
  <c r="BB66" i="35401"/>
  <c r="AL66" i="35401"/>
  <c r="AW66" i="35401"/>
  <c r="AG66" i="35401"/>
  <c r="BB62" i="35401"/>
  <c r="BA62" i="35401"/>
  <c r="AY62" i="35401"/>
  <c r="AX62" i="35401"/>
  <c r="AR62" i="35401"/>
  <c r="AM62" i="35401"/>
  <c r="AQ71" i="35401"/>
  <c r="AE71" i="35401"/>
  <c r="AW71" i="35401"/>
  <c r="AP71" i="35401"/>
  <c r="AJ71" i="35401"/>
  <c r="AP65" i="35401"/>
  <c r="AO65" i="35401"/>
  <c r="AV65" i="35401"/>
  <c r="BC65" i="35401"/>
  <c r="AG59" i="35401"/>
  <c r="AW59" i="35401"/>
  <c r="AL59" i="35401"/>
  <c r="BB59" i="35401"/>
  <c r="AR59" i="35401"/>
  <c r="AU59" i="35401"/>
  <c r="AV59" i="35401"/>
  <c r="AF64" i="35401"/>
  <c r="AE64" i="35401"/>
  <c r="AW64" i="35401"/>
  <c r="AP64" i="35401"/>
  <c r="AD64" i="35401"/>
  <c r="AQ64" i="35401"/>
  <c r="AI64" i="35401"/>
  <c r="AO61" i="35401"/>
  <c r="AD61" i="35401"/>
  <c r="AT61" i="35401"/>
  <c r="AM61" i="35401"/>
  <c r="AI61" i="35401"/>
  <c r="AJ61" i="35401"/>
  <c r="AM56" i="35401"/>
  <c r="BC56" i="35401"/>
  <c r="AR56" i="35401"/>
  <c r="AO56" i="35401"/>
  <c r="AX56" i="35401"/>
  <c r="AD56" i="35401"/>
  <c r="AF73" i="35401"/>
  <c r="AV73" i="35401"/>
  <c r="AG73" i="35401"/>
  <c r="AW73" i="35401"/>
  <c r="BB73" i="35401"/>
  <c r="AU73" i="35401"/>
  <c r="AJ70" i="35401"/>
  <c r="AL70" i="35401"/>
  <c r="BB70" i="35401"/>
  <c r="AM70" i="35401"/>
  <c r="BC70" i="35401"/>
  <c r="AO70" i="35401"/>
  <c r="AW70" i="35401"/>
  <c r="AM58" i="35401"/>
  <c r="BC58" i="35401"/>
  <c r="AR58" i="35401"/>
  <c r="AS58" i="35401"/>
  <c r="AT58" i="35401"/>
  <c r="AW58" i="35401"/>
  <c r="AE67" i="35401"/>
  <c r="AF67" i="35401"/>
  <c r="AV67" i="35401"/>
  <c r="AG67" i="35401"/>
  <c r="AW67" i="35401"/>
  <c r="AX67" i="35401"/>
  <c r="AL78" i="35401"/>
  <c r="BB78" i="35401"/>
  <c r="AQ78" i="35401"/>
  <c r="AJ78" i="35401"/>
  <c r="AV78" i="35401"/>
  <c r="AN78" i="35401"/>
  <c r="AH72" i="35401"/>
  <c r="AX72" i="35401"/>
  <c r="AZ72" i="35401"/>
  <c r="AQ72" i="35401"/>
  <c r="AJ72" i="35401"/>
  <c r="AS72" i="35401"/>
  <c r="AG57" i="35401"/>
  <c r="AW57" i="35401"/>
  <c r="AL57" i="35401"/>
  <c r="BB57" i="35401"/>
  <c r="BC57" i="35401"/>
  <c r="AI57" i="35401"/>
  <c r="AR57" i="35401"/>
  <c r="AE65" i="35401"/>
  <c r="AU65" i="35401"/>
  <c r="AJ65" i="35401"/>
  <c r="AZ65" i="35401"/>
  <c r="AK65" i="35401"/>
  <c r="BA65" i="35401"/>
  <c r="AL71" i="35401"/>
  <c r="AN71" i="35401"/>
  <c r="AD71" i="35401"/>
  <c r="AO71" i="35401"/>
  <c r="AH71" i="35401"/>
  <c r="AU71" i="35401"/>
  <c r="BC71" i="35401"/>
  <c r="AE62" i="35401"/>
  <c r="AF62" i="35401"/>
  <c r="AK59" i="35401"/>
  <c r="BA59" i="35401"/>
  <c r="AP59" i="35401"/>
  <c r="AI59" i="35401"/>
  <c r="AZ59" i="35401"/>
  <c r="BC59" i="35401"/>
  <c r="AQ59" i="35401"/>
  <c r="AJ64" i="35401"/>
  <c r="AK64" i="35401"/>
  <c r="BA64" i="35401"/>
  <c r="AT64" i="35401"/>
  <c r="AV64" i="35401"/>
  <c r="AU64" i="35401"/>
  <c r="AR64" i="35401"/>
  <c r="AS61" i="35401"/>
  <c r="AH61" i="35401"/>
  <c r="AX61" i="35401"/>
  <c r="AF61" i="35401"/>
  <c r="AQ61" i="35401"/>
  <c r="AR61" i="35401"/>
  <c r="AQ56" i="35401"/>
  <c r="AF56" i="35401"/>
  <c r="AV56" i="35401"/>
  <c r="AW56" i="35401"/>
  <c r="AK56" i="35401"/>
  <c r="AL56" i="35401"/>
  <c r="AJ73" i="35401"/>
  <c r="AZ73" i="35401"/>
  <c r="AK73" i="35401"/>
  <c r="BA73" i="35401"/>
  <c r="AQ73" i="35401"/>
  <c r="AI73" i="35401"/>
  <c r="AZ70" i="35401"/>
  <c r="AP70" i="35401"/>
  <c r="AR70" i="35401"/>
  <c r="AQ70" i="35401"/>
  <c r="AF70" i="35401"/>
  <c r="AK70" i="35401"/>
  <c r="BA70" i="35401"/>
  <c r="AQ58" i="35401"/>
  <c r="AF58" i="35401"/>
  <c r="AV58" i="35401"/>
  <c r="BA58" i="35401"/>
  <c r="BB58" i="35401"/>
  <c r="AH58" i="35401"/>
  <c r="AI67" i="35401"/>
  <c r="AJ67" i="35401"/>
  <c r="AZ67" i="35401"/>
  <c r="AK67" i="35401"/>
  <c r="BA67" i="35401"/>
  <c r="BC67" i="35401"/>
  <c r="AP78" i="35401"/>
  <c r="AE78" i="35401"/>
  <c r="AU78" i="35401"/>
  <c r="AR78" i="35401"/>
  <c r="AK78" i="35401"/>
  <c r="AG78" i="35401"/>
  <c r="AL72" i="35401"/>
  <c r="BB72" i="35401"/>
  <c r="AE72" i="35401"/>
  <c r="AU72" i="35401"/>
  <c r="AV72" i="35401"/>
  <c r="AO72" i="35401"/>
  <c r="AK57" i="35401"/>
  <c r="BA57" i="35401"/>
  <c r="AP57" i="35401"/>
  <c r="AE57" i="35401"/>
  <c r="AF57" i="35401"/>
  <c r="AQ57" i="35401"/>
  <c r="AZ57" i="35401"/>
  <c r="AO59" i="35401"/>
  <c r="AD59" i="35401"/>
  <c r="AT59" i="35401"/>
  <c r="AY59" i="35401"/>
  <c r="AE59" i="35401"/>
  <c r="AF59" i="35401"/>
  <c r="AN64" i="35401"/>
  <c r="AO64" i="35401"/>
  <c r="AG64" i="35401"/>
  <c r="AX64" i="35401"/>
  <c r="AH64" i="35401"/>
  <c r="AY64" i="35401"/>
  <c r="AG61" i="35401"/>
  <c r="AW61" i="35401"/>
  <c r="AL61" i="35401"/>
  <c r="BB61" i="35401"/>
  <c r="AN61" i="35401"/>
  <c r="AY61" i="35401"/>
  <c r="AZ61" i="35401"/>
  <c r="AE56" i="35401"/>
  <c r="AU56" i="35401"/>
  <c r="AJ56" i="35401"/>
  <c r="AZ56" i="35401"/>
  <c r="AH56" i="35401"/>
  <c r="AS56" i="35401"/>
  <c r="AT56" i="35401"/>
  <c r="AD73" i="35401"/>
  <c r="AN73" i="35401"/>
  <c r="AL73" i="35401"/>
  <c r="AO73" i="35401"/>
  <c r="AH73" i="35401"/>
  <c r="AY73" i="35401"/>
  <c r="AM73" i="35401"/>
  <c r="AD70" i="35401"/>
  <c r="AT70" i="35401"/>
  <c r="AE70" i="35401"/>
  <c r="AU70" i="35401"/>
  <c r="AN70" i="35401"/>
  <c r="AS70" i="35401"/>
  <c r="AE58" i="35401"/>
  <c r="AU58" i="35401"/>
  <c r="AJ58" i="35401"/>
  <c r="AZ58" i="35401"/>
  <c r="AD58" i="35401"/>
  <c r="AG58" i="35401"/>
  <c r="AP58" i="35401"/>
  <c r="AH67" i="35401"/>
  <c r="AM67" i="35401"/>
  <c r="AN67" i="35401"/>
  <c r="AP67" i="35401"/>
  <c r="AO67" i="35401"/>
  <c r="AD67" i="35401"/>
  <c r="AU67" i="35401"/>
  <c r="AD78" i="35401"/>
  <c r="AT78" i="35401"/>
  <c r="AI78" i="35401"/>
  <c r="AY78" i="35401"/>
  <c r="AZ78" i="35401"/>
  <c r="AS78" i="35401"/>
  <c r="AO78" i="35401"/>
  <c r="AN72" i="35401"/>
  <c r="AP72" i="35401"/>
  <c r="AF72" i="35401"/>
  <c r="AI72" i="35401"/>
  <c r="AY72" i="35401"/>
  <c r="AK72" i="35401"/>
  <c r="AG72" i="35401"/>
  <c r="AO57" i="35401"/>
  <c r="AD57" i="35401"/>
  <c r="AT57" i="35401"/>
  <c r="AM57" i="35401"/>
  <c r="AN57" i="35401"/>
  <c r="AY57" i="35401"/>
  <c r="AS59" i="35401"/>
  <c r="AH59" i="35401"/>
  <c r="AX59" i="35401"/>
  <c r="AJ59" i="35401"/>
  <c r="AM59" i="35401"/>
  <c r="AN59" i="35401"/>
  <c r="AZ64" i="35401"/>
  <c r="AS64" i="35401"/>
  <c r="AL64" i="35401"/>
  <c r="BB64" i="35401"/>
  <c r="AM64" i="35401"/>
  <c r="BC64" i="35401"/>
  <c r="AK61" i="35401"/>
  <c r="BA61" i="35401"/>
  <c r="AP61" i="35401"/>
  <c r="AE61" i="35401"/>
  <c r="AV61" i="35401"/>
  <c r="BC61" i="35401"/>
  <c r="AU61" i="35401"/>
  <c r="AI56" i="35401"/>
  <c r="AY56" i="35401"/>
  <c r="AN56" i="35401"/>
  <c r="AG56" i="35401"/>
  <c r="AP56" i="35401"/>
  <c r="BA56" i="35401"/>
  <c r="BB56" i="35401"/>
  <c r="AT73" i="35401"/>
  <c r="AR73" i="35401"/>
  <c r="AX73" i="35401"/>
  <c r="AS73" i="35401"/>
  <c r="AP73" i="35401"/>
  <c r="AE73" i="35401"/>
  <c r="BC73" i="35401"/>
  <c r="AH70" i="35401"/>
  <c r="AX70" i="35401"/>
  <c r="AI70" i="35401"/>
  <c r="AY70" i="35401"/>
  <c r="AV70" i="35401"/>
  <c r="AG70" i="35401"/>
  <c r="AI58" i="35401"/>
  <c r="AY58" i="35401"/>
  <c r="AN58" i="35401"/>
  <c r="AK58" i="35401"/>
  <c r="AL58" i="35401"/>
  <c r="AO58" i="35401"/>
  <c r="AX58" i="35401"/>
  <c r="BB67" i="35401"/>
  <c r="AQ67" i="35401"/>
  <c r="AR67" i="35401"/>
  <c r="AT67" i="35401"/>
  <c r="AS67" i="35401"/>
  <c r="AL67" i="35401"/>
  <c r="AY67" i="35401"/>
  <c r="AH78" i="35401"/>
  <c r="AX78" i="35401"/>
  <c r="AM78" i="35401"/>
  <c r="BC78" i="35401"/>
  <c r="AF78" i="35401"/>
  <c r="BA78" i="35401"/>
  <c r="AW78" i="35401"/>
  <c r="AD72" i="35401"/>
  <c r="AT72" i="35401"/>
  <c r="AR72" i="35401"/>
  <c r="AM72" i="35401"/>
  <c r="BC72" i="35401"/>
  <c r="BA72" i="35401"/>
  <c r="AW72" i="35401"/>
  <c r="AS57" i="35401"/>
  <c r="AH57" i="35401"/>
  <c r="AX57" i="35401"/>
  <c r="AU57" i="35401"/>
  <c r="AV57" i="35401"/>
  <c r="AU69" i="35401"/>
  <c r="AT69" i="35401"/>
  <c r="AS69" i="35401"/>
  <c r="BB69" i="35401"/>
  <c r="AV69" i="35401"/>
  <c r="AF69" i="35401"/>
  <c r="BC55" i="35401"/>
  <c r="AZ55" i="35401"/>
  <c r="AQ55" i="35401"/>
  <c r="AT55" i="35401"/>
  <c r="AD55" i="35401"/>
  <c r="AO55" i="35401"/>
  <c r="AW63" i="35401"/>
  <c r="BA63" i="35401"/>
  <c r="AF63" i="35401"/>
  <c r="AJ63" i="35401"/>
  <c r="BB63" i="35401"/>
  <c r="AL63" i="35401"/>
  <c r="AU75" i="35401"/>
  <c r="AL75" i="35401"/>
  <c r="AT75" i="35401"/>
  <c r="AH75" i="35401"/>
  <c r="AO75" i="35401"/>
  <c r="AV75" i="35401"/>
  <c r="AF75" i="35401"/>
  <c r="AS76" i="35401"/>
  <c r="AO76" i="35401"/>
  <c r="AV76" i="35401"/>
  <c r="AY76" i="35401"/>
  <c r="AI76" i="35401"/>
  <c r="AT76" i="35401"/>
  <c r="AD76" i="35401"/>
  <c r="AK68" i="35401"/>
  <c r="AS68" i="35401"/>
  <c r="AY68" i="35401"/>
  <c r="AI68" i="35401"/>
  <c r="BB68" i="35401"/>
  <c r="AL68" i="35401"/>
  <c r="AN68" i="35401"/>
  <c r="AD60" i="35401"/>
  <c r="AX60" i="35401"/>
  <c r="AO60" i="35401"/>
  <c r="AR60" i="35401"/>
  <c r="BC60" i="35401"/>
  <c r="AM60" i="35401"/>
  <c r="AK74" i="35401"/>
  <c r="AN74" i="35401"/>
  <c r="AQ74" i="35401"/>
  <c r="AV74" i="35401"/>
  <c r="AT74" i="35401"/>
  <c r="AD74" i="35401"/>
  <c r="AP7" i="35401"/>
  <c r="AH7" i="35401"/>
  <c r="BB7" i="35401"/>
  <c r="AW7" i="35401"/>
  <c r="AG7" i="35401"/>
  <c r="AN7" i="35401"/>
  <c r="AD7" i="35401"/>
  <c r="AQ77" i="35401"/>
  <c r="BC77" i="35401"/>
  <c r="AP77" i="35401"/>
  <c r="AD77" i="35401"/>
  <c r="AO77" i="35401"/>
  <c r="AV77" i="35401"/>
  <c r="AF77" i="35401"/>
  <c r="AF66" i="35401"/>
  <c r="AQ66" i="35401"/>
  <c r="AZ66" i="35401"/>
  <c r="AX66" i="35401"/>
  <c r="AH66" i="35401"/>
  <c r="AS66" i="35401"/>
  <c r="AV66" i="35401"/>
  <c r="AW62" i="35401"/>
  <c r="AU62" i="35401"/>
  <c r="AT62" i="35401"/>
  <c r="AK62" i="35401"/>
  <c r="AN62" i="35401"/>
  <c r="AI62" i="35401"/>
  <c r="AY71" i="35401"/>
  <c r="BB71" i="35401"/>
  <c r="AS71" i="35401"/>
  <c r="AZ71" i="35401"/>
  <c r="AF71" i="35401"/>
  <c r="AD65" i="35401"/>
  <c r="AG65" i="35401"/>
  <c r="AR65" i="35401"/>
  <c r="AY65" i="35401"/>
  <c r="BB65" i="35401"/>
  <c r="AH6" i="35401"/>
  <c r="BB6" i="35401"/>
  <c r="AF6" i="35401"/>
  <c r="AK6" i="35401"/>
  <c r="AE69" i="35401"/>
  <c r="AQ69" i="35401"/>
  <c r="AD69" i="35401"/>
  <c r="AO69" i="35401"/>
  <c r="AP69" i="35401"/>
  <c r="AR69" i="35401"/>
  <c r="AX69" i="35401"/>
  <c r="AV55" i="35401"/>
  <c r="AU55" i="35401"/>
  <c r="AR55" i="35401"/>
  <c r="AI55" i="35401"/>
  <c r="AP55" i="35401"/>
  <c r="BA55" i="35401"/>
  <c r="AK55" i="35401"/>
  <c r="AY63" i="35401"/>
  <c r="AR63" i="35401"/>
  <c r="AV63" i="35401"/>
  <c r="AZ63" i="35401"/>
  <c r="AE63" i="35401"/>
  <c r="AX63" i="35401"/>
  <c r="AH63" i="35401"/>
  <c r="AM75" i="35401"/>
  <c r="AY75" i="35401"/>
  <c r="AD75" i="35401"/>
  <c r="BA75" i="35401"/>
  <c r="AK75" i="35401"/>
  <c r="AR75" i="35401"/>
  <c r="AK76" i="35401"/>
  <c r="AG76" i="35401"/>
  <c r="AN76" i="35401"/>
  <c r="AU76" i="35401"/>
  <c r="AE76" i="35401"/>
  <c r="AP76" i="35401"/>
  <c r="AW68" i="35401"/>
  <c r="AR68" i="35401"/>
  <c r="AU68" i="35401"/>
  <c r="AE68" i="35401"/>
  <c r="AX68" i="35401"/>
  <c r="AH68" i="35401"/>
  <c r="BB60" i="35401"/>
  <c r="BA60" i="35401"/>
  <c r="AP60" i="35401"/>
  <c r="AG60" i="35401"/>
  <c r="AN60" i="35401"/>
  <c r="AY60" i="35401"/>
  <c r="AI60" i="35401"/>
  <c r="AS74" i="35401"/>
  <c r="AW74" i="35401"/>
  <c r="BC74" i="35401"/>
  <c r="AM74" i="35401"/>
  <c r="AJ74" i="35401"/>
  <c r="AP74" i="35401"/>
  <c r="AR74" i="35401"/>
  <c r="AY7" i="35401"/>
  <c r="BC7" i="35401"/>
  <c r="AT7" i="35401"/>
  <c r="AS7" i="35401"/>
  <c r="AZ7" i="35401"/>
  <c r="AJ7" i="35401"/>
  <c r="AI77" i="35401"/>
  <c r="AU77" i="35401"/>
  <c r="BB77" i="35401"/>
  <c r="BA77" i="35401"/>
  <c r="AK77" i="35401"/>
  <c r="AR77" i="35401"/>
  <c r="BC66" i="35401"/>
  <c r="AM66" i="35401"/>
  <c r="AN66" i="35401"/>
  <c r="AT66" i="35401"/>
  <c r="AD66" i="35401"/>
  <c r="AO66" i="35401"/>
  <c r="BC62" i="35401"/>
  <c r="AP62" i="35401"/>
  <c r="AO62" i="35401"/>
  <c r="AL62" i="35401"/>
  <c r="AZ62" i="35401"/>
  <c r="AJ62" i="35401"/>
  <c r="AI71" i="35401"/>
  <c r="AT71" i="35401"/>
  <c r="AK71" i="35401"/>
  <c r="AV71" i="35401"/>
  <c r="AX71" i="35401"/>
  <c r="AW65" i="35401"/>
  <c r="AT65" i="35401"/>
  <c r="AN65" i="35401"/>
  <c r="AQ65" i="35401"/>
  <c r="AL65" i="35401"/>
  <c r="AZ6" i="35401"/>
  <c r="AG6" i="35401"/>
  <c r="BA69" i="35401"/>
  <c r="AN55" i="35401"/>
  <c r="AM55" i="35401"/>
  <c r="AJ55" i="35401"/>
  <c r="BB55" i="35401"/>
  <c r="AL55" i="35401"/>
  <c r="AG55" i="35401"/>
  <c r="AN63" i="35401"/>
  <c r="AM63" i="35401"/>
  <c r="AQ63" i="35401"/>
  <c r="AU63" i="35401"/>
  <c r="AS63" i="35401"/>
  <c r="AT63" i="35401"/>
  <c r="AD63" i="35401"/>
  <c r="AE75" i="35401"/>
  <c r="AQ75" i="35401"/>
  <c r="AX75" i="35401"/>
  <c r="AW75" i="35401"/>
  <c r="AG75" i="35401"/>
  <c r="AN75" i="35401"/>
  <c r="AR76" i="35401"/>
  <c r="AZ76" i="35401"/>
  <c r="AF76" i="35401"/>
  <c r="AQ76" i="35401"/>
  <c r="BB76" i="35401"/>
  <c r="AL76" i="35401"/>
  <c r="AG68" i="35401"/>
  <c r="AF68" i="35401"/>
  <c r="AQ68" i="35401"/>
  <c r="AV68" i="35401"/>
  <c r="AT68" i="35401"/>
  <c r="AD68" i="35401"/>
  <c r="AT60" i="35401"/>
  <c r="AS60" i="35401"/>
  <c r="AH60" i="35401"/>
  <c r="AZ60" i="35401"/>
  <c r="AJ60" i="35401"/>
  <c r="AU60" i="35401"/>
  <c r="AE60" i="35401"/>
  <c r="AO74" i="35401"/>
  <c r="AG74" i="35401"/>
  <c r="AY74" i="35401"/>
  <c r="AI74" i="35401"/>
  <c r="BB74" i="35401"/>
  <c r="AL74" i="35401"/>
  <c r="AF74" i="35401"/>
  <c r="AI7" i="35401"/>
  <c r="AU7" i="35401"/>
  <c r="AL7" i="35401"/>
  <c r="AO7" i="35401"/>
  <c r="AV7" i="35401"/>
  <c r="AF7" i="35401"/>
  <c r="AX77" i="35401"/>
  <c r="AM77" i="35401"/>
  <c r="AT77" i="35401"/>
  <c r="AW77" i="35401"/>
  <c r="AG77" i="35401"/>
  <c r="AN77" i="35401"/>
  <c r="AY66" i="35401"/>
  <c r="AI66" i="35401"/>
  <c r="AJ66" i="35401"/>
  <c r="AP66" i="35401"/>
  <c r="BA66" i="35401"/>
  <c r="AK66" i="35401"/>
  <c r="AS62" i="35401"/>
  <c r="AH62" i="35401"/>
  <c r="AG62" i="35401"/>
  <c r="AD62" i="35401"/>
  <c r="AV62" i="35401"/>
  <c r="AQ62" i="35401"/>
  <c r="AM71" i="35401"/>
  <c r="BA71" i="35401"/>
  <c r="AG71" i="35401"/>
  <c r="AR71" i="35401"/>
  <c r="AX65" i="35401"/>
  <c r="AS65" i="35401"/>
  <c r="AH65" i="35401"/>
  <c r="AF65" i="35401"/>
  <c r="AM65" i="35401"/>
  <c r="AJ57" i="35401"/>
  <c r="AR6" i="35401"/>
  <c r="AM6" i="35401"/>
  <c r="AT6" i="35401"/>
  <c r="AV6" i="35401"/>
  <c r="AQ6" i="35401"/>
  <c r="AS6" i="35401"/>
  <c r="AJ6" i="35401"/>
  <c r="AE6" i="35401"/>
  <c r="AP6" i="35401"/>
  <c r="AN6" i="35401"/>
  <c r="AI6" i="35401"/>
  <c r="AO6" i="35401"/>
  <c r="AD6" i="35401"/>
  <c r="E10" i="34986"/>
  <c r="F10" i="34986"/>
  <c r="G10" i="34986"/>
  <c r="C10" i="34986"/>
  <c r="C10" i="34984"/>
  <c r="H10" i="34984"/>
  <c r="E10" i="34984"/>
  <c r="D10" i="34984"/>
  <c r="F10" i="34984"/>
  <c r="G10" i="34984"/>
  <c r="I10" i="34984"/>
  <c r="BD28" i="35401" l="1"/>
  <c r="BD70" i="35401"/>
  <c r="BD16" i="35401"/>
  <c r="BD54" i="35401"/>
  <c r="BD50" i="35401"/>
  <c r="BD51" i="35401"/>
  <c r="BD19" i="35401"/>
  <c r="BD41" i="35401"/>
  <c r="BD10" i="35401"/>
  <c r="BD18" i="35401"/>
  <c r="BD11" i="35401"/>
  <c r="BD43" i="35401"/>
  <c r="BD12" i="35401"/>
  <c r="BD47" i="35401"/>
  <c r="BD22" i="35401"/>
  <c r="BD35" i="35401"/>
  <c r="BD26" i="35401"/>
  <c r="BD29" i="35401"/>
  <c r="BD9" i="35401"/>
  <c r="BD20" i="35401"/>
  <c r="BD46" i="35401"/>
  <c r="BD33" i="35401"/>
  <c r="BD25" i="35401"/>
  <c r="BD52" i="35401"/>
  <c r="BD14" i="35401"/>
  <c r="BD78" i="35401"/>
  <c r="BD77" i="35401"/>
  <c r="BD45" i="35401"/>
  <c r="BD37" i="35401"/>
  <c r="BE33" i="35404"/>
  <c r="BE73" i="35404"/>
  <c r="BE13" i="35404"/>
  <c r="BE15" i="35404"/>
  <c r="BE7" i="35404"/>
  <c r="BE56" i="35404"/>
  <c r="BE75" i="35404"/>
  <c r="BE50" i="35404"/>
  <c r="BE38" i="35404"/>
  <c r="BE62" i="35404"/>
  <c r="BE49" i="35404"/>
  <c r="BE17" i="35404"/>
  <c r="BE44" i="35404"/>
  <c r="BE72" i="35404"/>
  <c r="BE40" i="35404"/>
  <c r="BE35" i="35404"/>
  <c r="BE41" i="35404"/>
  <c r="BE45" i="35404"/>
  <c r="BE54" i="35404"/>
  <c r="BE16" i="35404"/>
  <c r="BE69" i="35404"/>
  <c r="BE64" i="35404"/>
  <c r="BE55" i="35404"/>
  <c r="BE22" i="35404"/>
  <c r="BE39" i="35404"/>
  <c r="BE67" i="35404"/>
  <c r="BE32" i="35404"/>
  <c r="BE51" i="35404"/>
  <c r="BE11" i="35404"/>
  <c r="BE34" i="35404"/>
  <c r="BE10" i="35404"/>
  <c r="BE65" i="35404"/>
  <c r="BE6" i="35404"/>
  <c r="BE52" i="35404"/>
  <c r="BE58" i="35404"/>
  <c r="BE9" i="35404"/>
  <c r="BE74" i="35404"/>
  <c r="BE68" i="35404"/>
  <c r="BE30" i="35404"/>
  <c r="BE43" i="35404"/>
  <c r="BE8" i="35404"/>
  <c r="BE60" i="35404"/>
  <c r="BE14" i="35404"/>
  <c r="BE71" i="35404"/>
  <c r="BE63" i="35404"/>
  <c r="BE21" i="35404"/>
  <c r="BE27" i="35404"/>
  <c r="BE46" i="35404"/>
  <c r="BE36" i="35404"/>
  <c r="BE18" i="35404"/>
  <c r="BE76" i="35404"/>
  <c r="BE24" i="35404"/>
  <c r="BE59" i="35404"/>
  <c r="BE19" i="35404"/>
  <c r="BE66" i="35404"/>
  <c r="BE57" i="35404"/>
  <c r="BE77" i="35404"/>
  <c r="BE53" i="35404"/>
  <c r="BE29" i="35404"/>
  <c r="BE47" i="35404"/>
  <c r="BE20" i="35404"/>
  <c r="BE31" i="35404"/>
  <c r="BE23" i="35404"/>
  <c r="BE26" i="35404"/>
  <c r="BE28" i="35404"/>
  <c r="BE37" i="35404"/>
  <c r="BE25" i="35404"/>
  <c r="BE70" i="35404"/>
  <c r="BE12" i="35404"/>
  <c r="BE42" i="35404"/>
  <c r="BE48" i="35404"/>
  <c r="BE61" i="35404"/>
  <c r="BE78" i="35404"/>
  <c r="BD6" i="35401"/>
  <c r="BD24" i="35401"/>
  <c r="BD44" i="35401"/>
  <c r="BD21" i="35401"/>
  <c r="BD40" i="35401"/>
  <c r="BD34" i="35401"/>
  <c r="BD23" i="35401"/>
  <c r="BD48" i="35401"/>
  <c r="BD49" i="35401"/>
  <c r="BD69" i="35401"/>
  <c r="BD55" i="35401"/>
  <c r="BD15" i="35401"/>
  <c r="BD27" i="35401"/>
  <c r="BD17" i="35401"/>
  <c r="BD36" i="35401"/>
  <c r="BD76" i="35401"/>
  <c r="BD7" i="35401"/>
  <c r="BD59" i="35401"/>
  <c r="BD38" i="35401"/>
  <c r="BD13" i="35401"/>
  <c r="BD8" i="35401"/>
  <c r="BD61" i="35401"/>
  <c r="BD30" i="35401"/>
  <c r="BD31" i="35401"/>
  <c r="BD53" i="35401"/>
  <c r="BD39" i="35401"/>
  <c r="BD32" i="35401"/>
  <c r="BD42" i="35401"/>
  <c r="BD56" i="35401"/>
  <c r="BD75" i="35401"/>
  <c r="BD66" i="35401"/>
  <c r="BD67" i="35401"/>
  <c r="BD71" i="35401"/>
  <c r="BD74" i="35401"/>
  <c r="BD57" i="35401"/>
  <c r="BD65" i="35401"/>
  <c r="BD63" i="35401"/>
  <c r="BD58" i="35401"/>
  <c r="BD64" i="35401"/>
  <c r="BD68" i="35401"/>
  <c r="BD62" i="35401"/>
  <c r="BD72" i="35401"/>
  <c r="BD60" i="35401"/>
  <c r="BD73" i="35401"/>
  <c r="K10" i="34961" a="1"/>
  <c r="K30" i="34961" s="1"/>
  <c r="M10" i="34961" a="1"/>
  <c r="M25" i="34961" s="1"/>
  <c r="K13" i="34961" l="1"/>
  <c r="K31" i="34961"/>
  <c r="K26" i="34961"/>
  <c r="K22" i="34961"/>
  <c r="K18" i="34961"/>
  <c r="M18" i="34961"/>
  <c r="M14" i="34961"/>
  <c r="M31" i="34961"/>
  <c r="K10" i="34961"/>
  <c r="R10" i="34999" s="1"/>
  <c r="K23" i="34961"/>
  <c r="M10" i="34961"/>
  <c r="M22" i="34961"/>
  <c r="M24" i="34961"/>
  <c r="M26" i="34961"/>
  <c r="M15" i="34961"/>
  <c r="M17" i="34961"/>
  <c r="M27" i="34961"/>
  <c r="M16" i="34961"/>
  <c r="K14" i="34961"/>
  <c r="K16" i="34961"/>
  <c r="K29" i="34961"/>
  <c r="K25" i="34961"/>
  <c r="K21" i="34961"/>
  <c r="K17" i="34961"/>
  <c r="M20" i="34961"/>
  <c r="M19" i="34961"/>
  <c r="M12" i="34961"/>
  <c r="K11" i="34961"/>
  <c r="K27" i="34961"/>
  <c r="K19" i="34961"/>
  <c r="M23" i="34961"/>
  <c r="M30" i="34961"/>
  <c r="M11" i="34961"/>
  <c r="M13" i="34961"/>
  <c r="M29" i="34961"/>
  <c r="M21" i="34961"/>
  <c r="M28" i="34961"/>
  <c r="K15" i="34961"/>
  <c r="K12" i="34961"/>
  <c r="K28" i="34961"/>
  <c r="K24" i="34961"/>
  <c r="K20" i="34961"/>
  <c r="C10" i="34980" l="1" a="1"/>
  <c r="C10" i="34980" l="1"/>
  <c r="F10" i="34980"/>
  <c r="J10" i="34980"/>
  <c r="E10" i="34980"/>
  <c r="H10" i="34980"/>
  <c r="G10" i="34980"/>
  <c r="D10" i="34980"/>
  <c r="I10" i="34980"/>
  <c r="K10" i="34980"/>
  <c r="L11" i="35036" l="1" a="1"/>
  <c r="L19" i="35036" s="1"/>
  <c r="L30" i="35036" l="1"/>
  <c r="L29" i="35036"/>
  <c r="L12" i="35036"/>
  <c r="L17" i="35036"/>
  <c r="L15" i="35036"/>
  <c r="L26" i="35036"/>
  <c r="L18" i="35036"/>
  <c r="L16" i="35036"/>
  <c r="L13" i="35036"/>
  <c r="L20" i="35036"/>
  <c r="L23" i="35036"/>
  <c r="L28" i="35036"/>
  <c r="L11" i="35036"/>
  <c r="L25" i="35036"/>
  <c r="L21" i="35036"/>
  <c r="L24" i="35036"/>
  <c r="L27" i="35036"/>
  <c r="L14" i="35036"/>
  <c r="L22" i="35036"/>
  <c r="L31" i="35036"/>
  <c r="X11" i="35036" a="1"/>
  <c r="X25" i="35036" s="1"/>
  <c r="X26" i="35036" l="1"/>
  <c r="X28" i="35036"/>
  <c r="X29" i="35036"/>
  <c r="X31" i="35036"/>
  <c r="X24" i="35036"/>
  <c r="X21" i="35036"/>
  <c r="X14" i="35036"/>
  <c r="X22" i="35036"/>
  <c r="X18" i="35036"/>
  <c r="X12" i="35036"/>
  <c r="X27" i="35036"/>
  <c r="X15" i="35036"/>
  <c r="X11" i="35036"/>
  <c r="X16" i="35036"/>
  <c r="X17" i="35036"/>
  <c r="X19" i="35036"/>
  <c r="X30" i="35036"/>
  <c r="X13" i="35036"/>
  <c r="X20" i="35036"/>
  <c r="X23" i="35036"/>
  <c r="AJ11" i="35036" a="1"/>
  <c r="AJ24" i="35036" s="1"/>
  <c r="AJ11" i="35036" l="1"/>
  <c r="AJ15" i="35036"/>
  <c r="AJ21" i="35036"/>
  <c r="AJ12" i="35036"/>
  <c r="AJ28" i="35036"/>
  <c r="AJ20" i="35036"/>
  <c r="AJ19" i="35036"/>
  <c r="AJ27" i="35036"/>
  <c r="AJ16" i="35036"/>
  <c r="AJ13" i="35036"/>
  <c r="AJ18" i="35036"/>
  <c r="AJ25" i="35036"/>
  <c r="AJ22" i="35036"/>
  <c r="AJ17" i="35036"/>
  <c r="AJ14" i="35036"/>
  <c r="AJ31" i="35036"/>
  <c r="AJ29" i="35036"/>
  <c r="AJ23" i="35036"/>
  <c r="AJ30" i="35036"/>
  <c r="AJ26" i="35036"/>
  <c r="AV11" i="35036" a="1"/>
  <c r="AV26" i="35036" s="1"/>
  <c r="AV30" i="35036" l="1"/>
  <c r="AV21" i="35036"/>
  <c r="AV28" i="35036"/>
  <c r="AV17" i="35036"/>
  <c r="AV13" i="35036"/>
  <c r="AV15" i="35036"/>
  <c r="AV14" i="35036"/>
  <c r="AV12" i="35036"/>
  <c r="AV27" i="35036"/>
  <c r="AV24" i="35036"/>
  <c r="AV16" i="35036"/>
  <c r="AV22" i="35036"/>
  <c r="AV25" i="35036"/>
  <c r="AV11" i="35036"/>
  <c r="AV19" i="35036"/>
  <c r="AV18" i="35036"/>
  <c r="AV29" i="35036"/>
  <c r="AV20" i="35036"/>
  <c r="AV31" i="35036"/>
  <c r="AV23" i="35036"/>
  <c r="BJ11" i="35036" a="1"/>
  <c r="BJ30" i="35036" s="1"/>
  <c r="BJ18" i="35036" l="1"/>
  <c r="BJ13" i="35036"/>
  <c r="BJ14" i="35036"/>
  <c r="BJ15" i="35036"/>
  <c r="BJ17" i="35036"/>
  <c r="BJ28" i="35036"/>
  <c r="BJ16" i="35036"/>
  <c r="BJ25" i="35036"/>
  <c r="BJ11" i="35036"/>
  <c r="BJ29" i="35036"/>
  <c r="BJ22" i="35036"/>
  <c r="BJ21" i="35036"/>
  <c r="BJ20" i="35036"/>
  <c r="BJ27" i="35036"/>
  <c r="BJ19" i="35036"/>
  <c r="BJ24" i="35036"/>
  <c r="BJ12" i="35036"/>
  <c r="BJ31" i="35036"/>
  <c r="BJ23" i="35036"/>
  <c r="BJ26" i="35036"/>
  <c r="CH11" i="35036" a="1"/>
  <c r="CH30" i="35036" s="1"/>
  <c r="CH28" i="35036" l="1"/>
  <c r="CH14" i="35036"/>
  <c r="CH24" i="35036"/>
  <c r="CH12" i="35036"/>
  <c r="CH21" i="35036"/>
  <c r="CH31" i="35036"/>
  <c r="CH11" i="35036"/>
  <c r="CH19" i="35036"/>
  <c r="CH15" i="35036"/>
  <c r="CH23" i="35036"/>
  <c r="CH18" i="35036"/>
  <c r="CH20" i="35036"/>
  <c r="CH17" i="35036"/>
  <c r="CH22" i="35036"/>
  <c r="CH29" i="35036"/>
  <c r="CH13" i="35036"/>
  <c r="CH25" i="35036"/>
  <c r="CH26" i="35036"/>
  <c r="CH16" i="35036"/>
  <c r="CH27" i="35036"/>
  <c r="BV11" i="35036" l="1" a="1"/>
  <c r="BV11" i="35036" s="1"/>
  <c r="CT11" i="35036" a="1"/>
  <c r="CT13" i="35036" s="1"/>
  <c r="BV21" i="35036" l="1"/>
  <c r="BV13" i="35036"/>
  <c r="BV15" i="35036"/>
  <c r="CT29" i="35036"/>
  <c r="CT26" i="35036"/>
  <c r="BV23" i="35036"/>
  <c r="BV31" i="35036"/>
  <c r="CT22" i="35036"/>
  <c r="CT27" i="35036"/>
  <c r="CT17" i="35036"/>
  <c r="CT12" i="35036"/>
  <c r="CT25" i="35036"/>
  <c r="CT21" i="35036"/>
  <c r="CT20" i="35036"/>
  <c r="CT11" i="35036"/>
  <c r="BV28" i="35036"/>
  <c r="BV14" i="35036"/>
  <c r="BV12" i="35036"/>
  <c r="BV29" i="35036"/>
  <c r="BV26" i="35036"/>
  <c r="CT14" i="35036"/>
  <c r="CT19" i="35036"/>
  <c r="CT31" i="35036"/>
  <c r="CT18" i="35036"/>
  <c r="CT23" i="35036"/>
  <c r="CT15" i="35036"/>
  <c r="BV16" i="35036"/>
  <c r="BV24" i="35036"/>
  <c r="BV19" i="35036"/>
  <c r="BV25" i="35036"/>
  <c r="BV18" i="35036"/>
  <c r="CT16" i="35036"/>
  <c r="CT28" i="35036"/>
  <c r="CT24" i="35036"/>
  <c r="CT30" i="35036"/>
  <c r="BV22" i="35036"/>
  <c r="BV20" i="35036"/>
  <c r="BV17" i="35036"/>
  <c r="BV30" i="35036"/>
  <c r="BV27" i="35036"/>
  <c r="C10" i="34987" l="1" a="1"/>
  <c r="C15" i="34987" s="1"/>
  <c r="D10" i="34987" a="1"/>
  <c r="D13" i="34987" s="1"/>
  <c r="E10" i="34987" a="1"/>
  <c r="E12" i="34987" s="1"/>
  <c r="F10" i="34987" a="1"/>
  <c r="F14" i="34987" s="1"/>
  <c r="H10" i="34987" a="1"/>
  <c r="H30" i="34987" s="1"/>
  <c r="I10" i="34987" a="1"/>
  <c r="I30" i="34987" s="1"/>
  <c r="J10" i="34987" a="1"/>
  <c r="J30" i="34987" s="1"/>
  <c r="D30" i="34987" l="1"/>
  <c r="D12" i="34987"/>
  <c r="J10" i="34987"/>
  <c r="J11" i="34987"/>
  <c r="J21" i="34987"/>
  <c r="H15" i="34987"/>
  <c r="H20" i="34987"/>
  <c r="H25" i="34987"/>
  <c r="H31" i="34987"/>
  <c r="H10" i="34987"/>
  <c r="J12" i="34987"/>
  <c r="J23" i="34987"/>
  <c r="I11" i="34987"/>
  <c r="I19" i="34987"/>
  <c r="I27" i="34987"/>
  <c r="H11" i="34987"/>
  <c r="H16" i="34987"/>
  <c r="H21" i="34987"/>
  <c r="H27" i="34987"/>
  <c r="I10" i="34987"/>
  <c r="J16" i="34987"/>
  <c r="J27" i="34987"/>
  <c r="I12" i="34987"/>
  <c r="I20" i="34987"/>
  <c r="I28" i="34987"/>
  <c r="H12" i="34987"/>
  <c r="H17" i="34987"/>
  <c r="H23" i="34987"/>
  <c r="H28" i="34987"/>
  <c r="D10" i="34987"/>
  <c r="J17" i="34987"/>
  <c r="J28" i="34987"/>
  <c r="I15" i="34987"/>
  <c r="I23" i="34987"/>
  <c r="I31" i="34987"/>
  <c r="H13" i="34987"/>
  <c r="H19" i="34987"/>
  <c r="H24" i="34987"/>
  <c r="H29" i="34987"/>
  <c r="D18" i="34987"/>
  <c r="I16" i="34987"/>
  <c r="I24" i="34987"/>
  <c r="D26" i="34987"/>
  <c r="D22" i="34987"/>
  <c r="J13" i="34987"/>
  <c r="J19" i="34987"/>
  <c r="J24" i="34987"/>
  <c r="J29" i="34987"/>
  <c r="J15" i="34987"/>
  <c r="J20" i="34987"/>
  <c r="J25" i="34987"/>
  <c r="J31" i="34987"/>
  <c r="I13" i="34987"/>
  <c r="I17" i="34987"/>
  <c r="I21" i="34987"/>
  <c r="I25" i="34987"/>
  <c r="I29" i="34987"/>
  <c r="I14" i="34987"/>
  <c r="I18" i="34987"/>
  <c r="I22" i="34987"/>
  <c r="I26" i="34987"/>
  <c r="D28" i="34987"/>
  <c r="D24" i="34987"/>
  <c r="D20" i="34987"/>
  <c r="D16" i="34987"/>
  <c r="D14" i="34987"/>
  <c r="C30" i="34987"/>
  <c r="C26" i="34987"/>
  <c r="C22" i="34987"/>
  <c r="C18" i="34987"/>
  <c r="C12" i="34987"/>
  <c r="C10" i="34987"/>
  <c r="J14" i="34987"/>
  <c r="J18" i="34987"/>
  <c r="J22" i="34987"/>
  <c r="J26" i="34987"/>
  <c r="H14" i="34987"/>
  <c r="H18" i="34987"/>
  <c r="H22" i="34987"/>
  <c r="H26" i="34987"/>
  <c r="F31" i="34987"/>
  <c r="F27" i="34987"/>
  <c r="F23" i="34987"/>
  <c r="F19" i="34987"/>
  <c r="F11" i="34987"/>
  <c r="F15" i="34987"/>
  <c r="E29" i="34987"/>
  <c r="E25" i="34987"/>
  <c r="E21" i="34987"/>
  <c r="E17" i="34987"/>
  <c r="E13" i="34987"/>
  <c r="D31" i="34987"/>
  <c r="D27" i="34987"/>
  <c r="D23" i="34987"/>
  <c r="D19" i="34987"/>
  <c r="D11" i="34987"/>
  <c r="D15" i="34987"/>
  <c r="C29" i="34987"/>
  <c r="C25" i="34987"/>
  <c r="C21" i="34987"/>
  <c r="C17" i="34987"/>
  <c r="C13" i="34987"/>
  <c r="E28" i="34987"/>
  <c r="E24" i="34987"/>
  <c r="E20" i="34987"/>
  <c r="E16" i="34987"/>
  <c r="E14" i="34987"/>
  <c r="C28" i="34987"/>
  <c r="C24" i="34987"/>
  <c r="C20" i="34987"/>
  <c r="C16" i="34987"/>
  <c r="C14" i="34987"/>
  <c r="F10" i="34987"/>
  <c r="F30" i="34987"/>
  <c r="F26" i="34987"/>
  <c r="F22" i="34987"/>
  <c r="F18" i="34987"/>
  <c r="F12" i="34987"/>
  <c r="E10" i="34987"/>
  <c r="F29" i="34987"/>
  <c r="F25" i="34987"/>
  <c r="F21" i="34987"/>
  <c r="F17" i="34987"/>
  <c r="F13" i="34987"/>
  <c r="E31" i="34987"/>
  <c r="E27" i="34987"/>
  <c r="E23" i="34987"/>
  <c r="E19" i="34987"/>
  <c r="E11" i="34987"/>
  <c r="E15" i="34987"/>
  <c r="D29" i="34987"/>
  <c r="D25" i="34987"/>
  <c r="D21" i="34987"/>
  <c r="D17" i="34987"/>
  <c r="C31" i="34987"/>
  <c r="C27" i="34987"/>
  <c r="C23" i="34987"/>
  <c r="C19" i="34987"/>
  <c r="C11" i="34987"/>
  <c r="F28" i="34987"/>
  <c r="F24" i="34987"/>
  <c r="F20" i="34987"/>
  <c r="F16" i="34987"/>
  <c r="E30" i="34987"/>
  <c r="E26" i="34987"/>
  <c r="E22" i="34987"/>
  <c r="E18" i="34987"/>
  <c r="V10" i="34987" l="1" a="1"/>
  <c r="V16" i="34987" s="1"/>
  <c r="K10" i="34987" a="1"/>
  <c r="K14" i="34987" s="1"/>
  <c r="M10" i="34987" a="1"/>
  <c r="M13" i="34987" s="1"/>
  <c r="N10" i="34987" a="1"/>
  <c r="N29" i="34987" s="1"/>
  <c r="L10" i="34987" a="1"/>
  <c r="L12" i="34987" s="1"/>
  <c r="X10" i="34987" a="1"/>
  <c r="X30" i="34987" s="1"/>
  <c r="P10" i="34987" a="1"/>
  <c r="P30" i="34987" s="1"/>
  <c r="Y10" i="34987" a="1"/>
  <c r="Y16" i="34987" s="1"/>
  <c r="FS11" i="35036" a="1"/>
  <c r="FS28" i="35036" s="1"/>
  <c r="GD11" i="35036" a="1"/>
  <c r="GD29" i="35036" s="1"/>
  <c r="Y28" i="34987" l="1"/>
  <c r="P15" i="34987"/>
  <c r="M24" i="34987"/>
  <c r="M10" i="34987"/>
  <c r="P31" i="34987"/>
  <c r="Y11" i="34987"/>
  <c r="V22" i="34987"/>
  <c r="V10" i="34987"/>
  <c r="Y15" i="34987"/>
  <c r="M20" i="34987"/>
  <c r="K20" i="34987"/>
  <c r="V18" i="34987"/>
  <c r="N24" i="34987"/>
  <c r="K15" i="34987"/>
  <c r="P19" i="34987"/>
  <c r="GD26" i="35036"/>
  <c r="Y24" i="34987"/>
  <c r="GD30" i="35036"/>
  <c r="N10" i="34987"/>
  <c r="Y20" i="34987"/>
  <c r="P11" i="34987"/>
  <c r="P27" i="34987"/>
  <c r="N19" i="34987"/>
  <c r="M28" i="34987"/>
  <c r="M15" i="34987"/>
  <c r="K28" i="34987"/>
  <c r="V26" i="34987"/>
  <c r="N30" i="34987"/>
  <c r="P23" i="34987"/>
  <c r="N14" i="34987"/>
  <c r="M11" i="34987"/>
  <c r="P12" i="34987"/>
  <c r="P16" i="34987"/>
  <c r="P20" i="34987"/>
  <c r="P24" i="34987"/>
  <c r="P28" i="34987"/>
  <c r="K26" i="34987"/>
  <c r="K18" i="34987"/>
  <c r="K24" i="34987"/>
  <c r="K11" i="34987"/>
  <c r="V30" i="34987"/>
  <c r="V13" i="34987"/>
  <c r="GD25" i="35036"/>
  <c r="GD31" i="35036"/>
  <c r="N15" i="34987"/>
  <c r="N20" i="34987"/>
  <c r="N26" i="34987"/>
  <c r="N31" i="34987"/>
  <c r="GD14" i="35036"/>
  <c r="GD19" i="35036"/>
  <c r="GD28" i="35036"/>
  <c r="P13" i="34987"/>
  <c r="P17" i="34987"/>
  <c r="P21" i="34987"/>
  <c r="P25" i="34987"/>
  <c r="P29" i="34987"/>
  <c r="N11" i="34987"/>
  <c r="N16" i="34987"/>
  <c r="N22" i="34987"/>
  <c r="N27" i="34987"/>
  <c r="GD24" i="35036"/>
  <c r="GD21" i="35036"/>
  <c r="GD23" i="35036"/>
  <c r="P10" i="34987"/>
  <c r="P14" i="34987"/>
  <c r="P18" i="34987"/>
  <c r="P22" i="34987"/>
  <c r="P26" i="34987"/>
  <c r="N12" i="34987"/>
  <c r="N18" i="34987"/>
  <c r="N23" i="34987"/>
  <c r="N28" i="34987"/>
  <c r="K30" i="34987"/>
  <c r="K22" i="34987"/>
  <c r="K13" i="34987"/>
  <c r="FS24" i="35036"/>
  <c r="FS13" i="35036"/>
  <c r="FS18" i="35036"/>
  <c r="FS19" i="35036"/>
  <c r="FS12" i="35036"/>
  <c r="X10" i="34987"/>
  <c r="L10" i="34987"/>
  <c r="Y30" i="34987"/>
  <c r="Y26" i="34987"/>
  <c r="Y22" i="34987"/>
  <c r="Y18" i="34987"/>
  <c r="Y13" i="34987"/>
  <c r="M30" i="34987"/>
  <c r="M26" i="34987"/>
  <c r="M18" i="34987"/>
  <c r="L31" i="34987"/>
  <c r="L23" i="34987"/>
  <c r="L16" i="34987"/>
  <c r="GD15" i="35036"/>
  <c r="GD16" i="35036"/>
  <c r="GD12" i="35036"/>
  <c r="GD18" i="35036"/>
  <c r="GD27" i="35036"/>
  <c r="FS20" i="35036"/>
  <c r="FS25" i="35036"/>
  <c r="FS11" i="35036"/>
  <c r="FS27" i="35036"/>
  <c r="FS29" i="35036"/>
  <c r="FS15" i="35036"/>
  <c r="Y29" i="34987"/>
  <c r="Y25" i="34987"/>
  <c r="Y21" i="34987"/>
  <c r="Y17" i="34987"/>
  <c r="Y14" i="34987"/>
  <c r="X11" i="34987"/>
  <c r="X15" i="34987"/>
  <c r="X19" i="34987"/>
  <c r="X23" i="34987"/>
  <c r="X27" i="34987"/>
  <c r="X31" i="34987"/>
  <c r="M29" i="34987"/>
  <c r="M25" i="34987"/>
  <c r="M21" i="34987"/>
  <c r="M17" i="34987"/>
  <c r="M14" i="34987"/>
  <c r="L30" i="34987"/>
  <c r="L26" i="34987"/>
  <c r="L22" i="34987"/>
  <c r="L18" i="34987"/>
  <c r="L13" i="34987"/>
  <c r="K31" i="34987"/>
  <c r="K27" i="34987"/>
  <c r="K23" i="34987"/>
  <c r="K19" i="34987"/>
  <c r="K12" i="34987"/>
  <c r="K16" i="34987"/>
  <c r="V29" i="34987"/>
  <c r="V25" i="34987"/>
  <c r="V21" i="34987"/>
  <c r="V17" i="34987"/>
  <c r="V14" i="34987"/>
  <c r="L29" i="34987"/>
  <c r="L25" i="34987"/>
  <c r="L21" i="34987"/>
  <c r="L17" i="34987"/>
  <c r="L14" i="34987"/>
  <c r="V28" i="34987"/>
  <c r="V24" i="34987"/>
  <c r="V20" i="34987"/>
  <c r="V11" i="34987"/>
  <c r="V15" i="34987"/>
  <c r="X12" i="34987"/>
  <c r="X16" i="34987"/>
  <c r="X20" i="34987"/>
  <c r="X24" i="34987"/>
  <c r="X28" i="34987"/>
  <c r="GD20" i="35036"/>
  <c r="GD17" i="35036"/>
  <c r="GD22" i="35036"/>
  <c r="GD13" i="35036"/>
  <c r="GD11" i="35036"/>
  <c r="FS21" i="35036"/>
  <c r="FS16" i="35036"/>
  <c r="FS30" i="35036"/>
  <c r="FS31" i="35036"/>
  <c r="FS22" i="35036"/>
  <c r="Y10" i="34987"/>
  <c r="K10" i="34987"/>
  <c r="Y31" i="34987"/>
  <c r="Y27" i="34987"/>
  <c r="Y23" i="34987"/>
  <c r="Y19" i="34987"/>
  <c r="Y12" i="34987"/>
  <c r="X13" i="34987"/>
  <c r="X17" i="34987"/>
  <c r="X21" i="34987"/>
  <c r="X25" i="34987"/>
  <c r="X29" i="34987"/>
  <c r="N13" i="34987"/>
  <c r="N17" i="34987"/>
  <c r="N21" i="34987"/>
  <c r="N25" i="34987"/>
  <c r="M31" i="34987"/>
  <c r="M27" i="34987"/>
  <c r="M23" i="34987"/>
  <c r="M19" i="34987"/>
  <c r="M12" i="34987"/>
  <c r="M16" i="34987"/>
  <c r="L28" i="34987"/>
  <c r="L24" i="34987"/>
  <c r="L20" i="34987"/>
  <c r="L11" i="34987"/>
  <c r="L15" i="34987"/>
  <c r="K29" i="34987"/>
  <c r="K25" i="34987"/>
  <c r="K21" i="34987"/>
  <c r="K17" i="34987"/>
  <c r="V31" i="34987"/>
  <c r="V27" i="34987"/>
  <c r="V23" i="34987"/>
  <c r="V19" i="34987"/>
  <c r="V12" i="34987"/>
  <c r="FS14" i="35036"/>
  <c r="FS23" i="35036"/>
  <c r="FS17" i="35036"/>
  <c r="FS26" i="35036"/>
  <c r="X14" i="34987"/>
  <c r="X18" i="34987"/>
  <c r="X22" i="34987"/>
  <c r="X26" i="34987"/>
  <c r="M22" i="34987"/>
  <c r="L27" i="34987"/>
  <c r="L19" i="34987"/>
  <c r="M32" i="34961" l="1"/>
  <c r="N32" i="34999"/>
  <c r="K32" i="34961"/>
  <c r="K33" i="34961" l="1"/>
  <c r="N33" i="34999"/>
  <c r="M33" i="34961"/>
  <c r="M34" i="34961" l="1"/>
  <c r="N34" i="34999"/>
  <c r="K34" i="34961"/>
  <c r="N35" i="34999" l="1"/>
  <c r="K35" i="34961"/>
  <c r="M35" i="34961"/>
  <c r="M36" i="34961" l="1"/>
  <c r="K36" i="34961"/>
  <c r="N36" i="34999"/>
  <c r="K37" i="34961" l="1"/>
  <c r="N37" i="34999"/>
  <c r="M37" i="34961"/>
  <c r="K38" i="34961" l="1"/>
  <c r="N38" i="34999"/>
  <c r="M38" i="34961"/>
  <c r="M39" i="34961" l="1"/>
  <c r="N39" i="34999"/>
  <c r="K39" i="34961"/>
  <c r="K40" i="34961" l="1"/>
  <c r="N40" i="34999"/>
  <c r="M40" i="34961"/>
  <c r="M41" i="34961" l="1"/>
  <c r="N41" i="34999"/>
  <c r="K41" i="34961"/>
  <c r="K42" i="34961" l="1"/>
  <c r="R42" i="34999"/>
  <c r="N42" i="34999"/>
  <c r="M42" i="34961"/>
  <c r="N43" i="34999" l="1"/>
  <c r="M43" i="34961"/>
  <c r="K43" i="34961"/>
  <c r="R43" i="34999" l="1"/>
  <c r="K44" i="34961"/>
  <c r="N44" i="34999"/>
  <c r="R44" i="34999"/>
  <c r="M44" i="34961"/>
  <c r="N45" i="34999" l="1"/>
  <c r="K45" i="34961"/>
  <c r="M45" i="34961"/>
  <c r="R45" i="34999" l="1"/>
  <c r="K46" i="34961"/>
  <c r="N46" i="34999"/>
  <c r="M46" i="34961"/>
  <c r="R46" i="34999" l="1"/>
  <c r="N47" i="34999"/>
  <c r="M47" i="34961"/>
  <c r="K47" i="34961"/>
  <c r="R47" i="34999" l="1"/>
  <c r="K48" i="34961"/>
  <c r="M48" i="34961"/>
  <c r="N48" i="34999"/>
  <c r="K49" i="34961" l="1"/>
  <c r="M49" i="34961"/>
  <c r="N49" i="34999"/>
  <c r="N50" i="34999" l="1"/>
  <c r="K50" i="34961"/>
  <c r="M50" i="34961"/>
  <c r="N51" i="34999" l="1"/>
  <c r="M51" i="34961"/>
  <c r="K51" i="34961"/>
  <c r="M52" i="34961" l="1"/>
  <c r="K52" i="34961"/>
  <c r="N52" i="34999"/>
  <c r="N53" i="34999" l="1"/>
  <c r="M53" i="34961"/>
  <c r="K53" i="34961"/>
  <c r="K54" i="34961" l="1"/>
  <c r="M54" i="34961"/>
  <c r="N54" i="34999"/>
  <c r="K55" i="34961" l="1"/>
  <c r="M55" i="34961"/>
  <c r="N55" i="34999"/>
  <c r="M56" i="34961" l="1"/>
  <c r="K56" i="34961"/>
  <c r="N56" i="34999"/>
  <c r="K57" i="34961" l="1"/>
  <c r="M57" i="34961"/>
  <c r="N57" i="34999"/>
  <c r="N58" i="34999" l="1"/>
  <c r="M58" i="34961"/>
  <c r="K58" i="34961"/>
  <c r="N59" i="34999" l="1"/>
  <c r="M59" i="34961"/>
  <c r="K59" i="34961"/>
  <c r="K60" i="34961" l="1"/>
  <c r="M60" i="34961"/>
  <c r="N60" i="34999"/>
  <c r="N61" i="34999" l="1"/>
  <c r="K61" i="34961"/>
  <c r="M61" i="34961"/>
  <c r="K62" i="34961" l="1"/>
  <c r="M62" i="34961"/>
  <c r="N62" i="34999"/>
  <c r="K63" i="34961" l="1"/>
  <c r="N63" i="34999"/>
  <c r="M63" i="34961"/>
  <c r="N64" i="34999" l="1"/>
  <c r="K64" i="34961"/>
  <c r="M64" i="34961"/>
  <c r="N65" i="34999" l="1"/>
  <c r="K65" i="34961"/>
  <c r="M65" i="34961"/>
  <c r="N66" i="34999" l="1"/>
  <c r="M66" i="34961"/>
  <c r="K66" i="34961"/>
  <c r="N67" i="34999" l="1"/>
  <c r="K67" i="34961"/>
  <c r="M67" i="34961"/>
  <c r="M68" i="34961" l="1"/>
  <c r="K68" i="34961"/>
  <c r="N68" i="34999"/>
  <c r="N69" i="34999" l="1"/>
  <c r="M69" i="34961"/>
  <c r="K69" i="34961"/>
  <c r="M70" i="34961" l="1"/>
  <c r="K70" i="34961"/>
  <c r="N70" i="34999"/>
  <c r="M71" i="34961" l="1"/>
  <c r="N71" i="34999"/>
  <c r="K71" i="34961"/>
  <c r="K72" i="34961" l="1"/>
  <c r="M72" i="34961"/>
  <c r="N72" i="34999"/>
  <c r="K73" i="34961" l="1"/>
  <c r="N73" i="34999"/>
  <c r="M73" i="34961"/>
  <c r="M74" i="34961" l="1"/>
  <c r="N74" i="34999"/>
  <c r="K74" i="34961"/>
  <c r="N75" i="34999" l="1"/>
  <c r="K75" i="34961"/>
  <c r="M75" i="34961"/>
  <c r="N76" i="34999" l="1"/>
  <c r="M76" i="34961"/>
  <c r="K76" i="34961"/>
  <c r="K77" i="34961" l="1"/>
  <c r="N77" i="34999"/>
  <c r="M77" i="34961"/>
  <c r="N78" i="34999" l="1"/>
  <c r="K78" i="34961"/>
  <c r="M78" i="34961"/>
  <c r="K79" i="34961" l="1"/>
  <c r="M79" i="34961"/>
  <c r="N79" i="34999"/>
  <c r="N80" i="34999" l="1"/>
  <c r="M80" i="34961"/>
  <c r="K80" i="34961"/>
  <c r="K81" i="34961" l="1"/>
  <c r="N81" i="34999"/>
  <c r="M81" i="34961"/>
  <c r="L63" i="35391" l="1" a="1"/>
  <c r="L63" i="35391" s="1"/>
  <c r="N82" i="34999"/>
  <c r="L15" i="35391" a="1"/>
  <c r="L15" i="35391" s="1"/>
  <c r="K14" i="34908" a="1"/>
  <c r="K14" i="34908" s="1"/>
  <c r="L64" i="35391" a="1"/>
  <c r="L64" i="35391" s="1"/>
  <c r="L62" i="35391" a="1"/>
  <c r="L62" i="35391" s="1"/>
  <c r="K13" i="34908" a="1"/>
  <c r="K13" i="34908" s="1"/>
  <c r="L17" i="35391" a="1"/>
  <c r="L17" i="35391" s="1"/>
  <c r="M82" i="34961"/>
  <c r="L68" i="35391"/>
  <c r="L56" i="35391" s="1"/>
  <c r="K15" i="34908" a="1"/>
  <c r="K15" i="34908" s="1"/>
  <c r="L18" i="35391" a="1"/>
  <c r="L18" i="35391" s="1"/>
  <c r="L69" i="35391"/>
  <c r="K82" i="34961"/>
  <c r="L61" i="35391" a="1"/>
  <c r="L61" i="35391" s="1"/>
  <c r="L70" i="35391"/>
  <c r="L65" i="35391" a="1"/>
  <c r="L65" i="35391" s="1"/>
  <c r="K10" i="34908" l="1" a="1"/>
  <c r="K10" i="34908" s="1"/>
  <c r="L66" i="35391"/>
  <c r="L23" i="35391"/>
  <c r="L16" i="35391"/>
  <c r="N83" i="34999"/>
  <c r="K83" i="34961"/>
  <c r="L67" i="35391"/>
  <c r="L12" i="35391"/>
  <c r="M83" i="34961"/>
  <c r="K84" i="34961" l="1"/>
  <c r="M84" i="34961"/>
  <c r="N84" i="34999"/>
  <c r="I32" i="34958" l="1"/>
  <c r="I33" i="34958" l="1"/>
  <c r="I34" i="34958" l="1"/>
  <c r="I35" i="34958" l="1"/>
  <c r="K10" i="35002" l="1" a="1"/>
  <c r="K18" i="35002" s="1"/>
  <c r="I36" i="34958"/>
  <c r="K33" i="35002" l="1"/>
  <c r="K20" i="35002"/>
  <c r="K32" i="35002"/>
  <c r="K15" i="35002"/>
  <c r="K30" i="35002"/>
  <c r="K23" i="35002"/>
  <c r="K26" i="35002"/>
  <c r="K29" i="35002"/>
  <c r="K27" i="35002"/>
  <c r="K36" i="35002"/>
  <c r="K11" i="35002"/>
  <c r="K28" i="35002"/>
  <c r="K12" i="35002"/>
  <c r="K19" i="35002"/>
  <c r="K22" i="35002"/>
  <c r="K10" i="35002"/>
  <c r="C10" i="35016" s="1" a="1"/>
  <c r="K31" i="35002"/>
  <c r="K25" i="35002"/>
  <c r="K35" i="35002"/>
  <c r="K21" i="35002"/>
  <c r="K34" i="35002"/>
  <c r="K16" i="35002"/>
  <c r="K17" i="35002"/>
  <c r="K24" i="35002"/>
  <c r="K14" i="35002"/>
  <c r="K13" i="35002"/>
  <c r="I37" i="34958"/>
  <c r="K38" i="35002"/>
  <c r="K37" i="35002"/>
  <c r="G10" i="35016" l="1"/>
  <c r="J10" i="35016"/>
  <c r="D10" i="35016"/>
  <c r="E10" i="35016"/>
  <c r="C10" i="35016"/>
  <c r="F10" i="35016"/>
  <c r="H10" i="35016"/>
  <c r="I10" i="35016"/>
  <c r="K10" i="35016"/>
  <c r="I38" i="34958"/>
  <c r="I39" i="34958" l="1"/>
  <c r="K39" i="35002"/>
  <c r="K40" i="35002" l="1"/>
  <c r="I40" i="34958"/>
  <c r="I41" i="34958" l="1"/>
  <c r="K41" i="35002"/>
  <c r="K42" i="35002" l="1"/>
  <c r="I42" i="34958"/>
  <c r="I43" i="34958" l="1"/>
  <c r="K43" i="35002"/>
  <c r="I44" i="34958" l="1"/>
  <c r="K44" i="35002"/>
  <c r="K45" i="35002" l="1"/>
  <c r="I45" i="34958"/>
  <c r="K46" i="35002" l="1"/>
  <c r="I46" i="34958"/>
  <c r="K47" i="35002"/>
  <c r="M11" i="35002" s="1"/>
  <c r="I47" i="34958" l="1"/>
  <c r="K48" i="35002" l="1"/>
  <c r="I48" i="34958"/>
  <c r="I49" i="34958" l="1"/>
  <c r="K49" i="35002"/>
  <c r="I50" i="34958" l="1"/>
  <c r="K50" i="35002"/>
  <c r="I51" i="34958" l="1"/>
  <c r="K51" i="35002"/>
  <c r="K52" i="35002"/>
  <c r="I52" i="34958" l="1"/>
  <c r="K53" i="35002" l="1"/>
  <c r="I53" i="34958"/>
  <c r="I54" i="34958" l="1"/>
  <c r="K54" i="35002"/>
  <c r="K56" i="35002" l="1"/>
  <c r="I55" i="34958"/>
  <c r="K55" i="35002"/>
  <c r="I56" i="34958" l="1"/>
  <c r="K57" i="35002"/>
  <c r="I57" i="34958" l="1"/>
  <c r="I58" i="34958" l="1"/>
  <c r="K58" i="35002"/>
  <c r="K59" i="35002" l="1"/>
  <c r="I59" i="34958"/>
  <c r="I60" i="34958" l="1"/>
  <c r="K60" i="35002"/>
  <c r="I61" i="34958" l="1"/>
  <c r="K62" i="35002"/>
  <c r="K61" i="35002"/>
  <c r="I62" i="34958" l="1"/>
  <c r="I63" i="34958" l="1"/>
  <c r="K63" i="35002"/>
  <c r="I64" i="34958" l="1"/>
  <c r="K64" i="35002"/>
  <c r="I65" i="34958" l="1"/>
  <c r="K65" i="35002"/>
  <c r="I66" i="34958" l="1"/>
  <c r="K66" i="35002"/>
  <c r="I67" i="34958" l="1"/>
  <c r="K67" i="35002"/>
  <c r="K68" i="35002" l="1"/>
  <c r="I68" i="34958"/>
  <c r="K69" i="35002" l="1"/>
  <c r="I69" i="34958"/>
  <c r="I70" i="34958" l="1"/>
  <c r="K70" i="35002"/>
  <c r="I71" i="34958" l="1"/>
  <c r="K71" i="35002"/>
  <c r="K73" i="35002" l="1"/>
  <c r="I72" i="34958"/>
  <c r="K72" i="35002"/>
  <c r="I73" i="34958" l="1"/>
  <c r="I74" i="34958" l="1"/>
  <c r="K74" i="35002"/>
  <c r="K75" i="35002" l="1"/>
  <c r="I75" i="34958"/>
  <c r="K76" i="35002" l="1"/>
  <c r="I76" i="34958"/>
  <c r="K77" i="35002" l="1"/>
  <c r="I77" i="34958"/>
  <c r="I78" i="34958" l="1"/>
  <c r="K78" i="35002"/>
  <c r="K80" i="35002" l="1"/>
  <c r="I79" i="34958"/>
  <c r="K79" i="35002"/>
  <c r="I80" i="34958" l="1"/>
  <c r="L34" i="35391" a="1"/>
  <c r="L34" i="35391" s="1"/>
  <c r="L37" i="35391" a="1"/>
  <c r="L37" i="35391" s="1"/>
  <c r="L28" i="35391" a="1"/>
  <c r="L28" i="35391" s="1"/>
  <c r="K81" i="35002" l="1"/>
  <c r="L78" i="35391" a="1"/>
  <c r="L78" i="35391" s="1"/>
  <c r="L76" i="35391" a="1"/>
  <c r="L76" i="35391" s="1"/>
  <c r="I81" i="34958"/>
  <c r="L30" i="35391" a="1"/>
  <c r="L30" i="35391" s="1"/>
  <c r="K22" i="34908" a="1"/>
  <c r="K22" i="34908" s="1"/>
  <c r="L29" i="35391" a="1"/>
  <c r="L29" i="35391" s="1"/>
  <c r="L27" i="35391" s="1"/>
  <c r="L26" i="35391" l="1"/>
  <c r="L36" i="35391" a="1"/>
  <c r="L36" i="35391" s="1"/>
  <c r="L35" i="35391" s="1"/>
  <c r="K21" i="34908" a="1"/>
  <c r="K21" i="34908" s="1"/>
  <c r="L32" i="35391" a="1"/>
  <c r="L32" i="35391" s="1"/>
  <c r="I82" i="34958"/>
  <c r="K18" i="34908" s="1" a="1"/>
  <c r="K18" i="34908" s="1"/>
  <c r="L72" i="35391" a="1"/>
  <c r="L72" i="35391" s="1"/>
  <c r="L74" i="35391" a="1"/>
  <c r="L74" i="35391" s="1"/>
  <c r="L73" i="35391" a="1"/>
  <c r="L73" i="35391" s="1"/>
  <c r="L75" i="35391" a="1"/>
  <c r="L75" i="35391" s="1"/>
  <c r="L33" i="35391" a="1"/>
  <c r="L33" i="35391" s="1"/>
  <c r="K23" i="34908" a="1"/>
  <c r="K23" i="34908" s="1"/>
  <c r="K82" i="35002"/>
  <c r="K19" i="34908" s="1" a="1"/>
  <c r="K19" i="34908" s="1"/>
  <c r="K20" i="34908" l="1"/>
  <c r="K24" i="34908"/>
  <c r="L77" i="35391"/>
  <c r="L38" i="35391"/>
  <c r="K83" i="35002"/>
  <c r="L31" i="35391"/>
  <c r="L25" i="35391" s="1"/>
  <c r="I83" i="34958"/>
  <c r="I84" i="34958" l="1"/>
  <c r="K84" i="35002"/>
  <c r="G10" i="34987" l="1" a="1"/>
  <c r="G17" i="34987" s="1"/>
  <c r="G33" i="34987" l="1"/>
  <c r="G29" i="34987"/>
  <c r="G25" i="34987"/>
  <c r="G24" i="34987"/>
  <c r="G19" i="34987"/>
  <c r="G11" i="34987"/>
  <c r="G31" i="34987"/>
  <c r="G36" i="34987"/>
  <c r="G30" i="34987"/>
  <c r="G13" i="34987"/>
  <c r="G35" i="34987"/>
  <c r="G28" i="34987"/>
  <c r="G12" i="34987"/>
  <c r="G10" i="34987"/>
  <c r="G16" i="34987"/>
  <c r="G21" i="34987"/>
  <c r="G18" i="34987"/>
  <c r="G27" i="34987"/>
  <c r="G32" i="34987"/>
  <c r="G22" i="34987"/>
  <c r="G34" i="34987"/>
  <c r="G26" i="34987"/>
  <c r="G20" i="34987"/>
  <c r="G14" i="34987"/>
  <c r="G15" i="34987"/>
  <c r="G23" i="34987"/>
  <c r="W10" i="34987" a="1"/>
  <c r="W10" i="34987" s="1"/>
  <c r="O10" i="34987" a="1"/>
  <c r="O30" i="34987" s="1"/>
  <c r="M10" i="35005" a="1"/>
  <c r="M36" i="35005" s="1"/>
  <c r="W36" i="34968" s="1"/>
  <c r="G37" i="34987"/>
  <c r="Z36" i="34968" l="1"/>
  <c r="AA36" i="34968"/>
  <c r="Y36" i="34968"/>
  <c r="AB36" i="34968"/>
  <c r="X36" i="34968"/>
  <c r="O35" i="34987"/>
  <c r="O19" i="34987"/>
  <c r="O14" i="34987"/>
  <c r="O16" i="34987"/>
  <c r="O31" i="34987"/>
  <c r="W25" i="34987"/>
  <c r="W12" i="34987"/>
  <c r="W13" i="34987"/>
  <c r="W11" i="34987"/>
  <c r="O36" i="34987"/>
  <c r="O34" i="34987"/>
  <c r="O12" i="34987"/>
  <c r="O11" i="34987"/>
  <c r="O20" i="34987"/>
  <c r="O10" i="34987"/>
  <c r="W26" i="34987"/>
  <c r="W30" i="34987"/>
  <c r="W28" i="34987"/>
  <c r="W17" i="34987"/>
  <c r="O33" i="34987"/>
  <c r="O13" i="34987"/>
  <c r="O26" i="34987"/>
  <c r="O21" i="34987"/>
  <c r="O23" i="34987"/>
  <c r="W24" i="34987"/>
  <c r="W16" i="34987"/>
  <c r="W31" i="34987"/>
  <c r="W20" i="34987"/>
  <c r="O17" i="34987"/>
  <c r="O22" i="34987"/>
  <c r="O18" i="34987"/>
  <c r="O27" i="34987"/>
  <c r="O25" i="34987"/>
  <c r="W29" i="34987"/>
  <c r="W15" i="34987"/>
  <c r="W23" i="34987"/>
  <c r="W27" i="34987"/>
  <c r="O32" i="34987"/>
  <c r="O15" i="34987"/>
  <c r="O29" i="34987"/>
  <c r="O24" i="34987"/>
  <c r="O28" i="34987"/>
  <c r="W22" i="34987"/>
  <c r="W21" i="34987"/>
  <c r="W18" i="34987"/>
  <c r="W14" i="34987"/>
  <c r="W19" i="34987"/>
  <c r="M30" i="35005"/>
  <c r="W30" i="34968" s="1"/>
  <c r="M14" i="35005"/>
  <c r="W14" i="34968" s="1"/>
  <c r="M17" i="35005"/>
  <c r="W17" i="34968" s="1"/>
  <c r="M11" i="35005"/>
  <c r="W11" i="34968" s="1"/>
  <c r="M29" i="35005"/>
  <c r="W29" i="34968" s="1"/>
  <c r="M24" i="35005"/>
  <c r="W24" i="34968" s="1"/>
  <c r="M18" i="35005"/>
  <c r="W18" i="34968" s="1"/>
  <c r="M26" i="35005"/>
  <c r="W26" i="34968" s="1"/>
  <c r="M13" i="35005"/>
  <c r="W13" i="34968" s="1"/>
  <c r="M28" i="35005"/>
  <c r="W28" i="34968" s="1"/>
  <c r="M22" i="35005"/>
  <c r="W22" i="34968" s="1"/>
  <c r="M10" i="35005"/>
  <c r="W10" i="34968" s="1"/>
  <c r="M23" i="35005"/>
  <c r="W23" i="34968" s="1"/>
  <c r="M16" i="35005"/>
  <c r="W16" i="34968" s="1"/>
  <c r="M27" i="35005"/>
  <c r="W27" i="34968" s="1"/>
  <c r="M21" i="35005"/>
  <c r="W21" i="34968" s="1"/>
  <c r="M12" i="35005"/>
  <c r="W12" i="34968" s="1"/>
  <c r="M19" i="35005"/>
  <c r="W19" i="34968" s="1"/>
  <c r="M15" i="35005"/>
  <c r="W15" i="34968" s="1"/>
  <c r="M31" i="35005"/>
  <c r="W31" i="34968" s="1"/>
  <c r="M25" i="35005"/>
  <c r="W25" i="34968" s="1"/>
  <c r="M20" i="35005"/>
  <c r="W20" i="34968" s="1"/>
  <c r="M32" i="35005"/>
  <c r="W32" i="34968" s="1"/>
  <c r="M33" i="35005"/>
  <c r="W33" i="34968" s="1"/>
  <c r="M34" i="35005"/>
  <c r="W34" i="34968" s="1"/>
  <c r="M35" i="35005"/>
  <c r="W35" i="34968" s="1"/>
  <c r="M37" i="35005"/>
  <c r="W37" i="34968" s="1"/>
  <c r="O37" i="34987"/>
  <c r="G38" i="34987"/>
  <c r="AB26" i="34968" l="1"/>
  <c r="Z26" i="34968"/>
  <c r="Y26" i="34968"/>
  <c r="X26" i="34968"/>
  <c r="AA26" i="34968"/>
  <c r="Z18" i="34968"/>
  <c r="Y18" i="34968"/>
  <c r="AB18" i="34968"/>
  <c r="X18" i="34968"/>
  <c r="AA18" i="34968"/>
  <c r="Y24" i="34968"/>
  <c r="AA24" i="34968"/>
  <c r="Z24" i="34968"/>
  <c r="AB24" i="34968"/>
  <c r="X24" i="34968"/>
  <c r="AB29" i="34968"/>
  <c r="X29" i="34968"/>
  <c r="AA29" i="34968"/>
  <c r="Y29" i="34968"/>
  <c r="Z29" i="34968"/>
  <c r="X11" i="34968"/>
  <c r="Z11" i="34968"/>
  <c r="Y11" i="34968"/>
  <c r="AB11" i="34968"/>
  <c r="AA11" i="34968"/>
  <c r="Y27" i="34968"/>
  <c r="X27" i="34968"/>
  <c r="AA27" i="34968"/>
  <c r="AB27" i="34968"/>
  <c r="Z27" i="34968"/>
  <c r="AB17" i="34968"/>
  <c r="X17" i="34968"/>
  <c r="AA17" i="34968"/>
  <c r="Y17" i="34968"/>
  <c r="Z17" i="34968"/>
  <c r="X21" i="34968"/>
  <c r="AB21" i="34968"/>
  <c r="AA21" i="34968"/>
  <c r="Z21" i="34968"/>
  <c r="Y21" i="34968"/>
  <c r="AB14" i="34968"/>
  <c r="Z14" i="34968"/>
  <c r="Y14" i="34968"/>
  <c r="X14" i="34968"/>
  <c r="AA14" i="34968"/>
  <c r="Y37" i="34968"/>
  <c r="X37" i="34968"/>
  <c r="AA37" i="34968"/>
  <c r="Z37" i="34968"/>
  <c r="AB37" i="34968"/>
  <c r="Y30" i="34968"/>
  <c r="Z30" i="34968"/>
  <c r="AB30" i="34968"/>
  <c r="X30" i="34968"/>
  <c r="AA30" i="34968"/>
  <c r="Z12" i="34968"/>
  <c r="Y12" i="34968"/>
  <c r="AB12" i="34968"/>
  <c r="AA12" i="34968"/>
  <c r="X12" i="34968"/>
  <c r="X23" i="34968"/>
  <c r="AA23" i="34968"/>
  <c r="AB23" i="34968"/>
  <c r="Y23" i="34968"/>
  <c r="Z23" i="34968"/>
  <c r="Z10" i="34968"/>
  <c r="AA10" i="34968"/>
  <c r="AB10" i="34968"/>
  <c r="X10" i="34968"/>
  <c r="Y10" i="34968"/>
  <c r="Y15" i="34968"/>
  <c r="X15" i="34968"/>
  <c r="AA15" i="34968"/>
  <c r="AB15" i="34968"/>
  <c r="Z15" i="34968"/>
  <c r="Z16" i="34968"/>
  <c r="Y16" i="34968"/>
  <c r="AA16" i="34968"/>
  <c r="AB16" i="34968"/>
  <c r="X16" i="34968"/>
  <c r="Z32" i="34968"/>
  <c r="AA32" i="34968"/>
  <c r="AB32" i="34968"/>
  <c r="X32" i="34968"/>
  <c r="Y32" i="34968"/>
  <c r="AA22" i="34968"/>
  <c r="AB22" i="34968"/>
  <c r="Z22" i="34968"/>
  <c r="Y22" i="34968"/>
  <c r="X22" i="34968"/>
  <c r="Y19" i="34968"/>
  <c r="X19" i="34968"/>
  <c r="AA19" i="34968"/>
  <c r="AB19" i="34968"/>
  <c r="Z19" i="34968"/>
  <c r="X35" i="34968"/>
  <c r="AB35" i="34968"/>
  <c r="Y35" i="34968"/>
  <c r="AA35" i="34968"/>
  <c r="Z35" i="34968"/>
  <c r="X33" i="34968"/>
  <c r="AA33" i="34968"/>
  <c r="AB33" i="34968"/>
  <c r="Y33" i="34968"/>
  <c r="Z33" i="34968"/>
  <c r="AB20" i="34968"/>
  <c r="Y20" i="34968"/>
  <c r="X20" i="34968"/>
  <c r="AA20" i="34968"/>
  <c r="Z20" i="34968"/>
  <c r="Z28" i="34968"/>
  <c r="Y28" i="34968"/>
  <c r="AB28" i="34968"/>
  <c r="X28" i="34968"/>
  <c r="AA28" i="34968"/>
  <c r="X31" i="34968"/>
  <c r="AA31" i="34968"/>
  <c r="AB31" i="34968"/>
  <c r="Z31" i="34968"/>
  <c r="Y31" i="34968"/>
  <c r="AB34" i="34968"/>
  <c r="AA34" i="34968"/>
  <c r="X34" i="34968"/>
  <c r="Z34" i="34968"/>
  <c r="Y34" i="34968"/>
  <c r="Y25" i="34968"/>
  <c r="X25" i="34968"/>
  <c r="AA25" i="34968"/>
  <c r="Z25" i="34968"/>
  <c r="AB25" i="34968"/>
  <c r="Y13" i="34968"/>
  <c r="AA13" i="34968"/>
  <c r="X13" i="34968"/>
  <c r="Z13" i="34968"/>
  <c r="AB13" i="34968"/>
  <c r="C10" i="35017" a="1"/>
  <c r="O38" i="34987"/>
  <c r="M38" i="35005"/>
  <c r="W38" i="34968" s="1"/>
  <c r="G39" i="34987"/>
  <c r="AB38" i="34968" l="1"/>
  <c r="Z38" i="34968"/>
  <c r="Y38" i="34968"/>
  <c r="X38" i="34968"/>
  <c r="AA38" i="34968"/>
  <c r="F10" i="35017"/>
  <c r="C10" i="35017"/>
  <c r="G10" i="35017"/>
  <c r="E10" i="35017"/>
  <c r="J10" i="35017"/>
  <c r="L10" i="35017"/>
  <c r="K10" i="35017"/>
  <c r="H10" i="35017"/>
  <c r="D10" i="35017"/>
  <c r="I10" i="35017"/>
  <c r="M10" i="35017"/>
  <c r="M39" i="35005"/>
  <c r="W39" i="34968" s="1"/>
  <c r="G40" i="34987"/>
  <c r="O39" i="34987"/>
  <c r="X39" i="34968" l="1"/>
  <c r="AA39" i="34968"/>
  <c r="AB39" i="34968"/>
  <c r="Z39" i="34968"/>
  <c r="Y39" i="34968"/>
  <c r="M40" i="35005"/>
  <c r="W40" i="34968" s="1"/>
  <c r="G41" i="34987"/>
  <c r="O40" i="34987"/>
  <c r="Z40" i="34968" l="1"/>
  <c r="Y40" i="34968"/>
  <c r="AB40" i="34968"/>
  <c r="AA40" i="34968"/>
  <c r="X40" i="34968"/>
  <c r="G42" i="34987"/>
  <c r="O41" i="34987"/>
  <c r="M41" i="35005"/>
  <c r="W41" i="34968" s="1"/>
  <c r="AB41" i="34968" l="1"/>
  <c r="X41" i="34968"/>
  <c r="AA41" i="34968"/>
  <c r="Y41" i="34968"/>
  <c r="Z41" i="34968"/>
  <c r="O42" i="34987"/>
  <c r="G43" i="34987"/>
  <c r="M42" i="35005"/>
  <c r="W42" i="34968" s="1"/>
  <c r="Y42" i="34968" l="1"/>
  <c r="Z42" i="34968"/>
  <c r="AB42" i="34968"/>
  <c r="X42" i="34968"/>
  <c r="AA42" i="34968"/>
  <c r="M43" i="35005"/>
  <c r="W43" i="34968" s="1"/>
  <c r="G44" i="34987"/>
  <c r="O43" i="34987"/>
  <c r="Y43" i="34968" l="1"/>
  <c r="X43" i="34968"/>
  <c r="AB43" i="34968"/>
  <c r="AA43" i="34968"/>
  <c r="Z43" i="34968"/>
  <c r="M44" i="35005"/>
  <c r="W44" i="34968" s="1"/>
  <c r="G45" i="34987"/>
  <c r="O44" i="34987"/>
  <c r="AB44" i="34968" l="1"/>
  <c r="X44" i="34968"/>
  <c r="AA44" i="34968"/>
  <c r="Z44" i="34968"/>
  <c r="Y44" i="34968"/>
  <c r="O45" i="34987"/>
  <c r="G46" i="34987"/>
  <c r="M45" i="35005"/>
  <c r="W45" i="34968" s="1"/>
  <c r="X45" i="34968" l="1"/>
  <c r="AA45" i="34968"/>
  <c r="Z45" i="34968"/>
  <c r="Y45" i="34968"/>
  <c r="AB45" i="34968"/>
  <c r="G47" i="34987"/>
  <c r="O46" i="34987"/>
  <c r="M46" i="35005"/>
  <c r="W46" i="34968" s="1"/>
  <c r="AB46" i="34968" l="1"/>
  <c r="X46" i="34968"/>
  <c r="Z46" i="34968"/>
  <c r="Y46" i="34968"/>
  <c r="AA46" i="34968"/>
  <c r="G48" i="34987"/>
  <c r="O47" i="34987"/>
  <c r="M47" i="35005"/>
  <c r="W47" i="34968" s="1"/>
  <c r="AB47" i="34968" l="1"/>
  <c r="X47" i="34968"/>
  <c r="Y47" i="34968"/>
  <c r="AA47" i="34968"/>
  <c r="Z47" i="34968"/>
  <c r="O11" i="35005" a="1"/>
  <c r="O11" i="35005" s="1"/>
  <c r="M48" i="35005"/>
  <c r="W48" i="34968" s="1"/>
  <c r="O48" i="34987"/>
  <c r="G49" i="34987"/>
  <c r="Z48" i="34968" l="1"/>
  <c r="Y48" i="34968"/>
  <c r="AB48" i="34968"/>
  <c r="X48" i="34968"/>
  <c r="AA48" i="34968"/>
  <c r="M49" i="35005"/>
  <c r="W49" i="34968" s="1"/>
  <c r="G50" i="34987"/>
  <c r="O49" i="34987"/>
  <c r="AA49" i="34968" l="1"/>
  <c r="Z49" i="34968"/>
  <c r="AB49" i="34968"/>
  <c r="Y49" i="34968"/>
  <c r="X49" i="34968"/>
  <c r="M50" i="35005"/>
  <c r="W50" i="34968" s="1"/>
  <c r="G51" i="34987"/>
  <c r="O50" i="34987"/>
  <c r="AB50" i="34968" l="1"/>
  <c r="Z50" i="34968"/>
  <c r="Y50" i="34968"/>
  <c r="X50" i="34968"/>
  <c r="AA50" i="34968"/>
  <c r="M51" i="35005"/>
  <c r="W51" i="34968" s="1"/>
  <c r="O51" i="34987"/>
  <c r="G52" i="34987"/>
  <c r="AA51" i="34968" l="1"/>
  <c r="AB51" i="34968"/>
  <c r="Z51" i="34968"/>
  <c r="X51" i="34968"/>
  <c r="Y51" i="34968"/>
  <c r="O52" i="34987"/>
  <c r="G53" i="34987"/>
  <c r="M52" i="35005"/>
  <c r="W52" i="34968" s="1"/>
  <c r="Z52" i="34968" l="1"/>
  <c r="Y52" i="34968"/>
  <c r="AB52" i="34968"/>
  <c r="AA52" i="34968"/>
  <c r="X52" i="34968"/>
  <c r="M53" i="35005"/>
  <c r="W53" i="34968" s="1"/>
  <c r="O53" i="34987"/>
  <c r="G54" i="34987"/>
  <c r="X53" i="34968" l="1"/>
  <c r="AA53" i="34968"/>
  <c r="Y53" i="34968"/>
  <c r="Z53" i="34968"/>
  <c r="AB53" i="34968"/>
  <c r="G55" i="34987"/>
  <c r="M54" i="35005"/>
  <c r="W54" i="34968" s="1"/>
  <c r="O54" i="34987"/>
  <c r="Z54" i="34968" l="1"/>
  <c r="AB54" i="34968"/>
  <c r="Y54" i="34968"/>
  <c r="X54" i="34968"/>
  <c r="AA54" i="34968"/>
  <c r="O55" i="34987"/>
  <c r="M55" i="35005"/>
  <c r="W55" i="34968" s="1"/>
  <c r="G56" i="34987"/>
  <c r="AA55" i="34968" l="1"/>
  <c r="Z55" i="34968"/>
  <c r="AB55" i="34968"/>
  <c r="Y55" i="34968"/>
  <c r="X55" i="34968"/>
  <c r="M56" i="35005"/>
  <c r="W56" i="34968" s="1"/>
  <c r="G57" i="34987"/>
  <c r="O56" i="34987"/>
  <c r="AB56" i="34968" l="1"/>
  <c r="Y56" i="34968"/>
  <c r="X56" i="34968"/>
  <c r="AA56" i="34968"/>
  <c r="Z56" i="34968"/>
  <c r="M57" i="35005"/>
  <c r="W57" i="34968" s="1"/>
  <c r="O57" i="34987"/>
  <c r="G58" i="34987"/>
  <c r="AB57" i="34968" l="1"/>
  <c r="AA57" i="34968"/>
  <c r="Y57" i="34968"/>
  <c r="Z57" i="34968"/>
  <c r="X57" i="34968"/>
  <c r="M58" i="35005"/>
  <c r="W58" i="34968" s="1"/>
  <c r="G59" i="34987"/>
  <c r="O58" i="34987"/>
  <c r="AA58" i="34968" l="1"/>
  <c r="Z58" i="34968"/>
  <c r="Y58" i="34968"/>
  <c r="X58" i="34968"/>
  <c r="AB58" i="34968"/>
  <c r="M59" i="35005"/>
  <c r="W59" i="34968" s="1"/>
  <c r="O59" i="34987"/>
  <c r="G60" i="34987"/>
  <c r="AB59" i="34968" l="1"/>
  <c r="Y59" i="34968"/>
  <c r="AA59" i="34968"/>
  <c r="Z59" i="34968"/>
  <c r="X59" i="34968"/>
  <c r="M60" i="35005"/>
  <c r="W60" i="34968" s="1"/>
  <c r="G61" i="34987"/>
  <c r="O60" i="34987"/>
  <c r="Z60" i="34968" l="1"/>
  <c r="Y60" i="34968"/>
  <c r="AB60" i="34968"/>
  <c r="X60" i="34968"/>
  <c r="AA60" i="34968"/>
  <c r="O61" i="34987"/>
  <c r="M61" i="35005"/>
  <c r="W61" i="34968" s="1"/>
  <c r="G62" i="34987"/>
  <c r="AA61" i="34968" l="1"/>
  <c r="Z61" i="34968"/>
  <c r="AB61" i="34968"/>
  <c r="X61" i="34968"/>
  <c r="Y61" i="34968"/>
  <c r="M62" i="35005"/>
  <c r="W62" i="34968" s="1"/>
  <c r="G63" i="34987"/>
  <c r="O62" i="34987"/>
  <c r="Z62" i="34968" l="1"/>
  <c r="Y62" i="34968"/>
  <c r="X62" i="34968"/>
  <c r="AA62" i="34968"/>
  <c r="AB62" i="34968"/>
  <c r="G64" i="34987"/>
  <c r="O63" i="34987"/>
  <c r="M63" i="35005"/>
  <c r="W63" i="34968" s="1"/>
  <c r="AA63" i="34968" l="1"/>
  <c r="AB63" i="34968"/>
  <c r="Z63" i="34968"/>
  <c r="X63" i="34968"/>
  <c r="Y63" i="34968"/>
  <c r="O64" i="34987"/>
  <c r="G65" i="34987"/>
  <c r="M64" i="35005"/>
  <c r="W64" i="34968" s="1"/>
  <c r="Z64" i="34968" l="1"/>
  <c r="Y64" i="34968"/>
  <c r="AB64" i="34968"/>
  <c r="X64" i="34968"/>
  <c r="AA64" i="34968"/>
  <c r="M65" i="35005"/>
  <c r="W65" i="34968" s="1"/>
  <c r="G66" i="34987"/>
  <c r="O65" i="34987"/>
  <c r="X65" i="34968" l="1"/>
  <c r="AA65" i="34968"/>
  <c r="Y65" i="34968"/>
  <c r="Z65" i="34968"/>
  <c r="AB65" i="34968"/>
  <c r="O66" i="34987"/>
  <c r="G67" i="34987"/>
  <c r="M66" i="35005"/>
  <c r="W66" i="34968" s="1"/>
  <c r="Z66" i="34968" l="1"/>
  <c r="AB66" i="34968"/>
  <c r="Y66" i="34968"/>
  <c r="X66" i="34968"/>
  <c r="AA66" i="34968"/>
  <c r="M67" i="35005"/>
  <c r="W67" i="34968" s="1"/>
  <c r="G68" i="34987"/>
  <c r="O67" i="34987"/>
  <c r="AB67" i="34968" l="1"/>
  <c r="Z67" i="34968"/>
  <c r="Y67" i="34968"/>
  <c r="X67" i="34968"/>
  <c r="AA67" i="34968"/>
  <c r="O68" i="34987"/>
  <c r="M68" i="35005"/>
  <c r="W68" i="34968" s="1"/>
  <c r="G69" i="34987"/>
  <c r="AB68" i="34968" l="1"/>
  <c r="X68" i="34968"/>
  <c r="AA68" i="34968"/>
  <c r="Z68" i="34968"/>
  <c r="Y68" i="34968"/>
  <c r="M69" i="35005"/>
  <c r="W69" i="34968" s="1"/>
  <c r="O69" i="34987"/>
  <c r="G70" i="34987"/>
  <c r="AA69" i="34968" l="1"/>
  <c r="Z69" i="34968"/>
  <c r="Y69" i="34968"/>
  <c r="X69" i="34968"/>
  <c r="AB69" i="34968"/>
  <c r="M70" i="35005"/>
  <c r="W70" i="34968" s="1"/>
  <c r="O70" i="34987"/>
  <c r="G71" i="34987"/>
  <c r="Z70" i="34968" l="1"/>
  <c r="X70" i="34968"/>
  <c r="Y70" i="34968"/>
  <c r="AB70" i="34968"/>
  <c r="AA70" i="34968"/>
  <c r="G72" i="34987"/>
  <c r="O71" i="34987"/>
  <c r="M71" i="35005"/>
  <c r="W71" i="34968" s="1"/>
  <c r="AB71" i="34968" l="1"/>
  <c r="Y71" i="34968"/>
  <c r="AA71" i="34968"/>
  <c r="Z71" i="34968"/>
  <c r="X71" i="34968"/>
  <c r="O72" i="34987"/>
  <c r="G73" i="34987"/>
  <c r="M72" i="35005"/>
  <c r="W72" i="34968" s="1"/>
  <c r="Z72" i="34968" l="1"/>
  <c r="Y72" i="34968"/>
  <c r="AB72" i="34968"/>
  <c r="X72" i="34968"/>
  <c r="AA72" i="34968"/>
  <c r="G74" i="34987"/>
  <c r="O73" i="34987"/>
  <c r="M73" i="35005"/>
  <c r="W73" i="34968" s="1"/>
  <c r="AA73" i="34968" l="1"/>
  <c r="Z73" i="34968"/>
  <c r="AB73" i="34968"/>
  <c r="X73" i="34968"/>
  <c r="Y73" i="34968"/>
  <c r="G75" i="34987"/>
  <c r="O74" i="34987"/>
  <c r="M74" i="35005"/>
  <c r="W74" i="34968" s="1"/>
  <c r="Y74" i="34968" l="1"/>
  <c r="X74" i="34968"/>
  <c r="AA74" i="34968"/>
  <c r="AB74" i="34968"/>
  <c r="Z74" i="34968"/>
  <c r="O75" i="34987"/>
  <c r="G76" i="34987"/>
  <c r="M75" i="35005"/>
  <c r="W75" i="34968" s="1"/>
  <c r="AA75" i="34968" l="1"/>
  <c r="AB75" i="34968"/>
  <c r="Z75" i="34968"/>
  <c r="X75" i="34968"/>
  <c r="Y75" i="34968"/>
  <c r="G77" i="34987"/>
  <c r="M76" i="35005"/>
  <c r="W76" i="34968" s="1"/>
  <c r="O76" i="34987"/>
  <c r="Z76" i="34968" l="1"/>
  <c r="Y76" i="34968"/>
  <c r="AB76" i="34968"/>
  <c r="X76" i="34968"/>
  <c r="AA76" i="34968"/>
  <c r="G78" i="34987"/>
  <c r="O77" i="34987"/>
  <c r="M77" i="35005"/>
  <c r="W77" i="34968" s="1"/>
  <c r="AA77" i="34968" l="1"/>
  <c r="Y77" i="34968"/>
  <c r="Z77" i="34968"/>
  <c r="AB77" i="34968"/>
  <c r="X77" i="34968"/>
  <c r="G79" i="34987"/>
  <c r="M78" i="35005"/>
  <c r="W78" i="34968" s="1"/>
  <c r="O78" i="34987"/>
  <c r="Z78" i="34968" l="1"/>
  <c r="AB78" i="34968"/>
  <c r="Y78" i="34968"/>
  <c r="X78" i="34968"/>
  <c r="AA78" i="34968"/>
  <c r="G80" i="34987"/>
  <c r="O79" i="34987"/>
  <c r="M79" i="35005"/>
  <c r="W79" i="34968" s="1"/>
  <c r="Z79" i="34968" l="1"/>
  <c r="AB79" i="34968"/>
  <c r="Y79" i="34968"/>
  <c r="X79" i="34968"/>
  <c r="AA79" i="34968"/>
  <c r="M80" i="35005"/>
  <c r="W80" i="34968" s="1"/>
  <c r="G81" i="34987"/>
  <c r="O80" i="34987"/>
  <c r="X80" i="34968" l="1"/>
  <c r="AA80" i="34968"/>
  <c r="Z80" i="34968"/>
  <c r="AB80" i="34968"/>
  <c r="Y80" i="34968"/>
  <c r="M81" i="35005"/>
  <c r="W81" i="34968" s="1"/>
  <c r="O81" i="34987"/>
  <c r="G82" i="34987"/>
  <c r="L44" i="35391" a="1"/>
  <c r="L44" i="35391" s="1"/>
  <c r="AA81" i="34968" l="1"/>
  <c r="Z81" i="34968"/>
  <c r="AB81" i="34968"/>
  <c r="Y81" i="34968"/>
  <c r="X81" i="34968"/>
  <c r="L50" i="35391" a="1"/>
  <c r="L50" i="35391" s="1"/>
  <c r="L46" i="35391" a="1"/>
  <c r="L46" i="35391" s="1"/>
  <c r="L51" i="35391" a="1"/>
  <c r="L51" i="35391" s="1"/>
  <c r="G83" i="34987"/>
  <c r="L47" i="35391" a="1"/>
  <c r="L47" i="35391" s="1"/>
  <c r="O82" i="34987"/>
  <c r="L45" i="35391" a="1"/>
  <c r="L45" i="35391" s="1"/>
  <c r="L48" i="35391" a="1"/>
  <c r="L48" i="35391" s="1"/>
  <c r="L49" i="35391" a="1"/>
  <c r="L49" i="35391" s="1"/>
  <c r="M82" i="35005"/>
  <c r="W82" i="34968" s="1"/>
  <c r="L53" i="35391" a="1"/>
  <c r="L53" i="35391" s="1"/>
  <c r="L52" i="35391" a="1"/>
  <c r="L52" i="35391" s="1"/>
  <c r="Z82" i="34968" l="1"/>
  <c r="Y82" i="34968"/>
  <c r="AB82" i="34968"/>
  <c r="X82" i="34968"/>
  <c r="AA82" i="34968"/>
  <c r="M83" i="35005"/>
  <c r="W83" i="34968" s="1"/>
  <c r="G84" i="34987"/>
  <c r="L43" i="35391" a="1"/>
  <c r="L43" i="35391" s="1"/>
  <c r="K31" i="34908" a="1"/>
  <c r="K31" i="34908" s="1"/>
  <c r="O83" i="34987"/>
  <c r="Y83" i="34968" l="1"/>
  <c r="AA83" i="34968"/>
  <c r="Z83" i="34968"/>
  <c r="X83" i="34968"/>
  <c r="AB83" i="34968"/>
  <c r="O84" i="34987"/>
  <c r="M84" i="35005"/>
  <c r="W84" i="34968" s="1"/>
  <c r="Y84" i="34968" l="1"/>
  <c r="AB84" i="34968"/>
  <c r="X84" i="34968"/>
  <c r="AA84" i="34968"/>
  <c r="Z84" i="34968"/>
  <c r="G32" i="34977"/>
  <c r="W32" i="34987" l="1"/>
  <c r="W33" i="34987"/>
  <c r="G33" i="34977"/>
  <c r="G34" i="34977" l="1"/>
  <c r="W34" i="34987"/>
  <c r="G35" i="34977" l="1"/>
  <c r="W35" i="34987"/>
  <c r="E10" i="35010" l="1" a="1"/>
  <c r="E24" i="35010" s="1"/>
  <c r="G36" i="34977"/>
  <c r="W36" i="34987"/>
  <c r="E21" i="35010" l="1"/>
  <c r="E14" i="35010"/>
  <c r="E27" i="35010"/>
  <c r="E20" i="35010"/>
  <c r="E22" i="35010"/>
  <c r="E11" i="35010"/>
  <c r="E35" i="35010"/>
  <c r="E15" i="35010"/>
  <c r="E18" i="35010"/>
  <c r="E23" i="35010"/>
  <c r="E36" i="35010"/>
  <c r="E34" i="35010"/>
  <c r="E10" i="35010"/>
  <c r="C10" i="35018" s="1" a="1"/>
  <c r="E12" i="35010"/>
  <c r="E25" i="35010"/>
  <c r="E33" i="35010"/>
  <c r="E29" i="35010"/>
  <c r="E26" i="35010"/>
  <c r="E19" i="35010"/>
  <c r="E16" i="35010"/>
  <c r="E17" i="35010"/>
  <c r="E32" i="35010"/>
  <c r="E28" i="35010"/>
  <c r="E30" i="35010"/>
  <c r="E13" i="35010"/>
  <c r="E31" i="35010"/>
  <c r="G37" i="34977"/>
  <c r="E37" i="35010"/>
  <c r="W37" i="34987"/>
  <c r="C10" i="35018" l="1"/>
  <c r="D10" i="35018"/>
  <c r="E10" i="35018"/>
  <c r="W38" i="34987"/>
  <c r="E38" i="35010"/>
  <c r="G38" i="34977"/>
  <c r="G39" i="34977" l="1"/>
  <c r="W39" i="34987"/>
  <c r="E39" i="35010"/>
  <c r="E40" i="35010" l="1"/>
  <c r="G40" i="34977"/>
  <c r="W40" i="34987"/>
  <c r="G41" i="34977" l="1"/>
  <c r="W41" i="34987"/>
  <c r="E41" i="35010"/>
  <c r="E42" i="35010" l="1"/>
  <c r="W42" i="34987"/>
  <c r="G42" i="34977"/>
  <c r="E43" i="35010" l="1"/>
  <c r="G43" i="34977"/>
  <c r="W43" i="34987"/>
  <c r="W44" i="34987" l="1"/>
  <c r="G44" i="34977"/>
  <c r="E44" i="35010"/>
  <c r="E45" i="35010" l="1"/>
  <c r="G45" i="34977"/>
  <c r="W45" i="34987"/>
  <c r="W46" i="34987" l="1"/>
  <c r="E46" i="35010"/>
  <c r="G46" i="34977"/>
  <c r="G47" i="34977" l="1"/>
  <c r="E47" i="35010"/>
  <c r="G11" i="35010" s="1"/>
  <c r="W47" i="34987"/>
  <c r="G48" i="34977" l="1"/>
  <c r="E48" i="35010"/>
  <c r="W48" i="34987"/>
  <c r="G49" i="34977" l="1"/>
  <c r="E49" i="35010"/>
  <c r="W49" i="34987"/>
  <c r="W50" i="34987" l="1"/>
  <c r="E50" i="35010"/>
  <c r="G50" i="34977"/>
  <c r="W51" i="34987" l="1"/>
  <c r="G51" i="34977"/>
  <c r="E51" i="35010"/>
  <c r="G52" i="34977" l="1"/>
  <c r="E52" i="35010"/>
  <c r="W52" i="34987"/>
  <c r="E53" i="35010" l="1"/>
  <c r="G53" i="34977"/>
  <c r="W53" i="34987"/>
  <c r="G54" i="34977" l="1"/>
  <c r="W54" i="34987"/>
  <c r="E54" i="35010"/>
  <c r="G55" i="34977" l="1"/>
  <c r="E55" i="35010"/>
  <c r="W55" i="34987"/>
  <c r="E56" i="35010" l="1"/>
  <c r="G56" i="34977"/>
  <c r="W56" i="34987"/>
  <c r="G57" i="34977" l="1"/>
  <c r="W57" i="34987"/>
  <c r="E57" i="35010"/>
  <c r="G58" i="34977" l="1"/>
  <c r="W58" i="34987"/>
  <c r="E58" i="35010"/>
  <c r="E59" i="35010" l="1"/>
  <c r="W59" i="34987"/>
  <c r="G59" i="34977"/>
  <c r="G60" i="34977" l="1"/>
  <c r="E60" i="35010"/>
  <c r="W60" i="34987"/>
  <c r="E61" i="35010" l="1"/>
  <c r="G61" i="34977"/>
  <c r="W61" i="34987"/>
  <c r="W62" i="34987" l="1"/>
  <c r="G62" i="34977"/>
  <c r="E62" i="35010"/>
  <c r="W63" i="34987" l="1"/>
  <c r="E63" i="35010"/>
  <c r="G63" i="34977"/>
  <c r="G64" i="34977" l="1"/>
  <c r="E64" i="35010"/>
  <c r="W64" i="34987"/>
  <c r="W65" i="34987" l="1"/>
  <c r="G65" i="34977"/>
  <c r="E65" i="35010"/>
  <c r="G66" i="34977" l="1"/>
  <c r="E66" i="35010"/>
  <c r="W66" i="34987"/>
  <c r="W67" i="34987" l="1"/>
  <c r="G67" i="34977"/>
  <c r="E67" i="35010"/>
  <c r="G68" i="34977" l="1"/>
  <c r="E68" i="35010"/>
  <c r="W68" i="34987"/>
  <c r="E69" i="35010" l="1"/>
  <c r="W69" i="34987"/>
  <c r="G69" i="34977"/>
  <c r="E70" i="35010" l="1"/>
  <c r="G70" i="34977"/>
  <c r="W70" i="34987"/>
  <c r="E71" i="35010" l="1"/>
  <c r="G71" i="34977"/>
  <c r="W71" i="34987"/>
  <c r="E72" i="35010" l="1"/>
  <c r="G72" i="34977"/>
  <c r="W72" i="34987"/>
  <c r="G73" i="34977" l="1"/>
  <c r="E73" i="35010"/>
  <c r="W73" i="34987"/>
  <c r="E74" i="35010" l="1"/>
  <c r="G74" i="34977"/>
  <c r="W74" i="34987"/>
  <c r="G75" i="34977" l="1"/>
  <c r="E75" i="35010"/>
  <c r="W75" i="34987"/>
  <c r="E76" i="35010" l="1"/>
  <c r="G76" i="34977"/>
  <c r="W76" i="34987"/>
  <c r="E77" i="35010" l="1"/>
  <c r="G77" i="34977"/>
  <c r="W77" i="34987"/>
  <c r="W78" i="34987" l="1"/>
  <c r="G78" i="34977"/>
  <c r="E78" i="35010"/>
  <c r="W79" i="34987" l="1"/>
  <c r="L41" i="35391" a="1"/>
  <c r="L41" i="35391" s="1"/>
  <c r="G79" i="34977"/>
  <c r="E79" i="35010"/>
  <c r="G80" i="34977" l="1"/>
  <c r="W80" i="34987"/>
  <c r="E80" i="35010"/>
  <c r="L84" i="35391" l="1" a="1"/>
  <c r="L84" i="35391" s="1"/>
  <c r="E81" i="35010"/>
  <c r="W81" i="34987"/>
  <c r="G81" i="34977"/>
  <c r="E82" i="35010" l="1"/>
  <c r="L40" i="35391" a="1"/>
  <c r="L40" i="35391" s="1"/>
  <c r="K27" i="34908" a="1"/>
  <c r="K27" i="34908" s="1"/>
  <c r="L82" i="35391" a="1"/>
  <c r="L82" i="35391" s="1"/>
  <c r="G82" i="34977"/>
  <c r="K26" i="34908" s="1" a="1"/>
  <c r="K26" i="34908" s="1"/>
  <c r="L80" i="35391" a="1"/>
  <c r="L80" i="35391" s="1"/>
  <c r="W82" i="34987"/>
  <c r="L81" i="35391" a="1"/>
  <c r="L81" i="35391" s="1"/>
  <c r="L83" i="35391" l="1"/>
  <c r="G83" i="34977"/>
  <c r="W83" i="34987"/>
  <c r="W84" i="34987"/>
  <c r="K28" i="34908"/>
  <c r="E83" i="35010"/>
  <c r="G84" i="34977" l="1"/>
  <c r="E84" i="35010"/>
  <c r="D10" i="34993" l="1" a="1"/>
  <c r="D15" i="34993" s="1"/>
  <c r="E10" i="34993" a="1"/>
  <c r="E15" i="34993" s="1"/>
  <c r="F10" i="34993" a="1"/>
  <c r="F13" i="34993" s="1"/>
  <c r="K10" i="34993" a="1"/>
  <c r="K15" i="34993" s="1"/>
  <c r="G10" i="34993" a="1"/>
  <c r="G16" i="34993" s="1"/>
  <c r="D16" i="34993" l="1"/>
  <c r="D29" i="34993"/>
  <c r="D26" i="34993"/>
  <c r="D21" i="34993"/>
  <c r="D18" i="34993"/>
  <c r="F21" i="34993"/>
  <c r="D27" i="34993"/>
  <c r="D12" i="34993"/>
  <c r="D10" i="34993"/>
  <c r="D22" i="34993"/>
  <c r="D14" i="34993"/>
  <c r="D31" i="34993"/>
  <c r="D23" i="34993"/>
  <c r="D17" i="34993"/>
  <c r="F25" i="34993"/>
  <c r="F17" i="34993"/>
  <c r="F29" i="34993"/>
  <c r="F11" i="34993"/>
  <c r="F24" i="34993"/>
  <c r="F14" i="34993"/>
  <c r="K17" i="34993"/>
  <c r="F10" i="34993"/>
  <c r="F28" i="34993"/>
  <c r="F20" i="34993"/>
  <c r="F15" i="34993"/>
  <c r="K10" i="34993"/>
  <c r="K28" i="34993"/>
  <c r="G17" i="34993"/>
  <c r="K20" i="34993"/>
  <c r="K19" i="34993"/>
  <c r="D30" i="34993"/>
  <c r="D25" i="34993"/>
  <c r="D19" i="34993"/>
  <c r="D13" i="34993"/>
  <c r="G26" i="34993"/>
  <c r="K12" i="34993"/>
  <c r="G10" i="34993"/>
  <c r="K27" i="34993"/>
  <c r="G25" i="34993"/>
  <c r="K24" i="34993"/>
  <c r="K16" i="34993"/>
  <c r="G18" i="34993"/>
  <c r="E20" i="34993"/>
  <c r="E12" i="34993"/>
  <c r="E28" i="34993"/>
  <c r="E16" i="34993"/>
  <c r="E24" i="34993"/>
  <c r="E31" i="34993"/>
  <c r="E27" i="34993"/>
  <c r="E23" i="34993"/>
  <c r="E19" i="34993"/>
  <c r="E13" i="34993"/>
  <c r="E17" i="34993"/>
  <c r="G30" i="34993"/>
  <c r="G22" i="34993"/>
  <c r="G13" i="34993"/>
  <c r="E30" i="34993"/>
  <c r="E26" i="34993"/>
  <c r="E22" i="34993"/>
  <c r="E18" i="34993"/>
  <c r="E14" i="34993"/>
  <c r="E10" i="34993"/>
  <c r="K31" i="34993"/>
  <c r="K23" i="34993"/>
  <c r="K13" i="34993"/>
  <c r="G29" i="34993"/>
  <c r="G21" i="34993"/>
  <c r="G14" i="34993"/>
  <c r="D28" i="34993"/>
  <c r="D24" i="34993"/>
  <c r="D20" i="34993"/>
  <c r="D11" i="34993"/>
  <c r="E29" i="34993"/>
  <c r="E25" i="34993"/>
  <c r="E21" i="34993"/>
  <c r="E11" i="34993"/>
  <c r="K30" i="34993"/>
  <c r="K26" i="34993"/>
  <c r="K22" i="34993"/>
  <c r="K18" i="34993"/>
  <c r="K14" i="34993"/>
  <c r="G28" i="34993"/>
  <c r="G24" i="34993"/>
  <c r="G20" i="34993"/>
  <c r="G11" i="34993"/>
  <c r="G15" i="34993"/>
  <c r="F31" i="34993"/>
  <c r="F27" i="34993"/>
  <c r="F23" i="34993"/>
  <c r="F19" i="34993"/>
  <c r="F12" i="34993"/>
  <c r="F16" i="34993"/>
  <c r="K29" i="34993"/>
  <c r="K25" i="34993"/>
  <c r="K21" i="34993"/>
  <c r="K11" i="34993"/>
  <c r="G31" i="34993"/>
  <c r="G27" i="34993"/>
  <c r="G23" i="34993"/>
  <c r="G19" i="34993"/>
  <c r="G12" i="34993"/>
  <c r="F30" i="34993"/>
  <c r="F26" i="34993"/>
  <c r="F22" i="34993"/>
  <c r="F18" i="34993"/>
  <c r="L10" i="34993" l="1" a="1"/>
  <c r="L14" i="34993" s="1"/>
  <c r="S10" i="34993" a="1"/>
  <c r="S15" i="34993" s="1"/>
  <c r="R10" i="34993" a="1"/>
  <c r="R16" i="34993" s="1"/>
  <c r="O10" i="34993" a="1"/>
  <c r="O17" i="34993" s="1"/>
  <c r="M10" i="34993" a="1"/>
  <c r="M15" i="34993" s="1"/>
  <c r="Q10" i="34993" a="1"/>
  <c r="Q16" i="34993" s="1"/>
  <c r="N10" i="34993" a="1"/>
  <c r="N14" i="34993" s="1"/>
  <c r="P10" i="34993" a="1"/>
  <c r="P26" i="34993" s="1"/>
  <c r="S14" i="34993" l="1"/>
  <c r="S17" i="34993"/>
  <c r="S13" i="34993"/>
  <c r="R15" i="34993"/>
  <c r="S30" i="34993"/>
  <c r="S26" i="34993"/>
  <c r="S22" i="34993"/>
  <c r="S20" i="34993"/>
  <c r="S28" i="34993"/>
  <c r="S18" i="34993"/>
  <c r="L16" i="34993"/>
  <c r="L27" i="34993"/>
  <c r="L22" i="34993"/>
  <c r="L11" i="34993"/>
  <c r="L31" i="34993"/>
  <c r="L26" i="34993"/>
  <c r="L20" i="34993"/>
  <c r="L12" i="34993"/>
  <c r="L10" i="34993"/>
  <c r="L30" i="34993"/>
  <c r="L24" i="34993"/>
  <c r="L19" i="34993"/>
  <c r="L13" i="34993"/>
  <c r="L28" i="34993"/>
  <c r="L23" i="34993"/>
  <c r="L18" i="34993"/>
  <c r="L15" i="34993"/>
  <c r="S10" i="34993"/>
  <c r="S24" i="34993"/>
  <c r="S12" i="34993"/>
  <c r="Q25" i="34993"/>
  <c r="Q18" i="34993"/>
  <c r="Q30" i="34993"/>
  <c r="Q24" i="34993"/>
  <c r="Q11" i="34993"/>
  <c r="Q29" i="34993"/>
  <c r="Q21" i="34993"/>
  <c r="Q13" i="34993"/>
  <c r="Q26" i="34993"/>
  <c r="Q20" i="34993"/>
  <c r="Q14" i="34993"/>
  <c r="N28" i="34993"/>
  <c r="N24" i="34993"/>
  <c r="N20" i="34993"/>
  <c r="N15" i="34993"/>
  <c r="Q28" i="34993"/>
  <c r="Q22" i="34993"/>
  <c r="Q17" i="34993"/>
  <c r="Q15" i="34993"/>
  <c r="O18" i="34993"/>
  <c r="R22" i="34993"/>
  <c r="N30" i="34993"/>
  <c r="N26" i="34993"/>
  <c r="N22" i="34993"/>
  <c r="N18" i="34993"/>
  <c r="M10" i="34993"/>
  <c r="N11" i="34993"/>
  <c r="O29" i="34993"/>
  <c r="M19" i="34993"/>
  <c r="R21" i="34993"/>
  <c r="M30" i="34993"/>
  <c r="O24" i="34993"/>
  <c r="O15" i="34993"/>
  <c r="R28" i="34993"/>
  <c r="R17" i="34993"/>
  <c r="M13" i="34993"/>
  <c r="O25" i="34993"/>
  <c r="O14" i="34993"/>
  <c r="M25" i="34993"/>
  <c r="O30" i="34993"/>
  <c r="O20" i="34993"/>
  <c r="R26" i="34993"/>
  <c r="R11" i="34993"/>
  <c r="M29" i="34993"/>
  <c r="M23" i="34993"/>
  <c r="M18" i="34993"/>
  <c r="M14" i="34993"/>
  <c r="R10" i="34993"/>
  <c r="M27" i="34993"/>
  <c r="M22" i="34993"/>
  <c r="M17" i="34993"/>
  <c r="M16" i="34993"/>
  <c r="O28" i="34993"/>
  <c r="O22" i="34993"/>
  <c r="O11" i="34993"/>
  <c r="O16" i="34993"/>
  <c r="R30" i="34993"/>
  <c r="R25" i="34993"/>
  <c r="R20" i="34993"/>
  <c r="R13" i="34993"/>
  <c r="S16" i="34993"/>
  <c r="M31" i="34993"/>
  <c r="M26" i="34993"/>
  <c r="M21" i="34993"/>
  <c r="M12" i="34993"/>
  <c r="O26" i="34993"/>
  <c r="O21" i="34993"/>
  <c r="O12" i="34993"/>
  <c r="R29" i="34993"/>
  <c r="R24" i="34993"/>
  <c r="R18" i="34993"/>
  <c r="R14" i="34993"/>
  <c r="Q10" i="34993"/>
  <c r="O10" i="34993"/>
  <c r="P25" i="34993"/>
  <c r="P16" i="34993"/>
  <c r="P12" i="34993"/>
  <c r="P28" i="34993"/>
  <c r="P18" i="34993"/>
  <c r="S31" i="34993"/>
  <c r="S29" i="34993"/>
  <c r="S27" i="34993"/>
  <c r="S25" i="34993"/>
  <c r="S23" i="34993"/>
  <c r="S21" i="34993"/>
  <c r="S19" i="34993"/>
  <c r="S11" i="34993"/>
  <c r="N12" i="34993"/>
  <c r="N16" i="34993"/>
  <c r="Q31" i="34993"/>
  <c r="Q27" i="34993"/>
  <c r="Q23" i="34993"/>
  <c r="Q19" i="34993"/>
  <c r="Q12" i="34993"/>
  <c r="M28" i="34993"/>
  <c r="M24" i="34993"/>
  <c r="M20" i="34993"/>
  <c r="M11" i="34993"/>
  <c r="L29" i="34993"/>
  <c r="L25" i="34993"/>
  <c r="L21" i="34993"/>
  <c r="L17" i="34993"/>
  <c r="O31" i="34993"/>
  <c r="O27" i="34993"/>
  <c r="O23" i="34993"/>
  <c r="O19" i="34993"/>
  <c r="O13" i="34993"/>
  <c r="R31" i="34993"/>
  <c r="R27" i="34993"/>
  <c r="R23" i="34993"/>
  <c r="R19" i="34993"/>
  <c r="R12" i="34993"/>
  <c r="P17" i="34993"/>
  <c r="N10" i="34993"/>
  <c r="P20" i="34993"/>
  <c r="P27" i="34993"/>
  <c r="P24" i="34993"/>
  <c r="P19" i="34993"/>
  <c r="P14" i="34993"/>
  <c r="N31" i="34993"/>
  <c r="N29" i="34993"/>
  <c r="N27" i="34993"/>
  <c r="N25" i="34993"/>
  <c r="N23" i="34993"/>
  <c r="N21" i="34993"/>
  <c r="N19" i="34993"/>
  <c r="N13" i="34993"/>
  <c r="N17" i="34993"/>
  <c r="P22" i="34993"/>
  <c r="P10" i="34993"/>
  <c r="P29" i="34993"/>
  <c r="P30" i="34993"/>
  <c r="P31" i="34993"/>
  <c r="P11" i="34993"/>
  <c r="G37" i="35016" s="1" a="1"/>
  <c r="G37" i="35016" s="1"/>
  <c r="P21" i="34993"/>
  <c r="P23" i="34993"/>
  <c r="P13" i="34993"/>
  <c r="P15" i="34993"/>
  <c r="G54" i="35016" l="1" a="1"/>
  <c r="G54" i="35016" s="1"/>
  <c r="G16" i="35016" a="1"/>
  <c r="G16" i="35016" s="1"/>
  <c r="G77" i="35016" a="1"/>
  <c r="G77" i="35016" s="1"/>
  <c r="G52" i="35016" a="1"/>
  <c r="G52" i="35016" s="1"/>
  <c r="G57" i="35016" a="1"/>
  <c r="G57" i="35016" s="1"/>
  <c r="G45" i="35016" a="1"/>
  <c r="G45" i="35016" s="1"/>
  <c r="G20" i="35016" a="1"/>
  <c r="G20" i="35016" s="1"/>
  <c r="G46" i="35016" a="1"/>
  <c r="G46" i="35016" s="1"/>
  <c r="G34" i="35016" a="1"/>
  <c r="G34" i="35016" s="1"/>
  <c r="G31" i="35016" a="1"/>
  <c r="G31" i="35016" s="1"/>
  <c r="G58" i="35016" a="1"/>
  <c r="G58" i="35016" s="1"/>
  <c r="G11" i="35016" a="1"/>
  <c r="G11" i="35016" s="1"/>
  <c r="G70" i="35016" a="1"/>
  <c r="G70" i="35016" s="1"/>
  <c r="G75" i="35016" a="1"/>
  <c r="G75" i="35016" s="1"/>
  <c r="G83" i="35016" a="1"/>
  <c r="G83" i="35016" s="1"/>
  <c r="G60" i="35016" a="1"/>
  <c r="G60" i="35016" s="1"/>
  <c r="G19" i="35016" a="1"/>
  <c r="G19" i="35016" s="1"/>
  <c r="G47" i="35016" a="1"/>
  <c r="G47" i="35016" s="1"/>
  <c r="G49" i="35016" a="1"/>
  <c r="G49" i="35016" s="1"/>
  <c r="G78" i="35016" a="1"/>
  <c r="G78" i="35016" s="1"/>
  <c r="G35" i="35016" a="1"/>
  <c r="G35" i="35016" s="1"/>
  <c r="G66" i="35016" a="1"/>
  <c r="G66" i="35016" s="1"/>
  <c r="G76" i="35016" a="1"/>
  <c r="G76" i="35016" s="1"/>
  <c r="G44" i="35016" a="1"/>
  <c r="G44" i="35016" s="1"/>
  <c r="G27" i="35016" a="1"/>
  <c r="G27" i="35016" s="1"/>
  <c r="G28" i="35016" a="1"/>
  <c r="G28" i="35016" s="1"/>
  <c r="G74" i="35016" a="1"/>
  <c r="G74" i="35016" s="1"/>
  <c r="G14" i="35016" a="1"/>
  <c r="G14" i="35016" s="1"/>
  <c r="G67" i="35016" a="1"/>
  <c r="G67" i="35016" s="1"/>
  <c r="G13" i="35016" a="1"/>
  <c r="G13" i="35016" s="1"/>
  <c r="G55" i="35016" a="1"/>
  <c r="G55" i="35016" s="1"/>
  <c r="G68" i="35016" a="1"/>
  <c r="G68" i="35016" s="1"/>
  <c r="G36" i="35016" a="1"/>
  <c r="G36" i="35016" s="1"/>
  <c r="G23" i="35016" a="1"/>
  <c r="G23" i="35016" s="1"/>
  <c r="G24" i="35016" a="1"/>
  <c r="G24" i="35016" s="1"/>
  <c r="G42" i="35016" a="1"/>
  <c r="G42" i="35016" s="1"/>
  <c r="G81" i="35016" a="1"/>
  <c r="G81" i="35016" s="1"/>
  <c r="G38" i="35016" a="1"/>
  <c r="G38" i="35016" s="1"/>
  <c r="G65" i="35016" a="1"/>
  <c r="G65" i="35016" s="1"/>
  <c r="G73" i="35016" a="1"/>
  <c r="G73" i="35016" s="1"/>
  <c r="G51" i="35016" a="1"/>
  <c r="G51" i="35016" s="1"/>
  <c r="G32" i="35016" a="1"/>
  <c r="G32" i="35016" s="1"/>
  <c r="G82" i="35016" a="1"/>
  <c r="G82" i="35016" s="1"/>
  <c r="G61" i="35016" a="1"/>
  <c r="G61" i="35016" s="1"/>
  <c r="G39" i="35016" a="1"/>
  <c r="G39" i="35016" s="1"/>
  <c r="G72" i="35016" a="1"/>
  <c r="G72" i="35016" s="1"/>
  <c r="G56" i="35016" a="1"/>
  <c r="G56" i="35016" s="1"/>
  <c r="G40" i="35016" a="1"/>
  <c r="G40" i="35016" s="1"/>
  <c r="G15" i="35016" a="1"/>
  <c r="G15" i="35016" s="1"/>
  <c r="G25" i="35016" a="1"/>
  <c r="G25" i="35016" s="1"/>
  <c r="G17" i="35016" a="1"/>
  <c r="G17" i="35016" s="1"/>
  <c r="G26" i="35016" a="1"/>
  <c r="G26" i="35016" s="1"/>
  <c r="G18" i="35016" a="1"/>
  <c r="G18" i="35016" s="1"/>
  <c r="G53" i="35016" a="1"/>
  <c r="G53" i="35016" s="1"/>
  <c r="G63" i="35016" a="1"/>
  <c r="G63" i="35016" s="1"/>
  <c r="G59" i="35016" a="1"/>
  <c r="G59" i="35016" s="1"/>
  <c r="G84" i="35016" a="1"/>
  <c r="G84" i="35016" s="1"/>
  <c r="G43" i="35016" a="1"/>
  <c r="G43" i="35016" s="1"/>
  <c r="G62" i="35016" a="1"/>
  <c r="G62" i="35016" s="1"/>
  <c r="G41" i="35016" a="1"/>
  <c r="G41" i="35016" s="1"/>
  <c r="G12" i="35016" a="1"/>
  <c r="G12" i="35016" s="1"/>
  <c r="G71" i="35016" a="1"/>
  <c r="G71" i="35016" s="1"/>
  <c r="G50" i="35016" a="1"/>
  <c r="G50" i="35016" s="1"/>
  <c r="G80" i="35016" a="1"/>
  <c r="G80" i="35016" s="1"/>
  <c r="G64" i="35016" a="1"/>
  <c r="G64" i="35016" s="1"/>
  <c r="G48" i="35016" a="1"/>
  <c r="G48" i="35016" s="1"/>
  <c r="G33" i="35016" a="1"/>
  <c r="G33" i="35016" s="1"/>
  <c r="G29" i="35016" a="1"/>
  <c r="G29" i="35016" s="1"/>
  <c r="G21" i="35016" a="1"/>
  <c r="G21" i="35016" s="1"/>
  <c r="G30" i="35016" a="1"/>
  <c r="G30" i="35016" s="1"/>
  <c r="G22" i="35016" a="1"/>
  <c r="G22" i="35016" s="1"/>
  <c r="G79" i="35016" a="1"/>
  <c r="G79" i="35016" s="1"/>
  <c r="G69" i="35016" a="1"/>
  <c r="G69" i="35016" s="1"/>
  <c r="M33" i="35391" l="1" a="1"/>
  <c r="M33" i="35391" s="1"/>
  <c r="N33" i="35391" s="1"/>
  <c r="O33" i="35391" s="1"/>
  <c r="L23" i="34908" a="1"/>
  <c r="L23" i="34908" s="1"/>
  <c r="M23" i="34908" s="1"/>
  <c r="N23" i="34908" s="1"/>
  <c r="T10" i="34993" a="1"/>
  <c r="T15" i="34993" s="1"/>
  <c r="V10" i="34993" a="1"/>
  <c r="V16" i="34993" s="1"/>
  <c r="Y10" i="34993" a="1"/>
  <c r="Y16" i="34993" s="1"/>
  <c r="U10" i="34993" a="1"/>
  <c r="U14" i="34993" s="1"/>
  <c r="AB10" i="34993" a="1"/>
  <c r="AB13" i="34993" s="1"/>
  <c r="Z10" i="34993" a="1"/>
  <c r="Z16" i="34993" s="1"/>
  <c r="W10" i="34993" a="1"/>
  <c r="W15" i="34993" s="1"/>
  <c r="AA10" i="34993" a="1"/>
  <c r="AA16" i="34993" s="1"/>
  <c r="AC10" i="34993" a="1"/>
  <c r="AC15" i="34993" s="1"/>
  <c r="X10" i="34993" a="1"/>
  <c r="X15" i="34993" s="1"/>
  <c r="U26" i="34993" l="1"/>
  <c r="AA26" i="34993"/>
  <c r="AA21" i="34993"/>
  <c r="U18" i="34993"/>
  <c r="AB16" i="34993"/>
  <c r="T13" i="34993"/>
  <c r="AA11" i="34993"/>
  <c r="T17" i="34993"/>
  <c r="T29" i="34993"/>
  <c r="T25" i="34993"/>
  <c r="T23" i="34993"/>
  <c r="T18" i="34993"/>
  <c r="T10" i="34993"/>
  <c r="T30" i="34993"/>
  <c r="T22" i="34993"/>
  <c r="T16" i="34993"/>
  <c r="AB27" i="34993"/>
  <c r="AB24" i="34993"/>
  <c r="T27" i="34993"/>
  <c r="T19" i="34993"/>
  <c r="T14" i="34993"/>
  <c r="V21" i="34993"/>
  <c r="AB19" i="34993"/>
  <c r="AB11" i="34993"/>
  <c r="Z25" i="34993"/>
  <c r="AB10" i="34993"/>
  <c r="T31" i="34993"/>
  <c r="T26" i="34993"/>
  <c r="T21" i="34993"/>
  <c r="T12" i="34993"/>
  <c r="AB31" i="34993"/>
  <c r="AB23" i="34993"/>
  <c r="AB12" i="34993"/>
  <c r="Z24" i="34993"/>
  <c r="Z14" i="34993"/>
  <c r="AB28" i="34993"/>
  <c r="AB20" i="34993"/>
  <c r="AB15" i="34993"/>
  <c r="Z13" i="34993"/>
  <c r="W27" i="34993"/>
  <c r="W19" i="34993"/>
  <c r="W16" i="34993"/>
  <c r="W31" i="34993"/>
  <c r="W23" i="34993"/>
  <c r="W12" i="34993"/>
  <c r="W10" i="34993"/>
  <c r="W30" i="34993"/>
  <c r="W22" i="34993"/>
  <c r="W13" i="34993"/>
  <c r="V11" i="34993"/>
  <c r="Z30" i="34993"/>
  <c r="Z20" i="34993"/>
  <c r="W26" i="34993"/>
  <c r="W18" i="34993"/>
  <c r="V26" i="34993"/>
  <c r="Z29" i="34993"/>
  <c r="Z18" i="34993"/>
  <c r="Y26" i="34993"/>
  <c r="Y21" i="34993"/>
  <c r="Y11" i="34993"/>
  <c r="U10" i="34993"/>
  <c r="Y10" i="34993"/>
  <c r="AA29" i="34993"/>
  <c r="AA24" i="34993"/>
  <c r="AA18" i="34993"/>
  <c r="AA14" i="34993"/>
  <c r="U30" i="34993"/>
  <c r="U22" i="34993"/>
  <c r="U13" i="34993"/>
  <c r="W29" i="34993"/>
  <c r="W25" i="34993"/>
  <c r="W21" i="34993"/>
  <c r="W17" i="34993"/>
  <c r="W14" i="34993"/>
  <c r="V29" i="34993"/>
  <c r="V24" i="34993"/>
  <c r="V18" i="34993"/>
  <c r="V14" i="34993"/>
  <c r="Z28" i="34993"/>
  <c r="Z22" i="34993"/>
  <c r="Z17" i="34993"/>
  <c r="Z15" i="34993"/>
  <c r="AA10" i="34993"/>
  <c r="AA30" i="34993"/>
  <c r="AA25" i="34993"/>
  <c r="AA20" i="34993"/>
  <c r="AA13" i="34993"/>
  <c r="U31" i="34993"/>
  <c r="U23" i="34993"/>
  <c r="U12" i="34993"/>
  <c r="V30" i="34993"/>
  <c r="V25" i="34993"/>
  <c r="V20" i="34993"/>
  <c r="V13" i="34993"/>
  <c r="Y30" i="34993"/>
  <c r="Y25" i="34993"/>
  <c r="Y20" i="34993"/>
  <c r="Y13" i="34993"/>
  <c r="Y29" i="34993"/>
  <c r="Y24" i="34993"/>
  <c r="Y18" i="34993"/>
  <c r="Y14" i="34993"/>
  <c r="V10" i="34993"/>
  <c r="Z10" i="34993"/>
  <c r="AA28" i="34993"/>
  <c r="AA22" i="34993"/>
  <c r="AA17" i="34993"/>
  <c r="AA15" i="34993"/>
  <c r="T28" i="34993"/>
  <c r="T24" i="34993"/>
  <c r="T20" i="34993"/>
  <c r="T11" i="34993"/>
  <c r="U27" i="34993"/>
  <c r="U19" i="34993"/>
  <c r="U16" i="34993"/>
  <c r="W28" i="34993"/>
  <c r="W24" i="34993"/>
  <c r="W20" i="34993"/>
  <c r="W11" i="34993"/>
  <c r="V28" i="34993"/>
  <c r="V22" i="34993"/>
  <c r="V17" i="34993"/>
  <c r="V15" i="34993"/>
  <c r="Z26" i="34993"/>
  <c r="Z21" i="34993"/>
  <c r="Z11" i="34993"/>
  <c r="Y28" i="34993"/>
  <c r="Y22" i="34993"/>
  <c r="Y17" i="34993"/>
  <c r="Y15" i="34993"/>
  <c r="AC30" i="34993"/>
  <c r="AC26" i="34993"/>
  <c r="AC13" i="34993"/>
  <c r="AC10" i="34993"/>
  <c r="X29" i="34993"/>
  <c r="X21" i="34993"/>
  <c r="X14" i="34993"/>
  <c r="AC14" i="34993"/>
  <c r="U28" i="34993"/>
  <c r="U24" i="34993"/>
  <c r="U20" i="34993"/>
  <c r="U11" i="34993"/>
  <c r="U15" i="34993"/>
  <c r="X31" i="34993"/>
  <c r="X27" i="34993"/>
  <c r="X23" i="34993"/>
  <c r="X19" i="34993"/>
  <c r="X12" i="34993"/>
  <c r="X16" i="34993"/>
  <c r="AB29" i="34993"/>
  <c r="AB25" i="34993"/>
  <c r="AB21" i="34993"/>
  <c r="AB17" i="34993"/>
  <c r="AB14" i="34993"/>
  <c r="AC31" i="34993"/>
  <c r="AC27" i="34993"/>
  <c r="AC23" i="34993"/>
  <c r="AC19" i="34993"/>
  <c r="AC12" i="34993"/>
  <c r="AC16" i="34993"/>
  <c r="X10" i="34993"/>
  <c r="X30" i="34993"/>
  <c r="X22" i="34993"/>
  <c r="X18" i="34993"/>
  <c r="X13" i="34993"/>
  <c r="AC22" i="34993"/>
  <c r="X26" i="34993"/>
  <c r="AC18" i="34993"/>
  <c r="X25" i="34993"/>
  <c r="X17" i="34993"/>
  <c r="AC29" i="34993"/>
  <c r="AC25" i="34993"/>
  <c r="AC21" i="34993"/>
  <c r="AC17" i="34993"/>
  <c r="AA31" i="34993"/>
  <c r="AA27" i="34993"/>
  <c r="AA23" i="34993"/>
  <c r="AA19" i="34993"/>
  <c r="AA12" i="34993"/>
  <c r="U29" i="34993"/>
  <c r="U25" i="34993"/>
  <c r="U21" i="34993"/>
  <c r="U17" i="34993"/>
  <c r="V31" i="34993"/>
  <c r="V27" i="34993"/>
  <c r="V23" i="34993"/>
  <c r="V19" i="34993"/>
  <c r="V12" i="34993"/>
  <c r="X28" i="34993"/>
  <c r="X24" i="34993"/>
  <c r="X20" i="34993"/>
  <c r="X11" i="34993"/>
  <c r="AB30" i="34993"/>
  <c r="AB26" i="34993"/>
  <c r="AB22" i="34993"/>
  <c r="AB18" i="34993"/>
  <c r="Z31" i="34993"/>
  <c r="Z27" i="34993"/>
  <c r="Z23" i="34993"/>
  <c r="Z19" i="34993"/>
  <c r="Z12" i="34993"/>
  <c r="AC28" i="34993"/>
  <c r="AC24" i="34993"/>
  <c r="AC20" i="34993"/>
  <c r="AC11" i="34993"/>
  <c r="Y31" i="34993"/>
  <c r="Y27" i="34993"/>
  <c r="Y23" i="34993"/>
  <c r="Y19" i="34993"/>
  <c r="Y12" i="34993"/>
  <c r="AD10" i="34993" l="1" a="1"/>
  <c r="AD16" i="34993" s="1"/>
  <c r="AE10" i="34993" a="1"/>
  <c r="AE15" i="34993" s="1"/>
  <c r="AD10" i="34993" l="1"/>
  <c r="AE28" i="34993"/>
  <c r="AE24" i="34993"/>
  <c r="AE20" i="34993"/>
  <c r="AE12" i="34993"/>
  <c r="AE16" i="34993"/>
  <c r="AD30" i="34993"/>
  <c r="AD26" i="34993"/>
  <c r="AD22" i="34993"/>
  <c r="AD18" i="34993"/>
  <c r="AD13" i="34993"/>
  <c r="AE31" i="34993"/>
  <c r="AE27" i="34993"/>
  <c r="AE23" i="34993"/>
  <c r="AE19" i="34993"/>
  <c r="AE13" i="34993"/>
  <c r="AE17" i="34993"/>
  <c r="AD29" i="34993"/>
  <c r="AD25" i="34993"/>
  <c r="AD21" i="34993"/>
  <c r="AD17" i="34993"/>
  <c r="AD14" i="34993"/>
  <c r="AD28" i="34993"/>
  <c r="AD24" i="34993"/>
  <c r="AD20" i="34993"/>
  <c r="AD11" i="34993"/>
  <c r="AD15" i="34993"/>
  <c r="AE30" i="34993"/>
  <c r="AE26" i="34993"/>
  <c r="AE22" i="34993"/>
  <c r="AE18" i="34993"/>
  <c r="AE14" i="34993"/>
  <c r="AE10" i="34993"/>
  <c r="AE29" i="34993"/>
  <c r="AE25" i="34993"/>
  <c r="AE21" i="34993"/>
  <c r="AE11" i="34993"/>
  <c r="AD31" i="34993"/>
  <c r="AD27" i="34993"/>
  <c r="AD23" i="34993"/>
  <c r="AD19" i="34993"/>
  <c r="AD12" i="34993"/>
  <c r="X35" i="34993" l="1"/>
  <c r="AA35" i="34993"/>
  <c r="AC35" i="34993"/>
  <c r="Z35" i="34993"/>
  <c r="Y35" i="34993"/>
  <c r="W35" i="34993"/>
  <c r="AB35" i="34993"/>
  <c r="M34" i="34987"/>
  <c r="P34" i="34993"/>
  <c r="N34" i="34993"/>
  <c r="BV34" i="35036"/>
  <c r="CH34" i="35036"/>
  <c r="CT34" i="35036"/>
  <c r="BJ34" i="35036"/>
  <c r="P34" i="34987"/>
  <c r="L34" i="34987"/>
  <c r="L34" i="34993"/>
  <c r="S34" i="34993"/>
  <c r="O34" i="34993"/>
  <c r="M34" i="34993"/>
  <c r="N34" i="34987"/>
  <c r="Q34" i="34993"/>
  <c r="R34" i="34993"/>
  <c r="K34" i="34987"/>
  <c r="AJ34" i="35036"/>
  <c r="X34" i="35036"/>
  <c r="AV34" i="35036"/>
  <c r="L34" i="35036"/>
  <c r="E34" i="34987"/>
  <c r="D34" i="34987"/>
  <c r="C34" i="34987"/>
  <c r="I34" i="34987"/>
  <c r="F34" i="34993"/>
  <c r="F34" i="34987"/>
  <c r="H34" i="34987"/>
  <c r="G34" i="34993"/>
  <c r="E34" i="34993"/>
  <c r="K34" i="34993"/>
  <c r="D34" i="34993"/>
  <c r="J34" i="34987"/>
  <c r="FS34" i="35036"/>
  <c r="GD34" i="35036"/>
  <c r="V34" i="34987"/>
  <c r="AE34" i="34993"/>
  <c r="Y34" i="34987"/>
  <c r="AD34" i="34993"/>
  <c r="X34" i="34987"/>
  <c r="BV33" i="35036"/>
  <c r="CT33" i="35036"/>
  <c r="CH33" i="35036"/>
  <c r="P33" i="34993"/>
  <c r="BJ33" i="35036"/>
  <c r="K33" i="34987"/>
  <c r="S33" i="34993"/>
  <c r="R33" i="34993"/>
  <c r="N33" i="34993"/>
  <c r="P33" i="34987"/>
  <c r="Q33" i="34993"/>
  <c r="L33" i="34987"/>
  <c r="M33" i="34987"/>
  <c r="O33" i="34993"/>
  <c r="L33" i="34993"/>
  <c r="N33" i="34987"/>
  <c r="M33" i="34993"/>
  <c r="AC34" i="34993"/>
  <c r="X34" i="34993"/>
  <c r="W34" i="34993"/>
  <c r="T34" i="34993"/>
  <c r="AB34" i="34993"/>
  <c r="U34" i="34993"/>
  <c r="V34" i="34993"/>
  <c r="AA34" i="34993"/>
  <c r="Z34" i="34993"/>
  <c r="Y34" i="34993"/>
  <c r="L33" i="35036"/>
  <c r="X33" i="35036"/>
  <c r="AV33" i="35036"/>
  <c r="AJ33" i="35036"/>
  <c r="J33" i="34987"/>
  <c r="D33" i="34987"/>
  <c r="C33" i="34987"/>
  <c r="I33" i="34987"/>
  <c r="F33" i="34993"/>
  <c r="E33" i="34993"/>
  <c r="E33" i="34987"/>
  <c r="D33" i="34993"/>
  <c r="F33" i="34987"/>
  <c r="K33" i="34993"/>
  <c r="G33" i="34993"/>
  <c r="H33" i="34987"/>
  <c r="P32" i="34993"/>
  <c r="CT32" i="35036"/>
  <c r="BV32" i="35036"/>
  <c r="CH32" i="35036"/>
  <c r="BJ32" i="35036"/>
  <c r="K32" i="34987"/>
  <c r="L32" i="34987"/>
  <c r="P32" i="34987"/>
  <c r="L32" i="34993"/>
  <c r="M32" i="34987"/>
  <c r="N32" i="34987"/>
  <c r="R32" i="34993"/>
  <c r="O32" i="34993"/>
  <c r="M32" i="34993"/>
  <c r="Q32" i="34993"/>
  <c r="N32" i="34993"/>
  <c r="S32" i="34993"/>
  <c r="AB33" i="34993"/>
  <c r="W33" i="34993"/>
  <c r="X33" i="34993"/>
  <c r="Y33" i="34993"/>
  <c r="AC33" i="34993"/>
  <c r="U33" i="34993"/>
  <c r="Z33" i="34993"/>
  <c r="V33" i="34993"/>
  <c r="AA33" i="34993"/>
  <c r="T33" i="34993"/>
  <c r="GD33" i="35036"/>
  <c r="Y33" i="34987"/>
  <c r="FS33" i="35036"/>
  <c r="AE33" i="34993"/>
  <c r="V33" i="34987"/>
  <c r="X33" i="34987"/>
  <c r="AD33" i="34993"/>
  <c r="X32" i="35036"/>
  <c r="AV32" i="35036"/>
  <c r="AJ32" i="35036"/>
  <c r="L32" i="35036"/>
  <c r="E32" i="34987"/>
  <c r="K32" i="34993"/>
  <c r="H32" i="34987"/>
  <c r="D32" i="34987"/>
  <c r="D32" i="34993"/>
  <c r="I32" i="34987"/>
  <c r="E32" i="34993"/>
  <c r="G32" i="34993"/>
  <c r="C32" i="34987"/>
  <c r="J32" i="34987"/>
  <c r="F32" i="34987"/>
  <c r="F32" i="34993"/>
  <c r="U32" i="34993"/>
  <c r="AA32" i="34993"/>
  <c r="V32" i="34993"/>
  <c r="AC32" i="34993"/>
  <c r="AB32" i="34993"/>
  <c r="Y32" i="34993"/>
  <c r="T32" i="34993"/>
  <c r="X32" i="34993"/>
  <c r="W32" i="34993"/>
  <c r="Z32" i="34993"/>
  <c r="FS32" i="35036"/>
  <c r="GD32" i="35036"/>
  <c r="Y32" i="34987"/>
  <c r="AE32" i="34993"/>
  <c r="X32" i="34987"/>
  <c r="AD32" i="34993"/>
  <c r="V32" i="34987"/>
  <c r="X36" i="34993" l="1"/>
  <c r="AB36" i="34993"/>
  <c r="W36" i="34993"/>
  <c r="AC36" i="34993"/>
  <c r="AA36" i="34993"/>
  <c r="Z36" i="34993"/>
  <c r="Y36" i="34993"/>
  <c r="T35" i="34993"/>
  <c r="GD35" i="35036"/>
  <c r="FS35" i="35036"/>
  <c r="V35" i="34987"/>
  <c r="Y35" i="34987"/>
  <c r="AE35" i="34993"/>
  <c r="X35" i="34987"/>
  <c r="AD35" i="34993"/>
  <c r="AJ35" i="35036"/>
  <c r="AV35" i="35036"/>
  <c r="L35" i="35036"/>
  <c r="X35" i="35036"/>
  <c r="E35" i="34987"/>
  <c r="D35" i="34987"/>
  <c r="H35" i="34987"/>
  <c r="C35" i="34987"/>
  <c r="J35" i="34987"/>
  <c r="K35" i="34993"/>
  <c r="F35" i="34993"/>
  <c r="D35" i="34993"/>
  <c r="E35" i="34993"/>
  <c r="G35" i="34993"/>
  <c r="F35" i="34987"/>
  <c r="I35" i="34987"/>
  <c r="BJ35" i="35036"/>
  <c r="CT35" i="35036"/>
  <c r="P35" i="34993"/>
  <c r="BV35" i="35036"/>
  <c r="CH35" i="35036"/>
  <c r="N35" i="34993"/>
  <c r="L35" i="34987"/>
  <c r="P35" i="34987"/>
  <c r="M35" i="34993"/>
  <c r="Q35" i="34993"/>
  <c r="O35" i="34993"/>
  <c r="K35" i="34987"/>
  <c r="S35" i="34993"/>
  <c r="N35" i="34987"/>
  <c r="L35" i="34993"/>
  <c r="R35" i="34993"/>
  <c r="M35" i="34987"/>
  <c r="V35" i="34993"/>
  <c r="U35" i="34993"/>
  <c r="BV36" i="35036" l="1"/>
  <c r="CH36" i="35036"/>
  <c r="BJ36" i="35036"/>
  <c r="P36" i="34993"/>
  <c r="CT36" i="35036"/>
  <c r="L36" i="34987"/>
  <c r="K36" i="34987"/>
  <c r="N36" i="34987"/>
  <c r="M36" i="34987"/>
  <c r="M36" i="34993"/>
  <c r="S36" i="34993"/>
  <c r="P36" i="34987"/>
  <c r="O36" i="34993"/>
  <c r="R36" i="34993"/>
  <c r="Q36" i="34993"/>
  <c r="N36" i="34993"/>
  <c r="L36" i="34993"/>
  <c r="U36" i="34993"/>
  <c r="X36" i="35036"/>
  <c r="AV36" i="35036"/>
  <c r="AJ36" i="35036"/>
  <c r="L36" i="35036"/>
  <c r="J36" i="34987"/>
  <c r="C36" i="34987"/>
  <c r="D36" i="34987"/>
  <c r="I36" i="34987"/>
  <c r="K36" i="34993"/>
  <c r="G36" i="34993"/>
  <c r="H36" i="34987"/>
  <c r="F36" i="34987"/>
  <c r="D36" i="34993"/>
  <c r="E36" i="34987"/>
  <c r="E36" i="34993"/>
  <c r="F36" i="34993"/>
  <c r="FS36" i="35036"/>
  <c r="GD36" i="35036"/>
  <c r="AE36" i="34993"/>
  <c r="V36" i="34987"/>
  <c r="AD36" i="34993"/>
  <c r="Y36" i="34987"/>
  <c r="X36" i="34987"/>
  <c r="V37" i="34993"/>
  <c r="F96" i="35035" a="1"/>
  <c r="F96" i="35035" s="1"/>
  <c r="AB37" i="34993"/>
  <c r="Z37" i="34993"/>
  <c r="Y37" i="34993"/>
  <c r="AC37" i="34993"/>
  <c r="X37" i="34993"/>
  <c r="AA37" i="34993"/>
  <c r="W37" i="34993"/>
  <c r="U37" i="34993"/>
  <c r="T36" i="34993"/>
  <c r="V36" i="34993"/>
  <c r="X37" i="35036" l="1"/>
  <c r="I37" i="34987"/>
  <c r="AV37" i="35036"/>
  <c r="C37" i="34987"/>
  <c r="L37" i="35036"/>
  <c r="AJ37" i="35036"/>
  <c r="G37" i="34993"/>
  <c r="D37" i="34987"/>
  <c r="J37" i="34987"/>
  <c r="E37" i="34987"/>
  <c r="H37" i="34987"/>
  <c r="E37" i="34993"/>
  <c r="F37" i="34987"/>
  <c r="F37" i="34993"/>
  <c r="D37" i="34993"/>
  <c r="K37" i="34993"/>
  <c r="D96" i="35035" a="1"/>
  <c r="D96" i="35035" s="1"/>
  <c r="CH37" i="35036"/>
  <c r="P37" i="34993"/>
  <c r="BJ37" i="35036"/>
  <c r="BV37" i="35036"/>
  <c r="CT37" i="35036"/>
  <c r="L37" i="34987"/>
  <c r="P37" i="34987"/>
  <c r="M37" i="34987"/>
  <c r="N37" i="34993"/>
  <c r="Q37" i="34993"/>
  <c r="K37" i="34987"/>
  <c r="N37" i="34987"/>
  <c r="R37" i="34993"/>
  <c r="S37" i="34993"/>
  <c r="O37" i="34993"/>
  <c r="L37" i="34993"/>
  <c r="M37" i="34993"/>
  <c r="W38" i="34993"/>
  <c r="AB38" i="34993"/>
  <c r="X38" i="34993"/>
  <c r="AC38" i="34993"/>
  <c r="Z38" i="34993"/>
  <c r="Y38" i="34993"/>
  <c r="U38" i="34993"/>
  <c r="T38" i="34993"/>
  <c r="AA38" i="34993"/>
  <c r="E96" i="35035" a="1"/>
  <c r="E96" i="35035" s="1"/>
  <c r="FS37" i="35036"/>
  <c r="GD37" i="35036"/>
  <c r="Y37" i="34987"/>
  <c r="AE37" i="34993"/>
  <c r="X37" i="34987"/>
  <c r="V37" i="34987"/>
  <c r="AD37" i="34993"/>
  <c r="T37" i="34993"/>
  <c r="GD38" i="35036" l="1"/>
  <c r="AE38" i="34993"/>
  <c r="FS38" i="35036"/>
  <c r="V38" i="34987"/>
  <c r="Y38" i="34987"/>
  <c r="AD38" i="34993"/>
  <c r="X38" i="34987"/>
  <c r="AC39" i="34993"/>
  <c r="AB39" i="34993"/>
  <c r="AA39" i="34993"/>
  <c r="Z39" i="34993"/>
  <c r="V39" i="34993"/>
  <c r="Y39" i="34993"/>
  <c r="W39" i="34993"/>
  <c r="X39" i="34993"/>
  <c r="V38" i="34993"/>
  <c r="P38" i="34993"/>
  <c r="CT38" i="35036"/>
  <c r="BJ38" i="35036"/>
  <c r="BV38" i="35036"/>
  <c r="CH38" i="35036"/>
  <c r="S38" i="34993"/>
  <c r="L38" i="34987"/>
  <c r="K38" i="34987"/>
  <c r="N38" i="34993"/>
  <c r="N38" i="34987"/>
  <c r="P38" i="34987"/>
  <c r="R38" i="34993"/>
  <c r="M38" i="34993"/>
  <c r="M38" i="34987"/>
  <c r="O38" i="34993"/>
  <c r="Q38" i="34993"/>
  <c r="L38" i="34993"/>
  <c r="L38" i="35036"/>
  <c r="AV38" i="35036"/>
  <c r="X38" i="35036"/>
  <c r="E38" i="34987"/>
  <c r="AJ38" i="35036"/>
  <c r="C38" i="34987"/>
  <c r="D38" i="34987"/>
  <c r="D38" i="34993"/>
  <c r="J38" i="34987"/>
  <c r="G38" i="34993"/>
  <c r="I38" i="34987"/>
  <c r="F38" i="34987"/>
  <c r="H38" i="34987"/>
  <c r="K38" i="34993"/>
  <c r="F38" i="34993"/>
  <c r="E38" i="34993"/>
  <c r="CH39" i="35036" l="1"/>
  <c r="P39" i="34993"/>
  <c r="CT39" i="35036"/>
  <c r="BJ39" i="35036"/>
  <c r="BV39" i="35036"/>
  <c r="M39" i="34987"/>
  <c r="P39" i="34987"/>
  <c r="R39" i="34993"/>
  <c r="K39" i="34987"/>
  <c r="L39" i="34987"/>
  <c r="S39" i="34993"/>
  <c r="Q39" i="34993"/>
  <c r="O39" i="34993"/>
  <c r="N39" i="34987"/>
  <c r="L39" i="34993"/>
  <c r="M39" i="34993"/>
  <c r="N39" i="34993"/>
  <c r="AC40" i="34993"/>
  <c r="X40" i="34993"/>
  <c r="W40" i="34993"/>
  <c r="Y40" i="34993"/>
  <c r="Z40" i="34993"/>
  <c r="AB40" i="34993"/>
  <c r="U40" i="34993"/>
  <c r="V40" i="34993"/>
  <c r="AA40" i="34993"/>
  <c r="U39" i="34993"/>
  <c r="GD39" i="35036"/>
  <c r="Y39" i="34987"/>
  <c r="AE39" i="34993"/>
  <c r="FS39" i="35036"/>
  <c r="V39" i="34987"/>
  <c r="AD39" i="34993"/>
  <c r="X39" i="34987"/>
  <c r="AJ39" i="35036"/>
  <c r="X39" i="35036"/>
  <c r="H39" i="34987"/>
  <c r="D39" i="34987"/>
  <c r="AV39" i="35036"/>
  <c r="L39" i="35036"/>
  <c r="C39" i="34987"/>
  <c r="I39" i="34987"/>
  <c r="G39" i="34993"/>
  <c r="E39" i="34993"/>
  <c r="E39" i="34987"/>
  <c r="F39" i="34987"/>
  <c r="D39" i="34993"/>
  <c r="K39" i="34993"/>
  <c r="J39" i="34987"/>
  <c r="F39" i="34993"/>
  <c r="T39" i="34993"/>
  <c r="T40" i="34993" l="1"/>
  <c r="P40" i="34993"/>
  <c r="BJ40" i="35036"/>
  <c r="CH40" i="35036"/>
  <c r="BV40" i="35036"/>
  <c r="CT40" i="35036"/>
  <c r="O40" i="34993"/>
  <c r="K40" i="34987"/>
  <c r="M40" i="34987"/>
  <c r="Q40" i="34993"/>
  <c r="N40" i="34987"/>
  <c r="L40" i="34987"/>
  <c r="P40" i="34987"/>
  <c r="R40" i="34993"/>
  <c r="M40" i="34993"/>
  <c r="S40" i="34993"/>
  <c r="L40" i="34993"/>
  <c r="N40" i="34993"/>
  <c r="Y40" i="34987"/>
  <c r="FS40" i="35036"/>
  <c r="GD40" i="35036"/>
  <c r="V40" i="34987"/>
  <c r="X40" i="34987"/>
  <c r="AD40" i="34993"/>
  <c r="AE40" i="34993"/>
  <c r="AJ40" i="35036"/>
  <c r="L40" i="35036"/>
  <c r="X40" i="35036"/>
  <c r="J40" i="34987"/>
  <c r="AV40" i="35036"/>
  <c r="D40" i="34987"/>
  <c r="C40" i="34987"/>
  <c r="G40" i="34993"/>
  <c r="E40" i="34993"/>
  <c r="F40" i="34993"/>
  <c r="E40" i="34987"/>
  <c r="H40" i="34987"/>
  <c r="I40" i="34987"/>
  <c r="K40" i="34993"/>
  <c r="D40" i="34993"/>
  <c r="F40" i="34987"/>
  <c r="AB41" i="34993"/>
  <c r="AA41" i="34993"/>
  <c r="V41" i="34993"/>
  <c r="X41" i="34993"/>
  <c r="Y41" i="34993"/>
  <c r="U41" i="34993"/>
  <c r="W41" i="34993"/>
  <c r="AC41" i="34993"/>
  <c r="T41" i="34993"/>
  <c r="Z41" i="34993"/>
  <c r="L41" i="35036" l="1"/>
  <c r="AV41" i="35036"/>
  <c r="D41" i="34987"/>
  <c r="AJ41" i="35036"/>
  <c r="X41" i="35036"/>
  <c r="E41" i="34987"/>
  <c r="G41" i="34993"/>
  <c r="C41" i="34987"/>
  <c r="J41" i="34987"/>
  <c r="I41" i="34987"/>
  <c r="E41" i="34993"/>
  <c r="F41" i="34987"/>
  <c r="K41" i="34993"/>
  <c r="H41" i="34987"/>
  <c r="F41" i="34993"/>
  <c r="D41" i="34993"/>
  <c r="GD41" i="35036"/>
  <c r="FS41" i="35036"/>
  <c r="V41" i="34987"/>
  <c r="Y41" i="34987"/>
  <c r="AE41" i="34993"/>
  <c r="X41" i="34987"/>
  <c r="AD41" i="34993"/>
  <c r="X42" i="34993"/>
  <c r="AC42" i="34993"/>
  <c r="AA42" i="34993"/>
  <c r="T42" i="34993"/>
  <c r="Z42" i="34993"/>
  <c r="Y42" i="34993"/>
  <c r="AB42" i="34993"/>
  <c r="V42" i="34993"/>
  <c r="W42" i="34993"/>
  <c r="CH41" i="35036"/>
  <c r="BJ41" i="35036"/>
  <c r="CT41" i="35036"/>
  <c r="O41" i="34993"/>
  <c r="BV41" i="35036"/>
  <c r="R41" i="34993"/>
  <c r="P41" i="34993"/>
  <c r="M41" i="34987"/>
  <c r="N41" i="34993"/>
  <c r="P41" i="34987"/>
  <c r="S41" i="34993"/>
  <c r="Q41" i="34993"/>
  <c r="L41" i="34993"/>
  <c r="L41" i="34987"/>
  <c r="N41" i="34987"/>
  <c r="M41" i="34993"/>
  <c r="K41" i="34987"/>
  <c r="U42" i="34993" l="1"/>
  <c r="X43" i="34993"/>
  <c r="Z43" i="34993"/>
  <c r="AB43" i="34993"/>
  <c r="Y43" i="34993"/>
  <c r="AC43" i="34993"/>
  <c r="AA43" i="34993"/>
  <c r="W43" i="34993"/>
  <c r="Y42" i="34987"/>
  <c r="GD42" i="35036"/>
  <c r="FS42" i="35036"/>
  <c r="V42" i="34987"/>
  <c r="X42" i="34987"/>
  <c r="AE42" i="34993"/>
  <c r="AD42" i="34993"/>
  <c r="AJ42" i="35036"/>
  <c r="X42" i="35036"/>
  <c r="L42" i="35036"/>
  <c r="E42" i="34987"/>
  <c r="AV42" i="35036"/>
  <c r="J42" i="34987"/>
  <c r="D42" i="34987"/>
  <c r="E42" i="34993"/>
  <c r="C42" i="34987"/>
  <c r="G42" i="34993"/>
  <c r="F42" i="34987"/>
  <c r="D42" i="34993"/>
  <c r="H42" i="34987"/>
  <c r="I42" i="34987"/>
  <c r="F42" i="34993"/>
  <c r="K42" i="34993"/>
  <c r="CH42" i="35036"/>
  <c r="Q42" i="34993"/>
  <c r="CT42" i="35036"/>
  <c r="BJ42" i="35036"/>
  <c r="P42" i="34993"/>
  <c r="M42" i="34993"/>
  <c r="BV42" i="35036"/>
  <c r="O42" i="34993"/>
  <c r="P42" i="34987"/>
  <c r="M42" i="34987"/>
  <c r="L42" i="34987"/>
  <c r="K42" i="34987"/>
  <c r="L42" i="34993"/>
  <c r="R42" i="34993"/>
  <c r="S42" i="34993"/>
  <c r="N42" i="34993"/>
  <c r="N42" i="34987"/>
  <c r="X43" i="35036" l="1"/>
  <c r="L43" i="35036"/>
  <c r="J43" i="34987"/>
  <c r="E43" i="34993"/>
  <c r="AJ43" i="35036"/>
  <c r="AV43" i="35036"/>
  <c r="C43" i="34987"/>
  <c r="E43" i="34987"/>
  <c r="I43" i="34987"/>
  <c r="F43" i="34993"/>
  <c r="H43" i="34987"/>
  <c r="F43" i="34987"/>
  <c r="D43" i="34993"/>
  <c r="K43" i="34993"/>
  <c r="D43" i="34987"/>
  <c r="G43" i="34993"/>
  <c r="GD43" i="35036"/>
  <c r="FS43" i="35036"/>
  <c r="Y43" i="34987"/>
  <c r="AE43" i="34993"/>
  <c r="V43" i="34987"/>
  <c r="X43" i="34987"/>
  <c r="AD43" i="34993"/>
  <c r="Z44" i="34993"/>
  <c r="X44" i="34993"/>
  <c r="V44" i="34993"/>
  <c r="W44" i="34993"/>
  <c r="Y44" i="34993"/>
  <c r="AA44" i="34993"/>
  <c r="AB44" i="34993"/>
  <c r="T44" i="34993"/>
  <c r="AC44" i="34993"/>
  <c r="V43" i="34993"/>
  <c r="T43" i="34993"/>
  <c r="Q43" i="34993"/>
  <c r="CT43" i="35036"/>
  <c r="P43" i="34993"/>
  <c r="P43" i="34987"/>
  <c r="CH43" i="35036"/>
  <c r="BJ43" i="35036"/>
  <c r="BV43" i="35036"/>
  <c r="R43" i="34993"/>
  <c r="M43" i="34987"/>
  <c r="L43" i="34987"/>
  <c r="S43" i="34993"/>
  <c r="O43" i="34993"/>
  <c r="N43" i="34993"/>
  <c r="K43" i="34987"/>
  <c r="N43" i="34987"/>
  <c r="L43" i="34993"/>
  <c r="M43" i="34993"/>
  <c r="U43" i="34993"/>
  <c r="BV44" i="35036" l="1"/>
  <c r="CH44" i="35036"/>
  <c r="BJ44" i="35036"/>
  <c r="CT44" i="35036"/>
  <c r="P44" i="34993"/>
  <c r="R44" i="34993"/>
  <c r="Q44" i="34993"/>
  <c r="K44" i="34987"/>
  <c r="N44" i="34993"/>
  <c r="M44" i="34987"/>
  <c r="P44" i="34987"/>
  <c r="L44" i="34993"/>
  <c r="L44" i="34987"/>
  <c r="M44" i="34993"/>
  <c r="S44" i="34993"/>
  <c r="O44" i="34993"/>
  <c r="N44" i="34987"/>
  <c r="U44" i="34993"/>
  <c r="GD44" i="35036"/>
  <c r="FS44" i="35036"/>
  <c r="Y44" i="34987"/>
  <c r="AE44" i="34993"/>
  <c r="V44" i="34987"/>
  <c r="AD44" i="34993"/>
  <c r="X44" i="34987"/>
  <c r="AJ44" i="35036"/>
  <c r="X44" i="35036"/>
  <c r="L44" i="35036"/>
  <c r="AV44" i="35036"/>
  <c r="H44" i="34987"/>
  <c r="C44" i="34987"/>
  <c r="E44" i="34987"/>
  <c r="D44" i="34987"/>
  <c r="G44" i="34993"/>
  <c r="I44" i="34987"/>
  <c r="F44" i="34993"/>
  <c r="J44" i="34987"/>
  <c r="F44" i="34987"/>
  <c r="K44" i="34993"/>
  <c r="E44" i="34993"/>
  <c r="D44" i="34993"/>
  <c r="AB45" i="34993"/>
  <c r="AC45" i="34993"/>
  <c r="W45" i="34993"/>
  <c r="X45" i="34993"/>
  <c r="U45" i="34993"/>
  <c r="AA45" i="34993"/>
  <c r="Z45" i="34993"/>
  <c r="V45" i="34993"/>
  <c r="Y45" i="34993"/>
  <c r="T45" i="34993"/>
  <c r="X46" i="34993" l="1"/>
  <c r="Y46" i="34993"/>
  <c r="Z46" i="34993"/>
  <c r="AA46" i="34993"/>
  <c r="AC46" i="34993"/>
  <c r="AB46" i="34993"/>
  <c r="W46" i="34993"/>
  <c r="GD45" i="35036"/>
  <c r="FS45" i="35036"/>
  <c r="AE45" i="34993"/>
  <c r="V45" i="34987"/>
  <c r="Y45" i="34987"/>
  <c r="AD45" i="34993"/>
  <c r="X45" i="34987"/>
  <c r="CT45" i="35036"/>
  <c r="P45" i="34993"/>
  <c r="CH45" i="35036"/>
  <c r="BJ45" i="35036"/>
  <c r="BV45" i="35036"/>
  <c r="S45" i="34993"/>
  <c r="M45" i="34987"/>
  <c r="L45" i="34987"/>
  <c r="N45" i="34987"/>
  <c r="Q45" i="34993"/>
  <c r="K45" i="34987"/>
  <c r="O45" i="34993"/>
  <c r="P45" i="34987"/>
  <c r="M45" i="34993"/>
  <c r="R45" i="34993"/>
  <c r="N45" i="34993"/>
  <c r="L45" i="34993"/>
  <c r="AV45" i="35036"/>
  <c r="X45" i="35036"/>
  <c r="L45" i="35036"/>
  <c r="AJ45" i="35036"/>
  <c r="D45" i="34987"/>
  <c r="E45" i="34987"/>
  <c r="E45" i="34993"/>
  <c r="K45" i="34993"/>
  <c r="H45" i="34987"/>
  <c r="C45" i="34987"/>
  <c r="J45" i="34987"/>
  <c r="D45" i="34993"/>
  <c r="F45" i="34993"/>
  <c r="I45" i="34987"/>
  <c r="F45" i="34987"/>
  <c r="G45" i="34993"/>
  <c r="FS46" i="35036" l="1"/>
  <c r="GD46" i="35036"/>
  <c r="AD46" i="34993"/>
  <c r="AE46" i="34993"/>
  <c r="V46" i="34987"/>
  <c r="Y46" i="34987"/>
  <c r="X46" i="34987"/>
  <c r="X47" i="34993"/>
  <c r="Z47" i="34993"/>
  <c r="AB47" i="34993"/>
  <c r="Y47" i="34993"/>
  <c r="W47" i="34993"/>
  <c r="AA47" i="34993"/>
  <c r="AC47" i="34993"/>
  <c r="V47" i="34993"/>
  <c r="AJ46" i="35036"/>
  <c r="X46" i="35036"/>
  <c r="AV46" i="35036"/>
  <c r="L46" i="35036"/>
  <c r="J46" i="34987"/>
  <c r="E46" i="34987"/>
  <c r="D46" i="34987"/>
  <c r="C46" i="34987"/>
  <c r="K46" i="34993"/>
  <c r="H46" i="34987"/>
  <c r="I46" i="34987"/>
  <c r="G46" i="34993"/>
  <c r="F46" i="34993"/>
  <c r="F46" i="34987"/>
  <c r="D46" i="34993"/>
  <c r="E46" i="34993"/>
  <c r="CH46" i="35036"/>
  <c r="P46" i="34993"/>
  <c r="BJ46" i="35036"/>
  <c r="BV46" i="35036"/>
  <c r="N46" i="34993"/>
  <c r="CT46" i="35036"/>
  <c r="L46" i="34987"/>
  <c r="P46" i="34987"/>
  <c r="K46" i="34987"/>
  <c r="L46" i="34993"/>
  <c r="M46" i="34987"/>
  <c r="N46" i="34987"/>
  <c r="R46" i="34993"/>
  <c r="O46" i="34993"/>
  <c r="Q46" i="34993"/>
  <c r="S46" i="34993"/>
  <c r="M46" i="34993"/>
  <c r="T46" i="34993"/>
  <c r="V46" i="34993"/>
  <c r="U46" i="34993"/>
  <c r="W48" i="34993" l="1"/>
  <c r="X48" i="34993"/>
  <c r="AB48" i="34993"/>
  <c r="Y48" i="34993"/>
  <c r="AC48" i="34993"/>
  <c r="AA48" i="34993"/>
  <c r="Z48" i="34993"/>
  <c r="P47" i="34993"/>
  <c r="CT47" i="35036"/>
  <c r="CH47" i="35036"/>
  <c r="BJ47" i="35036"/>
  <c r="BV47" i="35036"/>
  <c r="N47" i="34993"/>
  <c r="L47" i="34993"/>
  <c r="M47" i="34987"/>
  <c r="P47" i="34987"/>
  <c r="L47" i="34987"/>
  <c r="N47" i="34987"/>
  <c r="O47" i="34993"/>
  <c r="K47" i="34987"/>
  <c r="Q47" i="34993"/>
  <c r="S47" i="34993"/>
  <c r="M47" i="34993"/>
  <c r="R47" i="34993"/>
  <c r="GD47" i="35036"/>
  <c r="FS47" i="35036"/>
  <c r="AE47" i="34993"/>
  <c r="V47" i="34987"/>
  <c r="Y47" i="34987"/>
  <c r="X47" i="34987"/>
  <c r="AD47" i="34993"/>
  <c r="AV47" i="35036"/>
  <c r="H47" i="34987"/>
  <c r="X47" i="35036"/>
  <c r="AJ47" i="35036"/>
  <c r="L47" i="35036"/>
  <c r="C47" i="34987"/>
  <c r="I47" i="34987"/>
  <c r="E47" i="34987"/>
  <c r="D47" i="34987"/>
  <c r="F47" i="34987"/>
  <c r="J47" i="34987"/>
  <c r="E47" i="34993"/>
  <c r="G47" i="34993"/>
  <c r="D47" i="34993"/>
  <c r="K47" i="34993"/>
  <c r="F47" i="34993"/>
  <c r="T47" i="34993"/>
  <c r="U47" i="34993"/>
  <c r="W49" i="34993" l="1"/>
  <c r="Z49" i="34993"/>
  <c r="AB49" i="34993"/>
  <c r="AA49" i="34993"/>
  <c r="X49" i="34993"/>
  <c r="Y49" i="34993"/>
  <c r="AC49" i="34993"/>
  <c r="Q48" i="34993"/>
  <c r="S48" i="34993"/>
  <c r="BJ48" i="35036"/>
  <c r="P48" i="34993"/>
  <c r="M48" i="34987"/>
  <c r="CH48" i="35036"/>
  <c r="BV48" i="35036"/>
  <c r="CT48" i="35036"/>
  <c r="N48" i="34993"/>
  <c r="L48" i="34987"/>
  <c r="K48" i="34987"/>
  <c r="O48" i="34993"/>
  <c r="P48" i="34987"/>
  <c r="R48" i="34993"/>
  <c r="N48" i="34987"/>
  <c r="L48" i="34993"/>
  <c r="M48" i="34993"/>
  <c r="U49" i="34993"/>
  <c r="T48" i="34993"/>
  <c r="FS48" i="35036"/>
  <c r="GD48" i="35036"/>
  <c r="V48" i="34987"/>
  <c r="X48" i="34987"/>
  <c r="AE48" i="34993"/>
  <c r="Y48" i="34987"/>
  <c r="AD48" i="34993"/>
  <c r="U48" i="34993"/>
  <c r="J48" i="34987"/>
  <c r="AV48" i="35036"/>
  <c r="AJ48" i="35036"/>
  <c r="X48" i="35036"/>
  <c r="E48" i="34993"/>
  <c r="C48" i="34987"/>
  <c r="E48" i="34987"/>
  <c r="L48" i="35036"/>
  <c r="D48" i="34987"/>
  <c r="G48" i="34993"/>
  <c r="F48" i="34993"/>
  <c r="I48" i="34987"/>
  <c r="F48" i="34987"/>
  <c r="D48" i="34993"/>
  <c r="K48" i="34993"/>
  <c r="H48" i="34987"/>
  <c r="V48" i="34993"/>
  <c r="AV49" i="35036" l="1"/>
  <c r="X49" i="35036"/>
  <c r="AJ49" i="35036"/>
  <c r="L49" i="35036"/>
  <c r="J49" i="34987"/>
  <c r="F49" i="34993"/>
  <c r="D49" i="34987"/>
  <c r="C49" i="34987"/>
  <c r="E49" i="34987"/>
  <c r="E49" i="34993"/>
  <c r="H49" i="34987"/>
  <c r="G49" i="34993"/>
  <c r="K49" i="34993"/>
  <c r="I49" i="34987"/>
  <c r="D49" i="34993"/>
  <c r="F49" i="34987"/>
  <c r="T49" i="34993"/>
  <c r="Y49" i="34987"/>
  <c r="AE49" i="34993"/>
  <c r="FS49" i="35036"/>
  <c r="GD49" i="35036"/>
  <c r="V49" i="34987"/>
  <c r="X49" i="34987"/>
  <c r="AD49" i="34993"/>
  <c r="CH49" i="35036"/>
  <c r="BJ49" i="35036"/>
  <c r="CT49" i="35036"/>
  <c r="BV49" i="35036"/>
  <c r="P49" i="34993"/>
  <c r="P49" i="34987"/>
  <c r="M49" i="34987"/>
  <c r="Q49" i="34993"/>
  <c r="L49" i="34987"/>
  <c r="S49" i="34993"/>
  <c r="N49" i="34987"/>
  <c r="N49" i="34993"/>
  <c r="K49" i="34987"/>
  <c r="O49" i="34993"/>
  <c r="L49" i="34993"/>
  <c r="M49" i="34993"/>
  <c r="R49" i="34993"/>
  <c r="AB50" i="34993"/>
  <c r="AA50" i="34993"/>
  <c r="X50" i="34993"/>
  <c r="Y50" i="34993"/>
  <c r="Z50" i="34993"/>
  <c r="W50" i="34993"/>
  <c r="AC50" i="34993"/>
  <c r="U50" i="34993"/>
  <c r="T50" i="34993"/>
  <c r="V50" i="34993"/>
  <c r="V49" i="34993"/>
  <c r="GD50" i="35036" l="1"/>
  <c r="AE50" i="34993"/>
  <c r="FS50" i="35036"/>
  <c r="Y50" i="34987"/>
  <c r="X50" i="34987"/>
  <c r="V50" i="34987"/>
  <c r="AD50" i="34993"/>
  <c r="BJ50" i="35036"/>
  <c r="BV50" i="35036"/>
  <c r="CH50" i="35036"/>
  <c r="P50" i="34993"/>
  <c r="CT50" i="35036"/>
  <c r="M50" i="34987"/>
  <c r="L50" i="34987"/>
  <c r="N50" i="34993"/>
  <c r="P50" i="34987"/>
  <c r="S50" i="34993"/>
  <c r="K50" i="34987"/>
  <c r="Q50" i="34993"/>
  <c r="L50" i="34993"/>
  <c r="N50" i="34987"/>
  <c r="O50" i="34993"/>
  <c r="M50" i="34993"/>
  <c r="R50" i="34993"/>
  <c r="L50" i="35036"/>
  <c r="AJ50" i="35036"/>
  <c r="X50" i="35036"/>
  <c r="AV50" i="35036"/>
  <c r="D50" i="34987"/>
  <c r="E50" i="34993"/>
  <c r="G50" i="34993"/>
  <c r="J50" i="34987"/>
  <c r="E50" i="34987"/>
  <c r="C50" i="34987"/>
  <c r="F50" i="34993"/>
  <c r="I50" i="34987"/>
  <c r="K50" i="34993"/>
  <c r="F50" i="34987"/>
  <c r="H50" i="34987"/>
  <c r="D50" i="34993"/>
  <c r="AB51" i="34993"/>
  <c r="AA51" i="34993"/>
  <c r="X51" i="34993"/>
  <c r="W51" i="34993"/>
  <c r="U51" i="34993"/>
  <c r="Z51" i="34993"/>
  <c r="Y51" i="34993"/>
  <c r="V51" i="34993"/>
  <c r="AC51" i="34993"/>
  <c r="T51" i="34993"/>
  <c r="P51" i="34993" l="1"/>
  <c r="CH51" i="35036"/>
  <c r="CT51" i="35036"/>
  <c r="N51" i="34993"/>
  <c r="BJ51" i="35036"/>
  <c r="BV51" i="35036"/>
  <c r="M51" i="34987"/>
  <c r="O51" i="34993"/>
  <c r="L51" i="34987"/>
  <c r="P51" i="34987"/>
  <c r="S51" i="34993"/>
  <c r="R51" i="34993"/>
  <c r="Q51" i="34993"/>
  <c r="K51" i="34987"/>
  <c r="L51" i="34993"/>
  <c r="M51" i="34993"/>
  <c r="N51" i="34987"/>
  <c r="AJ51" i="35036"/>
  <c r="X51" i="35036"/>
  <c r="AV51" i="35036"/>
  <c r="E51" i="34987"/>
  <c r="L51" i="35036"/>
  <c r="C51" i="34987"/>
  <c r="H51" i="34987"/>
  <c r="J51" i="34987"/>
  <c r="I51" i="34987"/>
  <c r="G51" i="34993"/>
  <c r="D51" i="34987"/>
  <c r="F51" i="34993"/>
  <c r="F51" i="34987"/>
  <c r="D51" i="34993"/>
  <c r="E51" i="34993"/>
  <c r="K51" i="34993"/>
  <c r="FS51" i="35036"/>
  <c r="GD51" i="35036"/>
  <c r="Y51" i="34987"/>
  <c r="V51" i="34987"/>
  <c r="X51" i="34987"/>
  <c r="AE51" i="34993"/>
  <c r="AD51" i="34993"/>
  <c r="AC52" i="34993"/>
  <c r="AA52" i="34993"/>
  <c r="Y52" i="34993"/>
  <c r="U52" i="34993"/>
  <c r="AB52" i="34993"/>
  <c r="T52" i="34993"/>
  <c r="W52" i="34993"/>
  <c r="X52" i="34993"/>
  <c r="V52" i="34993"/>
  <c r="Z52" i="34993"/>
  <c r="AJ52" i="35036" l="1"/>
  <c r="E52" i="34987"/>
  <c r="J52" i="34987"/>
  <c r="L52" i="35036"/>
  <c r="AV52" i="35036"/>
  <c r="X52" i="35036"/>
  <c r="G52" i="34993"/>
  <c r="C52" i="34987"/>
  <c r="D52" i="34993"/>
  <c r="I52" i="34987"/>
  <c r="F52" i="34993"/>
  <c r="F52" i="34987"/>
  <c r="D52" i="34987"/>
  <c r="K52" i="34993"/>
  <c r="E52" i="34993"/>
  <c r="H52" i="34987"/>
  <c r="AB53" i="34993"/>
  <c r="AA53" i="34993"/>
  <c r="Z53" i="34993"/>
  <c r="AC53" i="34993"/>
  <c r="T53" i="34993"/>
  <c r="Y53" i="34993"/>
  <c r="W53" i="34993"/>
  <c r="X53" i="34993"/>
  <c r="CT52" i="35036"/>
  <c r="P52" i="34993"/>
  <c r="BV52" i="35036"/>
  <c r="CH52" i="35036"/>
  <c r="R52" i="34993"/>
  <c r="N52" i="34993"/>
  <c r="BJ52" i="35036"/>
  <c r="Q52" i="34993"/>
  <c r="L52" i="34987"/>
  <c r="K52" i="34987"/>
  <c r="P52" i="34987"/>
  <c r="M52" i="34987"/>
  <c r="L52" i="34993"/>
  <c r="S52" i="34993"/>
  <c r="N52" i="34987"/>
  <c r="O52" i="34993"/>
  <c r="M52" i="34993"/>
  <c r="FS52" i="35036"/>
  <c r="Y52" i="34987"/>
  <c r="GD52" i="35036"/>
  <c r="V52" i="34987"/>
  <c r="AD52" i="34993"/>
  <c r="AE52" i="34993"/>
  <c r="X52" i="34987"/>
  <c r="X54" i="34993" l="1"/>
  <c r="AA54" i="34993"/>
  <c r="Z54" i="34993"/>
  <c r="W54" i="34993"/>
  <c r="AB54" i="34993"/>
  <c r="Y54" i="34993"/>
  <c r="AC54" i="34993"/>
  <c r="U53" i="34993"/>
  <c r="FS53" i="35036"/>
  <c r="GD53" i="35036"/>
  <c r="Y53" i="34987"/>
  <c r="AE53" i="34993"/>
  <c r="V53" i="34987"/>
  <c r="X53" i="34987"/>
  <c r="AD53" i="34993"/>
  <c r="CH53" i="35036"/>
  <c r="P53" i="34993"/>
  <c r="BJ53" i="35036"/>
  <c r="BV53" i="35036"/>
  <c r="CT53" i="35036"/>
  <c r="M53" i="34987"/>
  <c r="N53" i="34993"/>
  <c r="Q53" i="34993"/>
  <c r="O53" i="34993"/>
  <c r="L53" i="34987"/>
  <c r="P53" i="34987"/>
  <c r="R53" i="34993"/>
  <c r="S53" i="34993"/>
  <c r="M53" i="34993"/>
  <c r="K53" i="34987"/>
  <c r="L53" i="34993"/>
  <c r="N53" i="34987"/>
  <c r="V53" i="34993"/>
  <c r="AJ53" i="35036"/>
  <c r="X53" i="35036"/>
  <c r="L53" i="35036"/>
  <c r="AV53" i="35036"/>
  <c r="J53" i="34987"/>
  <c r="E53" i="34987"/>
  <c r="D53" i="34987"/>
  <c r="C53" i="34987"/>
  <c r="E53" i="34993"/>
  <c r="G53" i="34993"/>
  <c r="F53" i="34993"/>
  <c r="I53" i="34987"/>
  <c r="K53" i="34993"/>
  <c r="F53" i="34987"/>
  <c r="D53" i="34993"/>
  <c r="H53" i="34987"/>
  <c r="CH54" i="35036" l="1"/>
  <c r="CT54" i="35036"/>
  <c r="BV54" i="35036"/>
  <c r="BJ54" i="35036"/>
  <c r="P54" i="34993"/>
  <c r="P54" i="34987"/>
  <c r="L54" i="34987"/>
  <c r="K54" i="34987"/>
  <c r="N54" i="34987"/>
  <c r="Q54" i="34993"/>
  <c r="L54" i="34993"/>
  <c r="N54" i="34993"/>
  <c r="M54" i="34993"/>
  <c r="M54" i="34987"/>
  <c r="R54" i="34993"/>
  <c r="S54" i="34993"/>
  <c r="O54" i="34993"/>
  <c r="Z55" i="34993"/>
  <c r="AC55" i="34993"/>
  <c r="AA55" i="34993"/>
  <c r="X55" i="34993"/>
  <c r="AB55" i="34993"/>
  <c r="U55" i="34993"/>
  <c r="W55" i="34993"/>
  <c r="Y55" i="34993"/>
  <c r="X54" i="35036"/>
  <c r="L54" i="35036"/>
  <c r="AJ54" i="35036"/>
  <c r="AV54" i="35036"/>
  <c r="I54" i="34987"/>
  <c r="H54" i="34987"/>
  <c r="E54" i="34993"/>
  <c r="C54" i="34987"/>
  <c r="D54" i="34987"/>
  <c r="K54" i="34993"/>
  <c r="F54" i="34987"/>
  <c r="E54" i="34987"/>
  <c r="G54" i="34993"/>
  <c r="D54" i="34993"/>
  <c r="J54" i="34987"/>
  <c r="F54" i="34993"/>
  <c r="FS54" i="35036"/>
  <c r="AE54" i="34993"/>
  <c r="GD54" i="35036"/>
  <c r="V54" i="34987"/>
  <c r="AD54" i="34993"/>
  <c r="X54" i="34987"/>
  <c r="Y54" i="34987"/>
  <c r="V54" i="34993"/>
  <c r="U54" i="34993"/>
  <c r="T54" i="34993"/>
  <c r="GD55" i="35036" l="1"/>
  <c r="V55" i="34987"/>
  <c r="FS55" i="35036"/>
  <c r="AE55" i="34993"/>
  <c r="Y55" i="34987"/>
  <c r="X55" i="34987"/>
  <c r="AD55" i="34993"/>
  <c r="H55" i="34987"/>
  <c r="J55" i="34987"/>
  <c r="X55" i="35036"/>
  <c r="L55" i="35036"/>
  <c r="D55" i="34987"/>
  <c r="AJ55" i="35036"/>
  <c r="AV55" i="35036"/>
  <c r="I55" i="34987"/>
  <c r="E55" i="34993"/>
  <c r="E55" i="34987"/>
  <c r="C55" i="34987"/>
  <c r="F55" i="34993"/>
  <c r="G55" i="34993"/>
  <c r="K55" i="34993"/>
  <c r="F55" i="34987"/>
  <c r="D55" i="34993"/>
  <c r="Y56" i="34993"/>
  <c r="AB56" i="34993"/>
  <c r="AC56" i="34993"/>
  <c r="W56" i="34993"/>
  <c r="X56" i="34993"/>
  <c r="AA56" i="34993"/>
  <c r="Z56" i="34993"/>
  <c r="V56" i="34993"/>
  <c r="T56" i="34993"/>
  <c r="T55" i="34993"/>
  <c r="V55" i="34993"/>
  <c r="CH55" i="35036"/>
  <c r="BJ55" i="35036"/>
  <c r="P55" i="34993"/>
  <c r="CT55" i="35036"/>
  <c r="BV55" i="35036"/>
  <c r="Q55" i="34993"/>
  <c r="P55" i="34987"/>
  <c r="N55" i="34993"/>
  <c r="O55" i="34993"/>
  <c r="L55" i="34987"/>
  <c r="K55" i="34987"/>
  <c r="M55" i="34987"/>
  <c r="L55" i="34993"/>
  <c r="M55" i="34993"/>
  <c r="R55" i="34993"/>
  <c r="S55" i="34993"/>
  <c r="N55" i="34987"/>
  <c r="X56" i="35036" l="1"/>
  <c r="D56" i="34993"/>
  <c r="G56" i="34993"/>
  <c r="L56" i="35036"/>
  <c r="K56" i="34993"/>
  <c r="AV56" i="35036"/>
  <c r="J56" i="34987"/>
  <c r="I56" i="34987"/>
  <c r="AJ56" i="35036"/>
  <c r="C56" i="34987"/>
  <c r="F56" i="34987"/>
  <c r="D56" i="34987"/>
  <c r="H56" i="34987"/>
  <c r="E56" i="34987"/>
  <c r="E56" i="34993"/>
  <c r="F56" i="34993"/>
  <c r="Z57" i="34993"/>
  <c r="AB57" i="34993"/>
  <c r="W57" i="34993"/>
  <c r="AA57" i="34993"/>
  <c r="Y57" i="34993"/>
  <c r="AC57" i="34993"/>
  <c r="X57" i="34993"/>
  <c r="T57" i="34993"/>
  <c r="CT56" i="35036"/>
  <c r="CH56" i="35036"/>
  <c r="P56" i="34993"/>
  <c r="BV56" i="35036"/>
  <c r="BJ56" i="35036"/>
  <c r="P56" i="34987"/>
  <c r="K56" i="34987"/>
  <c r="L56" i="34987"/>
  <c r="M56" i="34987"/>
  <c r="S56" i="34993"/>
  <c r="N56" i="34993"/>
  <c r="R56" i="34993"/>
  <c r="O56" i="34993"/>
  <c r="Q56" i="34993"/>
  <c r="M56" i="34993"/>
  <c r="N56" i="34987"/>
  <c r="L56" i="34993"/>
  <c r="U56" i="34993"/>
  <c r="GD56" i="35036"/>
  <c r="FS56" i="35036"/>
  <c r="V56" i="34987"/>
  <c r="Y56" i="34987"/>
  <c r="AD56" i="34993"/>
  <c r="AE56" i="34993"/>
  <c r="X56" i="34987"/>
  <c r="V57" i="34993"/>
  <c r="Z58" i="34993" l="1"/>
  <c r="AA58" i="34993"/>
  <c r="W58" i="34993"/>
  <c r="X58" i="34993"/>
  <c r="Y58" i="34993"/>
  <c r="AC58" i="34993"/>
  <c r="AB58" i="34993"/>
  <c r="U57" i="34993"/>
  <c r="AJ57" i="35036"/>
  <c r="E57" i="34987"/>
  <c r="G57" i="34993"/>
  <c r="AV57" i="35036"/>
  <c r="L57" i="35036"/>
  <c r="X57" i="35036"/>
  <c r="C57" i="34987"/>
  <c r="D57" i="34987"/>
  <c r="J57" i="34987"/>
  <c r="H57" i="34987"/>
  <c r="E57" i="34993"/>
  <c r="F57" i="34987"/>
  <c r="I57" i="34987"/>
  <c r="D57" i="34993"/>
  <c r="K57" i="34993"/>
  <c r="F57" i="34993"/>
  <c r="CH57" i="35036"/>
  <c r="CT57" i="35036"/>
  <c r="BV57" i="35036"/>
  <c r="BJ57" i="35036"/>
  <c r="P57" i="34993"/>
  <c r="L57" i="34987"/>
  <c r="M57" i="34993"/>
  <c r="R57" i="34993"/>
  <c r="M57" i="34987"/>
  <c r="K57" i="34987"/>
  <c r="N57" i="34993"/>
  <c r="N57" i="34987"/>
  <c r="Q57" i="34993"/>
  <c r="S57" i="34993"/>
  <c r="P57" i="34987"/>
  <c r="L57" i="34993"/>
  <c r="O57" i="34993"/>
  <c r="U58" i="34993"/>
  <c r="GD57" i="35036"/>
  <c r="FS57" i="35036"/>
  <c r="AE57" i="34993"/>
  <c r="Y57" i="34987"/>
  <c r="V57" i="34987"/>
  <c r="AD57" i="34993"/>
  <c r="X57" i="34987"/>
  <c r="GD58" i="35036" l="1"/>
  <c r="FS58" i="35036"/>
  <c r="V58" i="34987"/>
  <c r="Y58" i="34987"/>
  <c r="AE58" i="34993"/>
  <c r="X58" i="34987"/>
  <c r="AD58" i="34993"/>
  <c r="Y59" i="34993"/>
  <c r="X59" i="34993"/>
  <c r="Z59" i="34993"/>
  <c r="AA59" i="34993"/>
  <c r="AB59" i="34993"/>
  <c r="V59" i="34993"/>
  <c r="AC59" i="34993"/>
  <c r="W59" i="34993"/>
  <c r="AV58" i="35036"/>
  <c r="E58" i="34987"/>
  <c r="X58" i="35036"/>
  <c r="G58" i="34993"/>
  <c r="D58" i="34987"/>
  <c r="D58" i="34993"/>
  <c r="L58" i="35036"/>
  <c r="AJ58" i="35036"/>
  <c r="C58" i="34987"/>
  <c r="E58" i="34993"/>
  <c r="F58" i="34987"/>
  <c r="F58" i="34993"/>
  <c r="J58" i="34987"/>
  <c r="H58" i="34987"/>
  <c r="I58" i="34987"/>
  <c r="K58" i="34993"/>
  <c r="T58" i="34993"/>
  <c r="V58" i="34993"/>
  <c r="CT58" i="35036"/>
  <c r="P58" i="34993"/>
  <c r="BJ58" i="35036"/>
  <c r="CH58" i="35036"/>
  <c r="BV58" i="35036"/>
  <c r="Q58" i="34993"/>
  <c r="P58" i="34987"/>
  <c r="L58" i="34987"/>
  <c r="K58" i="34987"/>
  <c r="M58" i="34987"/>
  <c r="S58" i="34993"/>
  <c r="N58" i="34987"/>
  <c r="O58" i="34993"/>
  <c r="N58" i="34993"/>
  <c r="R58" i="34993"/>
  <c r="M58" i="34993"/>
  <c r="L58" i="34993"/>
  <c r="AB60" i="34993" l="1"/>
  <c r="Y60" i="34993"/>
  <c r="AA60" i="34993"/>
  <c r="W60" i="34993"/>
  <c r="X60" i="34993"/>
  <c r="AC60" i="34993"/>
  <c r="Z60" i="34993"/>
  <c r="Q59" i="34993"/>
  <c r="BV59" i="35036"/>
  <c r="CH59" i="35036"/>
  <c r="CT59" i="35036"/>
  <c r="P59" i="34993"/>
  <c r="BJ59" i="35036"/>
  <c r="S59" i="34993"/>
  <c r="L59" i="34987"/>
  <c r="P59" i="34987"/>
  <c r="M59" i="34993"/>
  <c r="N59" i="34993"/>
  <c r="K59" i="34987"/>
  <c r="N59" i="34987"/>
  <c r="L59" i="34993"/>
  <c r="M59" i="34987"/>
  <c r="O59" i="34993"/>
  <c r="R59" i="34993"/>
  <c r="T59" i="34993"/>
  <c r="FS59" i="35036"/>
  <c r="Y59" i="34987"/>
  <c r="GD59" i="35036"/>
  <c r="X59" i="34987"/>
  <c r="V59" i="34987"/>
  <c r="AE59" i="34993"/>
  <c r="AD59" i="34993"/>
  <c r="J59" i="34987"/>
  <c r="AJ59" i="35036"/>
  <c r="C59" i="34987"/>
  <c r="X59" i="35036"/>
  <c r="AV59" i="35036"/>
  <c r="L59" i="35036"/>
  <c r="E59" i="34987"/>
  <c r="I59" i="34987"/>
  <c r="D59" i="34987"/>
  <c r="G59" i="34993"/>
  <c r="K59" i="34993"/>
  <c r="F59" i="34987"/>
  <c r="F59" i="34993"/>
  <c r="E59" i="34993"/>
  <c r="D59" i="34993"/>
  <c r="H59" i="34987"/>
  <c r="U59" i="34993"/>
  <c r="X60" i="35036" l="1"/>
  <c r="AV60" i="35036"/>
  <c r="L60" i="35036"/>
  <c r="K60" i="34993"/>
  <c r="AJ60" i="35036"/>
  <c r="D60" i="34987"/>
  <c r="C60" i="34987"/>
  <c r="E60" i="34987"/>
  <c r="I60" i="34987"/>
  <c r="G60" i="34993"/>
  <c r="E60" i="34993"/>
  <c r="H60" i="34987"/>
  <c r="J60" i="34987"/>
  <c r="D60" i="34993"/>
  <c r="F60" i="34987"/>
  <c r="F60" i="34993"/>
  <c r="GD60" i="35036"/>
  <c r="FS60" i="35036"/>
  <c r="AE60" i="34993"/>
  <c r="Y60" i="34987"/>
  <c r="V60" i="34987"/>
  <c r="X60" i="34987"/>
  <c r="AD60" i="34993"/>
  <c r="V60" i="34993"/>
  <c r="BJ60" i="35036"/>
  <c r="BV60" i="35036"/>
  <c r="CT60" i="35036"/>
  <c r="CH60" i="35036"/>
  <c r="P60" i="34993"/>
  <c r="M60" i="34987"/>
  <c r="P60" i="34987"/>
  <c r="K60" i="34987"/>
  <c r="N60" i="34987"/>
  <c r="M60" i="34993"/>
  <c r="O60" i="34993"/>
  <c r="Q60" i="34993"/>
  <c r="N60" i="34993"/>
  <c r="S60" i="34993"/>
  <c r="R60" i="34993"/>
  <c r="L60" i="34987"/>
  <c r="L60" i="34993"/>
  <c r="AC61" i="34993"/>
  <c r="V61" i="34993"/>
  <c r="AA61" i="34993"/>
  <c r="Y61" i="34993"/>
  <c r="W61" i="34993"/>
  <c r="U61" i="34993"/>
  <c r="X61" i="34993"/>
  <c r="Z61" i="34993"/>
  <c r="T61" i="34993"/>
  <c r="AB61" i="34993"/>
  <c r="U60" i="34993"/>
  <c r="T60" i="34993"/>
  <c r="CH61" i="35036" l="1"/>
  <c r="CT61" i="35036"/>
  <c r="P61" i="34993"/>
  <c r="BV61" i="35036"/>
  <c r="BJ61" i="35036"/>
  <c r="M61" i="34987"/>
  <c r="Q61" i="34993"/>
  <c r="S61" i="34993"/>
  <c r="N61" i="34993"/>
  <c r="L61" i="34987"/>
  <c r="K61" i="34987"/>
  <c r="M61" i="34993"/>
  <c r="R61" i="34993"/>
  <c r="L61" i="34993"/>
  <c r="P61" i="34987"/>
  <c r="N61" i="34987"/>
  <c r="O61" i="34993"/>
  <c r="X62" i="34993"/>
  <c r="W62" i="34993"/>
  <c r="AB62" i="34993"/>
  <c r="AC62" i="34993"/>
  <c r="Y62" i="34993"/>
  <c r="AA62" i="34993"/>
  <c r="U62" i="34993"/>
  <c r="Z62" i="34993"/>
  <c r="FS61" i="35036"/>
  <c r="GD61" i="35036"/>
  <c r="AE61" i="34993"/>
  <c r="Y61" i="34987"/>
  <c r="V61" i="34987"/>
  <c r="X61" i="34987"/>
  <c r="AD61" i="34993"/>
  <c r="E61" i="34993"/>
  <c r="AJ61" i="35036"/>
  <c r="X61" i="35036"/>
  <c r="G61" i="34993"/>
  <c r="AV61" i="35036"/>
  <c r="L61" i="35036"/>
  <c r="E61" i="34987"/>
  <c r="D61" i="34987"/>
  <c r="C61" i="34987"/>
  <c r="J61" i="34987"/>
  <c r="F61" i="34993"/>
  <c r="F61" i="34987"/>
  <c r="I61" i="34987"/>
  <c r="H61" i="34987"/>
  <c r="D61" i="34993"/>
  <c r="K61" i="34993"/>
  <c r="Y63" i="34993" l="1"/>
  <c r="W63" i="34993"/>
  <c r="X63" i="34993"/>
  <c r="AC63" i="34993"/>
  <c r="AA63" i="34993"/>
  <c r="Z63" i="34993"/>
  <c r="AB63" i="34993"/>
  <c r="V62" i="34993"/>
  <c r="FS62" i="35036"/>
  <c r="GD62" i="35036"/>
  <c r="Y62" i="34987"/>
  <c r="V62" i="34987"/>
  <c r="AE62" i="34993"/>
  <c r="AD62" i="34993"/>
  <c r="X62" i="34987"/>
  <c r="I62" i="34987"/>
  <c r="AJ62" i="35036"/>
  <c r="AV62" i="35036"/>
  <c r="X62" i="35036"/>
  <c r="L62" i="35036"/>
  <c r="E62" i="34987"/>
  <c r="E62" i="34993"/>
  <c r="J62" i="34987"/>
  <c r="D62" i="34987"/>
  <c r="G62" i="34993"/>
  <c r="F62" i="34987"/>
  <c r="C62" i="34987"/>
  <c r="K62" i="34993"/>
  <c r="F62" i="34993"/>
  <c r="D62" i="34993"/>
  <c r="H62" i="34987"/>
  <c r="T63" i="34993"/>
  <c r="T62" i="34993"/>
  <c r="P62" i="34993"/>
  <c r="BJ62" i="35036"/>
  <c r="BV62" i="35036"/>
  <c r="CT62" i="35036"/>
  <c r="CH62" i="35036"/>
  <c r="M62" i="34987"/>
  <c r="K62" i="34987"/>
  <c r="Q62" i="34993"/>
  <c r="P62" i="34987"/>
  <c r="N62" i="34993"/>
  <c r="N62" i="34987"/>
  <c r="M62" i="34993"/>
  <c r="L62" i="34987"/>
  <c r="L62" i="34993"/>
  <c r="R62" i="34993"/>
  <c r="S62" i="34993"/>
  <c r="O62" i="34993"/>
  <c r="W64" i="34993" l="1"/>
  <c r="Y64" i="34993"/>
  <c r="X64" i="34993"/>
  <c r="AA64" i="34993"/>
  <c r="Z64" i="34993"/>
  <c r="AB64" i="34993"/>
  <c r="AC64" i="34993"/>
  <c r="BJ63" i="35036"/>
  <c r="CT63" i="35036"/>
  <c r="BV63" i="35036"/>
  <c r="CH63" i="35036"/>
  <c r="P63" i="34993"/>
  <c r="M63" i="34987"/>
  <c r="K63" i="34987"/>
  <c r="Q63" i="34993"/>
  <c r="N63" i="34993"/>
  <c r="R63" i="34993"/>
  <c r="L63" i="34993"/>
  <c r="L63" i="34987"/>
  <c r="S63" i="34993"/>
  <c r="N63" i="34987"/>
  <c r="M63" i="34993"/>
  <c r="P63" i="34987"/>
  <c r="O63" i="34993"/>
  <c r="AJ63" i="35036"/>
  <c r="E63" i="34987"/>
  <c r="AV63" i="35036"/>
  <c r="X63" i="35036"/>
  <c r="G63" i="34993"/>
  <c r="F63" i="34987"/>
  <c r="C63" i="34987"/>
  <c r="I63" i="34987"/>
  <c r="D63" i="34993"/>
  <c r="D63" i="34987"/>
  <c r="L63" i="35036"/>
  <c r="K63" i="34993"/>
  <c r="E63" i="34993"/>
  <c r="H63" i="34987"/>
  <c r="J63" i="34987"/>
  <c r="F63" i="34993"/>
  <c r="FS63" i="35036"/>
  <c r="AE63" i="34993"/>
  <c r="Y63" i="34987"/>
  <c r="GD63" i="35036"/>
  <c r="V63" i="34987"/>
  <c r="AD63" i="34993"/>
  <c r="X63" i="34987"/>
  <c r="V63" i="34993"/>
  <c r="U63" i="34993"/>
  <c r="CT64" i="35036" l="1"/>
  <c r="P64" i="34993"/>
  <c r="N64" i="34993"/>
  <c r="BJ64" i="35036"/>
  <c r="CH64" i="35036"/>
  <c r="BV64" i="35036"/>
  <c r="M64" i="34987"/>
  <c r="N64" i="34987"/>
  <c r="L64" i="34987"/>
  <c r="M64" i="34993"/>
  <c r="Q64" i="34993"/>
  <c r="O64" i="34993"/>
  <c r="P64" i="34987"/>
  <c r="S64" i="34993"/>
  <c r="R64" i="34993"/>
  <c r="K64" i="34987"/>
  <c r="L64" i="34993"/>
  <c r="Z65" i="34993"/>
  <c r="X65" i="34993"/>
  <c r="AB65" i="34993"/>
  <c r="AC65" i="34993"/>
  <c r="W65" i="34993"/>
  <c r="AA65" i="34993"/>
  <c r="Y65" i="34993"/>
  <c r="U65" i="34993"/>
  <c r="T64" i="34993"/>
  <c r="V64" i="34993"/>
  <c r="U64" i="34993"/>
  <c r="GD64" i="35036"/>
  <c r="FS64" i="35036"/>
  <c r="X64" i="34987"/>
  <c r="Y64" i="34987"/>
  <c r="V64" i="34987"/>
  <c r="AE64" i="34993"/>
  <c r="AD64" i="34993"/>
  <c r="L64" i="35036"/>
  <c r="AJ64" i="35036"/>
  <c r="AV64" i="35036"/>
  <c r="X64" i="35036"/>
  <c r="D64" i="34987"/>
  <c r="F64" i="34993"/>
  <c r="F64" i="34987"/>
  <c r="C64" i="34987"/>
  <c r="J64" i="34987"/>
  <c r="K64" i="34993"/>
  <c r="E64" i="34993"/>
  <c r="H64" i="34987"/>
  <c r="I64" i="34987"/>
  <c r="E64" i="34987"/>
  <c r="G64" i="34993"/>
  <c r="D64" i="34993"/>
  <c r="T65" i="34993" l="1"/>
  <c r="FS65" i="35036"/>
  <c r="AE65" i="34993"/>
  <c r="GD65" i="35036"/>
  <c r="Y65" i="34987"/>
  <c r="AD65" i="34993"/>
  <c r="V65" i="34987"/>
  <c r="X65" i="34987"/>
  <c r="V65" i="34993"/>
  <c r="AB66" i="34993"/>
  <c r="Y66" i="34993"/>
  <c r="Z66" i="34993"/>
  <c r="AA66" i="34993"/>
  <c r="X66" i="34993"/>
  <c r="AC66" i="34993"/>
  <c r="W66" i="34993"/>
  <c r="U66" i="34993"/>
  <c r="V66" i="34993"/>
  <c r="L65" i="35036"/>
  <c r="AJ65" i="35036"/>
  <c r="D65" i="34987"/>
  <c r="G65" i="34993"/>
  <c r="K65" i="34993"/>
  <c r="X65" i="35036"/>
  <c r="J65" i="34987"/>
  <c r="E65" i="34987"/>
  <c r="E65" i="34993"/>
  <c r="AV65" i="35036"/>
  <c r="C65" i="34987"/>
  <c r="F65" i="34993"/>
  <c r="D65" i="34993"/>
  <c r="H65" i="34987"/>
  <c r="F65" i="34987"/>
  <c r="I65" i="34987"/>
  <c r="T66" i="34993"/>
  <c r="P65" i="34993"/>
  <c r="BJ65" i="35036"/>
  <c r="CH65" i="35036"/>
  <c r="CT65" i="35036"/>
  <c r="Q65" i="34993"/>
  <c r="BV65" i="35036"/>
  <c r="S65" i="34993"/>
  <c r="M65" i="34987"/>
  <c r="L65" i="34987"/>
  <c r="M65" i="34993"/>
  <c r="P65" i="34987"/>
  <c r="O65" i="34993"/>
  <c r="N65" i="34993"/>
  <c r="K65" i="34987"/>
  <c r="N65" i="34987"/>
  <c r="L65" i="34993"/>
  <c r="R65" i="34993"/>
  <c r="GD66" i="35036" l="1"/>
  <c r="FS66" i="35036"/>
  <c r="Y66" i="34987"/>
  <c r="AE66" i="34993"/>
  <c r="V66" i="34987"/>
  <c r="X66" i="34987"/>
  <c r="AD66" i="34993"/>
  <c r="X66" i="35036"/>
  <c r="AJ66" i="35036"/>
  <c r="AV66" i="35036"/>
  <c r="L66" i="35036"/>
  <c r="E66" i="34987"/>
  <c r="I66" i="34987"/>
  <c r="G66" i="34993"/>
  <c r="C66" i="34987"/>
  <c r="F66" i="34987"/>
  <c r="D66" i="34987"/>
  <c r="F66" i="34993"/>
  <c r="E66" i="34993"/>
  <c r="J66" i="34987"/>
  <c r="H66" i="34987"/>
  <c r="D66" i="34993"/>
  <c r="K66" i="34993"/>
  <c r="T67" i="34993"/>
  <c r="BV66" i="35036"/>
  <c r="CH66" i="35036"/>
  <c r="CT66" i="35036"/>
  <c r="P66" i="34993"/>
  <c r="BJ66" i="35036"/>
  <c r="L66" i="34987"/>
  <c r="M66" i="34987"/>
  <c r="Q66" i="34993"/>
  <c r="R66" i="34993"/>
  <c r="O66" i="34993"/>
  <c r="N66" i="34993"/>
  <c r="P66" i="34987"/>
  <c r="K66" i="34987"/>
  <c r="M66" i="34993"/>
  <c r="S66" i="34993"/>
  <c r="L66" i="34993"/>
  <c r="N66" i="34987"/>
  <c r="Y67" i="34993"/>
  <c r="AB67" i="34993"/>
  <c r="AC67" i="34993"/>
  <c r="X67" i="34993"/>
  <c r="AA67" i="34993"/>
  <c r="V67" i="34993"/>
  <c r="W67" i="34993"/>
  <c r="U67" i="34993"/>
  <c r="Z67" i="34993"/>
  <c r="AV67" i="35036" l="1"/>
  <c r="L67" i="35036"/>
  <c r="D67" i="34987"/>
  <c r="X67" i="35036"/>
  <c r="C67" i="34987"/>
  <c r="AJ67" i="35036"/>
  <c r="I67" i="34987"/>
  <c r="E67" i="34987"/>
  <c r="H67" i="34987"/>
  <c r="K67" i="34993"/>
  <c r="G67" i="34993"/>
  <c r="E67" i="34993"/>
  <c r="F67" i="34993"/>
  <c r="J67" i="34987"/>
  <c r="F67" i="34987"/>
  <c r="D67" i="34993"/>
  <c r="FS67" i="35036"/>
  <c r="GD67" i="35036"/>
  <c r="X67" i="34987"/>
  <c r="AE67" i="34993"/>
  <c r="Y67" i="34987"/>
  <c r="V67" i="34987"/>
  <c r="AD67" i="34993"/>
  <c r="W68" i="34993"/>
  <c r="AC68" i="34993"/>
  <c r="X68" i="34993"/>
  <c r="T68" i="34993"/>
  <c r="AB68" i="34993"/>
  <c r="Z68" i="34993"/>
  <c r="V68" i="34993"/>
  <c r="AA68" i="34993"/>
  <c r="U68" i="34993"/>
  <c r="Y68" i="34993"/>
  <c r="CH67" i="35036"/>
  <c r="BJ67" i="35036"/>
  <c r="P67" i="34993"/>
  <c r="CT67" i="35036"/>
  <c r="BV67" i="35036"/>
  <c r="N67" i="34987"/>
  <c r="L67" i="34987"/>
  <c r="M67" i="34987"/>
  <c r="N67" i="34993"/>
  <c r="Q67" i="34993"/>
  <c r="P67" i="34987"/>
  <c r="R67" i="34993"/>
  <c r="K67" i="34987"/>
  <c r="M67" i="34993"/>
  <c r="L67" i="34993"/>
  <c r="O67" i="34993"/>
  <c r="S67" i="34993"/>
  <c r="CH68" i="35036" l="1"/>
  <c r="CT68" i="35036"/>
  <c r="BV68" i="35036"/>
  <c r="BJ68" i="35036"/>
  <c r="P68" i="34993"/>
  <c r="M68" i="34987"/>
  <c r="K68" i="34987"/>
  <c r="N68" i="34987"/>
  <c r="P68" i="34987"/>
  <c r="S68" i="34993"/>
  <c r="N68" i="34993"/>
  <c r="L68" i="34987"/>
  <c r="O68" i="34993"/>
  <c r="Q68" i="34993"/>
  <c r="M68" i="34993"/>
  <c r="L68" i="34993"/>
  <c r="R68" i="34993"/>
  <c r="AB69" i="34993"/>
  <c r="Y69" i="34993"/>
  <c r="Z69" i="34993"/>
  <c r="X69" i="34993"/>
  <c r="W69" i="34993"/>
  <c r="AA69" i="34993"/>
  <c r="AC69" i="34993"/>
  <c r="Y68" i="34987"/>
  <c r="GD68" i="35036"/>
  <c r="FS68" i="35036"/>
  <c r="AE68" i="34993"/>
  <c r="X68" i="34987"/>
  <c r="V68" i="34987"/>
  <c r="AD68" i="34993"/>
  <c r="AV68" i="35036"/>
  <c r="AJ68" i="35036"/>
  <c r="I68" i="34987"/>
  <c r="L68" i="35036"/>
  <c r="X68" i="35036"/>
  <c r="E68" i="34987"/>
  <c r="D68" i="34987"/>
  <c r="G68" i="34993"/>
  <c r="C68" i="34987"/>
  <c r="K68" i="34993"/>
  <c r="E68" i="34993"/>
  <c r="F68" i="34993"/>
  <c r="H68" i="34987"/>
  <c r="F68" i="34987"/>
  <c r="J68" i="34987"/>
  <c r="D68" i="34993"/>
  <c r="P69" i="34993" l="1"/>
  <c r="CT69" i="35036"/>
  <c r="BJ69" i="35036"/>
  <c r="BV69" i="35036"/>
  <c r="CH69" i="35036"/>
  <c r="L69" i="34987"/>
  <c r="M69" i="34987"/>
  <c r="N69" i="34993"/>
  <c r="P69" i="34987"/>
  <c r="K69" i="34987"/>
  <c r="L69" i="34993"/>
  <c r="N69" i="34987"/>
  <c r="M69" i="34993"/>
  <c r="R69" i="34993"/>
  <c r="S69" i="34993"/>
  <c r="O69" i="34993"/>
  <c r="Q69" i="34993"/>
  <c r="X70" i="34993"/>
  <c r="W70" i="34993"/>
  <c r="AA70" i="34993"/>
  <c r="AC70" i="34993"/>
  <c r="U70" i="34993"/>
  <c r="Z70" i="34993"/>
  <c r="Y70" i="34993"/>
  <c r="AB70" i="34993"/>
  <c r="U69" i="34993"/>
  <c r="AJ69" i="35036"/>
  <c r="L69" i="35036"/>
  <c r="X69" i="35036"/>
  <c r="AV69" i="35036"/>
  <c r="C69" i="34987"/>
  <c r="E69" i="34987"/>
  <c r="D69" i="34987"/>
  <c r="I69" i="34987"/>
  <c r="G69" i="34993"/>
  <c r="E69" i="34993"/>
  <c r="J69" i="34987"/>
  <c r="H69" i="34987"/>
  <c r="F69" i="34987"/>
  <c r="F69" i="34993"/>
  <c r="K69" i="34993"/>
  <c r="D69" i="34993"/>
  <c r="T69" i="34993"/>
  <c r="FS69" i="35036"/>
  <c r="V69" i="34987"/>
  <c r="GD69" i="35036"/>
  <c r="Y69" i="34987"/>
  <c r="AE69" i="34993"/>
  <c r="AD69" i="34993"/>
  <c r="X69" i="34987"/>
  <c r="V69" i="34993"/>
  <c r="Y71" i="34993" l="1"/>
  <c r="AA71" i="34993"/>
  <c r="AC71" i="34993"/>
  <c r="AB71" i="34993"/>
  <c r="W71" i="34993"/>
  <c r="X71" i="34993"/>
  <c r="Z71" i="34993"/>
  <c r="AE70" i="34993"/>
  <c r="FS70" i="35036"/>
  <c r="GD70" i="35036"/>
  <c r="X70" i="34987"/>
  <c r="Y70" i="34987"/>
  <c r="AD70" i="34993"/>
  <c r="V70" i="34987"/>
  <c r="V71" i="34993"/>
  <c r="BV70" i="35036"/>
  <c r="BJ70" i="35036"/>
  <c r="CH70" i="35036"/>
  <c r="CT70" i="35036"/>
  <c r="P70" i="34993"/>
  <c r="P70" i="34987"/>
  <c r="N70" i="34993"/>
  <c r="M70" i="34987"/>
  <c r="R70" i="34993"/>
  <c r="N70" i="34987"/>
  <c r="M70" i="34993"/>
  <c r="O70" i="34993"/>
  <c r="L70" i="34987"/>
  <c r="S70" i="34993"/>
  <c r="Q70" i="34993"/>
  <c r="K70" i="34987"/>
  <c r="L70" i="34993"/>
  <c r="X70" i="35036"/>
  <c r="E70" i="34993"/>
  <c r="L70" i="35036"/>
  <c r="AJ70" i="35036"/>
  <c r="AV70" i="35036"/>
  <c r="I70" i="34987"/>
  <c r="D70" i="34987"/>
  <c r="G70" i="34993"/>
  <c r="J70" i="34987"/>
  <c r="E70" i="34987"/>
  <c r="F70" i="34993"/>
  <c r="H70" i="34987"/>
  <c r="C70" i="34987"/>
  <c r="D70" i="34993"/>
  <c r="K70" i="34993"/>
  <c r="F70" i="34987"/>
  <c r="T70" i="34993"/>
  <c r="V70" i="34993"/>
  <c r="CH71" i="35036" l="1"/>
  <c r="P71" i="34993"/>
  <c r="BJ71" i="35036"/>
  <c r="N71" i="34993"/>
  <c r="CT71" i="35036"/>
  <c r="BV71" i="35036"/>
  <c r="K71" i="34987"/>
  <c r="M71" i="34987"/>
  <c r="M71" i="34993"/>
  <c r="L71" i="34993"/>
  <c r="Q71" i="34993"/>
  <c r="O71" i="34993"/>
  <c r="P71" i="34987"/>
  <c r="N71" i="34987"/>
  <c r="R71" i="34993"/>
  <c r="L71" i="34987"/>
  <c r="S71" i="34993"/>
  <c r="AA72" i="34993"/>
  <c r="X72" i="34993"/>
  <c r="Y72" i="34993"/>
  <c r="Z72" i="34993"/>
  <c r="W72" i="34993"/>
  <c r="AB72" i="34993"/>
  <c r="AC72" i="34993"/>
  <c r="U72" i="34993"/>
  <c r="U71" i="34993"/>
  <c r="X71" i="35036"/>
  <c r="G71" i="34993"/>
  <c r="AV71" i="35036"/>
  <c r="J71" i="34987"/>
  <c r="AJ71" i="35036"/>
  <c r="L71" i="35036"/>
  <c r="I71" i="34987"/>
  <c r="E71" i="34987"/>
  <c r="K71" i="34993"/>
  <c r="C71" i="34987"/>
  <c r="D71" i="34993"/>
  <c r="D71" i="34987"/>
  <c r="E71" i="34993"/>
  <c r="F71" i="34987"/>
  <c r="F71" i="34993"/>
  <c r="H71" i="34987"/>
  <c r="T71" i="34993"/>
  <c r="AE71" i="34993"/>
  <c r="FS71" i="35036"/>
  <c r="GD71" i="35036"/>
  <c r="Y71" i="34987"/>
  <c r="X71" i="34987"/>
  <c r="AD71" i="34993"/>
  <c r="V71" i="34987"/>
  <c r="AV72" i="35036" l="1"/>
  <c r="AJ72" i="35036"/>
  <c r="L72" i="35036"/>
  <c r="X72" i="35036"/>
  <c r="D72" i="34987"/>
  <c r="E72" i="34993"/>
  <c r="C72" i="34987"/>
  <c r="D72" i="34993"/>
  <c r="J72" i="34987"/>
  <c r="K72" i="34993"/>
  <c r="I72" i="34987"/>
  <c r="F72" i="34993"/>
  <c r="H72" i="34987"/>
  <c r="E72" i="34987"/>
  <c r="G72" i="34993"/>
  <c r="F72" i="34987"/>
  <c r="GD72" i="35036"/>
  <c r="FS72" i="35036"/>
  <c r="AE72" i="34993"/>
  <c r="V72" i="34987"/>
  <c r="Y72" i="34987"/>
  <c r="X72" i="34987"/>
  <c r="AD72" i="34993"/>
  <c r="T72" i="34993"/>
  <c r="BV72" i="35036"/>
  <c r="M72" i="34987"/>
  <c r="CH72" i="35036"/>
  <c r="L72" i="34987"/>
  <c r="BJ72" i="35036"/>
  <c r="K72" i="34987"/>
  <c r="P72" i="34993"/>
  <c r="CT72" i="35036"/>
  <c r="Q72" i="34993"/>
  <c r="N72" i="34987"/>
  <c r="S72" i="34993"/>
  <c r="O72" i="34993"/>
  <c r="R72" i="34993"/>
  <c r="P72" i="34987"/>
  <c r="N72" i="34993"/>
  <c r="M72" i="34993"/>
  <c r="L72" i="34993"/>
  <c r="W73" i="34993"/>
  <c r="AB73" i="34993"/>
  <c r="Z73" i="34993"/>
  <c r="X73" i="34993"/>
  <c r="AC73" i="34993"/>
  <c r="AA73" i="34993"/>
  <c r="V73" i="34993"/>
  <c r="T73" i="34993"/>
  <c r="Y73" i="34993"/>
  <c r="U73" i="34993"/>
  <c r="V72" i="34993"/>
  <c r="AJ73" i="35036" l="1"/>
  <c r="L73" i="35036"/>
  <c r="AV73" i="35036"/>
  <c r="X73" i="35036"/>
  <c r="C73" i="34987"/>
  <c r="D73" i="34987"/>
  <c r="E73" i="34987"/>
  <c r="G73" i="34993"/>
  <c r="I73" i="34987"/>
  <c r="E73" i="34993"/>
  <c r="F73" i="34993"/>
  <c r="K73" i="34993"/>
  <c r="F73" i="34987"/>
  <c r="D73" i="34993"/>
  <c r="J73" i="34987"/>
  <c r="H73" i="34987"/>
  <c r="Y73" i="34987"/>
  <c r="GD73" i="35036"/>
  <c r="FS73" i="35036"/>
  <c r="V73" i="34987"/>
  <c r="AE73" i="34993"/>
  <c r="AD73" i="34993"/>
  <c r="X73" i="34987"/>
  <c r="X74" i="34993"/>
  <c r="AA74" i="34993"/>
  <c r="AC74" i="34993"/>
  <c r="T74" i="34993"/>
  <c r="Y74" i="34993"/>
  <c r="W74" i="34993"/>
  <c r="AB74" i="34993"/>
  <c r="V74" i="34993"/>
  <c r="Z74" i="34993"/>
  <c r="BJ73" i="35036"/>
  <c r="CH73" i="35036"/>
  <c r="BV73" i="35036"/>
  <c r="CT73" i="35036"/>
  <c r="P73" i="34993"/>
  <c r="O73" i="34993"/>
  <c r="N73" i="34993"/>
  <c r="M73" i="34987"/>
  <c r="R73" i="34993"/>
  <c r="K73" i="34987"/>
  <c r="L73" i="34987"/>
  <c r="M73" i="34993"/>
  <c r="L73" i="34993"/>
  <c r="Q73" i="34993"/>
  <c r="P73" i="34987"/>
  <c r="S73" i="34993"/>
  <c r="N73" i="34987"/>
  <c r="FS74" i="35036" l="1"/>
  <c r="Y74" i="34987"/>
  <c r="GD74" i="35036"/>
  <c r="AE74" i="34993"/>
  <c r="X74" i="34987"/>
  <c r="V74" i="34987"/>
  <c r="AD74" i="34993"/>
  <c r="AV74" i="35036"/>
  <c r="AJ74" i="35036"/>
  <c r="E74" i="34987"/>
  <c r="C74" i="34987"/>
  <c r="E74" i="34993"/>
  <c r="L74" i="35036"/>
  <c r="X74" i="35036"/>
  <c r="D74" i="34987"/>
  <c r="G74" i="34993"/>
  <c r="I74" i="34987"/>
  <c r="K74" i="34993"/>
  <c r="J74" i="34987"/>
  <c r="F74" i="34993"/>
  <c r="H74" i="34987"/>
  <c r="D74" i="34993"/>
  <c r="F74" i="34987"/>
  <c r="BV74" i="35036"/>
  <c r="M74" i="34993"/>
  <c r="P74" i="34993"/>
  <c r="CH74" i="35036"/>
  <c r="CT74" i="35036"/>
  <c r="BJ74" i="35036"/>
  <c r="K74" i="34987"/>
  <c r="L74" i="34987"/>
  <c r="M74" i="34987"/>
  <c r="L74" i="34993"/>
  <c r="P74" i="34987"/>
  <c r="Q74" i="34993"/>
  <c r="N74" i="34993"/>
  <c r="S74" i="34993"/>
  <c r="N74" i="34987"/>
  <c r="R74" i="34993"/>
  <c r="O74" i="34993"/>
  <c r="AB75" i="34993"/>
  <c r="V75" i="34993"/>
  <c r="AC75" i="34993"/>
  <c r="W75" i="34993"/>
  <c r="Z75" i="34993"/>
  <c r="U75" i="34993"/>
  <c r="T75" i="34993"/>
  <c r="AA75" i="34993"/>
  <c r="Y75" i="34993"/>
  <c r="X75" i="34993"/>
  <c r="U74" i="34993"/>
  <c r="H75" i="34987" l="1"/>
  <c r="AJ75" i="35036"/>
  <c r="J75" i="34987"/>
  <c r="L75" i="35036"/>
  <c r="X75" i="35036"/>
  <c r="AV75" i="35036"/>
  <c r="C75" i="34987"/>
  <c r="D75" i="34987"/>
  <c r="E75" i="34993"/>
  <c r="G75" i="34993"/>
  <c r="E75" i="34987"/>
  <c r="I75" i="34987"/>
  <c r="F75" i="34993"/>
  <c r="F75" i="34987"/>
  <c r="K75" i="34993"/>
  <c r="D75" i="34993"/>
  <c r="Y75" i="34987"/>
  <c r="FS75" i="35036"/>
  <c r="GD75" i="35036"/>
  <c r="V75" i="34987"/>
  <c r="X75" i="34987"/>
  <c r="AE75" i="34993"/>
  <c r="AD75" i="34993"/>
  <c r="X76" i="34993"/>
  <c r="Y76" i="34993"/>
  <c r="AA76" i="34993"/>
  <c r="W76" i="34993"/>
  <c r="AC76" i="34993"/>
  <c r="T76" i="34993"/>
  <c r="Z76" i="34993"/>
  <c r="AB76" i="34993"/>
  <c r="V76" i="34993"/>
  <c r="CH75" i="35036"/>
  <c r="CT75" i="35036"/>
  <c r="P75" i="34993"/>
  <c r="BJ75" i="35036"/>
  <c r="BV75" i="35036"/>
  <c r="L75" i="34987"/>
  <c r="Q75" i="34993"/>
  <c r="N75" i="34987"/>
  <c r="M75" i="34993"/>
  <c r="M75" i="34987"/>
  <c r="N75" i="34993"/>
  <c r="L75" i="34993"/>
  <c r="O75" i="34993"/>
  <c r="R75" i="34993"/>
  <c r="P75" i="34987"/>
  <c r="S75" i="34993"/>
  <c r="K75" i="34987"/>
  <c r="FS76" i="35036" l="1"/>
  <c r="V76" i="34987"/>
  <c r="GD76" i="35036"/>
  <c r="Y76" i="34987"/>
  <c r="AE76" i="34993"/>
  <c r="X76" i="34987"/>
  <c r="AD76" i="34993"/>
  <c r="AV76" i="35036"/>
  <c r="J76" i="34987"/>
  <c r="AJ76" i="35036"/>
  <c r="D76" i="34987"/>
  <c r="I76" i="34987"/>
  <c r="L76" i="35036"/>
  <c r="X76" i="35036"/>
  <c r="F76" i="34993"/>
  <c r="D76" i="34993"/>
  <c r="C76" i="34987"/>
  <c r="K76" i="34993"/>
  <c r="G76" i="34993"/>
  <c r="E76" i="34993"/>
  <c r="H76" i="34987"/>
  <c r="F76" i="34987"/>
  <c r="E76" i="34987"/>
  <c r="P76" i="34993"/>
  <c r="BV76" i="35036"/>
  <c r="CH76" i="35036"/>
  <c r="CT76" i="35036"/>
  <c r="BJ76" i="35036"/>
  <c r="Q76" i="34993"/>
  <c r="M76" i="34987"/>
  <c r="K76" i="34987"/>
  <c r="L76" i="34987"/>
  <c r="P76" i="34987"/>
  <c r="O76" i="34993"/>
  <c r="N76" i="34987"/>
  <c r="S76" i="34993"/>
  <c r="R76" i="34993"/>
  <c r="N76" i="34993"/>
  <c r="L76" i="34993"/>
  <c r="M76" i="34993"/>
  <c r="U76" i="34993"/>
  <c r="X77" i="34993"/>
  <c r="Z77" i="34993"/>
  <c r="Y77" i="34993"/>
  <c r="AC77" i="34993"/>
  <c r="U77" i="34993"/>
  <c r="W77" i="34993"/>
  <c r="T77" i="34993"/>
  <c r="AA77" i="34993"/>
  <c r="AB77" i="34993"/>
  <c r="V77" i="34993"/>
  <c r="AJ77" i="35036" l="1"/>
  <c r="G77" i="34993"/>
  <c r="E77" i="34987"/>
  <c r="X77" i="35036"/>
  <c r="AV77" i="35036"/>
  <c r="L77" i="35036"/>
  <c r="E77" i="34993"/>
  <c r="D77" i="34987"/>
  <c r="I77" i="34987"/>
  <c r="J77" i="34987"/>
  <c r="C77" i="34987"/>
  <c r="F77" i="34993"/>
  <c r="F77" i="34987"/>
  <c r="H77" i="34987"/>
  <c r="K77" i="34993"/>
  <c r="D77" i="34993"/>
  <c r="V77" i="34987"/>
  <c r="FS77" i="35036"/>
  <c r="GD77" i="35036"/>
  <c r="X77" i="34987"/>
  <c r="Y77" i="34987"/>
  <c r="AE77" i="34993"/>
  <c r="AD77" i="34993"/>
  <c r="V78" i="34993"/>
  <c r="Y78" i="34993"/>
  <c r="AC78" i="34993"/>
  <c r="AB78" i="34993"/>
  <c r="AA78" i="34993"/>
  <c r="X78" i="34993"/>
  <c r="W78" i="34993"/>
  <c r="Z78" i="34993"/>
  <c r="T78" i="34993"/>
  <c r="BV77" i="35036"/>
  <c r="CH77" i="35036"/>
  <c r="P77" i="34993"/>
  <c r="CT77" i="35036"/>
  <c r="BJ77" i="35036"/>
  <c r="P77" i="34987"/>
  <c r="M77" i="34993"/>
  <c r="N77" i="34993"/>
  <c r="L77" i="34987"/>
  <c r="M77" i="34987"/>
  <c r="Q77" i="34993"/>
  <c r="K77" i="34987"/>
  <c r="S77" i="34993"/>
  <c r="R77" i="34993"/>
  <c r="O77" i="34993"/>
  <c r="L77" i="34993"/>
  <c r="N77" i="34987"/>
  <c r="U78" i="34993" l="1"/>
  <c r="BV78" i="35036"/>
  <c r="CT78" i="35036"/>
  <c r="CH78" i="35036"/>
  <c r="N78" i="34993"/>
  <c r="P78" i="34987"/>
  <c r="BJ78" i="35036"/>
  <c r="P78" i="34993"/>
  <c r="L78" i="34987"/>
  <c r="Q78" i="34993"/>
  <c r="R78" i="34993"/>
  <c r="S78" i="34993"/>
  <c r="N78" i="34987"/>
  <c r="M78" i="34987"/>
  <c r="O78" i="34993"/>
  <c r="K78" i="34987"/>
  <c r="L78" i="34993"/>
  <c r="M78" i="34993"/>
  <c r="AJ78" i="35036"/>
  <c r="L78" i="35036"/>
  <c r="X78" i="35036"/>
  <c r="AV78" i="35036"/>
  <c r="E78" i="34987"/>
  <c r="G78" i="34993"/>
  <c r="E78" i="34993"/>
  <c r="H78" i="34987"/>
  <c r="D78" i="34987"/>
  <c r="F78" i="34993"/>
  <c r="C78" i="34987"/>
  <c r="K78" i="34993"/>
  <c r="F78" i="34987"/>
  <c r="J78" i="34987"/>
  <c r="I78" i="34987"/>
  <c r="D78" i="34993"/>
  <c r="AA79" i="34993"/>
  <c r="X79" i="34993"/>
  <c r="Y79" i="34993"/>
  <c r="AC79" i="34993"/>
  <c r="Z79" i="34993"/>
  <c r="T79" i="34993"/>
  <c r="U79" i="34993"/>
  <c r="AB79" i="34993"/>
  <c r="W79" i="34993"/>
  <c r="FS78" i="35036"/>
  <c r="GD78" i="35036"/>
  <c r="Y78" i="34987"/>
  <c r="AE78" i="34993"/>
  <c r="V78" i="34987"/>
  <c r="AD78" i="34993"/>
  <c r="X78" i="34987"/>
  <c r="FS79" i="35036" l="1"/>
  <c r="GD79" i="35036"/>
  <c r="Y79" i="34987"/>
  <c r="V79" i="34987"/>
  <c r="AE79" i="34993"/>
  <c r="X79" i="34987"/>
  <c r="AD79" i="34993"/>
  <c r="AA80" i="34993"/>
  <c r="X80" i="34993"/>
  <c r="Y80" i="34993"/>
  <c r="V80" i="34993"/>
  <c r="W80" i="34993"/>
  <c r="AC80" i="34993"/>
  <c r="AB80" i="34993"/>
  <c r="Z80" i="34993"/>
  <c r="V79" i="34993"/>
  <c r="CT79" i="35036"/>
  <c r="P79" i="34993"/>
  <c r="Q79" i="34993"/>
  <c r="BJ79" i="35036"/>
  <c r="CH79" i="35036"/>
  <c r="BV79" i="35036"/>
  <c r="L79" i="34987"/>
  <c r="P79" i="34987"/>
  <c r="S79" i="34993"/>
  <c r="K79" i="34987"/>
  <c r="M79" i="34987"/>
  <c r="M79" i="34993"/>
  <c r="R79" i="34993"/>
  <c r="L79" i="34993"/>
  <c r="N79" i="34987"/>
  <c r="N79" i="34993"/>
  <c r="O79" i="34993"/>
  <c r="AJ79" i="35036"/>
  <c r="E79" i="34987"/>
  <c r="L79" i="35036"/>
  <c r="X79" i="35036"/>
  <c r="C79" i="34987"/>
  <c r="D79" i="34987"/>
  <c r="I79" i="34987"/>
  <c r="J79" i="34987"/>
  <c r="AV79" i="35036"/>
  <c r="G79" i="34993"/>
  <c r="H79" i="34987"/>
  <c r="E79" i="34993"/>
  <c r="F79" i="34993"/>
  <c r="K79" i="34993"/>
  <c r="F79" i="34987"/>
  <c r="D79" i="34993"/>
  <c r="BJ80" i="35036" l="1"/>
  <c r="BV80" i="35036"/>
  <c r="P80" i="34993"/>
  <c r="CH80" i="35036"/>
  <c r="CT80" i="35036"/>
  <c r="M80" i="34987"/>
  <c r="K80" i="34987"/>
  <c r="N80" i="34993"/>
  <c r="L80" i="34987"/>
  <c r="P80" i="34987"/>
  <c r="N80" i="34987"/>
  <c r="L80" i="34993"/>
  <c r="Q80" i="34993"/>
  <c r="O80" i="34993"/>
  <c r="M80" i="34993"/>
  <c r="R80" i="34993"/>
  <c r="S80" i="34993"/>
  <c r="T80" i="34993"/>
  <c r="AV80" i="35036"/>
  <c r="L80" i="35036"/>
  <c r="X80" i="35036"/>
  <c r="AJ80" i="35036"/>
  <c r="E80" i="34987"/>
  <c r="D80" i="34987"/>
  <c r="E80" i="34993"/>
  <c r="I80" i="34987"/>
  <c r="C80" i="34987"/>
  <c r="J80" i="34987"/>
  <c r="H80" i="34987"/>
  <c r="F80" i="34993"/>
  <c r="G80" i="34993"/>
  <c r="D80" i="34993"/>
  <c r="K80" i="34993"/>
  <c r="F80" i="34987"/>
  <c r="AB81" i="34993"/>
  <c r="AC81" i="34993"/>
  <c r="Z81" i="34993"/>
  <c r="W81" i="34993"/>
  <c r="AA81" i="34993"/>
  <c r="X81" i="34993"/>
  <c r="Y81" i="34993"/>
  <c r="U81" i="34993"/>
  <c r="T81" i="34993"/>
  <c r="Y80" i="34987"/>
  <c r="V80" i="34987"/>
  <c r="GD80" i="35036"/>
  <c r="FS80" i="35036"/>
  <c r="AE80" i="34993"/>
  <c r="X80" i="34987"/>
  <c r="AD80" i="34993"/>
  <c r="V81" i="34993"/>
  <c r="U80" i="34993"/>
  <c r="W82" i="34993" l="1"/>
  <c r="AB82" i="34993"/>
  <c r="X82" i="34993"/>
  <c r="Y82" i="34993"/>
  <c r="Z82" i="34993"/>
  <c r="AA82" i="34993"/>
  <c r="AC82" i="34993"/>
  <c r="BJ81" i="35036"/>
  <c r="P81" i="34993"/>
  <c r="CH81" i="35036"/>
  <c r="CT81" i="35036"/>
  <c r="BV81" i="35036"/>
  <c r="P81" i="34987"/>
  <c r="L81" i="34987"/>
  <c r="M81" i="34993"/>
  <c r="M81" i="34987"/>
  <c r="Q81" i="34993"/>
  <c r="L81" i="34993"/>
  <c r="N81" i="34993"/>
  <c r="K81" i="34987"/>
  <c r="N81" i="34987"/>
  <c r="S81" i="34993"/>
  <c r="O81" i="34993"/>
  <c r="R81" i="34993"/>
  <c r="GD81" i="35036"/>
  <c r="FS81" i="35036"/>
  <c r="V81" i="34987"/>
  <c r="Y81" i="34987"/>
  <c r="AE81" i="34993"/>
  <c r="AD81" i="34993"/>
  <c r="X81" i="34987"/>
  <c r="AV81" i="35036"/>
  <c r="AJ81" i="35036"/>
  <c r="L81" i="35036"/>
  <c r="X81" i="35036"/>
  <c r="G81" i="34993"/>
  <c r="D81" i="34987"/>
  <c r="C81" i="34987"/>
  <c r="I81" i="34987"/>
  <c r="E81" i="34987"/>
  <c r="E81" i="34993"/>
  <c r="D81" i="34993"/>
  <c r="F81" i="34987"/>
  <c r="K81" i="34993"/>
  <c r="J81" i="34987"/>
  <c r="F81" i="34993"/>
  <c r="H81" i="34987"/>
  <c r="L82" i="35036" l="1"/>
  <c r="AJ82" i="35036"/>
  <c r="X82" i="35036"/>
  <c r="AV82" i="35036"/>
  <c r="J82" i="34987"/>
  <c r="D82" i="34987"/>
  <c r="C82" i="34987"/>
  <c r="E82" i="34987"/>
  <c r="E82" i="34993"/>
  <c r="H82" i="34987"/>
  <c r="I82" i="34987"/>
  <c r="F82" i="34987"/>
  <c r="F82" i="34993"/>
  <c r="K82" i="34993"/>
  <c r="G82" i="34993"/>
  <c r="D82" i="34993"/>
  <c r="GD82" i="35036"/>
  <c r="FS82" i="35036"/>
  <c r="V82" i="34987"/>
  <c r="AE82" i="34993"/>
  <c r="Y82" i="34987"/>
  <c r="AD82" i="34993"/>
  <c r="X82" i="34987"/>
  <c r="BV82" i="35036"/>
  <c r="BJ82" i="35036"/>
  <c r="CH82" i="35036"/>
  <c r="P82" i="34993"/>
  <c r="CT82" i="35036"/>
  <c r="K82" i="34987"/>
  <c r="L82" i="34987"/>
  <c r="N82" i="34993"/>
  <c r="S82" i="34993"/>
  <c r="M82" i="34987"/>
  <c r="R82" i="34993"/>
  <c r="Q82" i="34993"/>
  <c r="P82" i="34987"/>
  <c r="N82" i="34987"/>
  <c r="L82" i="34993"/>
  <c r="O82" i="34993"/>
  <c r="M82" i="34993"/>
  <c r="V82" i="34993"/>
  <c r="T82" i="34993"/>
  <c r="AB83" i="34993"/>
  <c r="Z83" i="34993"/>
  <c r="W83" i="34993"/>
  <c r="X83" i="34993"/>
  <c r="AC83" i="34993"/>
  <c r="U83" i="34993"/>
  <c r="Y83" i="34993"/>
  <c r="T83" i="34993"/>
  <c r="AA83" i="34993"/>
  <c r="V83" i="34993"/>
  <c r="U82" i="34993"/>
  <c r="BV83" i="35036" l="1"/>
  <c r="P83" i="34993"/>
  <c r="CH83" i="35036"/>
  <c r="BJ83" i="35036"/>
  <c r="CT83" i="35036"/>
  <c r="L83" i="34987"/>
  <c r="K83" i="34987"/>
  <c r="N83" i="34987"/>
  <c r="P83" i="34987"/>
  <c r="Q83" i="34993"/>
  <c r="S83" i="34993"/>
  <c r="M83" i="34993"/>
  <c r="R83" i="34993"/>
  <c r="N83" i="34993"/>
  <c r="O83" i="34993"/>
  <c r="M83" i="34987"/>
  <c r="L83" i="34993"/>
  <c r="X83" i="35036"/>
  <c r="E83" i="34987"/>
  <c r="AV83" i="35036"/>
  <c r="J83" i="34987"/>
  <c r="AJ83" i="35036"/>
  <c r="E83" i="34993"/>
  <c r="L83" i="35036"/>
  <c r="D83" i="34987"/>
  <c r="I83" i="34987"/>
  <c r="G83" i="34993"/>
  <c r="D83" i="34993"/>
  <c r="C83" i="34987"/>
  <c r="F83" i="34993"/>
  <c r="F83" i="34987"/>
  <c r="H83" i="34987"/>
  <c r="K83" i="34993"/>
  <c r="X84" i="34993"/>
  <c r="AA84" i="34993"/>
  <c r="AB84" i="34993"/>
  <c r="AC84" i="34993"/>
  <c r="W84" i="34993"/>
  <c r="Y84" i="34993"/>
  <c r="Z84" i="34993"/>
  <c r="U84" i="34993"/>
  <c r="T84" i="34993"/>
  <c r="FS83" i="35036"/>
  <c r="GD83" i="35036"/>
  <c r="AD83" i="34993"/>
  <c r="Y83" i="34987"/>
  <c r="V83" i="34987"/>
  <c r="AE83" i="34993"/>
  <c r="X83" i="34987"/>
  <c r="V84" i="34993"/>
  <c r="Q84" i="34993" l="1"/>
  <c r="BV84" i="35036"/>
  <c r="P84" i="34987"/>
  <c r="CH84" i="35036"/>
  <c r="P84" i="34993"/>
  <c r="CT84" i="35036"/>
  <c r="BJ84" i="35036"/>
  <c r="K84" i="34987"/>
  <c r="BE11" i="35036" s="1" a="1"/>
  <c r="BE83" i="35036" s="1"/>
  <c r="N84" i="34987"/>
  <c r="CO11" i="35036" s="1" a="1"/>
  <c r="L84" i="34987"/>
  <c r="BQ11" i="35036" s="1" a="1"/>
  <c r="BQ83" i="35036" s="1"/>
  <c r="S84" i="34993"/>
  <c r="O84" i="34993"/>
  <c r="M84" i="34987"/>
  <c r="CC11" i="35036" s="1" a="1"/>
  <c r="L84" i="34993"/>
  <c r="M84" i="34993"/>
  <c r="R84" i="34993"/>
  <c r="N84" i="34993"/>
  <c r="FS84" i="35036"/>
  <c r="GD84" i="35036"/>
  <c r="V84" i="34987"/>
  <c r="FM11" i="35036" s="1" a="1"/>
  <c r="AE84" i="34993"/>
  <c r="Y84" i="34987"/>
  <c r="X84" i="34987"/>
  <c r="FX11" i="35036" s="1" a="1"/>
  <c r="AD84" i="34993"/>
  <c r="E84" i="34993"/>
  <c r="AJ84" i="35036"/>
  <c r="L84" i="35036"/>
  <c r="AV84" i="35036"/>
  <c r="X84" i="35036"/>
  <c r="I84" i="34987"/>
  <c r="E84" i="34987"/>
  <c r="AE11" i="35036" s="1" a="1"/>
  <c r="AE83" i="35036" s="1"/>
  <c r="H84" i="34987"/>
  <c r="D84" i="34993"/>
  <c r="G84" i="34993"/>
  <c r="J84" i="34987"/>
  <c r="C84" i="34987"/>
  <c r="G11" i="35036" s="1" a="1"/>
  <c r="F84" i="34987"/>
  <c r="AQ11" i="35036" s="1" a="1"/>
  <c r="F84" i="34993"/>
  <c r="D84" i="34987"/>
  <c r="S11" i="35036" s="1" a="1"/>
  <c r="K84" i="34993"/>
  <c r="G14" i="35036" l="1"/>
  <c r="G19" i="35036"/>
  <c r="G26" i="35036"/>
  <c r="G17" i="35036"/>
  <c r="G23" i="35036"/>
  <c r="G31" i="35036"/>
  <c r="G28" i="35036"/>
  <c r="G15" i="35036"/>
  <c r="G20" i="35036"/>
  <c r="G29" i="35036"/>
  <c r="G18" i="35036"/>
  <c r="G27" i="35036"/>
  <c r="G21" i="35036"/>
  <c r="G24" i="35036"/>
  <c r="G12" i="35036"/>
  <c r="G13" i="35036"/>
  <c r="G16" i="35036"/>
  <c r="G22" i="35036"/>
  <c r="G11" i="35036"/>
  <c r="G25" i="35036"/>
  <c r="G30" i="35036"/>
  <c r="G32" i="35036"/>
  <c r="G34" i="35036"/>
  <c r="G33" i="35036"/>
  <c r="G35" i="35036"/>
  <c r="G36" i="35036"/>
  <c r="G37" i="35036"/>
  <c r="G38" i="35036"/>
  <c r="G39" i="35036"/>
  <c r="G40" i="35036"/>
  <c r="G41" i="35036"/>
  <c r="G42" i="35036"/>
  <c r="G43" i="35036"/>
  <c r="G44" i="35036"/>
  <c r="G45" i="35036"/>
  <c r="G46" i="35036"/>
  <c r="G47" i="35036"/>
  <c r="G48" i="35036"/>
  <c r="G49" i="35036"/>
  <c r="G50" i="35036"/>
  <c r="G51" i="35036"/>
  <c r="G52" i="35036"/>
  <c r="G53" i="35036"/>
  <c r="G54" i="35036"/>
  <c r="G55" i="35036"/>
  <c r="G56" i="35036"/>
  <c r="G57" i="35036"/>
  <c r="G58" i="35036"/>
  <c r="G59" i="35036"/>
  <c r="G60" i="35036"/>
  <c r="G61" i="35036"/>
  <c r="G62" i="35036"/>
  <c r="G63" i="35036"/>
  <c r="G64" i="35036"/>
  <c r="G65" i="35036"/>
  <c r="G66" i="35036"/>
  <c r="G67" i="35036"/>
  <c r="G68" i="35036"/>
  <c r="G69" i="35036"/>
  <c r="G70" i="35036"/>
  <c r="G71" i="35036"/>
  <c r="G72" i="35036"/>
  <c r="G73" i="35036"/>
  <c r="G74" i="35036"/>
  <c r="G75" i="35036"/>
  <c r="G76" i="35036"/>
  <c r="G77" i="35036"/>
  <c r="G78" i="35036"/>
  <c r="G79" i="35036"/>
  <c r="G80" i="35036"/>
  <c r="G81" i="35036"/>
  <c r="G82" i="35036"/>
  <c r="S16" i="35036"/>
  <c r="S13" i="35036"/>
  <c r="S28" i="35036"/>
  <c r="S24" i="35036"/>
  <c r="S20" i="35036"/>
  <c r="S11" i="35036"/>
  <c r="S31" i="35036"/>
  <c r="S29" i="35036"/>
  <c r="S27" i="35036"/>
  <c r="S25" i="35036"/>
  <c r="S23" i="35036"/>
  <c r="S21" i="35036"/>
  <c r="S19" i="35036"/>
  <c r="S17" i="35036"/>
  <c r="S15" i="35036"/>
  <c r="S14" i="35036"/>
  <c r="S18" i="35036"/>
  <c r="S30" i="35036"/>
  <c r="S26" i="35036"/>
  <c r="S22" i="35036"/>
  <c r="S12" i="35036"/>
  <c r="S33" i="35036"/>
  <c r="S34" i="35036"/>
  <c r="S32" i="35036"/>
  <c r="S35" i="35036"/>
  <c r="S36" i="35036"/>
  <c r="S37" i="35036"/>
  <c r="S38" i="35036"/>
  <c r="S39" i="35036"/>
  <c r="S40" i="35036"/>
  <c r="S41" i="35036"/>
  <c r="S42" i="35036"/>
  <c r="S43" i="35036"/>
  <c r="S44" i="35036"/>
  <c r="S45" i="35036"/>
  <c r="S46" i="35036"/>
  <c r="S47" i="35036"/>
  <c r="S48" i="35036"/>
  <c r="S49" i="35036"/>
  <c r="S50" i="35036"/>
  <c r="S51" i="35036"/>
  <c r="S52" i="35036"/>
  <c r="S53" i="35036"/>
  <c r="S54" i="35036"/>
  <c r="S55" i="35036"/>
  <c r="S56" i="35036"/>
  <c r="S57" i="35036"/>
  <c r="S58" i="35036"/>
  <c r="S59" i="35036"/>
  <c r="S60" i="35036"/>
  <c r="S61" i="35036"/>
  <c r="S62" i="35036"/>
  <c r="S63" i="35036"/>
  <c r="S64" i="35036"/>
  <c r="S65" i="35036"/>
  <c r="S66" i="35036"/>
  <c r="S67" i="35036"/>
  <c r="S68" i="35036"/>
  <c r="S69" i="35036"/>
  <c r="S70" i="35036"/>
  <c r="S71" i="35036"/>
  <c r="S72" i="35036"/>
  <c r="S73" i="35036"/>
  <c r="S74" i="35036"/>
  <c r="S75" i="35036"/>
  <c r="S76" i="35036"/>
  <c r="S77" i="35036"/>
  <c r="S78" i="35036"/>
  <c r="S79" i="35036"/>
  <c r="S80" i="35036"/>
  <c r="S81" i="35036"/>
  <c r="S82" i="35036"/>
  <c r="S83" i="35036"/>
  <c r="FM30" i="35036"/>
  <c r="FM13" i="35036"/>
  <c r="FM26" i="35036"/>
  <c r="FM11" i="35036"/>
  <c r="FM22" i="35036"/>
  <c r="FM16" i="35036"/>
  <c r="FM18" i="35036"/>
  <c r="FM12" i="35036"/>
  <c r="FM15" i="35036"/>
  <c r="FM29" i="35036"/>
  <c r="FM21" i="35036"/>
  <c r="FM31" i="35036"/>
  <c r="FM28" i="35036"/>
  <c r="FM19" i="35036"/>
  <c r="FM25" i="35036"/>
  <c r="FM27" i="35036"/>
  <c r="FM24" i="35036"/>
  <c r="FM17" i="35036"/>
  <c r="FM14" i="35036"/>
  <c r="FM20" i="35036"/>
  <c r="FM23" i="35036"/>
  <c r="FM32" i="35036"/>
  <c r="FM34" i="35036"/>
  <c r="FM33" i="35036"/>
  <c r="FM35" i="35036"/>
  <c r="FM36" i="35036"/>
  <c r="FM37" i="35036"/>
  <c r="FM38" i="35036"/>
  <c r="FM39" i="35036"/>
  <c r="FM40" i="35036"/>
  <c r="FM41" i="35036"/>
  <c r="FM42" i="35036"/>
  <c r="FM43" i="35036"/>
  <c r="FM44" i="35036"/>
  <c r="FM45" i="35036"/>
  <c r="FM46" i="35036"/>
  <c r="FM47" i="35036"/>
  <c r="FM48" i="35036"/>
  <c r="FM49" i="35036"/>
  <c r="FM50" i="35036"/>
  <c r="FM51" i="35036"/>
  <c r="FM52" i="35036"/>
  <c r="FM53" i="35036"/>
  <c r="FM54" i="35036"/>
  <c r="FM55" i="35036"/>
  <c r="FM56" i="35036"/>
  <c r="FM57" i="35036"/>
  <c r="FM58" i="35036"/>
  <c r="FM59" i="35036"/>
  <c r="FM60" i="35036"/>
  <c r="FM61" i="35036"/>
  <c r="FM62" i="35036"/>
  <c r="FM63" i="35036"/>
  <c r="FM64" i="35036"/>
  <c r="FM65" i="35036"/>
  <c r="FM66" i="35036"/>
  <c r="FM67" i="35036"/>
  <c r="FM68" i="35036"/>
  <c r="FM69" i="35036"/>
  <c r="FM70" i="35036"/>
  <c r="FM71" i="35036"/>
  <c r="FM72" i="35036"/>
  <c r="FM73" i="35036"/>
  <c r="FM74" i="35036"/>
  <c r="FM75" i="35036"/>
  <c r="FM76" i="35036"/>
  <c r="FM77" i="35036"/>
  <c r="FM78" i="35036"/>
  <c r="FM79" i="35036"/>
  <c r="FM80" i="35036"/>
  <c r="FM81" i="35036"/>
  <c r="FM82" i="35036"/>
  <c r="FX28" i="35036"/>
  <c r="FX12" i="35036"/>
  <c r="FX30" i="35036"/>
  <c r="FX16" i="35036"/>
  <c r="FX11" i="35036"/>
  <c r="FX24" i="35036"/>
  <c r="FX22" i="35036"/>
  <c r="FX31" i="35036"/>
  <c r="FX29" i="35036"/>
  <c r="FX15" i="35036"/>
  <c r="FX27" i="35036"/>
  <c r="FX14" i="35036"/>
  <c r="FX17" i="35036"/>
  <c r="FX21" i="35036"/>
  <c r="FX19" i="35036"/>
  <c r="FX26" i="35036"/>
  <c r="FX13" i="35036"/>
  <c r="FX25" i="35036"/>
  <c r="FX23" i="35036"/>
  <c r="FX18" i="35036"/>
  <c r="FX20" i="35036"/>
  <c r="FX32" i="35036"/>
  <c r="FX33" i="35036"/>
  <c r="FX34" i="35036"/>
  <c r="FX35" i="35036"/>
  <c r="FX36" i="35036"/>
  <c r="FX37" i="35036"/>
  <c r="FX38" i="35036"/>
  <c r="FX39" i="35036"/>
  <c r="FX40" i="35036"/>
  <c r="FX41" i="35036"/>
  <c r="FX42" i="35036"/>
  <c r="FX43" i="35036"/>
  <c r="FX44" i="35036"/>
  <c r="FX45" i="35036"/>
  <c r="FX46" i="35036"/>
  <c r="FX47" i="35036"/>
  <c r="FX48" i="35036"/>
  <c r="FX49" i="35036"/>
  <c r="FX50" i="35036"/>
  <c r="FX51" i="35036"/>
  <c r="FX52" i="35036"/>
  <c r="FX53" i="35036"/>
  <c r="FX54" i="35036"/>
  <c r="FX55" i="35036"/>
  <c r="FX56" i="35036"/>
  <c r="FX57" i="35036"/>
  <c r="FX58" i="35036"/>
  <c r="FX59" i="35036"/>
  <c r="FX60" i="35036"/>
  <c r="FX61" i="35036"/>
  <c r="FX62" i="35036"/>
  <c r="FX63" i="35036"/>
  <c r="FX64" i="35036"/>
  <c r="FX65" i="35036"/>
  <c r="FX66" i="35036"/>
  <c r="FX67" i="35036"/>
  <c r="FX68" i="35036"/>
  <c r="FX69" i="35036"/>
  <c r="FX70" i="35036"/>
  <c r="FX71" i="35036"/>
  <c r="FX72" i="35036"/>
  <c r="FX73" i="35036"/>
  <c r="FX74" i="35036"/>
  <c r="FX75" i="35036"/>
  <c r="FX76" i="35036"/>
  <c r="FX77" i="35036"/>
  <c r="FX78" i="35036"/>
  <c r="FX79" i="35036"/>
  <c r="FX80" i="35036"/>
  <c r="FX81" i="35036"/>
  <c r="FX82" i="35036"/>
  <c r="FX83" i="35036"/>
  <c r="BQ11" i="35036"/>
  <c r="BQ12" i="35036"/>
  <c r="BQ13" i="35036"/>
  <c r="BQ23" i="35036"/>
  <c r="BQ28" i="35036"/>
  <c r="BQ29" i="35036"/>
  <c r="BQ22" i="35036"/>
  <c r="BQ26" i="35036"/>
  <c r="BQ20" i="35036"/>
  <c r="BQ30" i="35036"/>
  <c r="BQ25" i="35036"/>
  <c r="BQ18" i="35036"/>
  <c r="BQ19" i="35036"/>
  <c r="BQ24" i="35036"/>
  <c r="BQ31" i="35036"/>
  <c r="BQ15" i="35036"/>
  <c r="BQ14" i="35036"/>
  <c r="BQ17" i="35036"/>
  <c r="BQ16" i="35036"/>
  <c r="BQ27" i="35036"/>
  <c r="BQ21" i="35036"/>
  <c r="BQ33" i="35036"/>
  <c r="BQ34" i="35036"/>
  <c r="BQ32" i="35036"/>
  <c r="BQ35" i="35036"/>
  <c r="BQ36" i="35036"/>
  <c r="BQ37" i="35036"/>
  <c r="BQ38" i="35036"/>
  <c r="BQ39" i="35036"/>
  <c r="BQ40" i="35036"/>
  <c r="BQ41" i="35036"/>
  <c r="BQ42" i="35036"/>
  <c r="BQ43" i="35036"/>
  <c r="BQ44" i="35036"/>
  <c r="BQ45" i="35036"/>
  <c r="BQ46" i="35036"/>
  <c r="BQ47" i="35036"/>
  <c r="BQ48" i="35036"/>
  <c r="BQ49" i="35036"/>
  <c r="BQ50" i="35036"/>
  <c r="BQ51" i="35036"/>
  <c r="BQ52" i="35036"/>
  <c r="BQ53" i="35036"/>
  <c r="BQ54" i="35036"/>
  <c r="BQ55" i="35036"/>
  <c r="BQ56" i="35036"/>
  <c r="BQ57" i="35036"/>
  <c r="BQ58" i="35036"/>
  <c r="BQ59" i="35036"/>
  <c r="BQ60" i="35036"/>
  <c r="BQ61" i="35036"/>
  <c r="BQ62" i="35036"/>
  <c r="BQ63" i="35036"/>
  <c r="BQ64" i="35036"/>
  <c r="BQ65" i="35036"/>
  <c r="BQ66" i="35036"/>
  <c r="BQ67" i="35036"/>
  <c r="BQ68" i="35036"/>
  <c r="BQ69" i="35036"/>
  <c r="BQ70" i="35036"/>
  <c r="BQ71" i="35036"/>
  <c r="BQ72" i="35036"/>
  <c r="BQ73" i="35036"/>
  <c r="BQ74" i="35036"/>
  <c r="BQ75" i="35036"/>
  <c r="BQ76" i="35036"/>
  <c r="BQ77" i="35036"/>
  <c r="BQ78" i="35036"/>
  <c r="BQ79" i="35036"/>
  <c r="BQ80" i="35036"/>
  <c r="BQ81" i="35036"/>
  <c r="BQ82" i="35036"/>
  <c r="G83" i="35036"/>
  <c r="FM83" i="35036"/>
  <c r="AQ18" i="35036"/>
  <c r="AQ21" i="35036"/>
  <c r="AQ25" i="35036"/>
  <c r="AQ29" i="35036"/>
  <c r="AQ31" i="35036"/>
  <c r="AQ11" i="35036"/>
  <c r="AQ15" i="35036"/>
  <c r="AQ17" i="35036"/>
  <c r="AQ30" i="35036"/>
  <c r="AQ12" i="35036"/>
  <c r="AQ13" i="35036"/>
  <c r="AQ22" i="35036"/>
  <c r="AQ28" i="35036"/>
  <c r="AQ27" i="35036"/>
  <c r="AQ14" i="35036"/>
  <c r="AQ23" i="35036"/>
  <c r="AQ19" i="35036"/>
  <c r="AQ16" i="35036"/>
  <c r="AQ20" i="35036"/>
  <c r="AQ24" i="35036"/>
  <c r="AQ26" i="35036"/>
  <c r="AQ33" i="35036"/>
  <c r="AQ32" i="35036"/>
  <c r="AQ34" i="35036"/>
  <c r="AQ35" i="35036"/>
  <c r="AQ36" i="35036"/>
  <c r="AQ37" i="35036"/>
  <c r="AQ38" i="35036"/>
  <c r="AQ39" i="35036"/>
  <c r="AQ40" i="35036"/>
  <c r="AQ41" i="35036"/>
  <c r="AQ42" i="35036"/>
  <c r="AQ43" i="35036"/>
  <c r="AQ44" i="35036"/>
  <c r="AQ45" i="35036"/>
  <c r="AQ46" i="35036"/>
  <c r="AQ47" i="35036"/>
  <c r="AQ48" i="35036"/>
  <c r="AQ49" i="35036"/>
  <c r="AQ50" i="35036"/>
  <c r="AQ51" i="35036"/>
  <c r="AQ52" i="35036"/>
  <c r="AQ53" i="35036"/>
  <c r="AQ54" i="35036"/>
  <c r="AQ55" i="35036"/>
  <c r="AQ56" i="35036"/>
  <c r="AQ57" i="35036"/>
  <c r="AQ58" i="35036"/>
  <c r="AQ59" i="35036"/>
  <c r="AQ60" i="35036"/>
  <c r="AQ61" i="35036"/>
  <c r="AQ62" i="35036"/>
  <c r="AQ63" i="35036"/>
  <c r="AQ64" i="35036"/>
  <c r="AQ65" i="35036"/>
  <c r="AQ66" i="35036"/>
  <c r="AQ67" i="35036"/>
  <c r="AQ68" i="35036"/>
  <c r="AQ69" i="35036"/>
  <c r="AQ70" i="35036"/>
  <c r="AQ71" i="35036"/>
  <c r="AQ72" i="35036"/>
  <c r="AQ73" i="35036"/>
  <c r="AQ74" i="35036"/>
  <c r="AQ75" i="35036"/>
  <c r="AQ76" i="35036"/>
  <c r="AQ77" i="35036"/>
  <c r="AQ78" i="35036"/>
  <c r="AQ79" i="35036"/>
  <c r="AQ80" i="35036"/>
  <c r="AQ81" i="35036"/>
  <c r="AQ82" i="35036"/>
  <c r="CC24" i="35036"/>
  <c r="CC15" i="35036"/>
  <c r="CC20" i="35036"/>
  <c r="CC13" i="35036"/>
  <c r="CC11" i="35036"/>
  <c r="CC28" i="35036"/>
  <c r="CC19" i="35036"/>
  <c r="CC29" i="35036"/>
  <c r="CC26" i="35036"/>
  <c r="CC16" i="35036"/>
  <c r="CC30" i="35036"/>
  <c r="CC23" i="35036"/>
  <c r="CC25" i="35036"/>
  <c r="CC22" i="35036"/>
  <c r="CC18" i="35036"/>
  <c r="CC21" i="35036"/>
  <c r="CC27" i="35036"/>
  <c r="CC12" i="35036"/>
  <c r="CC31" i="35036"/>
  <c r="CC17" i="35036"/>
  <c r="CC14" i="35036"/>
  <c r="CC32" i="35036"/>
  <c r="CC34" i="35036"/>
  <c r="CC33" i="35036"/>
  <c r="CC35" i="35036"/>
  <c r="CC36" i="35036"/>
  <c r="CC37" i="35036"/>
  <c r="CC38" i="35036"/>
  <c r="CC39" i="35036"/>
  <c r="CC40" i="35036"/>
  <c r="CC41" i="35036"/>
  <c r="CC42" i="35036"/>
  <c r="CC43" i="35036"/>
  <c r="CC44" i="35036"/>
  <c r="CC45" i="35036"/>
  <c r="CC46" i="35036"/>
  <c r="CC47" i="35036"/>
  <c r="CC48" i="35036"/>
  <c r="CC49" i="35036"/>
  <c r="CC50" i="35036"/>
  <c r="CC51" i="35036"/>
  <c r="CC52" i="35036"/>
  <c r="CC53" i="35036"/>
  <c r="CC54" i="35036"/>
  <c r="CC55" i="35036"/>
  <c r="CC56" i="35036"/>
  <c r="CC57" i="35036"/>
  <c r="CC58" i="35036"/>
  <c r="CC59" i="35036"/>
  <c r="CC60" i="35036"/>
  <c r="CC61" i="35036"/>
  <c r="CC62" i="35036"/>
  <c r="CC63" i="35036"/>
  <c r="CC64" i="35036"/>
  <c r="CC65" i="35036"/>
  <c r="CC66" i="35036"/>
  <c r="CC67" i="35036"/>
  <c r="CC68" i="35036"/>
  <c r="CC69" i="35036"/>
  <c r="CC70" i="35036"/>
  <c r="CC71" i="35036"/>
  <c r="CC72" i="35036"/>
  <c r="CC73" i="35036"/>
  <c r="CC74" i="35036"/>
  <c r="CC75" i="35036"/>
  <c r="CC76" i="35036"/>
  <c r="CC77" i="35036"/>
  <c r="CC78" i="35036"/>
  <c r="CC79" i="35036"/>
  <c r="CC80" i="35036"/>
  <c r="CC81" i="35036"/>
  <c r="CC82" i="35036"/>
  <c r="CO29" i="35036"/>
  <c r="CO24" i="35036"/>
  <c r="CO14" i="35036"/>
  <c r="CO12" i="35036"/>
  <c r="CO28" i="35036"/>
  <c r="CO22" i="35036"/>
  <c r="CO11" i="35036"/>
  <c r="CO27" i="35036"/>
  <c r="CO18" i="35036"/>
  <c r="CO15" i="35036"/>
  <c r="CO31" i="35036"/>
  <c r="CO16" i="35036"/>
  <c r="CO30" i="35036"/>
  <c r="CO26" i="35036"/>
  <c r="CO19" i="35036"/>
  <c r="CO20" i="35036"/>
  <c r="CO23" i="35036"/>
  <c r="CO13" i="35036"/>
  <c r="CO25" i="35036"/>
  <c r="CO21" i="35036"/>
  <c r="CO17" i="35036"/>
  <c r="CO33" i="35036"/>
  <c r="CO32" i="35036"/>
  <c r="CO34" i="35036"/>
  <c r="CO35" i="35036"/>
  <c r="CO36" i="35036"/>
  <c r="CO37" i="35036"/>
  <c r="CO38" i="35036"/>
  <c r="CO39" i="35036"/>
  <c r="CO40" i="35036"/>
  <c r="CO41" i="35036"/>
  <c r="CO42" i="35036"/>
  <c r="CO43" i="35036"/>
  <c r="CO44" i="35036"/>
  <c r="CO45" i="35036"/>
  <c r="CO46" i="35036"/>
  <c r="CO47" i="35036"/>
  <c r="CO48" i="35036"/>
  <c r="CO49" i="35036"/>
  <c r="CO50" i="35036"/>
  <c r="CO51" i="35036"/>
  <c r="CO52" i="35036"/>
  <c r="CO53" i="35036"/>
  <c r="CO54" i="35036"/>
  <c r="CO55" i="35036"/>
  <c r="CO56" i="35036"/>
  <c r="CO57" i="35036"/>
  <c r="CO58" i="35036"/>
  <c r="CO59" i="35036"/>
  <c r="CO60" i="35036"/>
  <c r="CO61" i="35036"/>
  <c r="CO62" i="35036"/>
  <c r="CO63" i="35036"/>
  <c r="CO64" i="35036"/>
  <c r="CO65" i="35036"/>
  <c r="CO66" i="35036"/>
  <c r="CO67" i="35036"/>
  <c r="CO68" i="35036"/>
  <c r="CO69" i="35036"/>
  <c r="CO70" i="35036"/>
  <c r="CO71" i="35036"/>
  <c r="CO72" i="35036"/>
  <c r="CO73" i="35036"/>
  <c r="CO74" i="35036"/>
  <c r="CO75" i="35036"/>
  <c r="CO76" i="35036"/>
  <c r="CO77" i="35036"/>
  <c r="CO78" i="35036"/>
  <c r="CO79" i="35036"/>
  <c r="CO80" i="35036"/>
  <c r="CO81" i="35036"/>
  <c r="CO82" i="35036"/>
  <c r="CO83" i="35036"/>
  <c r="AQ83" i="35036"/>
  <c r="AE31" i="35036"/>
  <c r="AE29" i="35036"/>
  <c r="AE27" i="35036"/>
  <c r="AE25" i="35036"/>
  <c r="AE23" i="35036"/>
  <c r="AE21" i="35036"/>
  <c r="AE19" i="35036"/>
  <c r="AE17" i="35036"/>
  <c r="AE15" i="35036"/>
  <c r="AE13" i="35036"/>
  <c r="AE12" i="35036"/>
  <c r="AE28" i="35036"/>
  <c r="AE24" i="35036"/>
  <c r="AE20" i="35036"/>
  <c r="AE16" i="35036"/>
  <c r="AE11" i="35036"/>
  <c r="AE30" i="35036"/>
  <c r="AE26" i="35036"/>
  <c r="AE22" i="35036"/>
  <c r="AE14" i="35036"/>
  <c r="AE18" i="35036"/>
  <c r="AE32" i="35036"/>
  <c r="AE33" i="35036"/>
  <c r="AE34" i="35036"/>
  <c r="AE35" i="35036"/>
  <c r="AE36" i="35036"/>
  <c r="AE37" i="35036"/>
  <c r="AE38" i="35036"/>
  <c r="AE39" i="35036"/>
  <c r="AE40" i="35036"/>
  <c r="AE41" i="35036"/>
  <c r="AE42" i="35036"/>
  <c r="AE43" i="35036"/>
  <c r="AE44" i="35036"/>
  <c r="AE45" i="35036"/>
  <c r="AE46" i="35036"/>
  <c r="AE47" i="35036"/>
  <c r="AE48" i="35036"/>
  <c r="AE49" i="35036"/>
  <c r="AE50" i="35036"/>
  <c r="AE51" i="35036"/>
  <c r="AE52" i="35036"/>
  <c r="AE53" i="35036"/>
  <c r="AE54" i="35036"/>
  <c r="AE55" i="35036"/>
  <c r="AE56" i="35036"/>
  <c r="AE57" i="35036"/>
  <c r="AE58" i="35036"/>
  <c r="AE59" i="35036"/>
  <c r="AE60" i="35036"/>
  <c r="AE61" i="35036"/>
  <c r="AE62" i="35036"/>
  <c r="AE63" i="35036"/>
  <c r="AE64" i="35036"/>
  <c r="AE65" i="35036"/>
  <c r="AE66" i="35036"/>
  <c r="AE67" i="35036"/>
  <c r="AE68" i="35036"/>
  <c r="AE69" i="35036"/>
  <c r="AE70" i="35036"/>
  <c r="AE71" i="35036"/>
  <c r="AE72" i="35036"/>
  <c r="AE73" i="35036"/>
  <c r="AE74" i="35036"/>
  <c r="AE75" i="35036"/>
  <c r="AE76" i="35036"/>
  <c r="AE77" i="35036"/>
  <c r="AE78" i="35036"/>
  <c r="AE79" i="35036"/>
  <c r="AE80" i="35036"/>
  <c r="AE81" i="35036"/>
  <c r="AE82" i="35036"/>
  <c r="BE26" i="35036"/>
  <c r="BE20" i="35036"/>
  <c r="BE11" i="35036"/>
  <c r="BE18" i="35036"/>
  <c r="BE14" i="35036"/>
  <c r="BE22" i="35036"/>
  <c r="BE13" i="35036"/>
  <c r="BE28" i="35036"/>
  <c r="BE30" i="35036"/>
  <c r="BE24" i="35036"/>
  <c r="BE15" i="35036"/>
  <c r="BE21" i="35036"/>
  <c r="BE23" i="35036"/>
  <c r="BE29" i="35036"/>
  <c r="BE17" i="35036"/>
  <c r="BE16" i="35036"/>
  <c r="BE12" i="35036"/>
  <c r="BE25" i="35036"/>
  <c r="BE19" i="35036"/>
  <c r="BE27" i="35036"/>
  <c r="BE31" i="35036"/>
  <c r="BE33" i="35036"/>
  <c r="BE34" i="35036"/>
  <c r="BE32" i="35036"/>
  <c r="BE35" i="35036"/>
  <c r="BE36" i="35036"/>
  <c r="BE37" i="35036"/>
  <c r="BE38" i="35036"/>
  <c r="BE39" i="35036"/>
  <c r="BE40" i="35036"/>
  <c r="BE41" i="35036"/>
  <c r="BE42" i="35036"/>
  <c r="BE43" i="35036"/>
  <c r="BE44" i="35036"/>
  <c r="BE45" i="35036"/>
  <c r="BE46" i="35036"/>
  <c r="BE47" i="35036"/>
  <c r="BE48" i="35036"/>
  <c r="BE49" i="35036"/>
  <c r="BE50" i="35036"/>
  <c r="BE51" i="35036"/>
  <c r="BE52" i="35036"/>
  <c r="BE53" i="35036"/>
  <c r="BE54" i="35036"/>
  <c r="BE55" i="35036"/>
  <c r="BE56" i="35036"/>
  <c r="BE57" i="35036"/>
  <c r="BE58" i="35036"/>
  <c r="BE59" i="35036"/>
  <c r="BE60" i="35036"/>
  <c r="BE61" i="35036"/>
  <c r="BE62" i="35036"/>
  <c r="BE63" i="35036"/>
  <c r="BE64" i="35036"/>
  <c r="BE65" i="35036"/>
  <c r="BE66" i="35036"/>
  <c r="BE67" i="35036"/>
  <c r="BE68" i="35036"/>
  <c r="BE69" i="35036"/>
  <c r="BE70" i="35036"/>
  <c r="BE71" i="35036"/>
  <c r="BE72" i="35036"/>
  <c r="BE73" i="35036"/>
  <c r="BE74" i="35036"/>
  <c r="BE75" i="35036"/>
  <c r="BE76" i="35036"/>
  <c r="BE77" i="35036"/>
  <c r="BE78" i="35036"/>
  <c r="BE79" i="35036"/>
  <c r="BE80" i="35036"/>
  <c r="BE81" i="35036"/>
  <c r="BE82" i="35036"/>
  <c r="CC83" i="35036"/>
  <c r="BQ84" i="35036"/>
  <c r="AQ84" i="35036"/>
  <c r="G84" i="35036"/>
  <c r="AE84" i="35036"/>
  <c r="CC84" i="35036"/>
  <c r="CO84" i="35036"/>
  <c r="FX84" i="35036"/>
  <c r="S84" i="35036"/>
  <c r="FM84" i="35036"/>
  <c r="BE84" i="35036"/>
  <c r="C11" i="34980" l="1" a="1"/>
  <c r="C11" i="34980"/>
  <c r="C12" i="34980" s="1"/>
  <c r="C13" i="34980" s="1"/>
  <c r="C14" i="34980" s="1"/>
  <c r="C15" i="34980" s="1"/>
  <c r="C16" i="34980" s="1"/>
  <c r="C17" i="34980" s="1"/>
  <c r="C18" i="34980" s="1"/>
  <c r="C19" i="34980" s="1"/>
  <c r="C20" i="34980" s="1"/>
  <c r="C21" i="34980" s="1"/>
  <c r="C22" i="34980" s="1"/>
  <c r="C23" i="34980" s="1"/>
  <c r="C24" i="34980" s="1"/>
  <c r="C25" i="34980" s="1"/>
  <c r="C26" i="34980" s="1"/>
  <c r="C27" i="34980" s="1"/>
  <c r="C28" i="34980" s="1"/>
  <c r="C29" i="34980" s="1"/>
  <c r="C30" i="34980" s="1"/>
  <c r="C31" i="34980" s="1"/>
  <c r="C32" i="34980" s="1"/>
  <c r="C33" i="34980" s="1"/>
  <c r="C34" i="34980" s="1"/>
  <c r="C35" i="34980" s="1"/>
  <c r="C36" i="34980" s="1"/>
  <c r="C37" i="34980" s="1"/>
  <c r="C38" i="34980" s="1"/>
  <c r="C39" i="34980" s="1"/>
  <c r="C40" i="34980" s="1"/>
  <c r="C41" i="34980" s="1"/>
  <c r="C42" i="34980" s="1"/>
  <c r="C43" i="34980" s="1"/>
  <c r="C44" i="34980" s="1"/>
  <c r="C45" i="34980" s="1"/>
  <c r="C46" i="34980" s="1"/>
  <c r="C47" i="34980" s="1"/>
  <c r="C48" i="34980" s="1"/>
  <c r="C49" i="34980" s="1"/>
  <c r="C50" i="34980" s="1"/>
  <c r="C51" i="34980" s="1"/>
  <c r="C52" i="34980" s="1"/>
  <c r="C53" i="34980" s="1"/>
  <c r="C54" i="34980" s="1"/>
  <c r="C55" i="34980" s="1"/>
  <c r="C56" i="34980" s="1"/>
  <c r="M56" i="35036" s="1"/>
  <c r="D11" i="34980" a="1"/>
  <c r="D11" i="34980"/>
  <c r="D12" i="34980" s="1"/>
  <c r="D13" i="34980" s="1"/>
  <c r="E11" i="34980" a="1"/>
  <c r="E11" i="34980"/>
  <c r="E12" i="34980" s="1"/>
  <c r="E13" i="34980" s="1"/>
  <c r="E14" i="34980" s="1"/>
  <c r="E15" i="34980" s="1"/>
  <c r="E16" i="34980" s="1"/>
  <c r="E17" i="34980" s="1"/>
  <c r="E18" i="34980" s="1"/>
  <c r="E19" i="34980" s="1"/>
  <c r="E20" i="34980" s="1"/>
  <c r="E21" i="34980" s="1"/>
  <c r="E22" i="34980" s="1"/>
  <c r="E23" i="34980" s="1"/>
  <c r="E24" i="34980" s="1"/>
  <c r="E25" i="34980" s="1"/>
  <c r="E26" i="34980" s="1"/>
  <c r="E27" i="34980" s="1"/>
  <c r="E28" i="34980" s="1"/>
  <c r="E29" i="34980" s="1"/>
  <c r="E30" i="34980" s="1"/>
  <c r="E31" i="34980" s="1"/>
  <c r="E32" i="34980" s="1"/>
  <c r="E33" i="34980" s="1"/>
  <c r="E34" i="34980" s="1"/>
  <c r="E35" i="34980" s="1"/>
  <c r="E36" i="34980" s="1"/>
  <c r="E37" i="34980" s="1"/>
  <c r="E38" i="34980" s="1"/>
  <c r="E39" i="34980" s="1"/>
  <c r="E40" i="34980" s="1"/>
  <c r="E41" i="34980" s="1"/>
  <c r="E42" i="34980" s="1"/>
  <c r="E43" i="34980" s="1"/>
  <c r="E44" i="34980" s="1"/>
  <c r="E45" i="34980" s="1"/>
  <c r="AK45" i="35036" s="1"/>
  <c r="F11" i="34980" a="1"/>
  <c r="F11" i="34980"/>
  <c r="F12" i="34980" s="1"/>
  <c r="F13" i="34980" s="1"/>
  <c r="C11" i="34984" a="1"/>
  <c r="C11" i="34984"/>
  <c r="C12" i="34984" s="1"/>
  <c r="C13" i="34984" s="1"/>
  <c r="C14" i="34984" s="1"/>
  <c r="C15" i="34984" s="1"/>
  <c r="C16" i="34984" s="1"/>
  <c r="C17" i="34984" s="1"/>
  <c r="C18" i="34984" s="1"/>
  <c r="C19" i="34984" s="1"/>
  <c r="C20" i="34984" s="1"/>
  <c r="C21" i="34984" s="1"/>
  <c r="C22" i="34984" s="1"/>
  <c r="C23" i="34984" s="1"/>
  <c r="C24" i="34984" s="1"/>
  <c r="C25" i="34984" s="1"/>
  <c r="C26" i="34984" s="1"/>
  <c r="C27" i="34984" s="1"/>
  <c r="C28" i="34984" s="1"/>
  <c r="C29" i="34984" s="1"/>
  <c r="C30" i="34984" s="1"/>
  <c r="C31" i="34984" s="1"/>
  <c r="C32" i="34984" s="1"/>
  <c r="C33" i="34984" s="1"/>
  <c r="C34" i="34984" s="1"/>
  <c r="C35" i="34984" s="1"/>
  <c r="C36" i="34984" s="1"/>
  <c r="C37" i="34984" s="1"/>
  <c r="C38" i="34984" s="1"/>
  <c r="C39" i="34984" s="1"/>
  <c r="C40" i="34984" s="1"/>
  <c r="C41" i="34984" s="1"/>
  <c r="C42" i="34984" s="1"/>
  <c r="C43" i="34984" s="1"/>
  <c r="C44" i="34984" s="1"/>
  <c r="C45" i="34984" s="1"/>
  <c r="C46" i="34984" s="1"/>
  <c r="C47" i="34984" s="1"/>
  <c r="C48" i="34984" s="1"/>
  <c r="C49" i="34984" s="1"/>
  <c r="C50" i="34984" s="1"/>
  <c r="C51" i="34984" s="1"/>
  <c r="C52" i="34984" s="1"/>
  <c r="C53" i="34984" s="1"/>
  <c r="C54" i="34984" s="1"/>
  <c r="C55" i="34984" s="1"/>
  <c r="C56" i="34984" s="1"/>
  <c r="C57" i="34984" s="1"/>
  <c r="C58" i="34984" s="1"/>
  <c r="C59" i="34984" s="1"/>
  <c r="C60" i="34984" s="1"/>
  <c r="C61" i="34984" s="1"/>
  <c r="C62" i="34984" s="1"/>
  <c r="C63" i="34984" s="1"/>
  <c r="C64" i="34984" s="1"/>
  <c r="C65" i="34984" s="1"/>
  <c r="C66" i="34984" s="1"/>
  <c r="C67" i="34984" s="1"/>
  <c r="C68" i="34984" s="1"/>
  <c r="C69" i="34984" s="1"/>
  <c r="C70" i="34984" s="1"/>
  <c r="C71" i="34984" s="1"/>
  <c r="C72" i="34984" s="1"/>
  <c r="C73" i="34984" s="1"/>
  <c r="C74" i="34984" s="1"/>
  <c r="C75" i="34984" s="1"/>
  <c r="C76" i="34984" s="1"/>
  <c r="C77" i="34984" s="1"/>
  <c r="C78" i="34984" s="1"/>
  <c r="C79" i="34984" s="1"/>
  <c r="C80" i="34984" s="1"/>
  <c r="C81" i="34984" s="1"/>
  <c r="C82" i="34984" s="1"/>
  <c r="BM82" i="35036" s="1"/>
  <c r="D11" i="34984" a="1"/>
  <c r="D11" i="34984"/>
  <c r="D12" i="34984" s="1"/>
  <c r="D13" i="34984" s="1"/>
  <c r="BX13" i="35036" s="1"/>
  <c r="E11" i="34984" a="1"/>
  <c r="E11" i="34984"/>
  <c r="E12" i="34984" s="1"/>
  <c r="E13" i="34984" s="1"/>
  <c r="E14" i="34984" s="1"/>
  <c r="E15" i="34984" s="1"/>
  <c r="E16" i="34984" s="1"/>
  <c r="E17" i="34984" s="1"/>
  <c r="E18" i="34984" s="1"/>
  <c r="E19" i="34984" s="1"/>
  <c r="E20" i="34984" s="1"/>
  <c r="E21" i="34984" s="1"/>
  <c r="E22" i="34984" s="1"/>
  <c r="E23" i="34984" s="1"/>
  <c r="E24" i="34984" s="1"/>
  <c r="E25" i="34984" s="1"/>
  <c r="E26" i="34984" s="1"/>
  <c r="E27" i="34984" s="1"/>
  <c r="E28" i="34984" s="1"/>
  <c r="E29" i="34984" s="1"/>
  <c r="E30" i="34984" s="1"/>
  <c r="E31" i="34984" s="1"/>
  <c r="E32" i="34984" s="1"/>
  <c r="E33" i="34984" s="1"/>
  <c r="F11" i="34984" a="1"/>
  <c r="F11" i="34984"/>
  <c r="F12" i="34984" s="1"/>
  <c r="F13" i="34984" s="1"/>
  <c r="CV13" i="35036" s="1"/>
  <c r="H11" i="34984" a="1"/>
  <c r="H11" i="34984"/>
  <c r="H12" i="34984" s="1"/>
  <c r="H13" i="34984" s="1"/>
  <c r="C11" i="34986" a="1"/>
  <c r="C11" i="34986"/>
  <c r="C12" i="34986" s="1"/>
  <c r="C13" i="34986" s="1"/>
  <c r="FL14" i="35036" s="1"/>
  <c r="E11" i="34986" a="1"/>
  <c r="E11" i="34986"/>
  <c r="E12" i="34986" s="1"/>
  <c r="E13" i="34986" s="1"/>
  <c r="F11" i="34986" a="1"/>
  <c r="F11" i="34986"/>
  <c r="F12" i="34986" s="1"/>
  <c r="F13" i="34986" s="1"/>
  <c r="C11" i="34985" a="1"/>
  <c r="D11" i="34985" a="1"/>
  <c r="E11" i="34985" a="1"/>
  <c r="F11" i="34985" a="1"/>
  <c r="G11" i="34985" a="1"/>
  <c r="F11" i="35017" a="1"/>
  <c r="F11" i="35017"/>
  <c r="F12" i="35017" s="1"/>
  <c r="F13" i="35017" s="1"/>
  <c r="G11" i="35017" a="1"/>
  <c r="G11" i="35017"/>
  <c r="G12" i="35017" s="1"/>
  <c r="H11" i="35017" a="1"/>
  <c r="H11" i="35017"/>
  <c r="H12" i="35017" s="1"/>
  <c r="H13" i="35017" s="1"/>
  <c r="I11" i="35017" a="1"/>
  <c r="I11" i="35017"/>
  <c r="I12" i="35017" s="1"/>
  <c r="I13" i="35017" s="1"/>
  <c r="J11" i="35017" a="1"/>
  <c r="J11" i="35017"/>
  <c r="J12" i="35017" s="1"/>
  <c r="J13" i="35017" s="1"/>
  <c r="K11" i="35017" a="1"/>
  <c r="K11" i="35017"/>
  <c r="K12" i="35017" s="1"/>
  <c r="K13" i="35017" s="1"/>
  <c r="K14" i="35017" s="1"/>
  <c r="L11" i="35017" a="1"/>
  <c r="L11" i="35017"/>
  <c r="L12" i="35017" s="1"/>
  <c r="L13" i="35017" s="1"/>
  <c r="C11" i="35018" a="1"/>
  <c r="C11" i="35018"/>
  <c r="C12" i="35018" s="1"/>
  <c r="C13" i="35018" s="1"/>
  <c r="D11" i="35018" a="1"/>
  <c r="D11" i="35018"/>
  <c r="D12" i="35018" s="1"/>
  <c r="D13" i="35018" s="1"/>
  <c r="H11" i="35015" a="1"/>
  <c r="I11" i="35015" a="1"/>
  <c r="H11" i="35016" a="1"/>
  <c r="H11" i="35016"/>
  <c r="H12" i="35016" s="1"/>
  <c r="H13" i="35016" s="1"/>
  <c r="C11" i="35015" a="1"/>
  <c r="D11" i="35015" a="1"/>
  <c r="F11" i="35015" a="1"/>
  <c r="C11" i="35016" a="1"/>
  <c r="C11" i="35016"/>
  <c r="C12" i="35016" s="1"/>
  <c r="C13" i="35016" s="1"/>
  <c r="D11" i="35016" a="1"/>
  <c r="D11" i="35016"/>
  <c r="D12" i="35016" s="1"/>
  <c r="D13" i="35016" s="1"/>
  <c r="F11" i="35016" a="1"/>
  <c r="F11" i="35016"/>
  <c r="F12" i="35016" s="1"/>
  <c r="F13" i="35016" s="1"/>
  <c r="I11" i="35016" a="1"/>
  <c r="I11" i="35016"/>
  <c r="I12" i="35016" s="1"/>
  <c r="I13" i="35016" s="1"/>
  <c r="J11" i="35016" a="1"/>
  <c r="J11" i="35016"/>
  <c r="J12" i="35016" s="1"/>
  <c r="J13" i="35016" s="1"/>
  <c r="I11" i="34980" a="1"/>
  <c r="I11" i="34980"/>
  <c r="I12" i="34980" s="1"/>
  <c r="I13" i="34980" s="1"/>
  <c r="G11" i="35015" a="1"/>
  <c r="J11" i="35015" a="1"/>
  <c r="L11" i="35015" a="1"/>
  <c r="E11" i="35015" a="1"/>
  <c r="J6" i="35062" a="1"/>
  <c r="K6" i="35062" a="1"/>
  <c r="H11" i="34985" a="1"/>
  <c r="D11" i="35017" a="1"/>
  <c r="D11" i="35017"/>
  <c r="D12" i="35017" s="1"/>
  <c r="D13" i="35017" s="1"/>
  <c r="D14" i="35017" s="1"/>
  <c r="D15" i="35017" s="1"/>
  <c r="D16" i="35017" s="1"/>
  <c r="D17" i="35017" s="1"/>
  <c r="D18" i="35017" s="1"/>
  <c r="D19" i="35017" s="1"/>
  <c r="D20" i="35017" s="1"/>
  <c r="D21" i="35017" s="1"/>
  <c r="D22" i="35017" s="1"/>
  <c r="D23" i="35017" s="1"/>
  <c r="D24" i="35017" s="1"/>
  <c r="D25" i="35017" s="1"/>
  <c r="D26" i="35017" s="1"/>
  <c r="D27" i="35017" s="1"/>
  <c r="D28" i="35017" s="1"/>
  <c r="D29" i="35017" s="1"/>
  <c r="D30" i="35017" s="1"/>
  <c r="D31" i="35017" s="1"/>
  <c r="D32" i="35017" s="1"/>
  <c r="D33" i="35017" s="1"/>
  <c r="D34" i="35017" s="1"/>
  <c r="D35" i="35017" s="1"/>
  <c r="D36" i="35017" s="1"/>
  <c r="D37" i="35017" s="1"/>
  <c r="D38" i="35017" s="1"/>
  <c r="D39" i="35017" s="1"/>
  <c r="D40" i="35017" s="1"/>
  <c r="D41" i="35017" s="1"/>
  <c r="D42" i="35017" s="1"/>
  <c r="D43" i="35017" s="1"/>
  <c r="D44" i="35017" s="1"/>
  <c r="D45" i="35017" s="1"/>
  <c r="D46" i="35017" s="1"/>
  <c r="D47" i="35017" s="1"/>
  <c r="D48" i="35017" s="1"/>
  <c r="D49" i="35017" s="1"/>
  <c r="D50" i="35017" s="1"/>
  <c r="D51" i="35017" s="1"/>
  <c r="D52" i="35017" s="1"/>
  <c r="D53" i="35017" s="1"/>
  <c r="D54" i="35017" s="1"/>
  <c r="D55" i="35017" s="1"/>
  <c r="D56" i="35017" s="1"/>
  <c r="D57" i="35017" s="1"/>
  <c r="D58" i="35017" s="1"/>
  <c r="D59" i="35017" s="1"/>
  <c r="D60" i="35017" s="1"/>
  <c r="D61" i="35017" s="1"/>
  <c r="D62" i="35017" s="1"/>
  <c r="D63" i="35017" s="1"/>
  <c r="D64" i="35017" s="1"/>
  <c r="D65" i="35017" s="1"/>
  <c r="D66" i="35017" s="1"/>
  <c r="D67" i="35017" s="1"/>
  <c r="D68" i="35017" s="1"/>
  <c r="D69" i="35017" s="1"/>
  <c r="D70" i="35017" s="1"/>
  <c r="D71" i="35017" s="1"/>
  <c r="D72" i="35017" s="1"/>
  <c r="D73" i="35017" s="1"/>
  <c r="D74" i="35017" s="1"/>
  <c r="D75" i="35017" s="1"/>
  <c r="D76" i="35017" s="1"/>
  <c r="D77" i="35017" s="1"/>
  <c r="D78" i="35017" s="1"/>
  <c r="D79" i="35017" s="1"/>
  <c r="D80" i="35017" s="1"/>
  <c r="D81" i="35017" s="1"/>
  <c r="D82" i="35017" s="1"/>
  <c r="D83" i="35017" s="1"/>
  <c r="D84" i="35017" s="1"/>
  <c r="E11" i="35016" a="1"/>
  <c r="E11" i="35016"/>
  <c r="E12" i="35016" s="1"/>
  <c r="E13" i="35016" s="1"/>
  <c r="E11" i="35017" a="1"/>
  <c r="E11" i="35017"/>
  <c r="E12" i="35017" s="1"/>
  <c r="C11" i="35017" a="1"/>
  <c r="C11" i="35017"/>
  <c r="C12" i="35017" s="1"/>
  <c r="C13" i="35017" s="1"/>
  <c r="C14" i="35017" s="1"/>
  <c r="C15" i="35017" s="1"/>
  <c r="M11" i="35017" a="1"/>
  <c r="T11" i="35035" a="1"/>
  <c r="H11" i="34980" a="1"/>
  <c r="H11" i="34980"/>
  <c r="H12" i="34980" s="1"/>
  <c r="H13" i="34980" s="1"/>
  <c r="J11" i="34980" a="1"/>
  <c r="J11" i="34980"/>
  <c r="J12" i="34980" s="1"/>
  <c r="J13" i="34980" s="1"/>
  <c r="Q6" i="35062" a="1"/>
  <c r="D11" i="35036" a="1"/>
  <c r="FL11" i="35036" a="1"/>
  <c r="FL11" i="35036"/>
  <c r="FT11" i="35036" a="1"/>
  <c r="M11" i="35036" a="1"/>
  <c r="M11" i="34980" a="1"/>
  <c r="CV11" i="35036" a="1"/>
  <c r="BX11" i="35036" a="1"/>
  <c r="AK11" i="35036" a="1"/>
  <c r="BM11" i="35036" a="1"/>
  <c r="E11" i="35036" a="1"/>
  <c r="E11" i="35036"/>
  <c r="D11" i="35036"/>
  <c r="AY11" i="35036" a="1"/>
  <c r="N11" i="35035" a="1"/>
  <c r="M19" i="35036" l="1"/>
  <c r="M36" i="35036"/>
  <c r="M16" i="35036"/>
  <c r="M38" i="35036"/>
  <c r="M48" i="35036"/>
  <c r="M12" i="35036"/>
  <c r="AK42" i="35036"/>
  <c r="AK18" i="35036"/>
  <c r="M41" i="35036"/>
  <c r="M18" i="35036"/>
  <c r="M30" i="35036"/>
  <c r="M27" i="35036"/>
  <c r="M46" i="35036"/>
  <c r="G11" i="34984" a="1"/>
  <c r="G16" i="34984" s="1"/>
  <c r="AK30" i="35036"/>
  <c r="AK27" i="35036"/>
  <c r="BM48" i="35036"/>
  <c r="AK32" i="35036"/>
  <c r="AK35" i="35036"/>
  <c r="AK20" i="35036"/>
  <c r="M50" i="35036"/>
  <c r="M33" i="35036"/>
  <c r="M35" i="35036"/>
  <c r="M34" i="35036"/>
  <c r="M17" i="35036"/>
  <c r="M32" i="35036"/>
  <c r="M25" i="35036"/>
  <c r="M44" i="35036"/>
  <c r="M23" i="35036"/>
  <c r="M24" i="35036"/>
  <c r="BM14" i="35036"/>
  <c r="BM47" i="35036"/>
  <c r="AK23" i="35036"/>
  <c r="AK28" i="35036"/>
  <c r="AK29" i="35036"/>
  <c r="AK26" i="35036"/>
  <c r="AK33" i="35036"/>
  <c r="AK24" i="35036"/>
  <c r="AK13" i="35036"/>
  <c r="M55" i="35036"/>
  <c r="M53" i="35036"/>
  <c r="BM52" i="35036"/>
  <c r="BM22" i="35036"/>
  <c r="BM24" i="35036"/>
  <c r="AY13" i="35036"/>
  <c r="BM28" i="35036"/>
  <c r="BM21" i="35036"/>
  <c r="BM64" i="35036"/>
  <c r="BM19" i="35036"/>
  <c r="BM40" i="35036"/>
  <c r="BM16" i="35036"/>
  <c r="AK36" i="35036"/>
  <c r="AK21" i="35036"/>
  <c r="AK11" i="35036"/>
  <c r="AK34" i="35036"/>
  <c r="AK22" i="35036"/>
  <c r="AK12" i="35036"/>
  <c r="AK17" i="35036"/>
  <c r="AK19" i="35036"/>
  <c r="AK14" i="35036"/>
  <c r="AK38" i="35036"/>
  <c r="AK39" i="35036"/>
  <c r="AK15" i="35036"/>
  <c r="AK16" i="35036"/>
  <c r="AK25" i="35036"/>
  <c r="M51" i="35036"/>
  <c r="M45" i="35036"/>
  <c r="M28" i="35036"/>
  <c r="M22" i="35036"/>
  <c r="M26" i="35036"/>
  <c r="M31" i="35036"/>
  <c r="M21" i="35036"/>
  <c r="M39" i="35036"/>
  <c r="M40" i="35036"/>
  <c r="M13" i="35036"/>
  <c r="M52" i="35036"/>
  <c r="M54" i="35036"/>
  <c r="M20" i="35036"/>
  <c r="M47" i="35036"/>
  <c r="M14" i="35036"/>
  <c r="M29" i="35036"/>
  <c r="M43" i="35036"/>
  <c r="M49" i="35036"/>
  <c r="M42" i="35036"/>
  <c r="M11" i="35036"/>
  <c r="M37" i="35036"/>
  <c r="M15" i="35036"/>
  <c r="AY12" i="35036"/>
  <c r="BM56" i="35036"/>
  <c r="BM53" i="35036"/>
  <c r="BM49" i="35036"/>
  <c r="BM32" i="35036"/>
  <c r="BM58" i="35036"/>
  <c r="BM18" i="35036"/>
  <c r="BM23" i="35036"/>
  <c r="BM20" i="35036"/>
  <c r="BM27" i="35036"/>
  <c r="BM29" i="35036"/>
  <c r="BM25" i="35036"/>
  <c r="AK40" i="35036"/>
  <c r="AK37" i="35036"/>
  <c r="AK31" i="35036"/>
  <c r="AY11" i="35036"/>
  <c r="BM61" i="35036"/>
  <c r="BM50" i="35036"/>
  <c r="BM26" i="35036"/>
  <c r="BM13" i="35036"/>
  <c r="BM74" i="35036"/>
  <c r="BM51" i="35036"/>
  <c r="BM34" i="35036"/>
  <c r="BM78" i="35036"/>
  <c r="BM30" i="35036"/>
  <c r="BM36" i="35036"/>
  <c r="BM62" i="35036"/>
  <c r="BM11" i="35036"/>
  <c r="BM37" i="35036"/>
  <c r="BM42" i="35036"/>
  <c r="BM15" i="35036"/>
  <c r="BM39" i="35036"/>
  <c r="BM12" i="35036"/>
  <c r="BM65" i="35036"/>
  <c r="BM31" i="35036"/>
  <c r="BM67" i="35036"/>
  <c r="BM35" i="35036"/>
  <c r="BM33" i="35036"/>
  <c r="BM54" i="35036"/>
  <c r="BM17" i="35036"/>
  <c r="AK41" i="35036"/>
  <c r="AK43" i="35036"/>
  <c r="AK44" i="35036"/>
  <c r="BM55" i="35036"/>
  <c r="BM66" i="35036"/>
  <c r="BM72" i="35036"/>
  <c r="BM44" i="35036"/>
  <c r="BM63" i="35036"/>
  <c r="BM68" i="35036"/>
  <c r="BM70" i="35036"/>
  <c r="BM76" i="35036"/>
  <c r="BM80" i="35036"/>
  <c r="BM71" i="35036"/>
  <c r="BM46" i="35036"/>
  <c r="BX11" i="35036"/>
  <c r="CV11" i="35036"/>
  <c r="M13" i="34980"/>
  <c r="BM59" i="35036"/>
  <c r="FT13" i="35036"/>
  <c r="E13" i="35017"/>
  <c r="E14" i="35017" s="1"/>
  <c r="E15" i="35017" s="1"/>
  <c r="E16" i="35017" s="1"/>
  <c r="E17" i="35017" s="1"/>
  <c r="E18" i="35017" s="1"/>
  <c r="E19" i="35017" s="1"/>
  <c r="E20" i="35017" s="1"/>
  <c r="E21" i="35017" s="1"/>
  <c r="E22" i="35017" s="1"/>
  <c r="E23" i="35017" s="1"/>
  <c r="E24" i="35017" s="1"/>
  <c r="E25" i="35017" s="1"/>
  <c r="E26" i="35017" s="1"/>
  <c r="E27" i="35017" s="1"/>
  <c r="E28" i="35017" s="1"/>
  <c r="E29" i="35017" s="1"/>
  <c r="E30" i="35017" s="1"/>
  <c r="E31" i="35017" s="1"/>
  <c r="E32" i="35017" s="1"/>
  <c r="E33" i="35017" s="1"/>
  <c r="E34" i="35017" s="1"/>
  <c r="E35" i="35017" s="1"/>
  <c r="E36" i="35017" s="1"/>
  <c r="E37" i="35017" s="1"/>
  <c r="E38" i="35017" s="1"/>
  <c r="E39" i="35017" s="1"/>
  <c r="E40" i="35017" s="1"/>
  <c r="E41" i="35017" s="1"/>
  <c r="E42" i="35017" s="1"/>
  <c r="E43" i="35017" s="1"/>
  <c r="E44" i="35017" s="1"/>
  <c r="E45" i="35017" s="1"/>
  <c r="E46" i="35017" s="1"/>
  <c r="E47" i="35017" s="1"/>
  <c r="E48" i="35017" s="1"/>
  <c r="E49" i="35017" s="1"/>
  <c r="E50" i="35017" s="1"/>
  <c r="E51" i="35017" s="1"/>
  <c r="E52" i="35017" s="1"/>
  <c r="E53" i="35017" s="1"/>
  <c r="E54" i="35017" s="1"/>
  <c r="E55" i="35017" s="1"/>
  <c r="E56" i="35017" s="1"/>
  <c r="E57" i="35017" s="1"/>
  <c r="E58" i="35017" s="1"/>
  <c r="E59" i="35017" s="1"/>
  <c r="E60" i="35017" s="1"/>
  <c r="E61" i="35017" s="1"/>
  <c r="E62" i="35017" s="1"/>
  <c r="E63" i="35017" s="1"/>
  <c r="E64" i="35017" s="1"/>
  <c r="E65" i="35017" s="1"/>
  <c r="E66" i="35017" s="1"/>
  <c r="E67" i="35017" s="1"/>
  <c r="E68" i="35017" s="1"/>
  <c r="E69" i="35017" s="1"/>
  <c r="E70" i="35017" s="1"/>
  <c r="E71" i="35017" s="1"/>
  <c r="E72" i="35017" s="1"/>
  <c r="E73" i="35017" s="1"/>
  <c r="E74" i="35017" s="1"/>
  <c r="E75" i="35017" s="1"/>
  <c r="E76" i="35017" s="1"/>
  <c r="E77" i="35017" s="1"/>
  <c r="E78" i="35017" s="1"/>
  <c r="E79" i="35017" s="1"/>
  <c r="E80" i="35017" s="1"/>
  <c r="E81" i="35017" s="1"/>
  <c r="E82" i="35017" s="1"/>
  <c r="E83" i="35017" s="1"/>
  <c r="E84" i="35017" s="1"/>
  <c r="C83" i="34984"/>
  <c r="BM83" i="35036" s="1"/>
  <c r="BM75" i="35036"/>
  <c r="BM41" i="35036"/>
  <c r="BM73" i="35036"/>
  <c r="BM77" i="35036"/>
  <c r="BM60" i="35036"/>
  <c r="BM57" i="35036"/>
  <c r="BM79" i="35036"/>
  <c r="BM81" i="35036"/>
  <c r="BM43" i="35036"/>
  <c r="BM45" i="35036"/>
  <c r="BM38" i="35036"/>
  <c r="BM69" i="35036"/>
  <c r="BX12" i="35036"/>
  <c r="CV12" i="35036"/>
  <c r="FL12" i="35036"/>
  <c r="FT11" i="35036"/>
  <c r="FT12" i="35036"/>
  <c r="FL13" i="35036"/>
  <c r="M11" i="34980"/>
  <c r="E14" i="35016"/>
  <c r="E15" i="35016" s="1"/>
  <c r="E16" i="35016" s="1"/>
  <c r="E17" i="35016" s="1"/>
  <c r="E18" i="35016" s="1"/>
  <c r="E19" i="35016" s="1"/>
  <c r="E20" i="35016" s="1"/>
  <c r="E21" i="35016" s="1"/>
  <c r="E22" i="35016" s="1"/>
  <c r="E23" i="35016" s="1"/>
  <c r="E24" i="35016" s="1"/>
  <c r="E25" i="35016" s="1"/>
  <c r="E26" i="35016" s="1"/>
  <c r="E27" i="35016" s="1"/>
  <c r="E28" i="35016" s="1"/>
  <c r="E29" i="35016" s="1"/>
  <c r="E30" i="35016" s="1"/>
  <c r="E31" i="35016" s="1"/>
  <c r="E32" i="35016" s="1"/>
  <c r="E33" i="35016" s="1"/>
  <c r="E34" i="35016" s="1"/>
  <c r="E35" i="35016" s="1"/>
  <c r="E36" i="35016" s="1"/>
  <c r="E37" i="35016" s="1"/>
  <c r="E38" i="35016" s="1"/>
  <c r="E39" i="35016" s="1"/>
  <c r="E40" i="35016" s="1"/>
  <c r="E41" i="35016" s="1"/>
  <c r="E42" i="35016" s="1"/>
  <c r="E43" i="35016" s="1"/>
  <c r="E44" i="35016" s="1"/>
  <c r="E45" i="35016" s="1"/>
  <c r="E46" i="35016" s="1"/>
  <c r="E47" i="35016" s="1"/>
  <c r="E48" i="35016" s="1"/>
  <c r="E49" i="35016" s="1"/>
  <c r="E50" i="35016" s="1"/>
  <c r="E51" i="35016" s="1"/>
  <c r="E52" i="35016" s="1"/>
  <c r="E53" i="35016" s="1"/>
  <c r="E54" i="35016" s="1"/>
  <c r="E55" i="35016" s="1"/>
  <c r="E56" i="35016" s="1"/>
  <c r="E57" i="35016" s="1"/>
  <c r="E58" i="35016" s="1"/>
  <c r="E59" i="35016" s="1"/>
  <c r="E60" i="35016" s="1"/>
  <c r="E61" i="35016" s="1"/>
  <c r="E62" i="35016" s="1"/>
  <c r="E63" i="35016" s="1"/>
  <c r="E64" i="35016" s="1"/>
  <c r="E65" i="35016" s="1"/>
  <c r="E66" i="35016" s="1"/>
  <c r="E67" i="35016" s="1"/>
  <c r="E68" i="35016" s="1"/>
  <c r="E69" i="35016" s="1"/>
  <c r="E70" i="35016" s="1"/>
  <c r="E71" i="35016" s="1"/>
  <c r="E72" i="35016" s="1"/>
  <c r="E73" i="35016" s="1"/>
  <c r="E74" i="35016" s="1"/>
  <c r="E75" i="35016" s="1"/>
  <c r="E76" i="35016" s="1"/>
  <c r="E77" i="35016" s="1"/>
  <c r="E78" i="35016" s="1"/>
  <c r="E79" i="35016" s="1"/>
  <c r="E80" i="35016" s="1"/>
  <c r="E81" i="35016" s="1"/>
  <c r="E82" i="35016" s="1"/>
  <c r="E83" i="35016" s="1"/>
  <c r="E84" i="35016" s="1"/>
  <c r="M12" i="34980"/>
  <c r="M11" i="35017"/>
  <c r="G13" i="35017"/>
  <c r="G14" i="35017" s="1"/>
  <c r="G15" i="35017" s="1"/>
  <c r="G16" i="35017" s="1"/>
  <c r="G17" i="35017" s="1"/>
  <c r="G18" i="35017" s="1"/>
  <c r="G19" i="35017" s="1"/>
  <c r="G20" i="35017" s="1"/>
  <c r="G21" i="35017" s="1"/>
  <c r="G22" i="35017" s="1"/>
  <c r="G23" i="35017" s="1"/>
  <c r="G24" i="35017" s="1"/>
  <c r="G25" i="35017" s="1"/>
  <c r="G26" i="35017" s="1"/>
  <c r="G27" i="35017" s="1"/>
  <c r="G28" i="35017" s="1"/>
  <c r="G29" i="35017" s="1"/>
  <c r="G30" i="35017" s="1"/>
  <c r="G31" i="35017" s="1"/>
  <c r="G32" i="35017" s="1"/>
  <c r="G33" i="35017" s="1"/>
  <c r="G34" i="35017" s="1"/>
  <c r="G35" i="35017" s="1"/>
  <c r="G36" i="35017" s="1"/>
  <c r="G37" i="35017" s="1"/>
  <c r="G38" i="35017" s="1"/>
  <c r="G39" i="35017" s="1"/>
  <c r="G40" i="35017" s="1"/>
  <c r="G41" i="35017" s="1"/>
  <c r="G42" i="35017" s="1"/>
  <c r="G43" i="35017" s="1"/>
  <c r="G44" i="35017" s="1"/>
  <c r="G45" i="35017" s="1"/>
  <c r="G46" i="35017" s="1"/>
  <c r="G47" i="35017" s="1"/>
  <c r="G48" i="35017" s="1"/>
  <c r="G49" i="35017" s="1"/>
  <c r="G50" i="35017" s="1"/>
  <c r="G51" i="35017" s="1"/>
  <c r="G52" i="35017" s="1"/>
  <c r="G53" i="35017" s="1"/>
  <c r="G54" i="35017" s="1"/>
  <c r="G55" i="35017" s="1"/>
  <c r="G56" i="35017" s="1"/>
  <c r="G57" i="35017" s="1"/>
  <c r="G58" i="35017" s="1"/>
  <c r="G59" i="35017" s="1"/>
  <c r="G60" i="35017" s="1"/>
  <c r="G61" i="35017" s="1"/>
  <c r="G62" i="35017" s="1"/>
  <c r="G63" i="35017" s="1"/>
  <c r="G64" i="35017" s="1"/>
  <c r="G65" i="35017" s="1"/>
  <c r="G66" i="35017" s="1"/>
  <c r="G67" i="35017" s="1"/>
  <c r="G68" i="35017" s="1"/>
  <c r="G69" i="35017" s="1"/>
  <c r="G70" i="35017" s="1"/>
  <c r="G71" i="35017" s="1"/>
  <c r="G72" i="35017" s="1"/>
  <c r="G73" i="35017" s="1"/>
  <c r="G74" i="35017" s="1"/>
  <c r="G75" i="35017" s="1"/>
  <c r="G76" i="35017" s="1"/>
  <c r="G77" i="35017" s="1"/>
  <c r="G78" i="35017" s="1"/>
  <c r="G79" i="35017" s="1"/>
  <c r="G80" i="35017" s="1"/>
  <c r="G81" i="35017" s="1"/>
  <c r="G82" i="35017" s="1"/>
  <c r="G83" i="35017" s="1"/>
  <c r="G84" i="35017" s="1"/>
  <c r="M12" i="35017"/>
  <c r="J14" i="34980"/>
  <c r="J15" i="34980" s="1"/>
  <c r="J16" i="34980" s="1"/>
  <c r="J17" i="34980" s="1"/>
  <c r="J18" i="34980" s="1"/>
  <c r="J19" i="34980" s="1"/>
  <c r="J20" i="34980" s="1"/>
  <c r="J21" i="34980" s="1"/>
  <c r="J22" i="34980" s="1"/>
  <c r="J23" i="34980" s="1"/>
  <c r="J24" i="34980" s="1"/>
  <c r="J25" i="34980" s="1"/>
  <c r="J26" i="34980" s="1"/>
  <c r="J27" i="34980" s="1"/>
  <c r="J28" i="34980" s="1"/>
  <c r="J29" i="34980" s="1"/>
  <c r="J30" i="34980" s="1"/>
  <c r="J31" i="34980" s="1"/>
  <c r="J32" i="34980" s="1"/>
  <c r="J33" i="34980" s="1"/>
  <c r="J34" i="34980" s="1"/>
  <c r="J35" i="34980" s="1"/>
  <c r="J36" i="34980" s="1"/>
  <c r="J37" i="34980" s="1"/>
  <c r="J38" i="34980" s="1"/>
  <c r="J39" i="34980" s="1"/>
  <c r="J40" i="34980" s="1"/>
  <c r="J41" i="34980" s="1"/>
  <c r="J42" i="34980" s="1"/>
  <c r="J43" i="34980" s="1"/>
  <c r="J44" i="34980" s="1"/>
  <c r="J45" i="34980" s="1"/>
  <c r="J46" i="34980" s="1"/>
  <c r="J47" i="34980" s="1"/>
  <c r="J48" i="34980" s="1"/>
  <c r="J49" i="34980" s="1"/>
  <c r="J50" i="34980" s="1"/>
  <c r="J51" i="34980" s="1"/>
  <c r="J52" i="34980" s="1"/>
  <c r="J53" i="34980" s="1"/>
  <c r="J54" i="34980" s="1"/>
  <c r="J55" i="34980" s="1"/>
  <c r="J56" i="34980" s="1"/>
  <c r="J57" i="34980" s="1"/>
  <c r="J58" i="34980" s="1"/>
  <c r="J59" i="34980" s="1"/>
  <c r="J60" i="34980" s="1"/>
  <c r="J61" i="34980" s="1"/>
  <c r="J62" i="34980" s="1"/>
  <c r="J63" i="34980" s="1"/>
  <c r="J64" i="34980" s="1"/>
  <c r="J65" i="34980" s="1"/>
  <c r="J66" i="34980" s="1"/>
  <c r="J67" i="34980" s="1"/>
  <c r="J68" i="34980" s="1"/>
  <c r="J69" i="34980" s="1"/>
  <c r="J70" i="34980" s="1"/>
  <c r="J71" i="34980" s="1"/>
  <c r="J72" i="34980" s="1"/>
  <c r="J73" i="34980" s="1"/>
  <c r="J74" i="34980" s="1"/>
  <c r="J75" i="34980" s="1"/>
  <c r="J76" i="34980" s="1"/>
  <c r="J77" i="34980" s="1"/>
  <c r="J78" i="34980" s="1"/>
  <c r="J79" i="34980" s="1"/>
  <c r="J80" i="34980" s="1"/>
  <c r="J81" i="34980" s="1"/>
  <c r="J82" i="34980" s="1"/>
  <c r="J83" i="34980" s="1"/>
  <c r="J84" i="34980" s="1"/>
  <c r="H14" i="34980"/>
  <c r="C16" i="35017"/>
  <c r="I14" i="34980"/>
  <c r="I14" i="35016"/>
  <c r="F14" i="35016"/>
  <c r="C14" i="35016"/>
  <c r="M45" i="35391" a="1"/>
  <c r="M45" i="35391" s="1"/>
  <c r="N45" i="35391" s="1"/>
  <c r="O45" i="35391" s="1"/>
  <c r="J14" i="35016"/>
  <c r="D14" i="35016"/>
  <c r="H14" i="35016"/>
  <c r="H15" i="35016" s="1"/>
  <c r="H16" i="35016" s="1"/>
  <c r="H17" i="35016" s="1"/>
  <c r="H18" i="35016" s="1"/>
  <c r="H19" i="35016" s="1"/>
  <c r="H20" i="35016" s="1"/>
  <c r="H21" i="35016" s="1"/>
  <c r="H22" i="35016" s="1"/>
  <c r="H23" i="35016" s="1"/>
  <c r="H24" i="35016" s="1"/>
  <c r="H25" i="35016" s="1"/>
  <c r="H26" i="35016" s="1"/>
  <c r="H27" i="35016" s="1"/>
  <c r="H28" i="35016" s="1"/>
  <c r="H29" i="35016" s="1"/>
  <c r="H30" i="35016" s="1"/>
  <c r="H31" i="35016" s="1"/>
  <c r="H32" i="35016" s="1"/>
  <c r="H33" i="35016" s="1"/>
  <c r="H34" i="35016" s="1"/>
  <c r="H35" i="35016" s="1"/>
  <c r="H36" i="35016" s="1"/>
  <c r="H37" i="35016" s="1"/>
  <c r="H38" i="35016" s="1"/>
  <c r="H39" i="35016" s="1"/>
  <c r="H40" i="35016" s="1"/>
  <c r="H41" i="35016" s="1"/>
  <c r="H42" i="35016" s="1"/>
  <c r="H43" i="35016" s="1"/>
  <c r="H44" i="35016" s="1"/>
  <c r="H45" i="35016" s="1"/>
  <c r="H46" i="35016" s="1"/>
  <c r="H47" i="35016" s="1"/>
  <c r="H48" i="35016" s="1"/>
  <c r="H49" i="35016" s="1"/>
  <c r="H50" i="35016" s="1"/>
  <c r="H51" i="35016" s="1"/>
  <c r="H52" i="35016" s="1"/>
  <c r="H53" i="35016" s="1"/>
  <c r="H54" i="35016" s="1"/>
  <c r="H55" i="35016" s="1"/>
  <c r="H56" i="35016" s="1"/>
  <c r="H57" i="35016" s="1"/>
  <c r="H58" i="35016" s="1"/>
  <c r="H59" i="35016" s="1"/>
  <c r="H60" i="35016" s="1"/>
  <c r="H61" i="35016" s="1"/>
  <c r="H62" i="35016" s="1"/>
  <c r="H63" i="35016" s="1"/>
  <c r="H64" i="35016" s="1"/>
  <c r="H65" i="35016" s="1"/>
  <c r="H66" i="35016" s="1"/>
  <c r="H67" i="35016" s="1"/>
  <c r="H68" i="35016" s="1"/>
  <c r="H69" i="35016" s="1"/>
  <c r="H70" i="35016" s="1"/>
  <c r="H71" i="35016" s="1"/>
  <c r="H72" i="35016" s="1"/>
  <c r="H73" i="35016" s="1"/>
  <c r="H74" i="35016" s="1"/>
  <c r="H75" i="35016" s="1"/>
  <c r="H76" i="35016" s="1"/>
  <c r="H77" i="35016" s="1"/>
  <c r="H78" i="35016" s="1"/>
  <c r="H79" i="35016" s="1"/>
  <c r="H80" i="35016" s="1"/>
  <c r="H81" i="35016" s="1"/>
  <c r="H82" i="35016" s="1"/>
  <c r="H83" i="35016" s="1"/>
  <c r="H84" i="35016" s="1"/>
  <c r="L14" i="35017"/>
  <c r="L15" i="35017" s="1"/>
  <c r="L16" i="35017" s="1"/>
  <c r="L17" i="35017" s="1"/>
  <c r="L18" i="35017" s="1"/>
  <c r="L19" i="35017" s="1"/>
  <c r="L20" i="35017" s="1"/>
  <c r="L21" i="35017" s="1"/>
  <c r="L22" i="35017" s="1"/>
  <c r="L23" i="35017" s="1"/>
  <c r="L24" i="35017" s="1"/>
  <c r="L25" i="35017" s="1"/>
  <c r="L26" i="35017" s="1"/>
  <c r="L27" i="35017" s="1"/>
  <c r="L28" i="35017" s="1"/>
  <c r="L29" i="35017" s="1"/>
  <c r="L30" i="35017" s="1"/>
  <c r="L31" i="35017" s="1"/>
  <c r="L32" i="35017" s="1"/>
  <c r="L33" i="35017" s="1"/>
  <c r="L34" i="35017" s="1"/>
  <c r="L35" i="35017" s="1"/>
  <c r="L36" i="35017" s="1"/>
  <c r="L37" i="35017" s="1"/>
  <c r="L38" i="35017" s="1"/>
  <c r="L39" i="35017" s="1"/>
  <c r="L40" i="35017" s="1"/>
  <c r="L41" i="35017" s="1"/>
  <c r="L42" i="35017" s="1"/>
  <c r="L43" i="35017" s="1"/>
  <c r="L44" i="35017" s="1"/>
  <c r="L45" i="35017" s="1"/>
  <c r="L46" i="35017" s="1"/>
  <c r="L47" i="35017" s="1"/>
  <c r="L48" i="35017" s="1"/>
  <c r="L49" i="35017" s="1"/>
  <c r="L50" i="35017" s="1"/>
  <c r="L51" i="35017" s="1"/>
  <c r="L52" i="35017" s="1"/>
  <c r="L53" i="35017" s="1"/>
  <c r="L54" i="35017" s="1"/>
  <c r="L55" i="35017" s="1"/>
  <c r="L56" i="35017" s="1"/>
  <c r="L57" i="35017" s="1"/>
  <c r="L58" i="35017" s="1"/>
  <c r="L59" i="35017" s="1"/>
  <c r="L60" i="35017" s="1"/>
  <c r="L61" i="35017" s="1"/>
  <c r="L62" i="35017" s="1"/>
  <c r="L63" i="35017" s="1"/>
  <c r="L64" i="35017" s="1"/>
  <c r="L65" i="35017" s="1"/>
  <c r="L66" i="35017" s="1"/>
  <c r="L67" i="35017" s="1"/>
  <c r="L68" i="35017" s="1"/>
  <c r="L69" i="35017" s="1"/>
  <c r="L70" i="35017" s="1"/>
  <c r="L71" i="35017" s="1"/>
  <c r="L72" i="35017" s="1"/>
  <c r="L73" i="35017" s="1"/>
  <c r="L74" i="35017" s="1"/>
  <c r="L75" i="35017" s="1"/>
  <c r="L76" i="35017" s="1"/>
  <c r="L77" i="35017" s="1"/>
  <c r="L78" i="35017" s="1"/>
  <c r="L79" i="35017" s="1"/>
  <c r="L80" i="35017" s="1"/>
  <c r="L81" i="35017" s="1"/>
  <c r="L82" i="35017" s="1"/>
  <c r="L83" i="35017" s="1"/>
  <c r="L84" i="35017" s="1"/>
  <c r="K15" i="35017"/>
  <c r="K16" i="35017" s="1"/>
  <c r="K17" i="35017" s="1"/>
  <c r="K18" i="35017" s="1"/>
  <c r="K19" i="35017" s="1"/>
  <c r="K20" i="35017" s="1"/>
  <c r="K21" i="35017" s="1"/>
  <c r="K22" i="35017" s="1"/>
  <c r="K23" i="35017" s="1"/>
  <c r="K24" i="35017" s="1"/>
  <c r="K25" i="35017" s="1"/>
  <c r="K26" i="35017" s="1"/>
  <c r="K27" i="35017" s="1"/>
  <c r="K28" i="35017" s="1"/>
  <c r="K29" i="35017" s="1"/>
  <c r="K30" i="35017" s="1"/>
  <c r="K31" i="35017" s="1"/>
  <c r="K32" i="35017" s="1"/>
  <c r="K33" i="35017" s="1"/>
  <c r="K34" i="35017" s="1"/>
  <c r="K35" i="35017" s="1"/>
  <c r="K36" i="35017" s="1"/>
  <c r="K37" i="35017" s="1"/>
  <c r="K38" i="35017" s="1"/>
  <c r="K39" i="35017" s="1"/>
  <c r="K40" i="35017" s="1"/>
  <c r="K41" i="35017" s="1"/>
  <c r="K42" i="35017" s="1"/>
  <c r="K43" i="35017" s="1"/>
  <c r="K44" i="35017" s="1"/>
  <c r="K45" i="35017" s="1"/>
  <c r="K46" i="35017" s="1"/>
  <c r="K47" i="35017" s="1"/>
  <c r="K48" i="35017" s="1"/>
  <c r="K49" i="35017" s="1"/>
  <c r="K50" i="35017" s="1"/>
  <c r="K51" i="35017" s="1"/>
  <c r="K52" i="35017" s="1"/>
  <c r="K53" i="35017" s="1"/>
  <c r="K54" i="35017" s="1"/>
  <c r="K55" i="35017" s="1"/>
  <c r="K56" i="35017" s="1"/>
  <c r="K57" i="35017" s="1"/>
  <c r="K58" i="35017" s="1"/>
  <c r="K59" i="35017" s="1"/>
  <c r="K60" i="35017" s="1"/>
  <c r="K61" i="35017" s="1"/>
  <c r="K62" i="35017" s="1"/>
  <c r="K63" i="35017" s="1"/>
  <c r="K64" i="35017" s="1"/>
  <c r="K65" i="35017" s="1"/>
  <c r="K66" i="35017" s="1"/>
  <c r="K67" i="35017" s="1"/>
  <c r="K68" i="35017" s="1"/>
  <c r="K69" i="35017" s="1"/>
  <c r="K70" i="35017" s="1"/>
  <c r="K71" i="35017" s="1"/>
  <c r="K72" i="35017" s="1"/>
  <c r="K73" i="35017" s="1"/>
  <c r="K74" i="35017" s="1"/>
  <c r="K75" i="35017" s="1"/>
  <c r="K76" i="35017" s="1"/>
  <c r="K77" i="35017" s="1"/>
  <c r="K78" i="35017" s="1"/>
  <c r="K79" i="35017" s="1"/>
  <c r="K80" i="35017" s="1"/>
  <c r="K81" i="35017" s="1"/>
  <c r="K82" i="35017" s="1"/>
  <c r="K83" i="35017" s="1"/>
  <c r="K84" i="35017" s="1"/>
  <c r="D14" i="35018"/>
  <c r="D15" i="35018" s="1"/>
  <c r="D16" i="35018" s="1"/>
  <c r="D17" i="35018" s="1"/>
  <c r="D18" i="35018" s="1"/>
  <c r="D19" i="35018" s="1"/>
  <c r="D20" i="35018" s="1"/>
  <c r="D21" i="35018" s="1"/>
  <c r="D22" i="35018" s="1"/>
  <c r="D23" i="35018" s="1"/>
  <c r="D24" i="35018" s="1"/>
  <c r="D25" i="35018" s="1"/>
  <c r="D26" i="35018" s="1"/>
  <c r="D27" i="35018" s="1"/>
  <c r="D28" i="35018" s="1"/>
  <c r="D29" i="35018" s="1"/>
  <c r="D30" i="35018" s="1"/>
  <c r="D31" i="35018" s="1"/>
  <c r="D32" i="35018" s="1"/>
  <c r="D33" i="35018" s="1"/>
  <c r="D34" i="35018" s="1"/>
  <c r="D35" i="35018" s="1"/>
  <c r="D36" i="35018" s="1"/>
  <c r="D37" i="35018" s="1"/>
  <c r="D38" i="35018" s="1"/>
  <c r="D39" i="35018" s="1"/>
  <c r="D40" i="35018" s="1"/>
  <c r="D41" i="35018" s="1"/>
  <c r="D42" i="35018" s="1"/>
  <c r="D43" i="35018" s="1"/>
  <c r="D44" i="35018" s="1"/>
  <c r="D45" i="35018" s="1"/>
  <c r="D46" i="35018" s="1"/>
  <c r="D47" i="35018" s="1"/>
  <c r="D48" i="35018" s="1"/>
  <c r="D49" i="35018" s="1"/>
  <c r="D50" i="35018" s="1"/>
  <c r="D51" i="35018" s="1"/>
  <c r="D52" i="35018" s="1"/>
  <c r="D53" i="35018" s="1"/>
  <c r="D54" i="35018" s="1"/>
  <c r="D55" i="35018" s="1"/>
  <c r="D56" i="35018" s="1"/>
  <c r="D57" i="35018" s="1"/>
  <c r="D58" i="35018" s="1"/>
  <c r="D59" i="35018" s="1"/>
  <c r="D60" i="35018" s="1"/>
  <c r="D61" i="35018" s="1"/>
  <c r="D62" i="35018" s="1"/>
  <c r="D63" i="35018" s="1"/>
  <c r="D64" i="35018" s="1"/>
  <c r="D65" i="35018" s="1"/>
  <c r="D66" i="35018" s="1"/>
  <c r="D67" i="35018" s="1"/>
  <c r="D68" i="35018" s="1"/>
  <c r="D69" i="35018" s="1"/>
  <c r="D70" i="35018" s="1"/>
  <c r="D71" i="35018" s="1"/>
  <c r="D72" i="35018" s="1"/>
  <c r="D73" i="35018" s="1"/>
  <c r="D74" i="35018" s="1"/>
  <c r="D75" i="35018" s="1"/>
  <c r="D76" i="35018" s="1"/>
  <c r="D77" i="35018" s="1"/>
  <c r="D78" i="35018" s="1"/>
  <c r="D79" i="35018" s="1"/>
  <c r="D80" i="35018" s="1"/>
  <c r="D81" i="35018" s="1"/>
  <c r="D82" i="35018" s="1"/>
  <c r="D83" i="35018" s="1"/>
  <c r="D84" i="35018" s="1"/>
  <c r="C14" i="35018"/>
  <c r="I14" i="35017"/>
  <c r="I15" i="35017" s="1"/>
  <c r="I16" i="35017" s="1"/>
  <c r="I17" i="35017" s="1"/>
  <c r="I18" i="35017" s="1"/>
  <c r="I19" i="35017" s="1"/>
  <c r="I20" i="35017" s="1"/>
  <c r="I21" i="35017" s="1"/>
  <c r="I22" i="35017" s="1"/>
  <c r="I23" i="35017" s="1"/>
  <c r="I24" i="35017" s="1"/>
  <c r="I25" i="35017" s="1"/>
  <c r="I26" i="35017" s="1"/>
  <c r="I27" i="35017" s="1"/>
  <c r="I28" i="35017" s="1"/>
  <c r="I29" i="35017" s="1"/>
  <c r="I30" i="35017" s="1"/>
  <c r="I31" i="35017" s="1"/>
  <c r="I32" i="35017" s="1"/>
  <c r="I33" i="35017" s="1"/>
  <c r="I34" i="35017" s="1"/>
  <c r="I35" i="35017" s="1"/>
  <c r="I36" i="35017" s="1"/>
  <c r="I37" i="35017" s="1"/>
  <c r="I38" i="35017" s="1"/>
  <c r="I39" i="35017" s="1"/>
  <c r="I40" i="35017" s="1"/>
  <c r="I41" i="35017" s="1"/>
  <c r="I42" i="35017" s="1"/>
  <c r="I43" i="35017" s="1"/>
  <c r="I44" i="35017" s="1"/>
  <c r="I45" i="35017" s="1"/>
  <c r="I46" i="35017" s="1"/>
  <c r="I47" i="35017" s="1"/>
  <c r="I48" i="35017" s="1"/>
  <c r="I49" i="35017" s="1"/>
  <c r="I50" i="35017" s="1"/>
  <c r="I51" i="35017" s="1"/>
  <c r="I52" i="35017" s="1"/>
  <c r="I53" i="35017" s="1"/>
  <c r="I54" i="35017" s="1"/>
  <c r="I55" i="35017" s="1"/>
  <c r="I56" i="35017" s="1"/>
  <c r="I57" i="35017" s="1"/>
  <c r="I58" i="35017" s="1"/>
  <c r="I59" i="35017" s="1"/>
  <c r="I60" i="35017" s="1"/>
  <c r="I61" i="35017" s="1"/>
  <c r="I62" i="35017" s="1"/>
  <c r="I63" i="35017" s="1"/>
  <c r="I64" i="35017" s="1"/>
  <c r="I65" i="35017" s="1"/>
  <c r="I66" i="35017" s="1"/>
  <c r="I67" i="35017" s="1"/>
  <c r="I68" i="35017" s="1"/>
  <c r="I69" i="35017" s="1"/>
  <c r="I70" i="35017" s="1"/>
  <c r="I71" i="35017" s="1"/>
  <c r="I72" i="35017" s="1"/>
  <c r="I73" i="35017" s="1"/>
  <c r="I74" i="35017" s="1"/>
  <c r="I75" i="35017" s="1"/>
  <c r="I76" i="35017" s="1"/>
  <c r="I77" i="35017" s="1"/>
  <c r="I78" i="35017" s="1"/>
  <c r="I79" i="35017" s="1"/>
  <c r="I80" i="35017" s="1"/>
  <c r="I81" i="35017" s="1"/>
  <c r="I82" i="35017" s="1"/>
  <c r="I83" i="35017" s="1"/>
  <c r="I84" i="35017" s="1"/>
  <c r="J14" i="35017"/>
  <c r="J15" i="35017" s="1"/>
  <c r="J16" i="35017" s="1"/>
  <c r="J17" i="35017" s="1"/>
  <c r="J18" i="35017" s="1"/>
  <c r="J19" i="35017" s="1"/>
  <c r="J20" i="35017" s="1"/>
  <c r="J21" i="35017" s="1"/>
  <c r="J22" i="35017" s="1"/>
  <c r="J23" i="35017" s="1"/>
  <c r="J24" i="35017" s="1"/>
  <c r="J25" i="35017" s="1"/>
  <c r="J26" i="35017" s="1"/>
  <c r="J27" i="35017" s="1"/>
  <c r="J28" i="35017" s="1"/>
  <c r="J29" i="35017" s="1"/>
  <c r="J30" i="35017" s="1"/>
  <c r="J31" i="35017" s="1"/>
  <c r="J32" i="35017" s="1"/>
  <c r="J33" i="35017" s="1"/>
  <c r="J34" i="35017" s="1"/>
  <c r="J35" i="35017" s="1"/>
  <c r="J36" i="35017" s="1"/>
  <c r="J37" i="35017" s="1"/>
  <c r="J38" i="35017" s="1"/>
  <c r="J39" i="35017" s="1"/>
  <c r="J40" i="35017" s="1"/>
  <c r="J41" i="35017" s="1"/>
  <c r="J42" i="35017" s="1"/>
  <c r="J43" i="35017" s="1"/>
  <c r="J44" i="35017" s="1"/>
  <c r="J45" i="35017" s="1"/>
  <c r="J46" i="35017" s="1"/>
  <c r="J47" i="35017" s="1"/>
  <c r="J48" i="35017" s="1"/>
  <c r="J49" i="35017" s="1"/>
  <c r="J50" i="35017" s="1"/>
  <c r="J51" i="35017" s="1"/>
  <c r="J52" i="35017" s="1"/>
  <c r="J53" i="35017" s="1"/>
  <c r="J54" i="35017" s="1"/>
  <c r="J55" i="35017" s="1"/>
  <c r="J56" i="35017" s="1"/>
  <c r="J57" i="35017" s="1"/>
  <c r="J58" i="35017" s="1"/>
  <c r="J59" i="35017" s="1"/>
  <c r="J60" i="35017" s="1"/>
  <c r="J61" i="35017" s="1"/>
  <c r="J62" i="35017" s="1"/>
  <c r="J63" i="35017" s="1"/>
  <c r="J64" i="35017" s="1"/>
  <c r="J65" i="35017" s="1"/>
  <c r="J66" i="35017" s="1"/>
  <c r="J67" i="35017" s="1"/>
  <c r="J68" i="35017" s="1"/>
  <c r="J69" i="35017" s="1"/>
  <c r="J70" i="35017" s="1"/>
  <c r="J71" i="35017" s="1"/>
  <c r="J72" i="35017" s="1"/>
  <c r="J73" i="35017" s="1"/>
  <c r="J74" i="35017" s="1"/>
  <c r="J75" i="35017" s="1"/>
  <c r="J76" i="35017" s="1"/>
  <c r="J77" i="35017" s="1"/>
  <c r="J78" i="35017" s="1"/>
  <c r="J79" i="35017" s="1"/>
  <c r="J80" i="35017" s="1"/>
  <c r="J81" i="35017" s="1"/>
  <c r="J82" i="35017" s="1"/>
  <c r="J83" i="35017" s="1"/>
  <c r="J84" i="35017" s="1"/>
  <c r="H14" i="35017"/>
  <c r="H15" i="35017" s="1"/>
  <c r="H16" i="35017" s="1"/>
  <c r="H17" i="35017" s="1"/>
  <c r="H18" i="35017" s="1"/>
  <c r="H19" i="35017" s="1"/>
  <c r="H20" i="35017" s="1"/>
  <c r="H21" i="35017" s="1"/>
  <c r="H22" i="35017" s="1"/>
  <c r="H23" i="35017" s="1"/>
  <c r="H24" i="35017" s="1"/>
  <c r="H25" i="35017" s="1"/>
  <c r="H26" i="35017" s="1"/>
  <c r="H27" i="35017" s="1"/>
  <c r="H28" i="35017" s="1"/>
  <c r="H29" i="35017" s="1"/>
  <c r="H30" i="35017" s="1"/>
  <c r="H31" i="35017" s="1"/>
  <c r="H32" i="35017" s="1"/>
  <c r="H33" i="35017" s="1"/>
  <c r="H34" i="35017" s="1"/>
  <c r="H35" i="35017" s="1"/>
  <c r="H36" i="35017" s="1"/>
  <c r="H37" i="35017" s="1"/>
  <c r="H38" i="35017" s="1"/>
  <c r="H39" i="35017" s="1"/>
  <c r="H40" i="35017" s="1"/>
  <c r="H41" i="35017" s="1"/>
  <c r="H42" i="35017" s="1"/>
  <c r="H43" i="35017" s="1"/>
  <c r="H44" i="35017" s="1"/>
  <c r="H45" i="35017" s="1"/>
  <c r="H46" i="35017" s="1"/>
  <c r="H47" i="35017" s="1"/>
  <c r="H48" i="35017" s="1"/>
  <c r="H49" i="35017" s="1"/>
  <c r="H50" i="35017" s="1"/>
  <c r="H51" i="35017" s="1"/>
  <c r="H52" i="35017" s="1"/>
  <c r="H53" i="35017" s="1"/>
  <c r="H54" i="35017" s="1"/>
  <c r="H55" i="35017" s="1"/>
  <c r="H56" i="35017" s="1"/>
  <c r="H57" i="35017" s="1"/>
  <c r="H58" i="35017" s="1"/>
  <c r="H59" i="35017" s="1"/>
  <c r="H60" i="35017" s="1"/>
  <c r="H61" i="35017" s="1"/>
  <c r="H62" i="35017" s="1"/>
  <c r="H63" i="35017" s="1"/>
  <c r="H64" i="35017" s="1"/>
  <c r="H65" i="35017" s="1"/>
  <c r="H66" i="35017" s="1"/>
  <c r="H67" i="35017" s="1"/>
  <c r="H68" i="35017" s="1"/>
  <c r="H69" i="35017" s="1"/>
  <c r="H70" i="35017" s="1"/>
  <c r="H71" i="35017" s="1"/>
  <c r="H72" i="35017" s="1"/>
  <c r="H73" i="35017" s="1"/>
  <c r="H74" i="35017" s="1"/>
  <c r="H75" i="35017" s="1"/>
  <c r="H76" i="35017" s="1"/>
  <c r="H77" i="35017" s="1"/>
  <c r="H78" i="35017" s="1"/>
  <c r="H79" i="35017" s="1"/>
  <c r="H80" i="35017" s="1"/>
  <c r="H81" i="35017" s="1"/>
  <c r="H82" i="35017" s="1"/>
  <c r="H83" i="35017" s="1"/>
  <c r="H84" i="35017" s="1"/>
  <c r="F14" i="35017"/>
  <c r="C14" i="34986"/>
  <c r="H14" i="34984"/>
  <c r="H15" i="34984" s="1"/>
  <c r="H16" i="34984" s="1"/>
  <c r="H17" i="34984" s="1"/>
  <c r="H18" i="34984" s="1"/>
  <c r="H19" i="34984" s="1"/>
  <c r="H20" i="34984" s="1"/>
  <c r="H21" i="34984" s="1"/>
  <c r="H22" i="34984" s="1"/>
  <c r="H23" i="34984" s="1"/>
  <c r="H24" i="34984" s="1"/>
  <c r="H25" i="34984" s="1"/>
  <c r="H26" i="34984" s="1"/>
  <c r="H27" i="34984" s="1"/>
  <c r="H28" i="34984" s="1"/>
  <c r="H29" i="34984" s="1"/>
  <c r="H30" i="34984" s="1"/>
  <c r="H31" i="34984" s="1"/>
  <c r="H32" i="34984" s="1"/>
  <c r="H33" i="34984" s="1"/>
  <c r="H34" i="34984" s="1"/>
  <c r="H35" i="34984" s="1"/>
  <c r="H36" i="34984" s="1"/>
  <c r="H37" i="34984" s="1"/>
  <c r="H38" i="34984" s="1"/>
  <c r="H39" i="34984" s="1"/>
  <c r="H40" i="34984" s="1"/>
  <c r="H41" i="34984" s="1"/>
  <c r="H42" i="34984" s="1"/>
  <c r="H43" i="34984" s="1"/>
  <c r="H44" i="34984" s="1"/>
  <c r="H45" i="34984" s="1"/>
  <c r="H46" i="34984" s="1"/>
  <c r="H47" i="34984" s="1"/>
  <c r="H48" i="34984" s="1"/>
  <c r="H49" i="34984" s="1"/>
  <c r="H50" i="34984" s="1"/>
  <c r="H51" i="34984" s="1"/>
  <c r="H52" i="34984" s="1"/>
  <c r="H53" i="34984" s="1"/>
  <c r="H54" i="34984" s="1"/>
  <c r="H55" i="34984" s="1"/>
  <c r="H56" i="34984" s="1"/>
  <c r="H57" i="34984" s="1"/>
  <c r="H58" i="34984" s="1"/>
  <c r="H59" i="34984" s="1"/>
  <c r="H60" i="34984" s="1"/>
  <c r="H61" i="34984" s="1"/>
  <c r="H62" i="34984" s="1"/>
  <c r="H63" i="34984" s="1"/>
  <c r="H64" i="34984" s="1"/>
  <c r="H65" i="34984" s="1"/>
  <c r="H66" i="34984" s="1"/>
  <c r="H67" i="34984" s="1"/>
  <c r="H68" i="34984" s="1"/>
  <c r="H69" i="34984" s="1"/>
  <c r="H70" i="34984" s="1"/>
  <c r="H71" i="34984" s="1"/>
  <c r="H72" i="34984" s="1"/>
  <c r="H73" i="34984" s="1"/>
  <c r="H74" i="34984" s="1"/>
  <c r="H75" i="34984" s="1"/>
  <c r="H76" i="34984" s="1"/>
  <c r="H77" i="34984" s="1"/>
  <c r="H78" i="34984" s="1"/>
  <c r="H79" i="34984" s="1"/>
  <c r="H80" i="34984" s="1"/>
  <c r="H81" i="34984" s="1"/>
  <c r="H82" i="34984" s="1"/>
  <c r="H83" i="34984" s="1"/>
  <c r="H84" i="34984" s="1"/>
  <c r="F14" i="34984"/>
  <c r="E34" i="34984"/>
  <c r="F14" i="34986"/>
  <c r="F15" i="34986" s="1"/>
  <c r="F16" i="34986" s="1"/>
  <c r="F17" i="34986" s="1"/>
  <c r="F18" i="34986" s="1"/>
  <c r="F19" i="34986" s="1"/>
  <c r="F20" i="34986" s="1"/>
  <c r="F21" i="34986" s="1"/>
  <c r="F22" i="34986" s="1"/>
  <c r="F23" i="34986" s="1"/>
  <c r="F24" i="34986" s="1"/>
  <c r="F25" i="34986" s="1"/>
  <c r="F26" i="34986" s="1"/>
  <c r="F27" i="34986" s="1"/>
  <c r="F28" i="34986" s="1"/>
  <c r="F29" i="34986" s="1"/>
  <c r="F30" i="34986" s="1"/>
  <c r="F31" i="34986" s="1"/>
  <c r="F32" i="34986" s="1"/>
  <c r="F33" i="34986" s="1"/>
  <c r="F34" i="34986" s="1"/>
  <c r="F35" i="34986" s="1"/>
  <c r="F36" i="34986" s="1"/>
  <c r="F37" i="34986" s="1"/>
  <c r="F38" i="34986" s="1"/>
  <c r="F39" i="34986" s="1"/>
  <c r="F40" i="34986" s="1"/>
  <c r="F41" i="34986" s="1"/>
  <c r="F42" i="34986" s="1"/>
  <c r="F43" i="34986" s="1"/>
  <c r="F44" i="34986" s="1"/>
  <c r="F45" i="34986" s="1"/>
  <c r="F46" i="34986" s="1"/>
  <c r="F47" i="34986" s="1"/>
  <c r="F48" i="34986" s="1"/>
  <c r="F49" i="34986" s="1"/>
  <c r="F50" i="34986" s="1"/>
  <c r="F51" i="34986" s="1"/>
  <c r="F52" i="34986" s="1"/>
  <c r="F53" i="34986" s="1"/>
  <c r="F54" i="34986" s="1"/>
  <c r="F55" i="34986" s="1"/>
  <c r="F56" i="34986" s="1"/>
  <c r="F57" i="34986" s="1"/>
  <c r="F58" i="34986" s="1"/>
  <c r="F59" i="34986" s="1"/>
  <c r="F60" i="34986" s="1"/>
  <c r="F61" i="34986" s="1"/>
  <c r="F62" i="34986" s="1"/>
  <c r="F63" i="34986" s="1"/>
  <c r="F64" i="34986" s="1"/>
  <c r="F65" i="34986" s="1"/>
  <c r="F66" i="34986" s="1"/>
  <c r="F67" i="34986" s="1"/>
  <c r="F68" i="34986" s="1"/>
  <c r="F69" i="34986" s="1"/>
  <c r="F70" i="34986" s="1"/>
  <c r="F71" i="34986" s="1"/>
  <c r="F72" i="34986" s="1"/>
  <c r="F73" i="34986" s="1"/>
  <c r="F74" i="34986" s="1"/>
  <c r="F75" i="34986" s="1"/>
  <c r="F76" i="34986" s="1"/>
  <c r="F77" i="34986" s="1"/>
  <c r="F78" i="34986" s="1"/>
  <c r="F79" i="34986" s="1"/>
  <c r="F80" i="34986" s="1"/>
  <c r="F81" i="34986" s="1"/>
  <c r="F82" i="34986" s="1"/>
  <c r="F83" i="34986" s="1"/>
  <c r="F84" i="34986" s="1"/>
  <c r="E14" i="34986"/>
  <c r="D14" i="34984"/>
  <c r="F14" i="34980"/>
  <c r="E46" i="34980"/>
  <c r="C57" i="34980"/>
  <c r="D14" i="34980"/>
  <c r="G15" i="34984" l="1"/>
  <c r="G23" i="34984"/>
  <c r="G31" i="34984"/>
  <c r="G39" i="34984"/>
  <c r="G47" i="34984"/>
  <c r="G55" i="34984"/>
  <c r="G63" i="34984"/>
  <c r="G71" i="34984"/>
  <c r="G79" i="34984"/>
  <c r="G78" i="34984"/>
  <c r="G62" i="34984"/>
  <c r="G46" i="34984"/>
  <c r="G30" i="34984"/>
  <c r="G14" i="34984"/>
  <c r="G32" i="34984"/>
  <c r="G64" i="34984"/>
  <c r="G20" i="34984"/>
  <c r="G84" i="34984"/>
  <c r="G76" i="34984"/>
  <c r="G19" i="34984"/>
  <c r="G27" i="34984"/>
  <c r="G35" i="34984"/>
  <c r="G43" i="34984"/>
  <c r="G51" i="34984"/>
  <c r="G59" i="34984"/>
  <c r="G67" i="34984"/>
  <c r="G75" i="34984"/>
  <c r="G12" i="34984"/>
  <c r="G70" i="34984"/>
  <c r="G54" i="34984"/>
  <c r="G38" i="34984"/>
  <c r="G22" i="34984"/>
  <c r="G48" i="34984"/>
  <c r="G80" i="34984"/>
  <c r="G52" i="34984"/>
  <c r="G44" i="34984"/>
  <c r="M46" i="35391" a="1"/>
  <c r="M46" i="35391" s="1"/>
  <c r="N46" i="35391" s="1"/>
  <c r="O46" i="35391" s="1"/>
  <c r="G17" i="34984"/>
  <c r="G21" i="34984"/>
  <c r="G25" i="34984"/>
  <c r="G29" i="34984"/>
  <c r="G33" i="34984"/>
  <c r="G37" i="34984"/>
  <c r="G41" i="34984"/>
  <c r="G45" i="34984"/>
  <c r="G49" i="34984"/>
  <c r="G53" i="34984"/>
  <c r="G57" i="34984"/>
  <c r="G61" i="34984"/>
  <c r="G65" i="34984"/>
  <c r="G69" i="34984"/>
  <c r="G73" i="34984"/>
  <c r="G77" i="34984"/>
  <c r="G81" i="34984"/>
  <c r="G11" i="34984"/>
  <c r="G82" i="34984"/>
  <c r="G74" i="34984"/>
  <c r="G66" i="34984"/>
  <c r="G58" i="34984"/>
  <c r="G50" i="34984"/>
  <c r="G42" i="34984"/>
  <c r="G34" i="34984"/>
  <c r="G26" i="34984"/>
  <c r="G18" i="34984"/>
  <c r="G13" i="34984"/>
  <c r="G24" i="34984"/>
  <c r="G40" i="34984"/>
  <c r="G56" i="34984"/>
  <c r="G72" i="34984"/>
  <c r="G83" i="34984"/>
  <c r="G36" i="34984"/>
  <c r="G68" i="34984"/>
  <c r="G28" i="34984"/>
  <c r="G60" i="34984"/>
  <c r="M13" i="35017"/>
  <c r="C84" i="34984"/>
  <c r="BM84" i="35036" s="1"/>
  <c r="BD11" i="35036" a="1"/>
  <c r="D11" i="34986" a="1"/>
  <c r="M32" i="35391" a="1"/>
  <c r="M32" i="35391" s="1"/>
  <c r="M48" i="35391" a="1"/>
  <c r="M48" i="35391" s="1"/>
  <c r="N48" i="35391" s="1"/>
  <c r="O48" i="35391" s="1"/>
  <c r="M50" i="35391" a="1"/>
  <c r="M50" i="35391" s="1"/>
  <c r="R35" i="35391" s="1"/>
  <c r="T35" i="35391" s="1"/>
  <c r="L21" i="34908" a="1"/>
  <c r="L21" i="34908" s="1"/>
  <c r="M21" i="34908" s="1"/>
  <c r="N21" i="34908" s="1"/>
  <c r="M49" i="35391" a="1"/>
  <c r="M49" i="35391" s="1"/>
  <c r="R34" i="35391" s="1"/>
  <c r="T34" i="35391" s="1"/>
  <c r="M51" i="35391" a="1"/>
  <c r="M51" i="35391" s="1"/>
  <c r="N51" i="35391" s="1"/>
  <c r="O51" i="35391" s="1"/>
  <c r="M41" i="35391" a="1"/>
  <c r="M41" i="35391" s="1"/>
  <c r="N41" i="35391" s="1"/>
  <c r="O41" i="35391" s="1"/>
  <c r="M70" i="35391"/>
  <c r="N70" i="35391" s="1"/>
  <c r="O70" i="35391" s="1"/>
  <c r="M78" i="35391" a="1"/>
  <c r="M78" i="35391" s="1"/>
  <c r="N78" i="35391" s="1"/>
  <c r="O78" i="35391" s="1"/>
  <c r="C15" i="35018"/>
  <c r="C16" i="35018" s="1"/>
  <c r="C17" i="35018" s="1"/>
  <c r="C18" i="35018" s="1"/>
  <c r="C19" i="35018" s="1"/>
  <c r="C20" i="35018" s="1"/>
  <c r="C21" i="35018" s="1"/>
  <c r="C22" i="35018" s="1"/>
  <c r="C23" i="35018" s="1"/>
  <c r="C24" i="35018" s="1"/>
  <c r="C25" i="35018" s="1"/>
  <c r="C26" i="35018" s="1"/>
  <c r="C27" i="35018" s="1"/>
  <c r="C28" i="35018" s="1"/>
  <c r="C29" i="35018" s="1"/>
  <c r="C30" i="35018" s="1"/>
  <c r="C31" i="35018" s="1"/>
  <c r="C32" i="35018" s="1"/>
  <c r="C33" i="35018" s="1"/>
  <c r="C34" i="35018" s="1"/>
  <c r="C35" i="35018" s="1"/>
  <c r="C36" i="35018" s="1"/>
  <c r="C37" i="35018" s="1"/>
  <c r="C38" i="35018" s="1"/>
  <c r="C39" i="35018" s="1"/>
  <c r="C40" i="35018" s="1"/>
  <c r="C41" i="35018" s="1"/>
  <c r="C42" i="35018" s="1"/>
  <c r="C43" i="35018" s="1"/>
  <c r="C44" i="35018" s="1"/>
  <c r="C45" i="35018" s="1"/>
  <c r="C46" i="35018" s="1"/>
  <c r="C47" i="35018" s="1"/>
  <c r="C48" i="35018" s="1"/>
  <c r="C49" i="35018" s="1"/>
  <c r="C50" i="35018" s="1"/>
  <c r="C51" i="35018" s="1"/>
  <c r="C52" i="35018" s="1"/>
  <c r="C53" i="35018" s="1"/>
  <c r="C54" i="35018" s="1"/>
  <c r="C55" i="35018" s="1"/>
  <c r="C56" i="35018" s="1"/>
  <c r="C57" i="35018" s="1"/>
  <c r="C58" i="35018" s="1"/>
  <c r="C59" i="35018" s="1"/>
  <c r="C60" i="35018" s="1"/>
  <c r="C61" i="35018" s="1"/>
  <c r="C62" i="35018" s="1"/>
  <c r="C63" i="35018" s="1"/>
  <c r="C64" i="35018" s="1"/>
  <c r="C65" i="35018" s="1"/>
  <c r="C66" i="35018" s="1"/>
  <c r="C67" i="35018" s="1"/>
  <c r="C68" i="35018" s="1"/>
  <c r="C69" i="35018" s="1"/>
  <c r="C70" i="35018" s="1"/>
  <c r="C71" i="35018" s="1"/>
  <c r="C72" i="35018" s="1"/>
  <c r="C73" i="35018" s="1"/>
  <c r="C74" i="35018" s="1"/>
  <c r="C75" i="35018" s="1"/>
  <c r="C76" i="35018" s="1"/>
  <c r="C77" i="35018" s="1"/>
  <c r="C78" i="35018" s="1"/>
  <c r="C79" i="35018" s="1"/>
  <c r="C80" i="35018" s="1"/>
  <c r="C81" i="35018" s="1"/>
  <c r="C82" i="35018" s="1"/>
  <c r="C83" i="35018" s="1"/>
  <c r="C84" i="35018" s="1"/>
  <c r="F15" i="35016"/>
  <c r="F16" i="35016" s="1"/>
  <c r="F17" i="35016" s="1"/>
  <c r="F18" i="35016" s="1"/>
  <c r="F19" i="35016" s="1"/>
  <c r="F20" i="35016" s="1"/>
  <c r="F21" i="35016" s="1"/>
  <c r="F22" i="35016" s="1"/>
  <c r="F23" i="35016" s="1"/>
  <c r="F24" i="35016" s="1"/>
  <c r="F25" i="35016" s="1"/>
  <c r="F26" i="35016" s="1"/>
  <c r="F27" i="35016" s="1"/>
  <c r="F28" i="35016" s="1"/>
  <c r="F29" i="35016" s="1"/>
  <c r="F30" i="35016" s="1"/>
  <c r="F31" i="35016" s="1"/>
  <c r="F32" i="35016" s="1"/>
  <c r="F33" i="35016" s="1"/>
  <c r="F34" i="35016" s="1"/>
  <c r="F35" i="35016" s="1"/>
  <c r="F36" i="35016" s="1"/>
  <c r="F37" i="35016" s="1"/>
  <c r="F38" i="35016" s="1"/>
  <c r="F39" i="35016" s="1"/>
  <c r="F40" i="35016" s="1"/>
  <c r="F41" i="35016" s="1"/>
  <c r="F42" i="35016" s="1"/>
  <c r="F43" i="35016" s="1"/>
  <c r="F44" i="35016" s="1"/>
  <c r="F45" i="35016" s="1"/>
  <c r="F46" i="35016" s="1"/>
  <c r="F47" i="35016" s="1"/>
  <c r="F48" i="35016" s="1"/>
  <c r="F49" i="35016" s="1"/>
  <c r="F50" i="35016" s="1"/>
  <c r="F51" i="35016" s="1"/>
  <c r="F52" i="35016" s="1"/>
  <c r="F53" i="35016" s="1"/>
  <c r="F54" i="35016" s="1"/>
  <c r="F55" i="35016" s="1"/>
  <c r="F56" i="35016" s="1"/>
  <c r="F57" i="35016" s="1"/>
  <c r="F58" i="35016" s="1"/>
  <c r="F59" i="35016" s="1"/>
  <c r="F60" i="35016" s="1"/>
  <c r="F61" i="35016" s="1"/>
  <c r="F62" i="35016" s="1"/>
  <c r="F63" i="35016" s="1"/>
  <c r="F64" i="35016" s="1"/>
  <c r="F65" i="35016" s="1"/>
  <c r="F66" i="35016" s="1"/>
  <c r="F67" i="35016" s="1"/>
  <c r="F68" i="35016" s="1"/>
  <c r="F69" i="35016" s="1"/>
  <c r="F70" i="35016" s="1"/>
  <c r="F71" i="35016" s="1"/>
  <c r="F72" i="35016" s="1"/>
  <c r="F73" i="35016" s="1"/>
  <c r="F74" i="35016" s="1"/>
  <c r="F75" i="35016" s="1"/>
  <c r="F76" i="35016" s="1"/>
  <c r="F77" i="35016" s="1"/>
  <c r="F78" i="35016" s="1"/>
  <c r="F79" i="35016" s="1"/>
  <c r="F80" i="35016" s="1"/>
  <c r="F81" i="35016" s="1"/>
  <c r="F82" i="35016" s="1"/>
  <c r="F83" i="35016" s="1"/>
  <c r="F84" i="35016" s="1"/>
  <c r="I15" i="34980"/>
  <c r="C17" i="35017"/>
  <c r="H15" i="34980"/>
  <c r="M14" i="34980"/>
  <c r="D15" i="34980"/>
  <c r="D16" i="34980" s="1"/>
  <c r="D17" i="34980" s="1"/>
  <c r="D18" i="34980" s="1"/>
  <c r="D19" i="34980" s="1"/>
  <c r="D20" i="34980" s="1"/>
  <c r="D21" i="34980" s="1"/>
  <c r="D22" i="34980" s="1"/>
  <c r="D23" i="34980" s="1"/>
  <c r="D24" i="34980" s="1"/>
  <c r="D25" i="34980" s="1"/>
  <c r="D26" i="34980" s="1"/>
  <c r="D27" i="34980" s="1"/>
  <c r="D28" i="34980" s="1"/>
  <c r="D29" i="34980" s="1"/>
  <c r="D30" i="34980" s="1"/>
  <c r="D31" i="34980" s="1"/>
  <c r="D32" i="34980" s="1"/>
  <c r="D33" i="34980" s="1"/>
  <c r="D34" i="34980" s="1"/>
  <c r="D35" i="34980" s="1"/>
  <c r="D36" i="34980" s="1"/>
  <c r="D37" i="34980" s="1"/>
  <c r="D38" i="34980" s="1"/>
  <c r="D39" i="34980" s="1"/>
  <c r="D40" i="34980" s="1"/>
  <c r="D41" i="34980" s="1"/>
  <c r="D42" i="34980" s="1"/>
  <c r="D43" i="34980" s="1"/>
  <c r="D44" i="34980" s="1"/>
  <c r="D45" i="34980" s="1"/>
  <c r="D46" i="34980" s="1"/>
  <c r="D47" i="34980" s="1"/>
  <c r="D48" i="34980" s="1"/>
  <c r="D49" i="34980" s="1"/>
  <c r="D50" i="34980" s="1"/>
  <c r="D51" i="34980" s="1"/>
  <c r="D52" i="34980" s="1"/>
  <c r="D53" i="34980" s="1"/>
  <c r="D54" i="34980" s="1"/>
  <c r="D55" i="34980" s="1"/>
  <c r="D56" i="34980" s="1"/>
  <c r="D57" i="34980" s="1"/>
  <c r="D58" i="34980" s="1"/>
  <c r="D59" i="34980" s="1"/>
  <c r="D60" i="34980" s="1"/>
  <c r="D61" i="34980" s="1"/>
  <c r="D62" i="34980" s="1"/>
  <c r="D63" i="34980" s="1"/>
  <c r="D64" i="34980" s="1"/>
  <c r="D65" i="34980" s="1"/>
  <c r="D66" i="34980" s="1"/>
  <c r="D67" i="34980" s="1"/>
  <c r="D68" i="34980" s="1"/>
  <c r="D69" i="34980" s="1"/>
  <c r="D70" i="34980" s="1"/>
  <c r="D71" i="34980" s="1"/>
  <c r="D72" i="34980" s="1"/>
  <c r="D73" i="34980" s="1"/>
  <c r="D74" i="34980" s="1"/>
  <c r="D75" i="34980" s="1"/>
  <c r="D76" i="34980" s="1"/>
  <c r="D77" i="34980" s="1"/>
  <c r="D78" i="34980" s="1"/>
  <c r="D79" i="34980" s="1"/>
  <c r="D80" i="34980" s="1"/>
  <c r="D81" i="34980" s="1"/>
  <c r="D82" i="34980" s="1"/>
  <c r="D83" i="34980" s="1"/>
  <c r="D84" i="34980" s="1"/>
  <c r="F15" i="34980"/>
  <c r="AY14" i="35036"/>
  <c r="C58" i="34980"/>
  <c r="M57" i="35036"/>
  <c r="E47" i="34980"/>
  <c r="AK46" i="35036"/>
  <c r="D15" i="34984"/>
  <c r="BX14" i="35036"/>
  <c r="E15" i="34986"/>
  <c r="M84" i="35391" a="1"/>
  <c r="M84" i="35391" s="1"/>
  <c r="N84" i="35391" s="1"/>
  <c r="O84" i="35391" s="1"/>
  <c r="E35" i="34984"/>
  <c r="E36" i="34984" s="1"/>
  <c r="E37" i="34984" s="1"/>
  <c r="E38" i="34984" s="1"/>
  <c r="E39" i="34984" s="1"/>
  <c r="E40" i="34984" s="1"/>
  <c r="E41" i="34984" s="1"/>
  <c r="E42" i="34984" s="1"/>
  <c r="E43" i="34984" s="1"/>
  <c r="E44" i="34984" s="1"/>
  <c r="E45" i="34984" s="1"/>
  <c r="E46" i="34984" s="1"/>
  <c r="E47" i="34984" s="1"/>
  <c r="E48" i="34984" s="1"/>
  <c r="E49" i="34984" s="1"/>
  <c r="E50" i="34984" s="1"/>
  <c r="E51" i="34984" s="1"/>
  <c r="E52" i="34984" s="1"/>
  <c r="E53" i="34984" s="1"/>
  <c r="E54" i="34984" s="1"/>
  <c r="E55" i="34984" s="1"/>
  <c r="E56" i="34984" s="1"/>
  <c r="E57" i="34984" s="1"/>
  <c r="E58" i="34984" s="1"/>
  <c r="E59" i="34984" s="1"/>
  <c r="E60" i="34984" s="1"/>
  <c r="E61" i="34984" s="1"/>
  <c r="E62" i="34984" s="1"/>
  <c r="E63" i="34984" s="1"/>
  <c r="E64" i="34984" s="1"/>
  <c r="E65" i="34984" s="1"/>
  <c r="E66" i="34984" s="1"/>
  <c r="E67" i="34984" s="1"/>
  <c r="E68" i="34984" s="1"/>
  <c r="E69" i="34984" s="1"/>
  <c r="E70" i="34984" s="1"/>
  <c r="E71" i="34984" s="1"/>
  <c r="E72" i="34984" s="1"/>
  <c r="E73" i="34984" s="1"/>
  <c r="E74" i="34984" s="1"/>
  <c r="E75" i="34984" s="1"/>
  <c r="E76" i="34984" s="1"/>
  <c r="E77" i="34984" s="1"/>
  <c r="E78" i="34984" s="1"/>
  <c r="E79" i="34984" s="1"/>
  <c r="E80" i="34984" s="1"/>
  <c r="E81" i="34984" s="1"/>
  <c r="E82" i="34984" s="1"/>
  <c r="E83" i="34984" s="1"/>
  <c r="E84" i="34984" s="1"/>
  <c r="F15" i="34984"/>
  <c r="CV14" i="35036"/>
  <c r="C15" i="34986"/>
  <c r="FL15" i="35036"/>
  <c r="FT14" i="35036"/>
  <c r="F15" i="35017"/>
  <c r="M14" i="35017"/>
  <c r="M52" i="35391" a="1"/>
  <c r="M52" i="35391" s="1"/>
  <c r="M53" i="35391" a="1"/>
  <c r="M53" i="35391" s="1"/>
  <c r="M34" i="35391" a="1"/>
  <c r="M34" i="35391" s="1"/>
  <c r="N34" i="35391" s="1"/>
  <c r="D15" i="35016"/>
  <c r="J15" i="35016"/>
  <c r="C15" i="35016"/>
  <c r="I15" i="35016"/>
  <c r="M72" i="35391" l="1" a="1"/>
  <c r="M72" i="35391" s="1"/>
  <c r="N72" i="35391" s="1"/>
  <c r="O72" i="35391" s="1"/>
  <c r="R30" i="35391"/>
  <c r="T30" i="35391" s="1"/>
  <c r="N50" i="35391"/>
  <c r="O50" i="35391" s="1"/>
  <c r="N49" i="35391"/>
  <c r="O49" i="35391" s="1"/>
  <c r="M76" i="35391" a="1"/>
  <c r="M76" i="35391" s="1"/>
  <c r="N76" i="35391" s="1"/>
  <c r="O76" i="35391" s="1"/>
  <c r="R33" i="35391"/>
  <c r="T33" i="35391" s="1"/>
  <c r="R36" i="35391"/>
  <c r="T36" i="35391" s="1"/>
  <c r="M30" i="35391" a="1"/>
  <c r="M30" i="35391" s="1"/>
  <c r="N30" i="35391" s="1"/>
  <c r="O30" i="35391" s="1"/>
  <c r="M40" i="35391" a="1"/>
  <c r="M40" i="35391" s="1"/>
  <c r="N40" i="35391" s="1"/>
  <c r="O40" i="35391" s="1"/>
  <c r="BL11" i="35036" a="1"/>
  <c r="BL15" i="35036" s="1"/>
  <c r="BK11" i="35036" a="1"/>
  <c r="BK68" i="35036" s="1"/>
  <c r="BD37" i="35036"/>
  <c r="BD47" i="35036"/>
  <c r="BD20" i="35036"/>
  <c r="BD34" i="35036"/>
  <c r="BD36" i="35036"/>
  <c r="BD39" i="35036"/>
  <c r="BD73" i="35036"/>
  <c r="BD84" i="35036"/>
  <c r="BD48" i="35036"/>
  <c r="BD52" i="35036"/>
  <c r="BD30" i="35036"/>
  <c r="BD65" i="35036"/>
  <c r="BD32" i="35036"/>
  <c r="BD77" i="35036"/>
  <c r="BD31" i="35036"/>
  <c r="BD23" i="35036"/>
  <c r="BD46" i="35036"/>
  <c r="BD12" i="35036"/>
  <c r="BD13" i="35036"/>
  <c r="BD43" i="35036"/>
  <c r="BD53" i="35036"/>
  <c r="BD59" i="35036"/>
  <c r="BD42" i="35036"/>
  <c r="BD15" i="35036"/>
  <c r="BD69" i="35036"/>
  <c r="BD82" i="35036"/>
  <c r="BD76" i="35036"/>
  <c r="BD55" i="35036"/>
  <c r="BD51" i="35036"/>
  <c r="BD70" i="35036"/>
  <c r="BD57" i="35036"/>
  <c r="BD49" i="35036"/>
  <c r="BD63" i="35036"/>
  <c r="BD62" i="35036"/>
  <c r="BD81" i="35036"/>
  <c r="BD60" i="35036"/>
  <c r="BD33" i="35036"/>
  <c r="BD75" i="35036"/>
  <c r="BD50" i="35036"/>
  <c r="BD80" i="35036"/>
  <c r="BD78" i="35036"/>
  <c r="BD64" i="35036"/>
  <c r="BD68" i="35036"/>
  <c r="BD21" i="35036"/>
  <c r="BD19" i="35036"/>
  <c r="BD56" i="35036"/>
  <c r="BD54" i="35036"/>
  <c r="BD24" i="35036"/>
  <c r="BD45" i="35036"/>
  <c r="BD71" i="35036"/>
  <c r="BD35" i="35036"/>
  <c r="BD17" i="35036"/>
  <c r="BD58" i="35036"/>
  <c r="BD40" i="35036"/>
  <c r="BD11" i="35036"/>
  <c r="BD67" i="35036"/>
  <c r="BD83" i="35036"/>
  <c r="BD74" i="35036"/>
  <c r="BD28" i="35036"/>
  <c r="BD79" i="35036"/>
  <c r="BD41" i="35036"/>
  <c r="BD44" i="35036"/>
  <c r="BD66" i="35036"/>
  <c r="BD26" i="35036"/>
  <c r="BD16" i="35036"/>
  <c r="BD14" i="35036"/>
  <c r="BD61" i="35036"/>
  <c r="BD22" i="35036"/>
  <c r="BD25" i="35036"/>
  <c r="BD18" i="35036"/>
  <c r="BD29" i="35036"/>
  <c r="BD38" i="35036"/>
  <c r="BD27" i="35036"/>
  <c r="BD72" i="35036"/>
  <c r="D13" i="34986"/>
  <c r="D11" i="34986"/>
  <c r="D76" i="34986"/>
  <c r="D68" i="34986"/>
  <c r="D60" i="34986"/>
  <c r="D52" i="34986"/>
  <c r="D44" i="34986"/>
  <c r="D36" i="34986"/>
  <c r="D28" i="34986"/>
  <c r="D20" i="34986"/>
  <c r="D84" i="34986"/>
  <c r="D82" i="34986"/>
  <c r="D74" i="34986"/>
  <c r="D66" i="34986"/>
  <c r="D58" i="34986"/>
  <c r="D50" i="34986"/>
  <c r="D42" i="34986"/>
  <c r="D34" i="34986"/>
  <c r="D26" i="34986"/>
  <c r="D18" i="34986"/>
  <c r="D83" i="34986"/>
  <c r="D80" i="34986"/>
  <c r="D72" i="34986"/>
  <c r="D64" i="34986"/>
  <c r="D56" i="34986"/>
  <c r="D48" i="34986"/>
  <c r="D40" i="34986"/>
  <c r="D32" i="34986"/>
  <c r="D24" i="34986"/>
  <c r="D16" i="34986"/>
  <c r="D12" i="34986"/>
  <c r="D78" i="34986"/>
  <c r="D70" i="34986"/>
  <c r="D62" i="34986"/>
  <c r="D54" i="34986"/>
  <c r="D46" i="34986"/>
  <c r="D38" i="34986"/>
  <c r="D30" i="34986"/>
  <c r="D22" i="34986"/>
  <c r="D14" i="34986"/>
  <c r="D79" i="34986"/>
  <c r="D75" i="34986"/>
  <c r="D71" i="34986"/>
  <c r="D67" i="34986"/>
  <c r="D63" i="34986"/>
  <c r="D59" i="34986"/>
  <c r="D55" i="34986"/>
  <c r="D51" i="34986"/>
  <c r="D47" i="34986"/>
  <c r="D43" i="34986"/>
  <c r="D39" i="34986"/>
  <c r="D35" i="34986"/>
  <c r="D31" i="34986"/>
  <c r="D27" i="34986"/>
  <c r="D23" i="34986"/>
  <c r="D19" i="34986"/>
  <c r="D15" i="34986"/>
  <c r="D81" i="34986"/>
  <c r="D77" i="34986"/>
  <c r="D73" i="34986"/>
  <c r="D69" i="34986"/>
  <c r="D65" i="34986"/>
  <c r="D61" i="34986"/>
  <c r="D57" i="34986"/>
  <c r="D53" i="34986"/>
  <c r="D49" i="34986"/>
  <c r="D45" i="34986"/>
  <c r="D41" i="34986"/>
  <c r="D37" i="34986"/>
  <c r="D33" i="34986"/>
  <c r="D29" i="34986"/>
  <c r="D25" i="34986"/>
  <c r="D21" i="34986"/>
  <c r="D17" i="34986"/>
  <c r="G6" i="35062" a="1"/>
  <c r="G72" i="35062" s="1"/>
  <c r="L22" i="34908" a="1"/>
  <c r="L22" i="34908" s="1"/>
  <c r="M22" i="34908" s="1"/>
  <c r="N22" i="34908" s="1"/>
  <c r="N32" i="35391"/>
  <c r="O32" i="35391" s="1"/>
  <c r="M31" i="35391"/>
  <c r="N31" i="35391" s="1"/>
  <c r="E11" i="35018" a="1"/>
  <c r="E13" i="35018" s="1"/>
  <c r="O6" i="35062" a="1"/>
  <c r="O77" i="35062" s="1"/>
  <c r="L27" i="34908" a="1"/>
  <c r="L27" i="34908" s="1"/>
  <c r="M27" i="34908" s="1"/>
  <c r="N27" i="34908" s="1"/>
  <c r="I16" i="35016"/>
  <c r="I17" i="35016" s="1"/>
  <c r="I18" i="35016" s="1"/>
  <c r="I19" i="35016" s="1"/>
  <c r="I20" i="35016" s="1"/>
  <c r="I21" i="35016" s="1"/>
  <c r="I22" i="35016" s="1"/>
  <c r="I23" i="35016" s="1"/>
  <c r="I24" i="35016" s="1"/>
  <c r="I25" i="35016" s="1"/>
  <c r="I26" i="35016" s="1"/>
  <c r="I27" i="35016" s="1"/>
  <c r="I28" i="35016" s="1"/>
  <c r="I29" i="35016" s="1"/>
  <c r="I30" i="35016" s="1"/>
  <c r="I31" i="35016" s="1"/>
  <c r="I32" i="35016" s="1"/>
  <c r="I33" i="35016" s="1"/>
  <c r="I34" i="35016" s="1"/>
  <c r="I35" i="35016" s="1"/>
  <c r="I36" i="35016" s="1"/>
  <c r="I37" i="35016" s="1"/>
  <c r="I38" i="35016" s="1"/>
  <c r="I39" i="35016" s="1"/>
  <c r="I40" i="35016" s="1"/>
  <c r="I41" i="35016" s="1"/>
  <c r="I42" i="35016" s="1"/>
  <c r="I43" i="35016" s="1"/>
  <c r="I44" i="35016" s="1"/>
  <c r="I45" i="35016" s="1"/>
  <c r="I46" i="35016" s="1"/>
  <c r="I47" i="35016" s="1"/>
  <c r="I48" i="35016" s="1"/>
  <c r="I49" i="35016" s="1"/>
  <c r="I50" i="35016" s="1"/>
  <c r="I51" i="35016" s="1"/>
  <c r="I52" i="35016" s="1"/>
  <c r="I53" i="35016" s="1"/>
  <c r="I54" i="35016" s="1"/>
  <c r="I55" i="35016" s="1"/>
  <c r="I56" i="35016" s="1"/>
  <c r="I57" i="35016" s="1"/>
  <c r="I58" i="35016" s="1"/>
  <c r="I59" i="35016" s="1"/>
  <c r="I60" i="35016" s="1"/>
  <c r="I61" i="35016" s="1"/>
  <c r="I62" i="35016" s="1"/>
  <c r="I63" i="35016" s="1"/>
  <c r="I64" i="35016" s="1"/>
  <c r="I65" i="35016" s="1"/>
  <c r="I66" i="35016" s="1"/>
  <c r="I67" i="35016" s="1"/>
  <c r="I68" i="35016" s="1"/>
  <c r="I69" i="35016" s="1"/>
  <c r="I70" i="35016" s="1"/>
  <c r="I71" i="35016" s="1"/>
  <c r="I72" i="35016" s="1"/>
  <c r="I73" i="35016" s="1"/>
  <c r="I74" i="35016" s="1"/>
  <c r="I75" i="35016" s="1"/>
  <c r="I76" i="35016" s="1"/>
  <c r="I77" i="35016" s="1"/>
  <c r="I78" i="35016" s="1"/>
  <c r="I79" i="35016" s="1"/>
  <c r="I80" i="35016" s="1"/>
  <c r="I81" i="35016" s="1"/>
  <c r="I82" i="35016" s="1"/>
  <c r="I83" i="35016" s="1"/>
  <c r="I84" i="35016" s="1"/>
  <c r="C16" i="35016"/>
  <c r="C17" i="35016" s="1"/>
  <c r="C18" i="35016" s="1"/>
  <c r="C19" i="35016" s="1"/>
  <c r="C20" i="35016" s="1"/>
  <c r="C21" i="35016" s="1"/>
  <c r="C22" i="35016" s="1"/>
  <c r="C23" i="35016" s="1"/>
  <c r="C24" i="35016" s="1"/>
  <c r="C25" i="35016" s="1"/>
  <c r="C26" i="35016" s="1"/>
  <c r="C27" i="35016" s="1"/>
  <c r="C28" i="35016" s="1"/>
  <c r="C29" i="35016" s="1"/>
  <c r="C30" i="35016" s="1"/>
  <c r="C31" i="35016" s="1"/>
  <c r="C32" i="35016" s="1"/>
  <c r="C33" i="35016" s="1"/>
  <c r="C34" i="35016" s="1"/>
  <c r="C35" i="35016" s="1"/>
  <c r="C36" i="35016" s="1"/>
  <c r="C37" i="35016" s="1"/>
  <c r="C38" i="35016" s="1"/>
  <c r="C39" i="35016" s="1"/>
  <c r="C40" i="35016" s="1"/>
  <c r="C41" i="35016" s="1"/>
  <c r="C42" i="35016" s="1"/>
  <c r="C43" i="35016" s="1"/>
  <c r="C44" i="35016" s="1"/>
  <c r="C45" i="35016" s="1"/>
  <c r="C46" i="35016" s="1"/>
  <c r="C47" i="35016" s="1"/>
  <c r="C48" i="35016" s="1"/>
  <c r="C49" i="35016" s="1"/>
  <c r="C50" i="35016" s="1"/>
  <c r="C51" i="35016" s="1"/>
  <c r="C52" i="35016" s="1"/>
  <c r="C53" i="35016" s="1"/>
  <c r="C54" i="35016" s="1"/>
  <c r="C55" i="35016" s="1"/>
  <c r="C56" i="35016" s="1"/>
  <c r="C57" i="35016" s="1"/>
  <c r="C58" i="35016" s="1"/>
  <c r="C59" i="35016" s="1"/>
  <c r="C60" i="35016" s="1"/>
  <c r="C61" i="35016" s="1"/>
  <c r="C62" i="35016" s="1"/>
  <c r="C63" i="35016" s="1"/>
  <c r="C64" i="35016" s="1"/>
  <c r="C65" i="35016" s="1"/>
  <c r="C66" i="35016" s="1"/>
  <c r="C67" i="35016" s="1"/>
  <c r="C68" i="35016" s="1"/>
  <c r="C69" i="35016" s="1"/>
  <c r="C70" i="35016" s="1"/>
  <c r="C71" i="35016" s="1"/>
  <c r="C72" i="35016" s="1"/>
  <c r="C73" i="35016" s="1"/>
  <c r="C74" i="35016" s="1"/>
  <c r="C75" i="35016" s="1"/>
  <c r="C76" i="35016" s="1"/>
  <c r="C77" i="35016" s="1"/>
  <c r="C78" i="35016" s="1"/>
  <c r="C79" i="35016" s="1"/>
  <c r="C80" i="35016" s="1"/>
  <c r="C81" i="35016" s="1"/>
  <c r="C82" i="35016" s="1"/>
  <c r="C83" i="35016" s="1"/>
  <c r="C84" i="35016" s="1"/>
  <c r="D16" i="35016"/>
  <c r="D17" i="35016" s="1"/>
  <c r="D18" i="35016" s="1"/>
  <c r="D19" i="35016" s="1"/>
  <c r="D20" i="35016" s="1"/>
  <c r="D21" i="35016" s="1"/>
  <c r="D22" i="35016" s="1"/>
  <c r="D23" i="35016" s="1"/>
  <c r="D24" i="35016" s="1"/>
  <c r="D25" i="35016" s="1"/>
  <c r="D26" i="35016" s="1"/>
  <c r="D27" i="35016" s="1"/>
  <c r="D28" i="35016" s="1"/>
  <c r="D29" i="35016" s="1"/>
  <c r="D30" i="35016" s="1"/>
  <c r="D31" i="35016" s="1"/>
  <c r="D32" i="35016" s="1"/>
  <c r="D33" i="35016" s="1"/>
  <c r="D34" i="35016" s="1"/>
  <c r="D35" i="35016" s="1"/>
  <c r="D36" i="35016" s="1"/>
  <c r="D37" i="35016" s="1"/>
  <c r="D38" i="35016" s="1"/>
  <c r="D39" i="35016" s="1"/>
  <c r="D40" i="35016" s="1"/>
  <c r="D41" i="35016" s="1"/>
  <c r="D42" i="35016" s="1"/>
  <c r="D43" i="35016" s="1"/>
  <c r="D44" i="35016" s="1"/>
  <c r="D45" i="35016" s="1"/>
  <c r="D46" i="35016" s="1"/>
  <c r="D47" i="35016" s="1"/>
  <c r="D48" i="35016" s="1"/>
  <c r="D49" i="35016" s="1"/>
  <c r="D50" i="35016" s="1"/>
  <c r="D51" i="35016" s="1"/>
  <c r="D52" i="35016" s="1"/>
  <c r="D53" i="35016" s="1"/>
  <c r="D54" i="35016" s="1"/>
  <c r="D55" i="35016" s="1"/>
  <c r="D56" i="35016" s="1"/>
  <c r="D57" i="35016" s="1"/>
  <c r="D58" i="35016" s="1"/>
  <c r="D59" i="35016" s="1"/>
  <c r="D60" i="35016" s="1"/>
  <c r="D61" i="35016" s="1"/>
  <c r="D62" i="35016" s="1"/>
  <c r="D63" i="35016" s="1"/>
  <c r="D64" i="35016" s="1"/>
  <c r="D65" i="35016" s="1"/>
  <c r="D66" i="35016" s="1"/>
  <c r="D67" i="35016" s="1"/>
  <c r="D68" i="35016" s="1"/>
  <c r="D69" i="35016" s="1"/>
  <c r="D70" i="35016" s="1"/>
  <c r="D71" i="35016" s="1"/>
  <c r="D72" i="35016" s="1"/>
  <c r="D73" i="35016" s="1"/>
  <c r="D74" i="35016" s="1"/>
  <c r="D75" i="35016" s="1"/>
  <c r="D76" i="35016" s="1"/>
  <c r="D77" i="35016" s="1"/>
  <c r="D78" i="35016" s="1"/>
  <c r="D79" i="35016" s="1"/>
  <c r="D80" i="35016" s="1"/>
  <c r="D81" i="35016" s="1"/>
  <c r="D82" i="35016" s="1"/>
  <c r="D83" i="35016" s="1"/>
  <c r="D84" i="35016" s="1"/>
  <c r="R37" i="35391"/>
  <c r="T37" i="35391" s="1"/>
  <c r="N52" i="35391"/>
  <c r="O52" i="35391" s="1"/>
  <c r="C16" i="34986"/>
  <c r="FL16" i="35036"/>
  <c r="FT15" i="35036"/>
  <c r="C59" i="34980"/>
  <c r="M58" i="35036"/>
  <c r="F16" i="34980"/>
  <c r="AY15" i="35036"/>
  <c r="R11" i="35036" a="1"/>
  <c r="Z11" i="35036" a="1"/>
  <c r="C18" i="35017"/>
  <c r="J16" i="35016"/>
  <c r="J17" i="35016" s="1"/>
  <c r="J18" i="35016" s="1"/>
  <c r="J19" i="35016" s="1"/>
  <c r="J20" i="35016" s="1"/>
  <c r="J21" i="35016" s="1"/>
  <c r="J22" i="35016" s="1"/>
  <c r="J23" i="35016" s="1"/>
  <c r="J24" i="35016" s="1"/>
  <c r="J25" i="35016" s="1"/>
  <c r="J26" i="35016" s="1"/>
  <c r="J27" i="35016" s="1"/>
  <c r="J28" i="35016" s="1"/>
  <c r="J29" i="35016" s="1"/>
  <c r="J30" i="35016" s="1"/>
  <c r="J31" i="35016" s="1"/>
  <c r="J32" i="35016" s="1"/>
  <c r="J33" i="35016" s="1"/>
  <c r="J34" i="35016" s="1"/>
  <c r="J35" i="35016" s="1"/>
  <c r="J36" i="35016" s="1"/>
  <c r="J37" i="35016" s="1"/>
  <c r="J38" i="35016" s="1"/>
  <c r="J39" i="35016" s="1"/>
  <c r="J40" i="35016" s="1"/>
  <c r="J41" i="35016" s="1"/>
  <c r="J42" i="35016" s="1"/>
  <c r="J43" i="35016" s="1"/>
  <c r="J44" i="35016" s="1"/>
  <c r="J45" i="35016" s="1"/>
  <c r="J46" i="35016" s="1"/>
  <c r="J47" i="35016" s="1"/>
  <c r="J48" i="35016" s="1"/>
  <c r="J49" i="35016" s="1"/>
  <c r="J50" i="35016" s="1"/>
  <c r="J51" i="35016" s="1"/>
  <c r="J52" i="35016" s="1"/>
  <c r="J53" i="35016" s="1"/>
  <c r="J54" i="35016" s="1"/>
  <c r="J55" i="35016" s="1"/>
  <c r="J56" i="35016" s="1"/>
  <c r="J57" i="35016" s="1"/>
  <c r="J58" i="35016" s="1"/>
  <c r="J59" i="35016" s="1"/>
  <c r="J60" i="35016" s="1"/>
  <c r="J61" i="35016" s="1"/>
  <c r="J62" i="35016" s="1"/>
  <c r="J63" i="35016" s="1"/>
  <c r="J64" i="35016" s="1"/>
  <c r="J65" i="35016" s="1"/>
  <c r="J66" i="35016" s="1"/>
  <c r="J67" i="35016" s="1"/>
  <c r="J68" i="35016" s="1"/>
  <c r="J69" i="35016" s="1"/>
  <c r="J70" i="35016" s="1"/>
  <c r="J71" i="35016" s="1"/>
  <c r="J72" i="35016" s="1"/>
  <c r="J73" i="35016" s="1"/>
  <c r="J74" i="35016" s="1"/>
  <c r="J75" i="35016" s="1"/>
  <c r="J76" i="35016" s="1"/>
  <c r="J77" i="35016" s="1"/>
  <c r="J78" i="35016" s="1"/>
  <c r="J79" i="35016" s="1"/>
  <c r="J80" i="35016" s="1"/>
  <c r="J81" i="35016" s="1"/>
  <c r="J82" i="35016" s="1"/>
  <c r="J83" i="35016" s="1"/>
  <c r="J84" i="35016" s="1"/>
  <c r="R27" i="35391"/>
  <c r="T27" i="35391" s="1"/>
  <c r="O34" i="35391"/>
  <c r="F16" i="35017"/>
  <c r="M15" i="35017"/>
  <c r="CI11" i="35036" a="1"/>
  <c r="CB11" i="35036" a="1"/>
  <c r="I16" i="34980"/>
  <c r="R38" i="35391"/>
  <c r="T38" i="35391" s="1"/>
  <c r="N53" i="35391"/>
  <c r="O53" i="35391" s="1"/>
  <c r="F16" i="34984"/>
  <c r="CV15" i="35036"/>
  <c r="CJ11" i="35036" a="1"/>
  <c r="CK11" i="35036" a="1"/>
  <c r="E16" i="34986"/>
  <c r="D16" i="34984"/>
  <c r="BX15" i="35036"/>
  <c r="E48" i="34980"/>
  <c r="AK47" i="35036"/>
  <c r="M62" i="35391" a="1"/>
  <c r="M62" i="35391" s="1"/>
  <c r="N62" i="35391" s="1"/>
  <c r="O62" i="35391" s="1"/>
  <c r="AA11" i="35036" a="1"/>
  <c r="Y11" i="35036" a="1"/>
  <c r="H16" i="34980"/>
  <c r="M15" i="34980"/>
  <c r="M74" i="35391" a="1"/>
  <c r="M74" i="35391" s="1"/>
  <c r="N74" i="35391" s="1"/>
  <c r="O74" i="35391" s="1"/>
  <c r="BL12" i="35036" l="1"/>
  <c r="E47" i="35018"/>
  <c r="E58" i="35018"/>
  <c r="E79" i="35018"/>
  <c r="E15" i="35018"/>
  <c r="E26" i="35018"/>
  <c r="E63" i="35018"/>
  <c r="E31" i="35018"/>
  <c r="E74" i="35018"/>
  <c r="E42" i="35018"/>
  <c r="M38" i="35391"/>
  <c r="N38" i="35391" s="1"/>
  <c r="O38" i="35391" s="1"/>
  <c r="E71" i="35018"/>
  <c r="E55" i="35018"/>
  <c r="E39" i="35018"/>
  <c r="E23" i="35018"/>
  <c r="E82" i="35018"/>
  <c r="E66" i="35018"/>
  <c r="E50" i="35018"/>
  <c r="E34" i="35018"/>
  <c r="E18" i="35018"/>
  <c r="O24" i="35062"/>
  <c r="E83" i="35018"/>
  <c r="E75" i="35018"/>
  <c r="E67" i="35018"/>
  <c r="E59" i="35018"/>
  <c r="E51" i="35018"/>
  <c r="E43" i="35018"/>
  <c r="E35" i="35018"/>
  <c r="E27" i="35018"/>
  <c r="E19" i="35018"/>
  <c r="E14" i="35018"/>
  <c r="E78" i="35018"/>
  <c r="E70" i="35018"/>
  <c r="E62" i="35018"/>
  <c r="E54" i="35018"/>
  <c r="E46" i="35018"/>
  <c r="E38" i="35018"/>
  <c r="E30" i="35018"/>
  <c r="E22" i="35018"/>
  <c r="E12" i="35018"/>
  <c r="O15" i="35062"/>
  <c r="E81" i="35018"/>
  <c r="E77" i="35018"/>
  <c r="E73" i="35018"/>
  <c r="E69" i="35018"/>
  <c r="E65" i="35018"/>
  <c r="E61" i="35018"/>
  <c r="E57" i="35018"/>
  <c r="E53" i="35018"/>
  <c r="E49" i="35018"/>
  <c r="E45" i="35018"/>
  <c r="E41" i="35018"/>
  <c r="E37" i="35018"/>
  <c r="E33" i="35018"/>
  <c r="E29" i="35018"/>
  <c r="E25" i="35018"/>
  <c r="E21" i="35018"/>
  <c r="E17" i="35018"/>
  <c r="E11" i="35018"/>
  <c r="E84" i="35018"/>
  <c r="E80" i="35018"/>
  <c r="E76" i="35018"/>
  <c r="E72" i="35018"/>
  <c r="E68" i="35018"/>
  <c r="E64" i="35018"/>
  <c r="E60" i="35018"/>
  <c r="E56" i="35018"/>
  <c r="E52" i="35018"/>
  <c r="E48" i="35018"/>
  <c r="E44" i="35018"/>
  <c r="E40" i="35018"/>
  <c r="E36" i="35018"/>
  <c r="E32" i="35018"/>
  <c r="E28" i="35018"/>
  <c r="E24" i="35018"/>
  <c r="E20" i="35018"/>
  <c r="E16" i="35018"/>
  <c r="O56" i="35062"/>
  <c r="O47" i="35062"/>
  <c r="O8" i="35062"/>
  <c r="O40" i="35062"/>
  <c r="O72" i="35062"/>
  <c r="O31" i="35062"/>
  <c r="O63" i="35062"/>
  <c r="G25" i="35062"/>
  <c r="G16" i="35062"/>
  <c r="G57" i="35062"/>
  <c r="G48" i="35062"/>
  <c r="BL22" i="35036"/>
  <c r="BL40" i="35036"/>
  <c r="G9" i="35062"/>
  <c r="G41" i="35062"/>
  <c r="G73" i="35062"/>
  <c r="G32" i="35062"/>
  <c r="G64" i="35062"/>
  <c r="BL57" i="35036"/>
  <c r="BL44" i="35036"/>
  <c r="BL16" i="35036"/>
  <c r="BL34" i="35036"/>
  <c r="BL37" i="35036"/>
  <c r="BL75" i="35036"/>
  <c r="BL54" i="35036"/>
  <c r="BL80" i="35036"/>
  <c r="BL25" i="35036"/>
  <c r="BL66" i="35036"/>
  <c r="BL69" i="35036"/>
  <c r="BL11" i="35036"/>
  <c r="BL76" i="35036"/>
  <c r="BL43" i="35036"/>
  <c r="G17" i="35062"/>
  <c r="G33" i="35062"/>
  <c r="G49" i="35062"/>
  <c r="G65" i="35062"/>
  <c r="G8" i="35062"/>
  <c r="G24" i="35062"/>
  <c r="G40" i="35062"/>
  <c r="G56" i="35062"/>
  <c r="BL38" i="35036"/>
  <c r="BL70" i="35036"/>
  <c r="BL48" i="35036"/>
  <c r="BL73" i="35036"/>
  <c r="BL41" i="35036"/>
  <c r="BL18" i="35036"/>
  <c r="BL50" i="35036"/>
  <c r="BL82" i="35036"/>
  <c r="BL72" i="35036"/>
  <c r="BL53" i="35036"/>
  <c r="BL21" i="35036"/>
  <c r="BL28" i="35036"/>
  <c r="BL60" i="35036"/>
  <c r="BL83" i="35036"/>
  <c r="BL59" i="35036"/>
  <c r="BL27" i="35036"/>
  <c r="G6" i="35062"/>
  <c r="G74" i="35062"/>
  <c r="G70" i="35062"/>
  <c r="G66" i="35062"/>
  <c r="G62" i="35062"/>
  <c r="G58" i="35062"/>
  <c r="G54" i="35062"/>
  <c r="G50" i="35062"/>
  <c r="G46" i="35062"/>
  <c r="G42" i="35062"/>
  <c r="G38" i="35062"/>
  <c r="G34" i="35062"/>
  <c r="G30" i="35062"/>
  <c r="G26" i="35062"/>
  <c r="G22" i="35062"/>
  <c r="G18" i="35062"/>
  <c r="G14" i="35062"/>
  <c r="G10" i="35062"/>
  <c r="G78" i="35062"/>
  <c r="G75" i="35062"/>
  <c r="G71" i="35062"/>
  <c r="G67" i="35062"/>
  <c r="G63" i="35062"/>
  <c r="G59" i="35062"/>
  <c r="G55" i="35062"/>
  <c r="G51" i="35062"/>
  <c r="G47" i="35062"/>
  <c r="G43" i="35062"/>
  <c r="G39" i="35062"/>
  <c r="G35" i="35062"/>
  <c r="G31" i="35062"/>
  <c r="G27" i="35062"/>
  <c r="G23" i="35062"/>
  <c r="G19" i="35062"/>
  <c r="G15" i="35062"/>
  <c r="G11" i="35062"/>
  <c r="G7" i="35062"/>
  <c r="G13" i="35062"/>
  <c r="G21" i="35062"/>
  <c r="G29" i="35062"/>
  <c r="G37" i="35062"/>
  <c r="G45" i="35062"/>
  <c r="G53" i="35062"/>
  <c r="G61" i="35062"/>
  <c r="G69" i="35062"/>
  <c r="G77" i="35062"/>
  <c r="G12" i="35062"/>
  <c r="G20" i="35062"/>
  <c r="G28" i="35062"/>
  <c r="G36" i="35062"/>
  <c r="G44" i="35062"/>
  <c r="G52" i="35062"/>
  <c r="G60" i="35062"/>
  <c r="G68" i="35062"/>
  <c r="G76" i="35062"/>
  <c r="R29" i="35391"/>
  <c r="T29" i="35391" s="1"/>
  <c r="O16" i="35062"/>
  <c r="O32" i="35062"/>
  <c r="O48" i="35062"/>
  <c r="O64" i="35062"/>
  <c r="O6" i="35062"/>
  <c r="O23" i="35062"/>
  <c r="O39" i="35062"/>
  <c r="O55" i="35062"/>
  <c r="O71" i="35062"/>
  <c r="I6" i="35062" a="1"/>
  <c r="I76" i="35062" s="1"/>
  <c r="BL67" i="35036"/>
  <c r="BL51" i="35036"/>
  <c r="BL35" i="35036"/>
  <c r="BL19" i="35036"/>
  <c r="BL14" i="35036"/>
  <c r="BL30" i="35036"/>
  <c r="BL46" i="35036"/>
  <c r="BL62" i="35036"/>
  <c r="BL78" i="35036"/>
  <c r="BL32" i="35036"/>
  <c r="BL64" i="35036"/>
  <c r="BL81" i="35036"/>
  <c r="BL65" i="35036"/>
  <c r="BL49" i="35036"/>
  <c r="BL33" i="35036"/>
  <c r="BL17" i="35036"/>
  <c r="BL26" i="35036"/>
  <c r="BL42" i="35036"/>
  <c r="BL58" i="35036"/>
  <c r="BL74" i="35036"/>
  <c r="BL24" i="35036"/>
  <c r="BL56" i="35036"/>
  <c r="BL77" i="35036"/>
  <c r="BL61" i="35036"/>
  <c r="BL45" i="35036"/>
  <c r="BL29" i="35036"/>
  <c r="BL13" i="35036"/>
  <c r="BL20" i="35036"/>
  <c r="BL36" i="35036"/>
  <c r="BL52" i="35036"/>
  <c r="BL68" i="35036"/>
  <c r="BL84" i="35036"/>
  <c r="BL79" i="35036"/>
  <c r="BL71" i="35036"/>
  <c r="BL63" i="35036"/>
  <c r="BL55" i="35036"/>
  <c r="BL47" i="35036"/>
  <c r="BL39" i="35036"/>
  <c r="BL31" i="35036"/>
  <c r="BL23" i="35036"/>
  <c r="BK84" i="35036"/>
  <c r="BK32" i="35036"/>
  <c r="BK28" i="35036"/>
  <c r="BK21" i="35036"/>
  <c r="BK49" i="35036"/>
  <c r="BK75" i="35036"/>
  <c r="BK45" i="35036"/>
  <c r="BK27" i="35036"/>
  <c r="BK76" i="35036"/>
  <c r="BK44" i="35036"/>
  <c r="BK19" i="35036"/>
  <c r="BK54" i="35036"/>
  <c r="BK37" i="35036"/>
  <c r="BK64" i="35036"/>
  <c r="BK38" i="35036"/>
  <c r="BK23" i="35036"/>
  <c r="BK31" i="35036"/>
  <c r="BK60" i="35036"/>
  <c r="BK69" i="35036"/>
  <c r="BK22" i="35036"/>
  <c r="BK36" i="35036"/>
  <c r="BK61" i="35036"/>
  <c r="BK50" i="35036"/>
  <c r="BK17" i="35036"/>
  <c r="BK78" i="35036"/>
  <c r="BK43" i="35036"/>
  <c r="BK51" i="35036"/>
  <c r="BK70" i="35036"/>
  <c r="BK59" i="35036"/>
  <c r="BK79" i="35036"/>
  <c r="BK63" i="35036"/>
  <c r="BK16" i="35036"/>
  <c r="BK39" i="35036"/>
  <c r="BK71" i="35036"/>
  <c r="BK62" i="35036"/>
  <c r="BK52" i="35036"/>
  <c r="BK25" i="35036"/>
  <c r="BK57" i="35036"/>
  <c r="BK29" i="35036"/>
  <c r="BK81" i="35036"/>
  <c r="BK14" i="35036"/>
  <c r="BK47" i="35036"/>
  <c r="BK83" i="35036"/>
  <c r="BK33" i="35036"/>
  <c r="BK58" i="35036"/>
  <c r="BK30" i="35036"/>
  <c r="BK13" i="35036"/>
  <c r="BK40" i="35036"/>
  <c r="BK77" i="35036"/>
  <c r="BK26" i="35036"/>
  <c r="BK53" i="35036"/>
  <c r="BK82" i="35036"/>
  <c r="BK35" i="35036"/>
  <c r="BK56" i="35036"/>
  <c r="BK15" i="35036"/>
  <c r="BK66" i="35036"/>
  <c r="BK67" i="35036"/>
  <c r="BK34" i="35036"/>
  <c r="BK18" i="35036"/>
  <c r="BK80" i="35036"/>
  <c r="BK48" i="35036"/>
  <c r="BK12" i="35036"/>
  <c r="BK72" i="35036"/>
  <c r="BK55" i="35036"/>
  <c r="BK74" i="35036"/>
  <c r="BK11" i="35036"/>
  <c r="BK73" i="35036"/>
  <c r="BK41" i="35036"/>
  <c r="BK65" i="35036"/>
  <c r="BK46" i="35036"/>
  <c r="BK42" i="35036"/>
  <c r="BK24" i="35036"/>
  <c r="BK20" i="35036"/>
  <c r="N6" i="35062" a="1"/>
  <c r="N73" i="35062" s="1"/>
  <c r="O12" i="35062"/>
  <c r="O20" i="35062"/>
  <c r="O28" i="35062"/>
  <c r="O36" i="35062"/>
  <c r="O44" i="35062"/>
  <c r="O52" i="35062"/>
  <c r="O60" i="35062"/>
  <c r="O68" i="35062"/>
  <c r="O76" i="35062"/>
  <c r="O11" i="35062"/>
  <c r="O19" i="35062"/>
  <c r="O27" i="35062"/>
  <c r="O35" i="35062"/>
  <c r="O43" i="35062"/>
  <c r="O51" i="35062"/>
  <c r="O59" i="35062"/>
  <c r="O67" i="35062"/>
  <c r="O75" i="35062"/>
  <c r="D6" i="35062" a="1"/>
  <c r="D74" i="35062" s="1"/>
  <c r="O7" i="35062"/>
  <c r="O10" i="35062"/>
  <c r="O14" i="35062"/>
  <c r="O18" i="35062"/>
  <c r="O22" i="35062"/>
  <c r="O26" i="35062"/>
  <c r="O30" i="35062"/>
  <c r="O34" i="35062"/>
  <c r="O38" i="35062"/>
  <c r="O42" i="35062"/>
  <c r="O46" i="35062"/>
  <c r="O50" i="35062"/>
  <c r="O54" i="35062"/>
  <c r="O58" i="35062"/>
  <c r="O62" i="35062"/>
  <c r="O66" i="35062"/>
  <c r="O70" i="35062"/>
  <c r="O74" i="35062"/>
  <c r="O78" i="35062"/>
  <c r="O9" i="35062"/>
  <c r="O13" i="35062"/>
  <c r="O17" i="35062"/>
  <c r="O21" i="35062"/>
  <c r="O25" i="35062"/>
  <c r="O29" i="35062"/>
  <c r="O33" i="35062"/>
  <c r="O37" i="35062"/>
  <c r="O41" i="35062"/>
  <c r="O45" i="35062"/>
  <c r="O49" i="35062"/>
  <c r="O53" i="35062"/>
  <c r="O57" i="35062"/>
  <c r="O61" i="35062"/>
  <c r="O65" i="35062"/>
  <c r="O69" i="35062"/>
  <c r="O73" i="35062"/>
  <c r="M81" i="35391" a="1"/>
  <c r="M81" i="35391" s="1"/>
  <c r="N81" i="35391" s="1"/>
  <c r="O81" i="35391" s="1"/>
  <c r="BF11" i="35036" a="1"/>
  <c r="R20" i="35391"/>
  <c r="T20" i="35391" s="1"/>
  <c r="O31" i="35391"/>
  <c r="M37" i="35391" a="1"/>
  <c r="M37" i="35391" s="1"/>
  <c r="N37" i="35391" s="1"/>
  <c r="O37" i="35391" s="1"/>
  <c r="E6" i="35062" a="1"/>
  <c r="E74" i="35062" s="1"/>
  <c r="M29" i="35391" a="1"/>
  <c r="M29" i="35391" s="1"/>
  <c r="N29" i="35391" s="1"/>
  <c r="O29" i="35391" s="1"/>
  <c r="M28" i="35391" a="1"/>
  <c r="M28" i="35391" s="1"/>
  <c r="N28" i="35391" s="1"/>
  <c r="O28" i="35391" s="1"/>
  <c r="K11" i="35016" a="1"/>
  <c r="K12" i="35016" s="1"/>
  <c r="H17" i="34980"/>
  <c r="M16" i="34980"/>
  <c r="CK73" i="35036"/>
  <c r="CK40" i="35036"/>
  <c r="CK77" i="35036"/>
  <c r="CK12" i="35036"/>
  <c r="CK66" i="35036"/>
  <c r="CK54" i="35036"/>
  <c r="CK35" i="35036"/>
  <c r="CK74" i="35036"/>
  <c r="CK16" i="35036"/>
  <c r="CK28" i="35036"/>
  <c r="CK38" i="35036"/>
  <c r="CK27" i="35036"/>
  <c r="CK29" i="35036"/>
  <c r="CK70" i="35036"/>
  <c r="CK68" i="35036"/>
  <c r="CK60" i="35036"/>
  <c r="CK76" i="35036"/>
  <c r="CK59" i="35036"/>
  <c r="CK43" i="35036"/>
  <c r="CK79" i="35036"/>
  <c r="CK31" i="35036"/>
  <c r="CK75" i="35036"/>
  <c r="CK14" i="35036"/>
  <c r="CK56" i="35036"/>
  <c r="CK72" i="35036"/>
  <c r="CK20" i="35036"/>
  <c r="CK57" i="35036"/>
  <c r="CK48" i="35036"/>
  <c r="CK26" i="35036"/>
  <c r="CK69" i="35036"/>
  <c r="CK82" i="35036"/>
  <c r="CK42" i="35036"/>
  <c r="CK22" i="35036"/>
  <c r="CK15" i="35036"/>
  <c r="CK65" i="35036"/>
  <c r="CK19" i="35036"/>
  <c r="CK33" i="35036"/>
  <c r="CK44" i="35036"/>
  <c r="CK58" i="35036"/>
  <c r="CK49" i="35036"/>
  <c r="CK46" i="35036"/>
  <c r="CK34" i="35036"/>
  <c r="CK24" i="35036"/>
  <c r="CK78" i="35036"/>
  <c r="CK63" i="35036"/>
  <c r="CK41" i="35036"/>
  <c r="CK62" i="35036"/>
  <c r="CK23" i="35036"/>
  <c r="CK18" i="35036"/>
  <c r="CK11" i="35036"/>
  <c r="CK52" i="35036"/>
  <c r="CK83" i="35036"/>
  <c r="CK64" i="35036"/>
  <c r="CK25" i="35036"/>
  <c r="CK32" i="35036"/>
  <c r="CK45" i="35036"/>
  <c r="CK13" i="35036"/>
  <c r="CK80" i="35036"/>
  <c r="CK81" i="35036"/>
  <c r="CK61" i="35036"/>
  <c r="CK30" i="35036"/>
  <c r="CK37" i="35036"/>
  <c r="CK50" i="35036"/>
  <c r="CK36" i="35036"/>
  <c r="CK53" i="35036"/>
  <c r="CK51" i="35036"/>
  <c r="CK55" i="35036"/>
  <c r="CK71" i="35036"/>
  <c r="CK21" i="35036"/>
  <c r="CK39" i="35036"/>
  <c r="CK47" i="35036"/>
  <c r="CK17" i="35036"/>
  <c r="CK67" i="35036"/>
  <c r="CK84" i="35036"/>
  <c r="I17" i="34980"/>
  <c r="CI14" i="35036"/>
  <c r="CI13" i="35036"/>
  <c r="CI12" i="35036"/>
  <c r="CI17" i="35036"/>
  <c r="CI19" i="35036"/>
  <c r="CI21" i="35036"/>
  <c r="CI23" i="35036"/>
  <c r="CI25" i="35036"/>
  <c r="CI27" i="35036"/>
  <c r="CI29" i="35036"/>
  <c r="CI31" i="35036"/>
  <c r="CI33" i="35036"/>
  <c r="CI35" i="35036"/>
  <c r="CI37" i="35036"/>
  <c r="CI39" i="35036"/>
  <c r="CI41" i="35036"/>
  <c r="CI43" i="35036"/>
  <c r="CI45" i="35036"/>
  <c r="CI47" i="35036"/>
  <c r="CI49" i="35036"/>
  <c r="CI51" i="35036"/>
  <c r="CI53" i="35036"/>
  <c r="CI55" i="35036"/>
  <c r="CI57" i="35036"/>
  <c r="CI59" i="35036"/>
  <c r="CI61" i="35036"/>
  <c r="CI63" i="35036"/>
  <c r="CI65" i="35036"/>
  <c r="CI67" i="35036"/>
  <c r="CI69" i="35036"/>
  <c r="CI71" i="35036"/>
  <c r="CI73" i="35036"/>
  <c r="CI75" i="35036"/>
  <c r="CI77" i="35036"/>
  <c r="CI79" i="35036"/>
  <c r="CI81" i="35036"/>
  <c r="CI83" i="35036"/>
  <c r="CI15" i="35036"/>
  <c r="CI11" i="35036"/>
  <c r="CI16" i="35036"/>
  <c r="CI18" i="35036"/>
  <c r="CI20" i="35036"/>
  <c r="CI22" i="35036"/>
  <c r="CI24" i="35036"/>
  <c r="CI26" i="35036"/>
  <c r="CI28" i="35036"/>
  <c r="CI30" i="35036"/>
  <c r="CI32" i="35036"/>
  <c r="CI34" i="35036"/>
  <c r="CI36" i="35036"/>
  <c r="CI38" i="35036"/>
  <c r="CI40" i="35036"/>
  <c r="CI42" i="35036"/>
  <c r="CI44" i="35036"/>
  <c r="CI46" i="35036"/>
  <c r="CI48" i="35036"/>
  <c r="CI50" i="35036"/>
  <c r="CI52" i="35036"/>
  <c r="CI54" i="35036"/>
  <c r="CI56" i="35036"/>
  <c r="CI58" i="35036"/>
  <c r="CI60" i="35036"/>
  <c r="CI62" i="35036"/>
  <c r="CI64" i="35036"/>
  <c r="CI66" i="35036"/>
  <c r="CI68" i="35036"/>
  <c r="CI70" i="35036"/>
  <c r="CI72" i="35036"/>
  <c r="CI74" i="35036"/>
  <c r="CI76" i="35036"/>
  <c r="CI78" i="35036"/>
  <c r="CI80" i="35036"/>
  <c r="CI82" i="35036"/>
  <c r="CI84" i="35036"/>
  <c r="Z12" i="35036"/>
  <c r="Z14" i="35036"/>
  <c r="Z16" i="35036"/>
  <c r="Z18" i="35036"/>
  <c r="Z20" i="35036"/>
  <c r="Z22" i="35036"/>
  <c r="Z24" i="35036"/>
  <c r="Z26" i="35036"/>
  <c r="Z28" i="35036"/>
  <c r="Z30" i="35036"/>
  <c r="Z32" i="35036"/>
  <c r="Z34" i="35036"/>
  <c r="Z36" i="35036"/>
  <c r="Z38" i="35036"/>
  <c r="Z40" i="35036"/>
  <c r="Z42" i="35036"/>
  <c r="Z44" i="35036"/>
  <c r="Z46" i="35036"/>
  <c r="Z48" i="35036"/>
  <c r="Z50" i="35036"/>
  <c r="Z52" i="35036"/>
  <c r="Z54" i="35036"/>
  <c r="Z56" i="35036"/>
  <c r="Z58" i="35036"/>
  <c r="Z60" i="35036"/>
  <c r="Z62" i="35036"/>
  <c r="Z64" i="35036"/>
  <c r="Z66" i="35036"/>
  <c r="Z68" i="35036"/>
  <c r="Z70" i="35036"/>
  <c r="Z72" i="35036"/>
  <c r="Z74" i="35036"/>
  <c r="Z76" i="35036"/>
  <c r="Z78" i="35036"/>
  <c r="Z80" i="35036"/>
  <c r="Z82" i="35036"/>
  <c r="Z84" i="35036"/>
  <c r="Z11" i="35036"/>
  <c r="Z13" i="35036"/>
  <c r="Z15" i="35036"/>
  <c r="Z17" i="35036"/>
  <c r="Z19" i="35036"/>
  <c r="Z21" i="35036"/>
  <c r="Z23" i="35036"/>
  <c r="Z25" i="35036"/>
  <c r="Z27" i="35036"/>
  <c r="Z29" i="35036"/>
  <c r="Z31" i="35036"/>
  <c r="Z33" i="35036"/>
  <c r="Z35" i="35036"/>
  <c r="Z37" i="35036"/>
  <c r="Z39" i="35036"/>
  <c r="Z41" i="35036"/>
  <c r="Z43" i="35036"/>
  <c r="Z45" i="35036"/>
  <c r="Z47" i="35036"/>
  <c r="Z49" i="35036"/>
  <c r="Z51" i="35036"/>
  <c r="Z53" i="35036"/>
  <c r="Z55" i="35036"/>
  <c r="Z57" i="35036"/>
  <c r="Z59" i="35036"/>
  <c r="Z61" i="35036"/>
  <c r="Z63" i="35036"/>
  <c r="Z65" i="35036"/>
  <c r="Z67" i="35036"/>
  <c r="Z69" i="35036"/>
  <c r="Z71" i="35036"/>
  <c r="Z73" i="35036"/>
  <c r="Z75" i="35036"/>
  <c r="Z77" i="35036"/>
  <c r="Z79" i="35036"/>
  <c r="Z81" i="35036"/>
  <c r="Z83" i="35036"/>
  <c r="C60" i="34980"/>
  <c r="M59" i="35036"/>
  <c r="C17" i="34986"/>
  <c r="FL17" i="35036"/>
  <c r="FT16" i="35036"/>
  <c r="AA46" i="35036"/>
  <c r="AA26" i="35036"/>
  <c r="AA34" i="35036"/>
  <c r="AA53" i="35036"/>
  <c r="AA71" i="35036"/>
  <c r="AA30" i="35036"/>
  <c r="AA19" i="35036"/>
  <c r="AA75" i="35036"/>
  <c r="AA23" i="35036"/>
  <c r="AA25" i="35036"/>
  <c r="AA67" i="35036"/>
  <c r="AA28" i="35036"/>
  <c r="AA44" i="35036"/>
  <c r="AA52" i="35036"/>
  <c r="AA41" i="35036"/>
  <c r="AA74" i="35036"/>
  <c r="AA57" i="35036"/>
  <c r="AA56" i="35036"/>
  <c r="AA38" i="35036"/>
  <c r="AA76" i="35036"/>
  <c r="AA47" i="35036"/>
  <c r="AA68" i="35036"/>
  <c r="AA32" i="35036"/>
  <c r="AA80" i="35036"/>
  <c r="AA81" i="35036"/>
  <c r="AA66" i="35036"/>
  <c r="AA27" i="35036"/>
  <c r="AA40" i="35036"/>
  <c r="AA69" i="35036"/>
  <c r="AA64" i="35036"/>
  <c r="AA78" i="35036"/>
  <c r="AA82" i="35036"/>
  <c r="AA45" i="35036"/>
  <c r="AA35" i="35036"/>
  <c r="AA16" i="35036"/>
  <c r="AA58" i="35036"/>
  <c r="AA83" i="35036"/>
  <c r="AA77" i="35036"/>
  <c r="AA54" i="35036"/>
  <c r="AA73" i="35036"/>
  <c r="AA55" i="35036"/>
  <c r="AA24" i="35036"/>
  <c r="AA22" i="35036"/>
  <c r="AA65" i="35036"/>
  <c r="AA31" i="35036"/>
  <c r="AA51" i="35036"/>
  <c r="AA70" i="35036"/>
  <c r="AA49" i="35036"/>
  <c r="AA21" i="35036"/>
  <c r="AA13" i="35036"/>
  <c r="AA11" i="35036"/>
  <c r="AA50" i="35036"/>
  <c r="AA20" i="35036"/>
  <c r="AA48" i="35036"/>
  <c r="AA62" i="35036"/>
  <c r="AA12" i="35036"/>
  <c r="AA42" i="35036"/>
  <c r="AA18" i="35036"/>
  <c r="AA15" i="35036"/>
  <c r="AA60" i="35036"/>
  <c r="AA61" i="35036"/>
  <c r="AA79" i="35036"/>
  <c r="AA72" i="35036"/>
  <c r="AA84" i="35036"/>
  <c r="AA29" i="35036"/>
  <c r="AA59" i="35036"/>
  <c r="AA36" i="35036"/>
  <c r="AA17" i="35036"/>
  <c r="AA14" i="35036"/>
  <c r="AA33" i="35036"/>
  <c r="AA37" i="35036"/>
  <c r="AA39" i="35036"/>
  <c r="AA63" i="35036"/>
  <c r="AA43" i="35036"/>
  <c r="E49" i="34980"/>
  <c r="AK48" i="35036"/>
  <c r="Y39" i="35036"/>
  <c r="Y13" i="35036"/>
  <c r="Y52" i="35036"/>
  <c r="Y57" i="35036"/>
  <c r="Y54" i="35036"/>
  <c r="Y21" i="35036"/>
  <c r="Y17" i="35036"/>
  <c r="Y72" i="35036"/>
  <c r="Y69" i="35036"/>
  <c r="Y74" i="35036"/>
  <c r="Y78" i="35036"/>
  <c r="Y77" i="35036"/>
  <c r="Y42" i="35036"/>
  <c r="Y83" i="35036"/>
  <c r="Y53" i="35036"/>
  <c r="Y25" i="35036"/>
  <c r="Y43" i="35036"/>
  <c r="Y31" i="35036"/>
  <c r="Y63" i="35036"/>
  <c r="Y73" i="35036"/>
  <c r="Y59" i="35036"/>
  <c r="Y45" i="35036"/>
  <c r="Y79" i="35036"/>
  <c r="Y76" i="35036"/>
  <c r="Y48" i="35036"/>
  <c r="Y15" i="35036"/>
  <c r="Y68" i="35036"/>
  <c r="Y30" i="35036"/>
  <c r="Y58" i="35036"/>
  <c r="Y32" i="35036"/>
  <c r="Y38" i="35036"/>
  <c r="Y26" i="35036"/>
  <c r="Y19" i="35036"/>
  <c r="Y60" i="35036"/>
  <c r="Y71" i="35036"/>
  <c r="Y84" i="35036"/>
  <c r="Y34" i="35036"/>
  <c r="Y24" i="35036"/>
  <c r="Y67" i="35036"/>
  <c r="Y80" i="35036"/>
  <c r="Y56" i="35036"/>
  <c r="Y61" i="35036"/>
  <c r="Y65" i="35036"/>
  <c r="Y35" i="35036"/>
  <c r="Y64" i="35036"/>
  <c r="Y50" i="35036"/>
  <c r="Y37" i="35036"/>
  <c r="Y44" i="35036"/>
  <c r="Y23" i="35036"/>
  <c r="Y49" i="35036"/>
  <c r="Y51" i="35036"/>
  <c r="Y29" i="35036"/>
  <c r="Y36" i="35036"/>
  <c r="Y20" i="35036"/>
  <c r="Y62" i="35036"/>
  <c r="Y18" i="35036"/>
  <c r="Y46" i="35036"/>
  <c r="Y22" i="35036"/>
  <c r="Y81" i="35036"/>
  <c r="Y82" i="35036"/>
  <c r="Y12" i="35036"/>
  <c r="Y70" i="35036"/>
  <c r="Y27" i="35036"/>
  <c r="Y28" i="35036"/>
  <c r="Y47" i="35036"/>
  <c r="Y33" i="35036"/>
  <c r="Y75" i="35036"/>
  <c r="Y11" i="35036"/>
  <c r="Y40" i="35036"/>
  <c r="Y66" i="35036"/>
  <c r="Y55" i="35036"/>
  <c r="Y41" i="35036"/>
  <c r="Y16" i="35036"/>
  <c r="Y14" i="35036"/>
  <c r="D17" i="34984"/>
  <c r="BX16" i="35036"/>
  <c r="E17" i="34986"/>
  <c r="CJ13" i="35036"/>
  <c r="CJ45" i="35036"/>
  <c r="CJ77" i="35036"/>
  <c r="CJ38" i="35036"/>
  <c r="CJ70" i="35036"/>
  <c r="CJ27" i="35036"/>
  <c r="CJ59" i="35036"/>
  <c r="CJ16" i="35036"/>
  <c r="CJ48" i="35036"/>
  <c r="CJ80" i="35036"/>
  <c r="CJ41" i="35036"/>
  <c r="CJ73" i="35036"/>
  <c r="CJ34" i="35036"/>
  <c r="CJ66" i="35036"/>
  <c r="CJ23" i="35036"/>
  <c r="CJ55" i="35036"/>
  <c r="CJ12" i="35036"/>
  <c r="CJ44" i="35036"/>
  <c r="CJ76" i="35036"/>
  <c r="CJ37" i="35036"/>
  <c r="CJ69" i="35036"/>
  <c r="CJ30" i="35036"/>
  <c r="CJ62" i="35036"/>
  <c r="CJ19" i="35036"/>
  <c r="CJ51" i="35036"/>
  <c r="CJ83" i="35036"/>
  <c r="CJ40" i="35036"/>
  <c r="CJ72" i="35036"/>
  <c r="CJ33" i="35036"/>
  <c r="CJ65" i="35036"/>
  <c r="CJ26" i="35036"/>
  <c r="CJ58" i="35036"/>
  <c r="CJ15" i="35036"/>
  <c r="CJ47" i="35036"/>
  <c r="CJ79" i="35036"/>
  <c r="CJ36" i="35036"/>
  <c r="CJ68" i="35036"/>
  <c r="CJ29" i="35036"/>
  <c r="CJ61" i="35036"/>
  <c r="CJ22" i="35036"/>
  <c r="CJ54" i="35036"/>
  <c r="CJ11" i="35036"/>
  <c r="CJ43" i="35036"/>
  <c r="CJ75" i="35036"/>
  <c r="CJ32" i="35036"/>
  <c r="CJ64" i="35036"/>
  <c r="CJ25" i="35036"/>
  <c r="CJ57" i="35036"/>
  <c r="CJ18" i="35036"/>
  <c r="CJ50" i="35036"/>
  <c r="CJ82" i="35036"/>
  <c r="CJ39" i="35036"/>
  <c r="CJ71" i="35036"/>
  <c r="CJ28" i="35036"/>
  <c r="CJ60" i="35036"/>
  <c r="CJ21" i="35036"/>
  <c r="CJ53" i="35036"/>
  <c r="CJ14" i="35036"/>
  <c r="CJ46" i="35036"/>
  <c r="CJ78" i="35036"/>
  <c r="CJ35" i="35036"/>
  <c r="CJ67" i="35036"/>
  <c r="CJ24" i="35036"/>
  <c r="CJ56" i="35036"/>
  <c r="CJ17" i="35036"/>
  <c r="CJ49" i="35036"/>
  <c r="CJ81" i="35036"/>
  <c r="CJ42" i="35036"/>
  <c r="CJ74" i="35036"/>
  <c r="CJ31" i="35036"/>
  <c r="CJ63" i="35036"/>
  <c r="CJ20" i="35036"/>
  <c r="CJ52" i="35036"/>
  <c r="CJ84" i="35036"/>
  <c r="F17" i="34984"/>
  <c r="CV16" i="35036"/>
  <c r="CB55" i="35036"/>
  <c r="CB23" i="35036"/>
  <c r="CB68" i="35036"/>
  <c r="CB36" i="35036"/>
  <c r="CB74" i="35036"/>
  <c r="CB81" i="35036"/>
  <c r="CB17" i="35036"/>
  <c r="CB22" i="35036"/>
  <c r="CB29" i="35036"/>
  <c r="CB67" i="35036"/>
  <c r="CB35" i="35036"/>
  <c r="CB80" i="35036"/>
  <c r="CB48" i="35036"/>
  <c r="CB16" i="35036"/>
  <c r="CB34" i="35036"/>
  <c r="CB41" i="35036"/>
  <c r="CB46" i="35036"/>
  <c r="CB53" i="35036"/>
  <c r="CB79" i="35036"/>
  <c r="CB47" i="35036"/>
  <c r="CB15" i="35036"/>
  <c r="CB60" i="35036"/>
  <c r="CB28" i="35036"/>
  <c r="CB58" i="35036"/>
  <c r="CB65" i="35036"/>
  <c r="CB70" i="35036"/>
  <c r="CB77" i="35036"/>
  <c r="CB13" i="35036"/>
  <c r="CB59" i="35036"/>
  <c r="CB27" i="35036"/>
  <c r="CB72" i="35036"/>
  <c r="CB40" i="35036"/>
  <c r="CB82" i="35036"/>
  <c r="CB18" i="35036"/>
  <c r="CB25" i="35036"/>
  <c r="CB30" i="35036"/>
  <c r="CB37" i="35036"/>
  <c r="CB71" i="35036"/>
  <c r="CB39" i="35036"/>
  <c r="CB84" i="35036"/>
  <c r="CB52" i="35036"/>
  <c r="CB20" i="35036"/>
  <c r="CB42" i="35036"/>
  <c r="CB49" i="35036"/>
  <c r="CB54" i="35036"/>
  <c r="CB61" i="35036"/>
  <c r="CB83" i="35036"/>
  <c r="CB51" i="35036"/>
  <c r="CB19" i="35036"/>
  <c r="CB64" i="35036"/>
  <c r="CB32" i="35036"/>
  <c r="CB66" i="35036"/>
  <c r="CB73" i="35036"/>
  <c r="CB78" i="35036"/>
  <c r="CB14" i="35036"/>
  <c r="CB21" i="35036"/>
  <c r="CB63" i="35036"/>
  <c r="CB31" i="35036"/>
  <c r="CB76" i="35036"/>
  <c r="CB44" i="35036"/>
  <c r="CB12" i="35036"/>
  <c r="CB26" i="35036"/>
  <c r="CB33" i="35036"/>
  <c r="CB38" i="35036"/>
  <c r="CB45" i="35036"/>
  <c r="CB75" i="35036"/>
  <c r="CB43" i="35036"/>
  <c r="CB11" i="35036"/>
  <c r="CB56" i="35036"/>
  <c r="CB24" i="35036"/>
  <c r="CB50" i="35036"/>
  <c r="CB57" i="35036"/>
  <c r="CB62" i="35036"/>
  <c r="CB69" i="35036"/>
  <c r="F17" i="35017"/>
  <c r="M16" i="35017"/>
  <c r="C19" i="35017"/>
  <c r="R11" i="35036"/>
  <c r="R15" i="35036"/>
  <c r="R17" i="35036"/>
  <c r="R19" i="35036"/>
  <c r="R21" i="35036"/>
  <c r="R23" i="35036"/>
  <c r="R25" i="35036"/>
  <c r="R27" i="35036"/>
  <c r="R29" i="35036"/>
  <c r="R31" i="35036"/>
  <c r="R33" i="35036"/>
  <c r="R35" i="35036"/>
  <c r="R37" i="35036"/>
  <c r="R39" i="35036"/>
  <c r="R41" i="35036"/>
  <c r="R43" i="35036"/>
  <c r="R45" i="35036"/>
  <c r="R47" i="35036"/>
  <c r="R49" i="35036"/>
  <c r="R51" i="35036"/>
  <c r="R53" i="35036"/>
  <c r="R55" i="35036"/>
  <c r="R57" i="35036"/>
  <c r="R59" i="35036"/>
  <c r="R61" i="35036"/>
  <c r="R63" i="35036"/>
  <c r="R65" i="35036"/>
  <c r="R67" i="35036"/>
  <c r="R69" i="35036"/>
  <c r="R71" i="35036"/>
  <c r="R73" i="35036"/>
  <c r="R75" i="35036"/>
  <c r="R77" i="35036"/>
  <c r="R79" i="35036"/>
  <c r="R81" i="35036"/>
  <c r="R83" i="35036"/>
  <c r="R13" i="35036"/>
  <c r="R14" i="35036"/>
  <c r="R16" i="35036"/>
  <c r="R18" i="35036"/>
  <c r="R20" i="35036"/>
  <c r="R22" i="35036"/>
  <c r="R24" i="35036"/>
  <c r="R26" i="35036"/>
  <c r="R28" i="35036"/>
  <c r="R30" i="35036"/>
  <c r="R32" i="35036"/>
  <c r="R34" i="35036"/>
  <c r="R36" i="35036"/>
  <c r="R38" i="35036"/>
  <c r="R40" i="35036"/>
  <c r="R42" i="35036"/>
  <c r="R44" i="35036"/>
  <c r="R46" i="35036"/>
  <c r="R48" i="35036"/>
  <c r="R50" i="35036"/>
  <c r="R52" i="35036"/>
  <c r="R54" i="35036"/>
  <c r="R56" i="35036"/>
  <c r="R58" i="35036"/>
  <c r="R60" i="35036"/>
  <c r="R62" i="35036"/>
  <c r="R64" i="35036"/>
  <c r="R66" i="35036"/>
  <c r="R68" i="35036"/>
  <c r="R70" i="35036"/>
  <c r="R72" i="35036"/>
  <c r="R74" i="35036"/>
  <c r="R76" i="35036"/>
  <c r="R78" i="35036"/>
  <c r="R80" i="35036"/>
  <c r="R82" i="35036"/>
  <c r="R84" i="35036"/>
  <c r="R12" i="35036"/>
  <c r="F17" i="34980"/>
  <c r="AY16" i="35036"/>
  <c r="M36" i="35391" a="1"/>
  <c r="M36" i="35391" s="1"/>
  <c r="K6" i="35062" l="1"/>
  <c r="J6" i="35062"/>
  <c r="R28" i="35391"/>
  <c r="T28" i="35391" s="1"/>
  <c r="V11" i="35035" a="1"/>
  <c r="V40" i="35035" s="1"/>
  <c r="E29" i="35062"/>
  <c r="I59" i="35062"/>
  <c r="I50" i="35062"/>
  <c r="I27" i="35062"/>
  <c r="I18" i="35062"/>
  <c r="D76" i="35062"/>
  <c r="E20" i="35062"/>
  <c r="I11" i="35062"/>
  <c r="I43" i="35062"/>
  <c r="I75" i="35062"/>
  <c r="I34" i="35062"/>
  <c r="I66" i="35062"/>
  <c r="I19" i="35062"/>
  <c r="I35" i="35062"/>
  <c r="I51" i="35062"/>
  <c r="I67" i="35062"/>
  <c r="I10" i="35062"/>
  <c r="I26" i="35062"/>
  <c r="I42" i="35062"/>
  <c r="I58" i="35062"/>
  <c r="I74" i="35062"/>
  <c r="D23" i="35062"/>
  <c r="N10" i="35062"/>
  <c r="N74" i="35062"/>
  <c r="N63" i="35062"/>
  <c r="N42" i="35062"/>
  <c r="N31" i="35062"/>
  <c r="D12" i="35062"/>
  <c r="N26" i="35062"/>
  <c r="N58" i="35062"/>
  <c r="N15" i="35062"/>
  <c r="N47" i="35062"/>
  <c r="D55" i="35062"/>
  <c r="D44" i="35062"/>
  <c r="K39" i="35016"/>
  <c r="D7" i="35062"/>
  <c r="D39" i="35062"/>
  <c r="D71" i="35062"/>
  <c r="D28" i="35062"/>
  <c r="D60" i="35062"/>
  <c r="I7" i="35062"/>
  <c r="I15" i="35062"/>
  <c r="I23" i="35062"/>
  <c r="I31" i="35062"/>
  <c r="I39" i="35062"/>
  <c r="I47" i="35062"/>
  <c r="I55" i="35062"/>
  <c r="I63" i="35062"/>
  <c r="I71" i="35062"/>
  <c r="I6" i="35062"/>
  <c r="I14" i="35062"/>
  <c r="I22" i="35062"/>
  <c r="I30" i="35062"/>
  <c r="I38" i="35062"/>
  <c r="I46" i="35062"/>
  <c r="I54" i="35062"/>
  <c r="I62" i="35062"/>
  <c r="I70" i="35062"/>
  <c r="N18" i="35062"/>
  <c r="N34" i="35062"/>
  <c r="N50" i="35062"/>
  <c r="N66" i="35062"/>
  <c r="N7" i="35062"/>
  <c r="N23" i="35062"/>
  <c r="N39" i="35062"/>
  <c r="N55" i="35062"/>
  <c r="N71" i="35062"/>
  <c r="D15" i="35062"/>
  <c r="D31" i="35062"/>
  <c r="D47" i="35062"/>
  <c r="D63" i="35062"/>
  <c r="D6" i="35062"/>
  <c r="D20" i="35062"/>
  <c r="D36" i="35062"/>
  <c r="D52" i="35062"/>
  <c r="D68" i="35062"/>
  <c r="I78" i="35062"/>
  <c r="I9" i="35062"/>
  <c r="I13" i="35062"/>
  <c r="I17" i="35062"/>
  <c r="I21" i="35062"/>
  <c r="I25" i="35062"/>
  <c r="I29" i="35062"/>
  <c r="I33" i="35062"/>
  <c r="I37" i="35062"/>
  <c r="I41" i="35062"/>
  <c r="I45" i="35062"/>
  <c r="I49" i="35062"/>
  <c r="I53" i="35062"/>
  <c r="I57" i="35062"/>
  <c r="I61" i="35062"/>
  <c r="I65" i="35062"/>
  <c r="I69" i="35062"/>
  <c r="I73" i="35062"/>
  <c r="I77" i="35062"/>
  <c r="I8" i="35062"/>
  <c r="I12" i="35062"/>
  <c r="I16" i="35062"/>
  <c r="I20" i="35062"/>
  <c r="I24" i="35062"/>
  <c r="I28" i="35062"/>
  <c r="I32" i="35062"/>
  <c r="I36" i="35062"/>
  <c r="I40" i="35062"/>
  <c r="I44" i="35062"/>
  <c r="I48" i="35062"/>
  <c r="I52" i="35062"/>
  <c r="I56" i="35062"/>
  <c r="I60" i="35062"/>
  <c r="I64" i="35062"/>
  <c r="I68" i="35062"/>
  <c r="I72" i="35062"/>
  <c r="N6" i="35062"/>
  <c r="N14" i="35062"/>
  <c r="N22" i="35062"/>
  <c r="N30" i="35062"/>
  <c r="N38" i="35062"/>
  <c r="N46" i="35062"/>
  <c r="N54" i="35062"/>
  <c r="N62" i="35062"/>
  <c r="N70" i="35062"/>
  <c r="N77" i="35062"/>
  <c r="N11" i="35062"/>
  <c r="N19" i="35062"/>
  <c r="N27" i="35062"/>
  <c r="N35" i="35062"/>
  <c r="N43" i="35062"/>
  <c r="N51" i="35062"/>
  <c r="N59" i="35062"/>
  <c r="N67" i="35062"/>
  <c r="N75" i="35062"/>
  <c r="D11" i="35062"/>
  <c r="D19" i="35062"/>
  <c r="D27" i="35062"/>
  <c r="D35" i="35062"/>
  <c r="D43" i="35062"/>
  <c r="D51" i="35062"/>
  <c r="D59" i="35062"/>
  <c r="D67" i="35062"/>
  <c r="D75" i="35062"/>
  <c r="D8" i="35062"/>
  <c r="D16" i="35062"/>
  <c r="D24" i="35062"/>
  <c r="D32" i="35062"/>
  <c r="D40" i="35062"/>
  <c r="D48" i="35062"/>
  <c r="D56" i="35062"/>
  <c r="D64" i="35062"/>
  <c r="D72" i="35062"/>
  <c r="K30" i="35016"/>
  <c r="K62" i="35016"/>
  <c r="K71" i="35016"/>
  <c r="E61" i="35062"/>
  <c r="E52" i="35062"/>
  <c r="E13" i="35062"/>
  <c r="E45" i="35062"/>
  <c r="E77" i="35062"/>
  <c r="E36" i="35062"/>
  <c r="E68" i="35062"/>
  <c r="E78" i="35062"/>
  <c r="E21" i="35062"/>
  <c r="E37" i="35062"/>
  <c r="E53" i="35062"/>
  <c r="E69" i="35062"/>
  <c r="E12" i="35062"/>
  <c r="E28" i="35062"/>
  <c r="E44" i="35062"/>
  <c r="E60" i="35062"/>
  <c r="E76" i="35062"/>
  <c r="E9" i="35062"/>
  <c r="E17" i="35062"/>
  <c r="E25" i="35062"/>
  <c r="E33" i="35062"/>
  <c r="E41" i="35062"/>
  <c r="E49" i="35062"/>
  <c r="E57" i="35062"/>
  <c r="E65" i="35062"/>
  <c r="E73" i="35062"/>
  <c r="E8" i="35062"/>
  <c r="E16" i="35062"/>
  <c r="E24" i="35062"/>
  <c r="E32" i="35062"/>
  <c r="E40" i="35062"/>
  <c r="E48" i="35062"/>
  <c r="E56" i="35062"/>
  <c r="E64" i="35062"/>
  <c r="E72" i="35062"/>
  <c r="N9" i="35062"/>
  <c r="N12" i="35062"/>
  <c r="N16" i="35062"/>
  <c r="N20" i="35062"/>
  <c r="N24" i="35062"/>
  <c r="N28" i="35062"/>
  <c r="N32" i="35062"/>
  <c r="N36" i="35062"/>
  <c r="N40" i="35062"/>
  <c r="N44" i="35062"/>
  <c r="N48" i="35062"/>
  <c r="N52" i="35062"/>
  <c r="N56" i="35062"/>
  <c r="N60" i="35062"/>
  <c r="N64" i="35062"/>
  <c r="N68" i="35062"/>
  <c r="N72" i="35062"/>
  <c r="N76" i="35062"/>
  <c r="N78" i="35062"/>
  <c r="N8" i="35062"/>
  <c r="N13" i="35062"/>
  <c r="N17" i="35062"/>
  <c r="N21" i="35062"/>
  <c r="N25" i="35062"/>
  <c r="N29" i="35062"/>
  <c r="N33" i="35062"/>
  <c r="N37" i="35062"/>
  <c r="N41" i="35062"/>
  <c r="N45" i="35062"/>
  <c r="N49" i="35062"/>
  <c r="N53" i="35062"/>
  <c r="N57" i="35062"/>
  <c r="N61" i="35062"/>
  <c r="N65" i="35062"/>
  <c r="N69" i="35062"/>
  <c r="K78" i="35016"/>
  <c r="K46" i="35016"/>
  <c r="K14" i="35016"/>
  <c r="K55" i="35016"/>
  <c r="K23" i="35016"/>
  <c r="D9" i="35062"/>
  <c r="D13" i="35062"/>
  <c r="D17" i="35062"/>
  <c r="D21" i="35062"/>
  <c r="D25" i="35062"/>
  <c r="D29" i="35062"/>
  <c r="D33" i="35062"/>
  <c r="D37" i="35062"/>
  <c r="D41" i="35062"/>
  <c r="D45" i="35062"/>
  <c r="D49" i="35062"/>
  <c r="D53" i="35062"/>
  <c r="D57" i="35062"/>
  <c r="D61" i="35062"/>
  <c r="D65" i="35062"/>
  <c r="D69" i="35062"/>
  <c r="D73" i="35062"/>
  <c r="D77" i="35062"/>
  <c r="D78" i="35062"/>
  <c r="D10" i="35062"/>
  <c r="D14" i="35062"/>
  <c r="D18" i="35062"/>
  <c r="D22" i="35062"/>
  <c r="D26" i="35062"/>
  <c r="D30" i="35062"/>
  <c r="D34" i="35062"/>
  <c r="D38" i="35062"/>
  <c r="D42" i="35062"/>
  <c r="D46" i="35062"/>
  <c r="D50" i="35062"/>
  <c r="D54" i="35062"/>
  <c r="D58" i="35062"/>
  <c r="D62" i="35062"/>
  <c r="D66" i="35062"/>
  <c r="D70" i="35062"/>
  <c r="K70" i="35016"/>
  <c r="K54" i="35016"/>
  <c r="K38" i="35016"/>
  <c r="K22" i="35016"/>
  <c r="K79" i="35016"/>
  <c r="K63" i="35016"/>
  <c r="K47" i="35016"/>
  <c r="K31" i="35016"/>
  <c r="K11" i="35016"/>
  <c r="M27" i="35391"/>
  <c r="M26" i="35391" s="1"/>
  <c r="E7" i="35062"/>
  <c r="E11" i="35062"/>
  <c r="E15" i="35062"/>
  <c r="E19" i="35062"/>
  <c r="E23" i="35062"/>
  <c r="E27" i="35062"/>
  <c r="E31" i="35062"/>
  <c r="E35" i="35062"/>
  <c r="E39" i="35062"/>
  <c r="E43" i="35062"/>
  <c r="E47" i="35062"/>
  <c r="E51" i="35062"/>
  <c r="E55" i="35062"/>
  <c r="E59" i="35062"/>
  <c r="E63" i="35062"/>
  <c r="E67" i="35062"/>
  <c r="E71" i="35062"/>
  <c r="E75" i="35062"/>
  <c r="E6" i="35062"/>
  <c r="E10" i="35062"/>
  <c r="E14" i="35062"/>
  <c r="E18" i="35062"/>
  <c r="E22" i="35062"/>
  <c r="E26" i="35062"/>
  <c r="E30" i="35062"/>
  <c r="E34" i="35062"/>
  <c r="E38" i="35062"/>
  <c r="E42" i="35062"/>
  <c r="E46" i="35062"/>
  <c r="E50" i="35062"/>
  <c r="E54" i="35062"/>
  <c r="E58" i="35062"/>
  <c r="E62" i="35062"/>
  <c r="E66" i="35062"/>
  <c r="E70" i="35062"/>
  <c r="K82" i="35016"/>
  <c r="K74" i="35016"/>
  <c r="K66" i="35016"/>
  <c r="K58" i="35016"/>
  <c r="K50" i="35016"/>
  <c r="K42" i="35016"/>
  <c r="K34" i="35016"/>
  <c r="K26" i="35016"/>
  <c r="K18" i="35016"/>
  <c r="K83" i="35016"/>
  <c r="K75" i="35016"/>
  <c r="K67" i="35016"/>
  <c r="K59" i="35016"/>
  <c r="K51" i="35016"/>
  <c r="K43" i="35016"/>
  <c r="K35" i="35016"/>
  <c r="K27" i="35016"/>
  <c r="K19" i="35016"/>
  <c r="K15" i="35016"/>
  <c r="BF80" i="35036"/>
  <c r="BF60" i="35036"/>
  <c r="BF47" i="35036"/>
  <c r="BF18" i="35036"/>
  <c r="BF83" i="35036"/>
  <c r="BF11" i="35036"/>
  <c r="BF29" i="35036"/>
  <c r="BF64" i="35036"/>
  <c r="BF41" i="35036"/>
  <c r="BF14" i="35036"/>
  <c r="BF82" i="35036"/>
  <c r="BF53" i="35036"/>
  <c r="BF27" i="35036"/>
  <c r="BF55" i="35036"/>
  <c r="BF57" i="35036"/>
  <c r="BF66" i="35036"/>
  <c r="BF75" i="35036"/>
  <c r="BF65" i="35036"/>
  <c r="BF77" i="35036"/>
  <c r="BF35" i="35036"/>
  <c r="BF51" i="35036"/>
  <c r="BF37" i="35036"/>
  <c r="BF39" i="35036"/>
  <c r="BF78" i="35036"/>
  <c r="BF25" i="35036"/>
  <c r="BF20" i="35036"/>
  <c r="BF12" i="35036"/>
  <c r="BF36" i="35036"/>
  <c r="BF48" i="35036"/>
  <c r="BF43" i="35036"/>
  <c r="BF69" i="35036"/>
  <c r="BF50" i="35036"/>
  <c r="BF23" i="35036"/>
  <c r="BF74" i="35036"/>
  <c r="BF17" i="35036"/>
  <c r="BF67" i="35036"/>
  <c r="BF21" i="35036"/>
  <c r="BF34" i="35036"/>
  <c r="BF68" i="35036"/>
  <c r="BF30" i="35036"/>
  <c r="BF79" i="35036"/>
  <c r="BF22" i="35036"/>
  <c r="BF84" i="35036"/>
  <c r="BF61" i="35036"/>
  <c r="BF63" i="35036"/>
  <c r="BF46" i="35036"/>
  <c r="BF16" i="35036"/>
  <c r="BF76" i="35036"/>
  <c r="BF24" i="35036"/>
  <c r="BF40" i="35036"/>
  <c r="BF15" i="35036"/>
  <c r="BF58" i="35036"/>
  <c r="BF71" i="35036"/>
  <c r="BF33" i="35036"/>
  <c r="BF44" i="35036"/>
  <c r="BF81" i="35036"/>
  <c r="BF56" i="35036"/>
  <c r="BF62" i="35036"/>
  <c r="BF26" i="35036"/>
  <c r="BF59" i="35036"/>
  <c r="BF31" i="35036"/>
  <c r="BF72" i="35036"/>
  <c r="BF19" i="35036"/>
  <c r="BF45" i="35036"/>
  <c r="BF38" i="35036"/>
  <c r="BF42" i="35036"/>
  <c r="BF54" i="35036"/>
  <c r="BF73" i="35036"/>
  <c r="BF70" i="35036"/>
  <c r="BF52" i="35036"/>
  <c r="BF13" i="35036"/>
  <c r="BF28" i="35036"/>
  <c r="BF32" i="35036"/>
  <c r="BF49" i="35036"/>
  <c r="K84" i="35016"/>
  <c r="K80" i="35016"/>
  <c r="K76" i="35016"/>
  <c r="K72" i="35016"/>
  <c r="K68" i="35016"/>
  <c r="K64" i="35016"/>
  <c r="K60" i="35016"/>
  <c r="K56" i="35016"/>
  <c r="K52" i="35016"/>
  <c r="K48" i="35016"/>
  <c r="K44" i="35016"/>
  <c r="K40" i="35016"/>
  <c r="K36" i="35016"/>
  <c r="K32" i="35016"/>
  <c r="K28" i="35016"/>
  <c r="K24" i="35016"/>
  <c r="K20" i="35016"/>
  <c r="K16" i="35016"/>
  <c r="K13" i="35016"/>
  <c r="K81" i="35016"/>
  <c r="K77" i="35016"/>
  <c r="K73" i="35016"/>
  <c r="K69" i="35016"/>
  <c r="K65" i="35016"/>
  <c r="K61" i="35016"/>
  <c r="K57" i="35016"/>
  <c r="K53" i="35016"/>
  <c r="K49" i="35016"/>
  <c r="K45" i="35016"/>
  <c r="K41" i="35016"/>
  <c r="K37" i="35016"/>
  <c r="K33" i="35016"/>
  <c r="K29" i="35016"/>
  <c r="K25" i="35016"/>
  <c r="K21" i="35016"/>
  <c r="K17" i="35016"/>
  <c r="F18" i="34980"/>
  <c r="AY17" i="35036"/>
  <c r="T11" i="35036" a="1"/>
  <c r="F18" i="35017"/>
  <c r="M17" i="35017"/>
  <c r="H18" i="34980"/>
  <c r="M17" i="34980"/>
  <c r="M35" i="35391"/>
  <c r="N35" i="35391" s="1"/>
  <c r="N36" i="35391"/>
  <c r="O36" i="35391" s="1"/>
  <c r="C20" i="35017"/>
  <c r="CD11" i="35036" a="1"/>
  <c r="F18" i="34984"/>
  <c r="CV17" i="35036"/>
  <c r="E18" i="34986"/>
  <c r="D18" i="34984"/>
  <c r="BX17" i="35036"/>
  <c r="E50" i="34980"/>
  <c r="AK49" i="35036"/>
  <c r="C18" i="34986"/>
  <c r="FL18" i="35036"/>
  <c r="FT17" i="35036"/>
  <c r="C61" i="34980"/>
  <c r="M60" i="35036"/>
  <c r="I18" i="34980"/>
  <c r="J7" i="35062" l="1"/>
  <c r="D27" i="35405"/>
  <c r="D13" i="35405"/>
  <c r="D3" i="35405"/>
  <c r="D9" i="35405"/>
  <c r="D15" i="35405"/>
  <c r="D16" i="35405"/>
  <c r="D2" i="35405"/>
  <c r="D22" i="35405"/>
  <c r="D17" i="35405"/>
  <c r="D11" i="35405"/>
  <c r="D12" i="35405"/>
  <c r="D4" i="35405"/>
  <c r="D14" i="35405"/>
  <c r="D8" i="35405"/>
  <c r="D26" i="35405"/>
  <c r="D20" i="35405"/>
  <c r="D19" i="35405"/>
  <c r="D24" i="35405"/>
  <c r="D23" i="35405"/>
  <c r="D25" i="35405"/>
  <c r="D10" i="35405"/>
  <c r="D21" i="35405"/>
  <c r="D7" i="35405"/>
  <c r="D6" i="35405"/>
  <c r="D5" i="35405"/>
  <c r="D18" i="35405"/>
  <c r="K7" i="35062"/>
  <c r="D1825" i="35405"/>
  <c r="D1839" i="35405"/>
  <c r="D1841" i="35405"/>
  <c r="D1846" i="35405"/>
  <c r="D1826" i="35405"/>
  <c r="D1838" i="35405"/>
  <c r="D1842" i="35405"/>
  <c r="D1822" i="35405"/>
  <c r="D1847" i="35405"/>
  <c r="D1831" i="35405"/>
  <c r="D1844" i="35405"/>
  <c r="D1845" i="35405"/>
  <c r="D1834" i="35405"/>
  <c r="D1840" i="35405"/>
  <c r="D1823" i="35405"/>
  <c r="D1829" i="35405"/>
  <c r="D1843" i="35405"/>
  <c r="D1833" i="35405"/>
  <c r="D1824" i="35405"/>
  <c r="D1827" i="35405"/>
  <c r="D1830" i="35405"/>
  <c r="D1835" i="35405"/>
  <c r="D1832" i="35405"/>
  <c r="D1828" i="35405"/>
  <c r="D1837" i="35405"/>
  <c r="D1836" i="35405"/>
  <c r="V26" i="35035"/>
  <c r="V78" i="35035"/>
  <c r="V34" i="35035"/>
  <c r="V22" i="35035"/>
  <c r="V44" i="35035"/>
  <c r="V23" i="35035"/>
  <c r="V15" i="35035"/>
  <c r="V20" i="35035"/>
  <c r="V49" i="35035"/>
  <c r="V63" i="35035"/>
  <c r="V62" i="35035"/>
  <c r="V74" i="35035"/>
  <c r="V57" i="35035"/>
  <c r="V24" i="35035"/>
  <c r="V43" i="35035"/>
  <c r="V21" i="35035"/>
  <c r="V54" i="35035"/>
  <c r="V51" i="35035"/>
  <c r="V84" i="35035"/>
  <c r="V48" i="35035"/>
  <c r="V55" i="35035"/>
  <c r="V80" i="35035"/>
  <c r="V83" i="35035"/>
  <c r="V41" i="35035"/>
  <c r="V45" i="35035"/>
  <c r="V60" i="35035"/>
  <c r="V72" i="35035"/>
  <c r="V58" i="35035"/>
  <c r="V46" i="35035"/>
  <c r="V13" i="35035"/>
  <c r="V25" i="35035"/>
  <c r="V71" i="35035"/>
  <c r="V66" i="35035"/>
  <c r="V17" i="35035"/>
  <c r="V56" i="35035"/>
  <c r="V11" i="35035"/>
  <c r="V12" i="35035"/>
  <c r="V75" i="35035"/>
  <c r="V77" i="35035"/>
  <c r="V76" i="35035"/>
  <c r="V68" i="35035"/>
  <c r="V82" i="35035"/>
  <c r="V81" i="35035"/>
  <c r="V28" i="35035"/>
  <c r="V32" i="35035"/>
  <c r="V35" i="35035"/>
  <c r="V14" i="35035"/>
  <c r="V39" i="35035"/>
  <c r="V69" i="35035"/>
  <c r="V19" i="35035"/>
  <c r="V36" i="35035"/>
  <c r="V18" i="35035"/>
  <c r="V70" i="35035"/>
  <c r="V37" i="35035"/>
  <c r="V33" i="35035"/>
  <c r="V47" i="35035"/>
  <c r="V64" i="35035"/>
  <c r="V38" i="35035"/>
  <c r="V73" i="35035"/>
  <c r="V59" i="35035"/>
  <c r="V67" i="35035"/>
  <c r="V42" i="35035"/>
  <c r="V50" i="35035"/>
  <c r="V29" i="35035"/>
  <c r="V31" i="35035"/>
  <c r="V16" i="35035"/>
  <c r="V52" i="35035"/>
  <c r="V27" i="35035"/>
  <c r="V61" i="35035"/>
  <c r="V30" i="35035"/>
  <c r="V79" i="35035"/>
  <c r="V65" i="35035"/>
  <c r="V53" i="35035"/>
  <c r="N27" i="35391"/>
  <c r="O27" i="35391" s="1"/>
  <c r="L19" i="34908" a="1"/>
  <c r="L19" i="34908" s="1"/>
  <c r="L20" i="34908" s="1"/>
  <c r="M20" i="34908" s="1"/>
  <c r="N20" i="34908" s="1"/>
  <c r="P11" i="35035" a="1"/>
  <c r="P81" i="35035" s="1"/>
  <c r="BG11" i="35036" a="1"/>
  <c r="BI11" i="35036" a="1"/>
  <c r="BH11" i="35036" a="1"/>
  <c r="I19" i="34980"/>
  <c r="D19" i="34984"/>
  <c r="BX18" i="35036"/>
  <c r="E19" i="34986"/>
  <c r="H19" i="34980"/>
  <c r="M18" i="34980"/>
  <c r="F19" i="35017"/>
  <c r="M18" i="35017"/>
  <c r="T27" i="35036"/>
  <c r="T77" i="35036"/>
  <c r="T84" i="35036"/>
  <c r="T11" i="35036"/>
  <c r="T74" i="35036"/>
  <c r="T28" i="35036"/>
  <c r="T71" i="35036"/>
  <c r="T49" i="35036"/>
  <c r="T18" i="35036"/>
  <c r="T64" i="35036"/>
  <c r="T20" i="35036"/>
  <c r="T66" i="35036"/>
  <c r="T44" i="35036"/>
  <c r="T38" i="35036"/>
  <c r="T36" i="35036"/>
  <c r="T63" i="35036"/>
  <c r="T34" i="35036"/>
  <c r="T46" i="35036"/>
  <c r="T14" i="35036"/>
  <c r="T50" i="35036"/>
  <c r="T12" i="35036"/>
  <c r="T67" i="35036"/>
  <c r="T62" i="35036"/>
  <c r="T59" i="35036"/>
  <c r="T80" i="35036"/>
  <c r="T69" i="35036"/>
  <c r="T53" i="35036"/>
  <c r="T65" i="35036"/>
  <c r="T83" i="35036"/>
  <c r="T30" i="35036"/>
  <c r="T60" i="35036"/>
  <c r="T21" i="35036"/>
  <c r="T79" i="35036"/>
  <c r="T13" i="35036"/>
  <c r="T43" i="35036"/>
  <c r="T68" i="35036"/>
  <c r="T54" i="35036"/>
  <c r="T15" i="35036"/>
  <c r="T39" i="35036"/>
  <c r="T76" i="35036"/>
  <c r="T72" i="35036"/>
  <c r="T45" i="35036"/>
  <c r="T24" i="35036"/>
  <c r="T75" i="35036"/>
  <c r="T40" i="35036"/>
  <c r="T70" i="35036"/>
  <c r="T78" i="35036"/>
  <c r="T31" i="35036"/>
  <c r="T19" i="35036"/>
  <c r="T58" i="35036"/>
  <c r="T17" i="35036"/>
  <c r="T81" i="35036"/>
  <c r="T25" i="35036"/>
  <c r="T26" i="35036"/>
  <c r="T42" i="35036"/>
  <c r="T52" i="35036"/>
  <c r="T37" i="35036"/>
  <c r="T33" i="35036"/>
  <c r="T48" i="35036"/>
  <c r="T73" i="35036"/>
  <c r="T56" i="35036"/>
  <c r="T61" i="35036"/>
  <c r="T47" i="35036"/>
  <c r="T16" i="35036"/>
  <c r="T32" i="35036"/>
  <c r="T82" i="35036"/>
  <c r="T35" i="35036"/>
  <c r="T51" i="35036"/>
  <c r="T57" i="35036"/>
  <c r="T22" i="35036"/>
  <c r="T41" i="35036"/>
  <c r="T29" i="35036"/>
  <c r="T23" i="35036"/>
  <c r="T55" i="35036"/>
  <c r="C62" i="34980"/>
  <c r="M61" i="35036"/>
  <c r="C19" i="34986"/>
  <c r="FL19" i="35036"/>
  <c r="FT18" i="35036"/>
  <c r="E51" i="34980"/>
  <c r="AK50" i="35036"/>
  <c r="F19" i="34984"/>
  <c r="CV18" i="35036"/>
  <c r="CD73" i="35036"/>
  <c r="CD36" i="35036"/>
  <c r="CD39" i="35036"/>
  <c r="CD65" i="35036"/>
  <c r="CD82" i="35036"/>
  <c r="CD78" i="35036"/>
  <c r="CD45" i="35036"/>
  <c r="CD13" i="35036"/>
  <c r="CD59" i="35036"/>
  <c r="CD54" i="35036"/>
  <c r="CD41" i="35036"/>
  <c r="CD47" i="35036"/>
  <c r="CD19" i="35036"/>
  <c r="CD60" i="35036"/>
  <c r="CD80" i="35036"/>
  <c r="CD84" i="35036"/>
  <c r="CD57" i="35036"/>
  <c r="CD83" i="35036"/>
  <c r="CD81" i="35036"/>
  <c r="CD56" i="35036"/>
  <c r="CD50" i="35036"/>
  <c r="CD75" i="35036"/>
  <c r="CD29" i="35036"/>
  <c r="CD32" i="35036"/>
  <c r="CD46" i="35036"/>
  <c r="CD66" i="35036"/>
  <c r="CD30" i="35036"/>
  <c r="CD58" i="35036"/>
  <c r="CD14" i="35036"/>
  <c r="CD26" i="35036"/>
  <c r="CD70" i="35036"/>
  <c r="CD28" i="35036"/>
  <c r="CD23" i="35036"/>
  <c r="CD44" i="35036"/>
  <c r="CD52" i="35036"/>
  <c r="CD67" i="35036"/>
  <c r="CD42" i="35036"/>
  <c r="CD34" i="35036"/>
  <c r="CD37" i="35036"/>
  <c r="CD77" i="35036"/>
  <c r="CD72" i="35036"/>
  <c r="CD15" i="35036"/>
  <c r="CD40" i="35036"/>
  <c r="CD71" i="35036"/>
  <c r="CD21" i="35036"/>
  <c r="CD11" i="35036"/>
  <c r="CD63" i="35036"/>
  <c r="CD48" i="35036"/>
  <c r="CD24" i="35036"/>
  <c r="CD20" i="35036"/>
  <c r="CD25" i="35036"/>
  <c r="CD64" i="35036"/>
  <c r="CD38" i="35036"/>
  <c r="CD17" i="35036"/>
  <c r="CD79" i="35036"/>
  <c r="CD16" i="35036"/>
  <c r="CD69" i="35036"/>
  <c r="CD27" i="35036"/>
  <c r="CD62" i="35036"/>
  <c r="CD33" i="35036"/>
  <c r="CD53" i="35036"/>
  <c r="CD76" i="35036"/>
  <c r="CD51" i="35036"/>
  <c r="CD49" i="35036"/>
  <c r="CD18" i="35036"/>
  <c r="CD61" i="35036"/>
  <c r="CD31" i="35036"/>
  <c r="CD68" i="35036"/>
  <c r="CD12" i="35036"/>
  <c r="CD74" i="35036"/>
  <c r="CD35" i="35036"/>
  <c r="CD43" i="35036"/>
  <c r="CD55" i="35036"/>
  <c r="CD22" i="35036"/>
  <c r="C21" i="35017"/>
  <c r="R23" i="35391"/>
  <c r="T23" i="35391" s="1"/>
  <c r="O35" i="35391"/>
  <c r="N26" i="35391"/>
  <c r="M25" i="35391"/>
  <c r="N25" i="35391" s="1"/>
  <c r="O25" i="35391" s="1"/>
  <c r="F19" i="34980"/>
  <c r="AY18" i="35036"/>
  <c r="J8" i="35062" l="1"/>
  <c r="K8" i="35062"/>
  <c r="D1854" i="35405"/>
  <c r="D1852" i="35405"/>
  <c r="D1863" i="35405"/>
  <c r="D1864" i="35405"/>
  <c r="D1867" i="35405"/>
  <c r="D1868" i="35405"/>
  <c r="D1865" i="35405"/>
  <c r="D1866" i="35405"/>
  <c r="D1853" i="35405"/>
  <c r="D1848" i="35405"/>
  <c r="D1855" i="35405"/>
  <c r="D1849" i="35405"/>
  <c r="D1850" i="35405"/>
  <c r="D1860" i="35405"/>
  <c r="D1857" i="35405"/>
  <c r="D1872" i="35405"/>
  <c r="D1858" i="35405"/>
  <c r="D1869" i="35405"/>
  <c r="D1873" i="35405"/>
  <c r="D1856" i="35405"/>
  <c r="D1859" i="35405"/>
  <c r="D1862" i="35405"/>
  <c r="D1870" i="35405"/>
  <c r="D1871" i="35405"/>
  <c r="D1861" i="35405"/>
  <c r="D1851" i="35405"/>
  <c r="D51" i="35405"/>
  <c r="D52" i="35405"/>
  <c r="D53" i="35405"/>
  <c r="D49" i="35405"/>
  <c r="D43" i="35405"/>
  <c r="D32" i="35405"/>
  <c r="D33" i="35405"/>
  <c r="D40" i="35405"/>
  <c r="D37" i="35405"/>
  <c r="D38" i="35405"/>
  <c r="D46" i="35405"/>
  <c r="D39" i="35405"/>
  <c r="D48" i="35405"/>
  <c r="D29" i="35405"/>
  <c r="D41" i="35405"/>
  <c r="D36" i="35405"/>
  <c r="D31" i="35405"/>
  <c r="D47" i="35405"/>
  <c r="D30" i="35405"/>
  <c r="D34" i="35405"/>
  <c r="D42" i="35405"/>
  <c r="D35" i="35405"/>
  <c r="D28" i="35405"/>
  <c r="D45" i="35405"/>
  <c r="D50" i="35405"/>
  <c r="D44" i="35405"/>
  <c r="M19" i="34908"/>
  <c r="N19" i="34908" s="1"/>
  <c r="P38" i="35035"/>
  <c r="P82" i="35035"/>
  <c r="P51" i="35035"/>
  <c r="P39" i="35035"/>
  <c r="P54" i="35035"/>
  <c r="P47" i="35035"/>
  <c r="P12" i="35035"/>
  <c r="P64" i="35035"/>
  <c r="P84" i="35035"/>
  <c r="P65" i="35035"/>
  <c r="P31" i="35035"/>
  <c r="P74" i="35035"/>
  <c r="P61" i="35035"/>
  <c r="P59" i="35035"/>
  <c r="P13" i="35035"/>
  <c r="P53" i="35035"/>
  <c r="P46" i="35035"/>
  <c r="P69" i="35035"/>
  <c r="P78" i="35035"/>
  <c r="P41" i="35035"/>
  <c r="P43" i="35035"/>
  <c r="P58" i="35035"/>
  <c r="P48" i="35035"/>
  <c r="P66" i="35035"/>
  <c r="P36" i="35035"/>
  <c r="P71" i="35035"/>
  <c r="P70" i="35035"/>
  <c r="P19" i="35035"/>
  <c r="P29" i="35035"/>
  <c r="P45" i="35035"/>
  <c r="P72" i="35035"/>
  <c r="P24" i="35035"/>
  <c r="P34" i="35035"/>
  <c r="P42" i="35035"/>
  <c r="P37" i="35035"/>
  <c r="P11" i="35035"/>
  <c r="P28" i="35035"/>
  <c r="P18" i="35035"/>
  <c r="P52" i="35035"/>
  <c r="P56" i="35035"/>
  <c r="P21" i="35035"/>
  <c r="P68" i="35035"/>
  <c r="P44" i="35035"/>
  <c r="P75" i="35035"/>
  <c r="P73" i="35035"/>
  <c r="P62" i="35035"/>
  <c r="P27" i="35035"/>
  <c r="P55" i="35035"/>
  <c r="P16" i="35035"/>
  <c r="P76" i="35035"/>
  <c r="P15" i="35035"/>
  <c r="P83" i="35035"/>
  <c r="P79" i="35035"/>
  <c r="P20" i="35035"/>
  <c r="P25" i="35035"/>
  <c r="P80" i="35035"/>
  <c r="P23" i="35035"/>
  <c r="P40" i="35035"/>
  <c r="P49" i="35035"/>
  <c r="P50" i="35035"/>
  <c r="P77" i="35035"/>
  <c r="P22" i="35035"/>
  <c r="P30" i="35035"/>
  <c r="P57" i="35035"/>
  <c r="P35" i="35035"/>
  <c r="P32" i="35035"/>
  <c r="P67" i="35035"/>
  <c r="P26" i="35035"/>
  <c r="P17" i="35035"/>
  <c r="P33" i="35035"/>
  <c r="P14" i="35035"/>
  <c r="P63" i="35035"/>
  <c r="P60" i="35035"/>
  <c r="BI19" i="35036"/>
  <c r="BI48" i="35036"/>
  <c r="BI64" i="35036"/>
  <c r="BI15" i="35036"/>
  <c r="BI25" i="35036"/>
  <c r="BI21" i="35036"/>
  <c r="BI55" i="35036"/>
  <c r="BI52" i="35036"/>
  <c r="BI14" i="35036"/>
  <c r="BI62" i="35036"/>
  <c r="BI81" i="35036"/>
  <c r="BI44" i="35036"/>
  <c r="BI29" i="35036"/>
  <c r="BI13" i="35036"/>
  <c r="BI73" i="35036"/>
  <c r="BI38" i="35036"/>
  <c r="BI71" i="35036"/>
  <c r="BI40" i="35036"/>
  <c r="BI72" i="35036"/>
  <c r="BI22" i="35036"/>
  <c r="BI67" i="35036"/>
  <c r="BI76" i="35036"/>
  <c r="BI54" i="35036"/>
  <c r="BI84" i="35036"/>
  <c r="BI35" i="35036"/>
  <c r="BI42" i="35036"/>
  <c r="BI32" i="35036"/>
  <c r="BI75" i="35036"/>
  <c r="BI18" i="35036"/>
  <c r="BI30" i="35036"/>
  <c r="BI60" i="35036"/>
  <c r="BI47" i="35036"/>
  <c r="BI70" i="35036"/>
  <c r="BI78" i="35036"/>
  <c r="BI69" i="35036"/>
  <c r="BI26" i="35036"/>
  <c r="BI23" i="35036"/>
  <c r="BI63" i="35036"/>
  <c r="BI34" i="35036"/>
  <c r="BI74" i="35036"/>
  <c r="BI39" i="35036"/>
  <c r="BI16" i="35036"/>
  <c r="BI82" i="35036"/>
  <c r="BI56" i="35036"/>
  <c r="BI17" i="35036"/>
  <c r="BI58" i="35036"/>
  <c r="BI20" i="35036"/>
  <c r="BI66" i="35036"/>
  <c r="BI12" i="35036"/>
  <c r="BI24" i="35036"/>
  <c r="BI11" i="35036"/>
  <c r="BI31" i="35036"/>
  <c r="BI79" i="35036"/>
  <c r="BI68" i="35036"/>
  <c r="BI77" i="35036"/>
  <c r="BI36" i="35036"/>
  <c r="BI83" i="35036"/>
  <c r="BI51" i="35036"/>
  <c r="BI80" i="35036"/>
  <c r="BI61" i="35036"/>
  <c r="BI59" i="35036"/>
  <c r="BI50" i="35036"/>
  <c r="BI57" i="35036"/>
  <c r="BI43" i="35036"/>
  <c r="BI65" i="35036"/>
  <c r="BI45" i="35036"/>
  <c r="BI28" i="35036"/>
  <c r="BI27" i="35036"/>
  <c r="BI49" i="35036"/>
  <c r="BI33" i="35036"/>
  <c r="BI37" i="35036"/>
  <c r="BI41" i="35036"/>
  <c r="BI46" i="35036"/>
  <c r="BI53" i="35036"/>
  <c r="BH60" i="35036"/>
  <c r="BH25" i="35036"/>
  <c r="BH71" i="35036"/>
  <c r="BH29" i="35036"/>
  <c r="BH31" i="35036"/>
  <c r="BH36" i="35036"/>
  <c r="BH30" i="35036"/>
  <c r="BH53" i="35036"/>
  <c r="BH37" i="35036"/>
  <c r="BH41" i="35036"/>
  <c r="BH15" i="35036"/>
  <c r="BH20" i="35036"/>
  <c r="BH44" i="35036"/>
  <c r="BH66" i="35036"/>
  <c r="BH67" i="35036"/>
  <c r="BH76" i="35036"/>
  <c r="BH70" i="35036"/>
  <c r="BH27" i="35036"/>
  <c r="BH55" i="35036"/>
  <c r="BH35" i="35036"/>
  <c r="BH34" i="35036"/>
  <c r="BH84" i="35036"/>
  <c r="BH69" i="35036"/>
  <c r="BH45" i="35036"/>
  <c r="BH65" i="35036"/>
  <c r="BH11" i="35036"/>
  <c r="BH24" i="35036"/>
  <c r="BH61" i="35036"/>
  <c r="BH14" i="35036"/>
  <c r="BH82" i="35036"/>
  <c r="BH83" i="35036"/>
  <c r="BH50" i="35036"/>
  <c r="BH80" i="35036"/>
  <c r="BH40" i="35036"/>
  <c r="BH74" i="35036"/>
  <c r="BH62" i="35036"/>
  <c r="BH47" i="35036"/>
  <c r="BH32" i="35036"/>
  <c r="BH18" i="35036"/>
  <c r="BH39" i="35036"/>
  <c r="BH28" i="35036"/>
  <c r="BH73" i="35036"/>
  <c r="BH26" i="35036"/>
  <c r="BH52" i="35036"/>
  <c r="BH56" i="35036"/>
  <c r="BH78" i="35036"/>
  <c r="BH19" i="35036"/>
  <c r="BH81" i="35036"/>
  <c r="BH38" i="35036"/>
  <c r="BH77" i="35036"/>
  <c r="BH72" i="35036"/>
  <c r="BH64" i="35036"/>
  <c r="BH17" i="35036"/>
  <c r="BH43" i="35036"/>
  <c r="BH22" i="35036"/>
  <c r="BH63" i="35036"/>
  <c r="BH79" i="35036"/>
  <c r="BH51" i="35036"/>
  <c r="BH46" i="35036"/>
  <c r="BH42" i="35036"/>
  <c r="BH57" i="35036"/>
  <c r="BH16" i="35036"/>
  <c r="BH12" i="35036"/>
  <c r="BH54" i="35036"/>
  <c r="BH33" i="35036"/>
  <c r="BH75" i="35036"/>
  <c r="BH59" i="35036"/>
  <c r="BH13" i="35036"/>
  <c r="BH49" i="35036"/>
  <c r="BH21" i="35036"/>
  <c r="BH58" i="35036"/>
  <c r="BH68" i="35036"/>
  <c r="BH48" i="35036"/>
  <c r="BH23" i="35036"/>
  <c r="BG80" i="35036"/>
  <c r="BG67" i="35036"/>
  <c r="BG46" i="35036"/>
  <c r="BG56" i="35036"/>
  <c r="BG73" i="35036"/>
  <c r="BG78" i="35036"/>
  <c r="BG70" i="35036"/>
  <c r="BG29" i="35036"/>
  <c r="BG16" i="35036"/>
  <c r="BG82" i="35036"/>
  <c r="BG27" i="35036"/>
  <c r="BG31" i="35036"/>
  <c r="BG71" i="35036"/>
  <c r="BG64" i="35036"/>
  <c r="BG53" i="35036"/>
  <c r="BG81" i="35036"/>
  <c r="BG38" i="35036"/>
  <c r="BG22" i="35036"/>
  <c r="BG83" i="35036"/>
  <c r="BG30" i="35036"/>
  <c r="BG24" i="35036"/>
  <c r="BG50" i="35036"/>
  <c r="BG54" i="35036"/>
  <c r="BG57" i="35036"/>
  <c r="BG66" i="35036"/>
  <c r="BG11" i="35036"/>
  <c r="BG41" i="35036"/>
  <c r="BG52" i="35036"/>
  <c r="BG37" i="35036"/>
  <c r="BG47" i="35036"/>
  <c r="BG12" i="35036"/>
  <c r="BG14" i="35036"/>
  <c r="BG49" i="35036"/>
  <c r="BG51" i="35036"/>
  <c r="BG84" i="35036"/>
  <c r="BG58" i="35036"/>
  <c r="BG34" i="35036"/>
  <c r="BG59" i="35036"/>
  <c r="BG65" i="35036"/>
  <c r="BG25" i="35036"/>
  <c r="BG40" i="35036"/>
  <c r="BG76" i="35036"/>
  <c r="BG44" i="35036"/>
  <c r="BG48" i="35036"/>
  <c r="BG43" i="35036"/>
  <c r="BG63" i="35036"/>
  <c r="BG15" i="35036"/>
  <c r="BG77" i="35036"/>
  <c r="BG36" i="35036"/>
  <c r="BG32" i="35036"/>
  <c r="BG61" i="35036"/>
  <c r="BG23" i="35036"/>
  <c r="BG28" i="35036"/>
  <c r="BG20" i="35036"/>
  <c r="BG60" i="35036"/>
  <c r="BG39" i="35036"/>
  <c r="BG55" i="35036"/>
  <c r="BG42" i="35036"/>
  <c r="BG62" i="35036"/>
  <c r="BG35" i="35036"/>
  <c r="BG45" i="35036"/>
  <c r="BG19" i="35036"/>
  <c r="BG33" i="35036"/>
  <c r="BG75" i="35036"/>
  <c r="BG21" i="35036"/>
  <c r="BG79" i="35036"/>
  <c r="BG18" i="35036"/>
  <c r="BG68" i="35036"/>
  <c r="BG13" i="35036"/>
  <c r="BG72" i="35036"/>
  <c r="BG17" i="35036"/>
  <c r="BG69" i="35036"/>
  <c r="BG74" i="35036"/>
  <c r="BG26" i="35036"/>
  <c r="F20" i="34980"/>
  <c r="AY19" i="35036"/>
  <c r="R17" i="35391"/>
  <c r="T17" i="35391" s="1"/>
  <c r="O26" i="35391"/>
  <c r="CG11" i="35036" a="1"/>
  <c r="CF11" i="35036" a="1"/>
  <c r="CE11" i="35036" a="1"/>
  <c r="F20" i="34984"/>
  <c r="CV19" i="35036"/>
  <c r="E52" i="34980"/>
  <c r="AK51" i="35036"/>
  <c r="C20" i="34986"/>
  <c r="FL20" i="35036"/>
  <c r="FT19" i="35036"/>
  <c r="C63" i="34980"/>
  <c r="M62" i="35036"/>
  <c r="W11" i="35036" a="1"/>
  <c r="V11" i="35036" a="1"/>
  <c r="U11" i="35036" a="1"/>
  <c r="E20" i="34986"/>
  <c r="D20" i="34984"/>
  <c r="BX19" i="35036"/>
  <c r="I20" i="34980"/>
  <c r="C22" i="35017"/>
  <c r="F20" i="35017"/>
  <c r="M19" i="35017"/>
  <c r="H20" i="34980"/>
  <c r="M19" i="34980"/>
  <c r="J9" i="35062" l="1"/>
  <c r="K9" i="35062"/>
  <c r="D1898" i="35405"/>
  <c r="D1874" i="35405"/>
  <c r="D1884" i="35405"/>
  <c r="D1876" i="35405"/>
  <c r="D1875" i="35405"/>
  <c r="D1891" i="35405"/>
  <c r="D1879" i="35405"/>
  <c r="D1899" i="35405"/>
  <c r="D1889" i="35405"/>
  <c r="D1888" i="35405"/>
  <c r="D1878" i="35405"/>
  <c r="D1885" i="35405"/>
  <c r="D1894" i="35405"/>
  <c r="D1881" i="35405"/>
  <c r="D1893" i="35405"/>
  <c r="D1883" i="35405"/>
  <c r="D1896" i="35405"/>
  <c r="D1895" i="35405"/>
  <c r="D1890" i="35405"/>
  <c r="D1892" i="35405"/>
  <c r="D1880" i="35405"/>
  <c r="D1887" i="35405"/>
  <c r="D1882" i="35405"/>
  <c r="D1897" i="35405"/>
  <c r="D1877" i="35405"/>
  <c r="D1886" i="35405"/>
  <c r="D63" i="35405"/>
  <c r="D62" i="35405"/>
  <c r="D61" i="35405"/>
  <c r="D57" i="35405"/>
  <c r="D64" i="35405"/>
  <c r="D69" i="35405"/>
  <c r="D60" i="35405"/>
  <c r="D72" i="35405"/>
  <c r="D77" i="35405"/>
  <c r="D74" i="35405"/>
  <c r="D79" i="35405"/>
  <c r="D56" i="35405"/>
  <c r="D55" i="35405"/>
  <c r="D75" i="35405"/>
  <c r="D66" i="35405"/>
  <c r="D78" i="35405"/>
  <c r="D70" i="35405"/>
  <c r="D58" i="35405"/>
  <c r="D67" i="35405"/>
  <c r="D59" i="35405"/>
  <c r="D76" i="35405"/>
  <c r="D68" i="35405"/>
  <c r="D65" i="35405"/>
  <c r="D73" i="35405"/>
  <c r="D54" i="35405"/>
  <c r="D71" i="35405"/>
  <c r="BN11" i="35036" a="1"/>
  <c r="U33" i="35036"/>
  <c r="U28" i="35036"/>
  <c r="U51" i="35036"/>
  <c r="U46" i="35036"/>
  <c r="U12" i="35036"/>
  <c r="U48" i="35036"/>
  <c r="U72" i="35036"/>
  <c r="U31" i="35036"/>
  <c r="U15" i="35036"/>
  <c r="U26" i="35036"/>
  <c r="U65" i="35036"/>
  <c r="U59" i="35036"/>
  <c r="U83" i="35036"/>
  <c r="U17" i="35036"/>
  <c r="U18" i="35036"/>
  <c r="U73" i="35036"/>
  <c r="U43" i="35036"/>
  <c r="U22" i="35036"/>
  <c r="U74" i="35036"/>
  <c r="U35" i="35036"/>
  <c r="U23" i="35036"/>
  <c r="U64" i="35036"/>
  <c r="U13" i="35036"/>
  <c r="U60" i="35036"/>
  <c r="U68" i="35036"/>
  <c r="U42" i="35036"/>
  <c r="U56" i="35036"/>
  <c r="U70" i="35036"/>
  <c r="U52" i="35036"/>
  <c r="U25" i="35036"/>
  <c r="U79" i="35036"/>
  <c r="U75" i="35036"/>
  <c r="U69" i="35036"/>
  <c r="U55" i="35036"/>
  <c r="U81" i="35036"/>
  <c r="U41" i="35036"/>
  <c r="U57" i="35036"/>
  <c r="U16" i="35036"/>
  <c r="U77" i="35036"/>
  <c r="U47" i="35036"/>
  <c r="U21" i="35036"/>
  <c r="U39" i="35036"/>
  <c r="U40" i="35036"/>
  <c r="U78" i="35036"/>
  <c r="U80" i="35036"/>
  <c r="U36" i="35036"/>
  <c r="U32" i="35036"/>
  <c r="U84" i="35036"/>
  <c r="U63" i="35036"/>
  <c r="U49" i="35036"/>
  <c r="U11" i="35036"/>
  <c r="U38" i="35036"/>
  <c r="U82" i="35036"/>
  <c r="U66" i="35036"/>
  <c r="U20" i="35036"/>
  <c r="U19" i="35036"/>
  <c r="U50" i="35036"/>
  <c r="U29" i="35036"/>
  <c r="U14" i="35036"/>
  <c r="U58" i="35036"/>
  <c r="U24" i="35036"/>
  <c r="U76" i="35036"/>
  <c r="U27" i="35036"/>
  <c r="U54" i="35036"/>
  <c r="U30" i="35036"/>
  <c r="U62" i="35036"/>
  <c r="U71" i="35036"/>
  <c r="U67" i="35036"/>
  <c r="U44" i="35036"/>
  <c r="U45" i="35036"/>
  <c r="U53" i="35036"/>
  <c r="U37" i="35036"/>
  <c r="U61" i="35036"/>
  <c r="U34" i="35036"/>
  <c r="W30" i="35036"/>
  <c r="W62" i="35036"/>
  <c r="W80" i="35036"/>
  <c r="W15" i="35036"/>
  <c r="W27" i="35036"/>
  <c r="W82" i="35036"/>
  <c r="W74" i="35036"/>
  <c r="W37" i="35036"/>
  <c r="W45" i="35036"/>
  <c r="W38" i="35036"/>
  <c r="W70" i="35036"/>
  <c r="W79" i="35036"/>
  <c r="W28" i="35036"/>
  <c r="W26" i="35036"/>
  <c r="W23" i="35036"/>
  <c r="W58" i="35036"/>
  <c r="W46" i="35036"/>
  <c r="W31" i="35036"/>
  <c r="W22" i="35036"/>
  <c r="W12" i="35036"/>
  <c r="W76" i="35036"/>
  <c r="W56" i="35036"/>
  <c r="W16" i="35036"/>
  <c r="W67" i="35036"/>
  <c r="W64" i="35036"/>
  <c r="W77" i="35036"/>
  <c r="W66" i="35036"/>
  <c r="W83" i="35036"/>
  <c r="W63" i="35036"/>
  <c r="W41" i="35036"/>
  <c r="W24" i="35036"/>
  <c r="W71" i="35036"/>
  <c r="W73" i="35036"/>
  <c r="W48" i="35036"/>
  <c r="W72" i="35036"/>
  <c r="W36" i="35036"/>
  <c r="W18" i="35036"/>
  <c r="W57" i="35036"/>
  <c r="W60" i="35036"/>
  <c r="W78" i="35036"/>
  <c r="W53" i="35036"/>
  <c r="W25" i="35036"/>
  <c r="W29" i="35036"/>
  <c r="W13" i="35036"/>
  <c r="W43" i="35036"/>
  <c r="W61" i="35036"/>
  <c r="W52" i="35036"/>
  <c r="W44" i="35036"/>
  <c r="W69" i="35036"/>
  <c r="W19" i="35036"/>
  <c r="W68" i="35036"/>
  <c r="W49" i="35036"/>
  <c r="W21" i="35036"/>
  <c r="W34" i="35036"/>
  <c r="W35" i="35036"/>
  <c r="W20" i="35036"/>
  <c r="W54" i="35036"/>
  <c r="W81" i="35036"/>
  <c r="W47" i="35036"/>
  <c r="W51" i="35036"/>
  <c r="W33" i="35036"/>
  <c r="W14" i="35036"/>
  <c r="W84" i="35036"/>
  <c r="W39" i="35036"/>
  <c r="W42" i="35036"/>
  <c r="W59" i="35036"/>
  <c r="W75" i="35036"/>
  <c r="W40" i="35036"/>
  <c r="W32" i="35036"/>
  <c r="W65" i="35036"/>
  <c r="W50" i="35036"/>
  <c r="W17" i="35036"/>
  <c r="W55" i="35036"/>
  <c r="W11" i="35036"/>
  <c r="C21" i="34986"/>
  <c r="FL21" i="35036"/>
  <c r="FT20" i="35036"/>
  <c r="CF26" i="35036"/>
  <c r="CF79" i="35036"/>
  <c r="CF67" i="35036"/>
  <c r="CF17" i="35036"/>
  <c r="CF19" i="35036"/>
  <c r="CF55" i="35036"/>
  <c r="CF18" i="35036"/>
  <c r="CF62" i="35036"/>
  <c r="CF58" i="35036"/>
  <c r="CF84" i="35036"/>
  <c r="CF23" i="35036"/>
  <c r="CF74" i="35036"/>
  <c r="CF37" i="35036"/>
  <c r="CF73" i="35036"/>
  <c r="CF43" i="35036"/>
  <c r="CF39" i="35036"/>
  <c r="CF57" i="35036"/>
  <c r="CF65" i="35036"/>
  <c r="CF49" i="35036"/>
  <c r="CF38" i="35036"/>
  <c r="CF80" i="35036"/>
  <c r="CF34" i="35036"/>
  <c r="CF71" i="35036"/>
  <c r="CF75" i="35036"/>
  <c r="CF24" i="35036"/>
  <c r="CF53" i="35036"/>
  <c r="CF41" i="35036"/>
  <c r="CF72" i="35036"/>
  <c r="CF60" i="35036"/>
  <c r="CF52" i="35036"/>
  <c r="CF69" i="35036"/>
  <c r="CF51" i="35036"/>
  <c r="CF76" i="35036"/>
  <c r="CF12" i="35036"/>
  <c r="CF21" i="35036"/>
  <c r="CF59" i="35036"/>
  <c r="CF64" i="35036"/>
  <c r="CF61" i="35036"/>
  <c r="CF20" i="35036"/>
  <c r="CF16" i="35036"/>
  <c r="CF77" i="35036"/>
  <c r="CF22" i="35036"/>
  <c r="CF29" i="35036"/>
  <c r="CF44" i="35036"/>
  <c r="CF68" i="35036"/>
  <c r="CF32" i="35036"/>
  <c r="CF48" i="35036"/>
  <c r="CF47" i="35036"/>
  <c r="CF31" i="35036"/>
  <c r="CF63" i="35036"/>
  <c r="CF28" i="35036"/>
  <c r="CF30" i="35036"/>
  <c r="CF27" i="35036"/>
  <c r="CF35" i="35036"/>
  <c r="CF46" i="35036"/>
  <c r="CF25" i="35036"/>
  <c r="CF82" i="35036"/>
  <c r="CF70" i="35036"/>
  <c r="CF40" i="35036"/>
  <c r="CF13" i="35036"/>
  <c r="CF56" i="35036"/>
  <c r="CF15" i="35036"/>
  <c r="CF11" i="35036"/>
  <c r="CF33" i="35036"/>
  <c r="CF66" i="35036"/>
  <c r="CF78" i="35036"/>
  <c r="CF14" i="35036"/>
  <c r="CF81" i="35036"/>
  <c r="CF54" i="35036"/>
  <c r="CF83" i="35036"/>
  <c r="CF42" i="35036"/>
  <c r="CF50" i="35036"/>
  <c r="CF45" i="35036"/>
  <c r="CF36" i="35036"/>
  <c r="H21" i="34980"/>
  <c r="M20" i="34980"/>
  <c r="F21" i="35017"/>
  <c r="M20" i="35017"/>
  <c r="C23" i="35017"/>
  <c r="I21" i="34980"/>
  <c r="D21" i="34984"/>
  <c r="BX20" i="35036"/>
  <c r="E21" i="34986"/>
  <c r="V66" i="35036"/>
  <c r="V69" i="35036"/>
  <c r="V15" i="35036"/>
  <c r="V51" i="35036"/>
  <c r="V70" i="35036"/>
  <c r="V77" i="35036"/>
  <c r="V37" i="35036"/>
  <c r="V76" i="35036"/>
  <c r="V65" i="35036"/>
  <c r="V79" i="35036"/>
  <c r="V26" i="35036"/>
  <c r="V64" i="35036"/>
  <c r="V25" i="35036"/>
  <c r="V84" i="35036"/>
  <c r="V20" i="35036"/>
  <c r="V73" i="35036"/>
  <c r="V81" i="35036"/>
  <c r="V18" i="35036"/>
  <c r="V57" i="35036"/>
  <c r="V49" i="35036"/>
  <c r="V19" i="35036"/>
  <c r="V53" i="35036"/>
  <c r="V17" i="35036"/>
  <c r="V75" i="35036"/>
  <c r="V71" i="35036"/>
  <c r="V45" i="35036"/>
  <c r="V47" i="35036"/>
  <c r="V23" i="35036"/>
  <c r="V52" i="35036"/>
  <c r="V31" i="35036"/>
  <c r="V43" i="35036"/>
  <c r="V36" i="35036"/>
  <c r="V42" i="35036"/>
  <c r="V50" i="35036"/>
  <c r="V67" i="35036"/>
  <c r="V34" i="35036"/>
  <c r="V29" i="35036"/>
  <c r="V80" i="35036"/>
  <c r="V55" i="35036"/>
  <c r="V27" i="35036"/>
  <c r="V28" i="35036"/>
  <c r="V68" i="35036"/>
  <c r="V22" i="35036"/>
  <c r="V58" i="35036"/>
  <c r="V13" i="35036"/>
  <c r="V35" i="35036"/>
  <c r="V61" i="35036"/>
  <c r="V56" i="35036"/>
  <c r="V78" i="35036"/>
  <c r="V41" i="35036"/>
  <c r="V59" i="35036"/>
  <c r="V46" i="35036"/>
  <c r="V44" i="35036"/>
  <c r="V62" i="35036"/>
  <c r="V16" i="35036"/>
  <c r="V39" i="35036"/>
  <c r="V21" i="35036"/>
  <c r="V24" i="35036"/>
  <c r="V14" i="35036"/>
  <c r="V30" i="35036"/>
  <c r="V63" i="35036"/>
  <c r="V38" i="35036"/>
  <c r="V40" i="35036"/>
  <c r="V48" i="35036"/>
  <c r="V33" i="35036"/>
  <c r="V12" i="35036"/>
  <c r="V54" i="35036"/>
  <c r="V82" i="35036"/>
  <c r="V83" i="35036"/>
  <c r="V72" i="35036"/>
  <c r="V74" i="35036"/>
  <c r="V32" i="35036"/>
  <c r="V60" i="35036"/>
  <c r="V11" i="35036"/>
  <c r="C64" i="34980"/>
  <c r="M63" i="35036"/>
  <c r="E53" i="34980"/>
  <c r="AK52" i="35036"/>
  <c r="F21" i="34984"/>
  <c r="CV20" i="35036"/>
  <c r="CE47" i="35036"/>
  <c r="CE34" i="35036"/>
  <c r="CE39" i="35036"/>
  <c r="CE79" i="35036"/>
  <c r="CE46" i="35036"/>
  <c r="CE36" i="35036"/>
  <c r="CE38" i="35036"/>
  <c r="CE24" i="35036"/>
  <c r="CE57" i="35036"/>
  <c r="CE15" i="35036"/>
  <c r="CE32" i="35036"/>
  <c r="CE66" i="35036"/>
  <c r="CE72" i="35036"/>
  <c r="CE35" i="35036"/>
  <c r="CE43" i="35036"/>
  <c r="CE82" i="35036"/>
  <c r="CE55" i="35036"/>
  <c r="CE50" i="35036"/>
  <c r="CE42" i="35036"/>
  <c r="CE20" i="35036"/>
  <c r="CE14" i="35036"/>
  <c r="CE45" i="35036"/>
  <c r="CE83" i="35036"/>
  <c r="CE53" i="35036"/>
  <c r="CE76" i="35036"/>
  <c r="CE81" i="35036"/>
  <c r="CE21" i="35036"/>
  <c r="CE71" i="35036"/>
  <c r="CE80" i="35036"/>
  <c r="CE67" i="35036"/>
  <c r="CE54" i="35036"/>
  <c r="CE18" i="35036"/>
  <c r="CE16" i="35036"/>
  <c r="CE68" i="35036"/>
  <c r="CE73" i="35036"/>
  <c r="CE61" i="35036"/>
  <c r="CE28" i="35036"/>
  <c r="CE65" i="35036"/>
  <c r="CE37" i="35036"/>
  <c r="CE64" i="35036"/>
  <c r="CE74" i="35036"/>
  <c r="CE17" i="35036"/>
  <c r="CE25" i="35036"/>
  <c r="CE60" i="35036"/>
  <c r="CE58" i="35036"/>
  <c r="CE56" i="35036"/>
  <c r="CE11" i="35036"/>
  <c r="CE51" i="35036"/>
  <c r="CE27" i="35036"/>
  <c r="CE22" i="35036"/>
  <c r="CE40" i="35036"/>
  <c r="CE70" i="35036"/>
  <c r="CE33" i="35036"/>
  <c r="CE30" i="35036"/>
  <c r="CE49" i="35036"/>
  <c r="CE12" i="35036"/>
  <c r="CE69" i="35036"/>
  <c r="CE78" i="35036"/>
  <c r="CE59" i="35036"/>
  <c r="CE13" i="35036"/>
  <c r="CE77" i="35036"/>
  <c r="CE41" i="35036"/>
  <c r="CE29" i="35036"/>
  <c r="CE48" i="35036"/>
  <c r="CE44" i="35036"/>
  <c r="CE23" i="35036"/>
  <c r="CE63" i="35036"/>
  <c r="CE75" i="35036"/>
  <c r="CE31" i="35036"/>
  <c r="CE52" i="35036"/>
  <c r="CE19" i="35036"/>
  <c r="CE62" i="35036"/>
  <c r="CE84" i="35036"/>
  <c r="CE26" i="35036"/>
  <c r="CG65" i="35036"/>
  <c r="CG59" i="35036"/>
  <c r="CG17" i="35036"/>
  <c r="CG21" i="35036"/>
  <c r="CG31" i="35036"/>
  <c r="CG27" i="35036"/>
  <c r="CG53" i="35036"/>
  <c r="CG36" i="35036"/>
  <c r="CG44" i="35036"/>
  <c r="CG22" i="35036"/>
  <c r="CG56" i="35036"/>
  <c r="CG72" i="35036"/>
  <c r="CG40" i="35036"/>
  <c r="CG74" i="35036"/>
  <c r="CG15" i="35036"/>
  <c r="CG12" i="35036"/>
  <c r="CG57" i="35036"/>
  <c r="CG14" i="35036"/>
  <c r="CG19" i="35036"/>
  <c r="CG46" i="35036"/>
  <c r="CG58" i="35036"/>
  <c r="CG42" i="35036"/>
  <c r="CG55" i="35036"/>
  <c r="CG35" i="35036"/>
  <c r="CG32" i="35036"/>
  <c r="CG80" i="35036"/>
  <c r="CG41" i="35036"/>
  <c r="CG13" i="35036"/>
  <c r="CG34" i="35036"/>
  <c r="CG66" i="35036"/>
  <c r="CG47" i="35036"/>
  <c r="CG52" i="35036"/>
  <c r="CG30" i="35036"/>
  <c r="CG75" i="35036"/>
  <c r="CG71" i="35036"/>
  <c r="CG70" i="35036"/>
  <c r="CG23" i="35036"/>
  <c r="CG51" i="35036"/>
  <c r="CG82" i="35036"/>
  <c r="CG83" i="35036"/>
  <c r="CG28" i="35036"/>
  <c r="CG79" i="35036"/>
  <c r="CG37" i="35036"/>
  <c r="CG39" i="35036"/>
  <c r="CG73" i="35036"/>
  <c r="CG16" i="35036"/>
  <c r="CG60" i="35036"/>
  <c r="CG11" i="35036"/>
  <c r="CG81" i="35036"/>
  <c r="CG61" i="35036"/>
  <c r="CG25" i="35036"/>
  <c r="CG77" i="35036"/>
  <c r="CG63" i="35036"/>
  <c r="CG84" i="35036"/>
  <c r="CG62" i="35036"/>
  <c r="CG48" i="35036"/>
  <c r="CG24" i="35036"/>
  <c r="CG67" i="35036"/>
  <c r="CG18" i="35036"/>
  <c r="CG50" i="35036"/>
  <c r="CG45" i="35036"/>
  <c r="CG69" i="35036"/>
  <c r="CG54" i="35036"/>
  <c r="CG26" i="35036"/>
  <c r="CG49" i="35036"/>
  <c r="CG43" i="35036"/>
  <c r="CG20" i="35036"/>
  <c r="CG76" i="35036"/>
  <c r="CG29" i="35036"/>
  <c r="CG68" i="35036"/>
  <c r="CG33" i="35036"/>
  <c r="CG38" i="35036"/>
  <c r="CG64" i="35036"/>
  <c r="CG78" i="35036"/>
  <c r="F21" i="34980"/>
  <c r="AY20" i="35036"/>
  <c r="J10" i="35062" l="1"/>
  <c r="K10" i="35062"/>
  <c r="D1906" i="35405"/>
  <c r="D1917" i="35405"/>
  <c r="D1923" i="35405"/>
  <c r="D1904" i="35405"/>
  <c r="D1922" i="35405"/>
  <c r="D1909" i="35405"/>
  <c r="D1914" i="35405"/>
  <c r="D1900" i="35405"/>
  <c r="D1910" i="35405"/>
  <c r="D1911" i="35405"/>
  <c r="D1918" i="35405"/>
  <c r="D1916" i="35405"/>
  <c r="D1920" i="35405"/>
  <c r="D1905" i="35405"/>
  <c r="D1921" i="35405"/>
  <c r="D1915" i="35405"/>
  <c r="D1919" i="35405"/>
  <c r="D1924" i="35405"/>
  <c r="D1925" i="35405"/>
  <c r="D1907" i="35405"/>
  <c r="D1913" i="35405"/>
  <c r="D1903" i="35405"/>
  <c r="D1912" i="35405"/>
  <c r="D1902" i="35405"/>
  <c r="D1901" i="35405"/>
  <c r="D1908" i="35405"/>
  <c r="D90" i="35405"/>
  <c r="D91" i="35405"/>
  <c r="D94" i="35405"/>
  <c r="D100" i="35405"/>
  <c r="D93" i="35405"/>
  <c r="D95" i="35405"/>
  <c r="D84" i="35405"/>
  <c r="D87" i="35405"/>
  <c r="D105" i="35405"/>
  <c r="D97" i="35405"/>
  <c r="D96" i="35405"/>
  <c r="D80" i="35405"/>
  <c r="D92" i="35405"/>
  <c r="D82" i="35405"/>
  <c r="D83" i="35405"/>
  <c r="D103" i="35405"/>
  <c r="D86" i="35405"/>
  <c r="D85" i="35405"/>
  <c r="D98" i="35405"/>
  <c r="D81" i="35405"/>
  <c r="D99" i="35405"/>
  <c r="D104" i="35405"/>
  <c r="D89" i="35405"/>
  <c r="D101" i="35405"/>
  <c r="D88" i="35405"/>
  <c r="D102" i="35405"/>
  <c r="BN22" i="35036"/>
  <c r="BN75" i="35036"/>
  <c r="BN70" i="35036"/>
  <c r="BN59" i="35036"/>
  <c r="BN20" i="35036"/>
  <c r="BN77" i="35036"/>
  <c r="BN34" i="35036"/>
  <c r="BN25" i="35036"/>
  <c r="BN13" i="35036"/>
  <c r="BN78" i="35036"/>
  <c r="BN44" i="35036"/>
  <c r="BN40" i="35036"/>
  <c r="BN79" i="35036"/>
  <c r="BN19" i="35036"/>
  <c r="BN61" i="35036"/>
  <c r="BN82" i="35036"/>
  <c r="BN62" i="35036"/>
  <c r="BN56" i="35036"/>
  <c r="BN66" i="35036"/>
  <c r="BN31" i="35036"/>
  <c r="BN49" i="35036"/>
  <c r="BN17" i="35036"/>
  <c r="BN65" i="35036"/>
  <c r="BN67" i="35036"/>
  <c r="BN24" i="35036"/>
  <c r="BN63" i="35036"/>
  <c r="BN37" i="35036"/>
  <c r="BN29" i="35036"/>
  <c r="BN41" i="35036"/>
  <c r="BN74" i="35036"/>
  <c r="BN83" i="35036"/>
  <c r="BN54" i="35036"/>
  <c r="BN53" i="35036"/>
  <c r="BN27" i="35036"/>
  <c r="BN73" i="35036"/>
  <c r="BN60" i="35036"/>
  <c r="BN84" i="35036"/>
  <c r="BN36" i="35036"/>
  <c r="BN68" i="35036"/>
  <c r="BN33" i="35036"/>
  <c r="BN11" i="35036"/>
  <c r="BN42" i="35036"/>
  <c r="BN45" i="35036"/>
  <c r="BN52" i="35036"/>
  <c r="BN80" i="35036"/>
  <c r="BN21" i="35036"/>
  <c r="BN64" i="35036"/>
  <c r="BN51" i="35036"/>
  <c r="BN72" i="35036"/>
  <c r="BN18" i="35036"/>
  <c r="BN39" i="35036"/>
  <c r="BN38" i="35036"/>
  <c r="BN23" i="35036"/>
  <c r="BN50" i="35036"/>
  <c r="BN76" i="35036"/>
  <c r="BN57" i="35036"/>
  <c r="BN48" i="35036"/>
  <c r="BN12" i="35036"/>
  <c r="BN55" i="35036"/>
  <c r="BN32" i="35036"/>
  <c r="BN69" i="35036"/>
  <c r="BN30" i="35036"/>
  <c r="BN16" i="35036"/>
  <c r="BN43" i="35036"/>
  <c r="BN71" i="35036"/>
  <c r="BN81" i="35036"/>
  <c r="BN26" i="35036"/>
  <c r="BN46" i="35036"/>
  <c r="BN15" i="35036"/>
  <c r="BN58" i="35036"/>
  <c r="BN14" i="35036"/>
  <c r="BN47" i="35036"/>
  <c r="BN35" i="35036"/>
  <c r="BN28" i="35036"/>
  <c r="E54" i="34980"/>
  <c r="AK53" i="35036"/>
  <c r="C65" i="34980"/>
  <c r="M64" i="35036"/>
  <c r="F22" i="34980"/>
  <c r="AY21" i="35036"/>
  <c r="CL11" i="35036" a="1"/>
  <c r="F22" i="34984"/>
  <c r="CV21" i="35036"/>
  <c r="E22" i="34986"/>
  <c r="D22" i="34984"/>
  <c r="BX21" i="35036"/>
  <c r="C24" i="35017"/>
  <c r="C22" i="34986"/>
  <c r="FL22" i="35036"/>
  <c r="FT21" i="35036"/>
  <c r="AB11" i="35036" a="1"/>
  <c r="I22" i="34980"/>
  <c r="F22" i="35017"/>
  <c r="M21" i="35017"/>
  <c r="H22" i="34980"/>
  <c r="M21" i="34980"/>
  <c r="J11" i="35062" l="1"/>
  <c r="K11" i="35062"/>
  <c r="D1929" i="35405"/>
  <c r="D1948" i="35405"/>
  <c r="D1938" i="35405"/>
  <c r="D1927" i="35405"/>
  <c r="D1939" i="35405"/>
  <c r="D1944" i="35405"/>
  <c r="D1933" i="35405"/>
  <c r="D1943" i="35405"/>
  <c r="D1951" i="35405"/>
  <c r="D1928" i="35405"/>
  <c r="D1945" i="35405"/>
  <c r="D1946" i="35405"/>
  <c r="D1949" i="35405"/>
  <c r="D1940" i="35405"/>
  <c r="D1942" i="35405"/>
  <c r="D1941" i="35405"/>
  <c r="D1935" i="35405"/>
  <c r="D1926" i="35405"/>
  <c r="D1947" i="35405"/>
  <c r="D1932" i="35405"/>
  <c r="D1936" i="35405"/>
  <c r="D1950" i="35405"/>
  <c r="D1931" i="35405"/>
  <c r="D1937" i="35405"/>
  <c r="D1930" i="35405"/>
  <c r="D1934" i="35405"/>
  <c r="D130" i="35405"/>
  <c r="D128" i="35405"/>
  <c r="D113" i="35405"/>
  <c r="D107" i="35405"/>
  <c r="D114" i="35405"/>
  <c r="D117" i="35405"/>
  <c r="D119" i="35405"/>
  <c r="D125" i="35405"/>
  <c r="D109" i="35405"/>
  <c r="D116" i="35405"/>
  <c r="D124" i="35405"/>
  <c r="D115" i="35405"/>
  <c r="D126" i="35405"/>
  <c r="D110" i="35405"/>
  <c r="D127" i="35405"/>
  <c r="D122" i="35405"/>
  <c r="D120" i="35405"/>
  <c r="D106" i="35405"/>
  <c r="D129" i="35405"/>
  <c r="D131" i="35405"/>
  <c r="D112" i="35405"/>
  <c r="D108" i="35405"/>
  <c r="D111" i="35405"/>
  <c r="D123" i="35405"/>
  <c r="D118" i="35405"/>
  <c r="D121" i="35405"/>
  <c r="F23" i="35017"/>
  <c r="M22" i="35017"/>
  <c r="I23" i="34980"/>
  <c r="AB36" i="35036"/>
  <c r="AB84" i="35036"/>
  <c r="AB66" i="35036"/>
  <c r="AB22" i="35036"/>
  <c r="AB48" i="35036"/>
  <c r="AB68" i="35036"/>
  <c r="AB31" i="35036"/>
  <c r="AB75" i="35036"/>
  <c r="AB12" i="35036"/>
  <c r="AB33" i="35036"/>
  <c r="AB49" i="35036"/>
  <c r="AB70" i="35036"/>
  <c r="AB55" i="35036"/>
  <c r="AB11" i="35036"/>
  <c r="AB17" i="35036"/>
  <c r="AB59" i="35036"/>
  <c r="AB32" i="35036"/>
  <c r="AB42" i="35036"/>
  <c r="AB65" i="35036"/>
  <c r="AB20" i="35036"/>
  <c r="AB69" i="35036"/>
  <c r="AB45" i="35036"/>
  <c r="AB67" i="35036"/>
  <c r="AB77" i="35036"/>
  <c r="AB30" i="35036"/>
  <c r="AB52" i="35036"/>
  <c r="AB24" i="35036"/>
  <c r="AB34" i="35036"/>
  <c r="AB16" i="35036"/>
  <c r="AB80" i="35036"/>
  <c r="AB63" i="35036"/>
  <c r="AB25" i="35036"/>
  <c r="AB43" i="35036"/>
  <c r="AB21" i="35036"/>
  <c r="AB37" i="35036"/>
  <c r="AB13" i="35036"/>
  <c r="AB71" i="35036"/>
  <c r="AB64" i="35036"/>
  <c r="AB29" i="35036"/>
  <c r="AB78" i="35036"/>
  <c r="AB81" i="35036"/>
  <c r="AB51" i="35036"/>
  <c r="AB41" i="35036"/>
  <c r="AB44" i="35036"/>
  <c r="AB26" i="35036"/>
  <c r="AB72" i="35036"/>
  <c r="AB74" i="35036"/>
  <c r="AB40" i="35036"/>
  <c r="AB46" i="35036"/>
  <c r="AB18" i="35036"/>
  <c r="AB83" i="35036"/>
  <c r="AB79" i="35036"/>
  <c r="AB15" i="35036"/>
  <c r="AB39" i="35036"/>
  <c r="AB54" i="35036"/>
  <c r="AB19" i="35036"/>
  <c r="AB58" i="35036"/>
  <c r="AB38" i="35036"/>
  <c r="AB53" i="35036"/>
  <c r="AB61" i="35036"/>
  <c r="AB14" i="35036"/>
  <c r="AB23" i="35036"/>
  <c r="AB27" i="35036"/>
  <c r="AB82" i="35036"/>
  <c r="AB47" i="35036"/>
  <c r="AB50" i="35036"/>
  <c r="AB73" i="35036"/>
  <c r="AB62" i="35036"/>
  <c r="AB35" i="35036"/>
  <c r="AB76" i="35036"/>
  <c r="AB60" i="35036"/>
  <c r="AB56" i="35036"/>
  <c r="AB28" i="35036"/>
  <c r="AB57" i="35036"/>
  <c r="C25" i="35017"/>
  <c r="D23" i="34984"/>
  <c r="BX22" i="35036"/>
  <c r="E23" i="34986"/>
  <c r="E24" i="34986" s="1"/>
  <c r="E25" i="34986" s="1"/>
  <c r="E26" i="34986" s="1"/>
  <c r="E27" i="34986" s="1"/>
  <c r="E28" i="34986" s="1"/>
  <c r="E29" i="34986" s="1"/>
  <c r="E30" i="34986" s="1"/>
  <c r="E31" i="34986" s="1"/>
  <c r="E32" i="34986" s="1"/>
  <c r="E33" i="34986" s="1"/>
  <c r="E34" i="34986" s="1"/>
  <c r="E35" i="34986" s="1"/>
  <c r="E36" i="34986" s="1"/>
  <c r="E37" i="34986" s="1"/>
  <c r="E38" i="34986" s="1"/>
  <c r="E39" i="34986" s="1"/>
  <c r="E40" i="34986" s="1"/>
  <c r="E41" i="34986" s="1"/>
  <c r="E42" i="34986" s="1"/>
  <c r="E43" i="34986" s="1"/>
  <c r="E44" i="34986" s="1"/>
  <c r="E45" i="34986" s="1"/>
  <c r="E46" i="34986" s="1"/>
  <c r="E47" i="34986" s="1"/>
  <c r="E48" i="34986" s="1"/>
  <c r="E49" i="34986" s="1"/>
  <c r="E50" i="34986" s="1"/>
  <c r="E51" i="34986" s="1"/>
  <c r="E52" i="34986" s="1"/>
  <c r="E53" i="34986" s="1"/>
  <c r="E54" i="34986" s="1"/>
  <c r="E55" i="34986" s="1"/>
  <c r="E56" i="34986" s="1"/>
  <c r="E57" i="34986" s="1"/>
  <c r="E58" i="34986" s="1"/>
  <c r="E59" i="34986" s="1"/>
  <c r="E60" i="34986" s="1"/>
  <c r="E61" i="34986" s="1"/>
  <c r="E62" i="34986" s="1"/>
  <c r="E63" i="34986" s="1"/>
  <c r="E64" i="34986" s="1"/>
  <c r="E65" i="34986" s="1"/>
  <c r="E66" i="34986" s="1"/>
  <c r="E67" i="34986" s="1"/>
  <c r="E68" i="34986" s="1"/>
  <c r="E69" i="34986" s="1"/>
  <c r="E70" i="34986" s="1"/>
  <c r="E71" i="34986" s="1"/>
  <c r="E72" i="34986" s="1"/>
  <c r="E73" i="34986" s="1"/>
  <c r="E74" i="34986" s="1"/>
  <c r="E75" i="34986" s="1"/>
  <c r="E76" i="34986" s="1"/>
  <c r="E77" i="34986" s="1"/>
  <c r="E78" i="34986" s="1"/>
  <c r="E79" i="34986" s="1"/>
  <c r="E80" i="34986" s="1"/>
  <c r="E81" i="34986" s="1"/>
  <c r="E82" i="34986" s="1"/>
  <c r="CL84" i="35036"/>
  <c r="CL36" i="35036"/>
  <c r="CL66" i="35036"/>
  <c r="CL22" i="35036"/>
  <c r="CL48" i="35036"/>
  <c r="CL68" i="35036"/>
  <c r="CL31" i="35036"/>
  <c r="CL75" i="35036"/>
  <c r="CL12" i="35036"/>
  <c r="CL33" i="35036"/>
  <c r="CL49" i="35036"/>
  <c r="CL70" i="35036"/>
  <c r="CL55" i="35036"/>
  <c r="CL11" i="35036"/>
  <c r="CL17" i="35036"/>
  <c r="CL59" i="35036"/>
  <c r="CL32" i="35036"/>
  <c r="CL42" i="35036"/>
  <c r="CL65" i="35036"/>
  <c r="CL20" i="35036"/>
  <c r="CL69" i="35036"/>
  <c r="CL45" i="35036"/>
  <c r="CL67" i="35036"/>
  <c r="CL77" i="35036"/>
  <c r="CL30" i="35036"/>
  <c r="CL52" i="35036"/>
  <c r="CL24" i="35036"/>
  <c r="CL34" i="35036"/>
  <c r="CL16" i="35036"/>
  <c r="CL80" i="35036"/>
  <c r="CL63" i="35036"/>
  <c r="CL25" i="35036"/>
  <c r="CL43" i="35036"/>
  <c r="CL21" i="35036"/>
  <c r="CL37" i="35036"/>
  <c r="CL13" i="35036"/>
  <c r="CL71" i="35036"/>
  <c r="CL64" i="35036"/>
  <c r="CL29" i="35036"/>
  <c r="CL78" i="35036"/>
  <c r="CL81" i="35036"/>
  <c r="CL51" i="35036"/>
  <c r="CL41" i="35036"/>
  <c r="CL44" i="35036"/>
  <c r="CL26" i="35036"/>
  <c r="CL72" i="35036"/>
  <c r="CL74" i="35036"/>
  <c r="CL40" i="35036"/>
  <c r="CL46" i="35036"/>
  <c r="CL18" i="35036"/>
  <c r="CL83" i="35036"/>
  <c r="CL79" i="35036"/>
  <c r="CL15" i="35036"/>
  <c r="CL39" i="35036"/>
  <c r="CL54" i="35036"/>
  <c r="CL19" i="35036"/>
  <c r="CL58" i="35036"/>
  <c r="CL38" i="35036"/>
  <c r="CL53" i="35036"/>
  <c r="CL61" i="35036"/>
  <c r="CL14" i="35036"/>
  <c r="CL23" i="35036"/>
  <c r="CL27" i="35036"/>
  <c r="CL82" i="35036"/>
  <c r="CL47" i="35036"/>
  <c r="CL50" i="35036"/>
  <c r="CL73" i="35036"/>
  <c r="CL62" i="35036"/>
  <c r="CL35" i="35036"/>
  <c r="CL76" i="35036"/>
  <c r="CL60" i="35036"/>
  <c r="CL56" i="35036"/>
  <c r="CL28" i="35036"/>
  <c r="CL57" i="35036"/>
  <c r="C66" i="34980"/>
  <c r="M65" i="35036"/>
  <c r="H23" i="34980"/>
  <c r="M22" i="34980"/>
  <c r="C23" i="34986"/>
  <c r="FL23" i="35036"/>
  <c r="FT22" i="35036"/>
  <c r="F23" i="34984"/>
  <c r="CV22" i="35036"/>
  <c r="F23" i="34980"/>
  <c r="AY22" i="35036"/>
  <c r="E55" i="34980"/>
  <c r="AK54" i="35036"/>
  <c r="K12" i="35062" l="1"/>
  <c r="J12" i="35062"/>
  <c r="D1966" i="35405"/>
  <c r="D1971" i="35405"/>
  <c r="D1952" i="35405"/>
  <c r="D1959" i="35405"/>
  <c r="D1974" i="35405"/>
  <c r="D1969" i="35405"/>
  <c r="D1970" i="35405"/>
  <c r="D1961" i="35405"/>
  <c r="D1964" i="35405"/>
  <c r="D1972" i="35405"/>
  <c r="D1962" i="35405"/>
  <c r="D1956" i="35405"/>
  <c r="D1973" i="35405"/>
  <c r="D1977" i="35405"/>
  <c r="D1967" i="35405"/>
  <c r="D1953" i="35405"/>
  <c r="D1958" i="35405"/>
  <c r="D1965" i="35405"/>
  <c r="D1975" i="35405"/>
  <c r="D1976" i="35405"/>
  <c r="D1960" i="35405"/>
  <c r="D1954" i="35405"/>
  <c r="D1957" i="35405"/>
  <c r="D1968" i="35405"/>
  <c r="D1955" i="35405"/>
  <c r="D1963" i="35405"/>
  <c r="D137" i="35405"/>
  <c r="D151" i="35405"/>
  <c r="D143" i="35405"/>
  <c r="D134" i="35405"/>
  <c r="D133" i="35405"/>
  <c r="D147" i="35405"/>
  <c r="D156" i="35405"/>
  <c r="D150" i="35405"/>
  <c r="D155" i="35405"/>
  <c r="D146" i="35405"/>
  <c r="D136" i="35405"/>
  <c r="D141" i="35405"/>
  <c r="D152" i="35405"/>
  <c r="D157" i="35405"/>
  <c r="D139" i="35405"/>
  <c r="D132" i="35405"/>
  <c r="D149" i="35405"/>
  <c r="D154" i="35405"/>
  <c r="D138" i="35405"/>
  <c r="D140" i="35405"/>
  <c r="D142" i="35405"/>
  <c r="D144" i="35405"/>
  <c r="D135" i="35405"/>
  <c r="D153" i="35405"/>
  <c r="D148" i="35405"/>
  <c r="D145" i="35405"/>
  <c r="E56" i="34980"/>
  <c r="AK55" i="35036"/>
  <c r="F24" i="34980"/>
  <c r="AY23" i="35036"/>
  <c r="F24" i="34984"/>
  <c r="CV23" i="35036"/>
  <c r="D24" i="34984"/>
  <c r="BX23" i="35036"/>
  <c r="C24" i="34986"/>
  <c r="FL24" i="35036"/>
  <c r="FT23" i="35036"/>
  <c r="H24" i="34980"/>
  <c r="M23" i="34980"/>
  <c r="C67" i="34980"/>
  <c r="M66" i="35036"/>
  <c r="E83" i="34986"/>
  <c r="C26" i="35017"/>
  <c r="I24" i="34980"/>
  <c r="F24" i="35017"/>
  <c r="M23" i="35017"/>
  <c r="J13" i="35062" l="1"/>
  <c r="D169" i="35405"/>
  <c r="D176" i="35405"/>
  <c r="D175" i="35405"/>
  <c r="D181" i="35405"/>
  <c r="D162" i="35405"/>
  <c r="D160" i="35405"/>
  <c r="D164" i="35405"/>
  <c r="D161" i="35405"/>
  <c r="D166" i="35405"/>
  <c r="D172" i="35405"/>
  <c r="D158" i="35405"/>
  <c r="D182" i="35405"/>
  <c r="D183" i="35405"/>
  <c r="D163" i="35405"/>
  <c r="D173" i="35405"/>
  <c r="D159" i="35405"/>
  <c r="D180" i="35405"/>
  <c r="D171" i="35405"/>
  <c r="D170" i="35405"/>
  <c r="D165" i="35405"/>
  <c r="D168" i="35405"/>
  <c r="D179" i="35405"/>
  <c r="D178" i="35405"/>
  <c r="D177" i="35405"/>
  <c r="D167" i="35405"/>
  <c r="D174" i="35405"/>
  <c r="D1989" i="35405"/>
  <c r="D1985" i="35405"/>
  <c r="D2000" i="35405"/>
  <c r="D2003" i="35405"/>
  <c r="D1998" i="35405"/>
  <c r="D1980" i="35405"/>
  <c r="D2002" i="35405"/>
  <c r="D1987" i="35405"/>
  <c r="D1982" i="35405"/>
  <c r="D1993" i="35405"/>
  <c r="D1991" i="35405"/>
  <c r="D1979" i="35405"/>
  <c r="D1995" i="35405"/>
  <c r="D1984" i="35405"/>
  <c r="D2001" i="35405"/>
  <c r="D1981" i="35405"/>
  <c r="D1978" i="35405"/>
  <c r="D1986" i="35405"/>
  <c r="D1999" i="35405"/>
  <c r="D1992" i="35405"/>
  <c r="D1988" i="35405"/>
  <c r="D1990" i="35405"/>
  <c r="D1983" i="35405"/>
  <c r="D1994" i="35405"/>
  <c r="D1997" i="35405"/>
  <c r="D1996" i="35405"/>
  <c r="K13" i="35062"/>
  <c r="F25" i="35017"/>
  <c r="M24" i="35017"/>
  <c r="E84" i="34986"/>
  <c r="GE11" i="35036" s="1" a="1"/>
  <c r="FW11" i="35036" a="1"/>
  <c r="C68" i="34980"/>
  <c r="M67" i="35036"/>
  <c r="I25" i="34980"/>
  <c r="H25" i="34980"/>
  <c r="M24" i="34980"/>
  <c r="F25" i="34984"/>
  <c r="CV24" i="35036"/>
  <c r="F25" i="34980"/>
  <c r="AY24" i="35036"/>
  <c r="C27" i="35017"/>
  <c r="C25" i="34986"/>
  <c r="FT24" i="35036"/>
  <c r="FL25" i="35036"/>
  <c r="D25" i="34984"/>
  <c r="BX24" i="35036"/>
  <c r="E57" i="34980"/>
  <c r="AK56" i="35036"/>
  <c r="M82" i="35391" l="1" a="1"/>
  <c r="M82" i="35391" s="1"/>
  <c r="N82" i="35391" s="1"/>
  <c r="O82" i="35391" s="1"/>
  <c r="J14" i="35062"/>
  <c r="K14" i="35062"/>
  <c r="D2007" i="35405"/>
  <c r="D2029" i="35405"/>
  <c r="D2011" i="35405"/>
  <c r="D2023" i="35405"/>
  <c r="D2004" i="35405"/>
  <c r="D2022" i="35405"/>
  <c r="D2014" i="35405"/>
  <c r="D2020" i="35405"/>
  <c r="D2008" i="35405"/>
  <c r="D2009" i="35405"/>
  <c r="D2021" i="35405"/>
  <c r="D2013" i="35405"/>
  <c r="D2025" i="35405"/>
  <c r="D2012" i="35405"/>
  <c r="D2017" i="35405"/>
  <c r="D2024" i="35405"/>
  <c r="D2015" i="35405"/>
  <c r="D2010" i="35405"/>
  <c r="D2026" i="35405"/>
  <c r="D2027" i="35405"/>
  <c r="D2018" i="35405"/>
  <c r="D2019" i="35405"/>
  <c r="D2006" i="35405"/>
  <c r="D2005" i="35405"/>
  <c r="D2028" i="35405"/>
  <c r="D2016" i="35405"/>
  <c r="D193" i="35405"/>
  <c r="D190" i="35405"/>
  <c r="D191" i="35405"/>
  <c r="D187" i="35405"/>
  <c r="D194" i="35405"/>
  <c r="D185" i="35405"/>
  <c r="D204" i="35405"/>
  <c r="D184" i="35405"/>
  <c r="D208" i="35405"/>
  <c r="D195" i="35405"/>
  <c r="D202" i="35405"/>
  <c r="D189" i="35405"/>
  <c r="D188" i="35405"/>
  <c r="D200" i="35405"/>
  <c r="D198" i="35405"/>
  <c r="D201" i="35405"/>
  <c r="D197" i="35405"/>
  <c r="D199" i="35405"/>
  <c r="D207" i="35405"/>
  <c r="D186" i="35405"/>
  <c r="D206" i="35405"/>
  <c r="D192" i="35405"/>
  <c r="D196" i="35405"/>
  <c r="D205" i="35405"/>
  <c r="D209" i="35405"/>
  <c r="D203" i="35405"/>
  <c r="E58" i="34980"/>
  <c r="AK57" i="35036"/>
  <c r="GE12" i="35036"/>
  <c r="GE27" i="35036"/>
  <c r="GE43" i="35036"/>
  <c r="GE59" i="35036"/>
  <c r="GE75" i="35036"/>
  <c r="GE16" i="35036"/>
  <c r="GE32" i="35036"/>
  <c r="GE48" i="35036"/>
  <c r="GE64" i="35036"/>
  <c r="GE80" i="35036"/>
  <c r="GE21" i="35036"/>
  <c r="GE37" i="35036"/>
  <c r="GE53" i="35036"/>
  <c r="GE69" i="35036"/>
  <c r="GE14" i="35036"/>
  <c r="GE30" i="35036"/>
  <c r="GE46" i="35036"/>
  <c r="GE62" i="35036"/>
  <c r="GE78" i="35036"/>
  <c r="GE23" i="35036"/>
  <c r="GE39" i="35036"/>
  <c r="GE55" i="35036"/>
  <c r="GE71" i="35036"/>
  <c r="GE11" i="35036"/>
  <c r="GE28" i="35036"/>
  <c r="GE44" i="35036"/>
  <c r="GE60" i="35036"/>
  <c r="GE76" i="35036"/>
  <c r="GE17" i="35036"/>
  <c r="GE33" i="35036"/>
  <c r="GE49" i="35036"/>
  <c r="GE65" i="35036"/>
  <c r="GE81" i="35036"/>
  <c r="GE26" i="35036"/>
  <c r="GE42" i="35036"/>
  <c r="GE58" i="35036"/>
  <c r="GE74" i="35036"/>
  <c r="GE19" i="35036"/>
  <c r="GE35" i="35036"/>
  <c r="GE51" i="35036"/>
  <c r="GE67" i="35036"/>
  <c r="GE83" i="35036"/>
  <c r="GE24" i="35036"/>
  <c r="GE40" i="35036"/>
  <c r="GE56" i="35036"/>
  <c r="GE72" i="35036"/>
  <c r="GE13" i="35036"/>
  <c r="GE29" i="35036"/>
  <c r="GE45" i="35036"/>
  <c r="GE61" i="35036"/>
  <c r="GE77" i="35036"/>
  <c r="GE22" i="35036"/>
  <c r="GE38" i="35036"/>
  <c r="GE54" i="35036"/>
  <c r="GE70" i="35036"/>
  <c r="GE15" i="35036"/>
  <c r="GE31" i="35036"/>
  <c r="GE47" i="35036"/>
  <c r="GE63" i="35036"/>
  <c r="GE79" i="35036"/>
  <c r="GE20" i="35036"/>
  <c r="GE36" i="35036"/>
  <c r="GE52" i="35036"/>
  <c r="GE68" i="35036"/>
  <c r="GE84" i="35036"/>
  <c r="GE25" i="35036"/>
  <c r="GE41" i="35036"/>
  <c r="GE57" i="35036"/>
  <c r="GE73" i="35036"/>
  <c r="GE18" i="35036"/>
  <c r="GE34" i="35036"/>
  <c r="GE50" i="35036"/>
  <c r="GE66" i="35036"/>
  <c r="GE82" i="35036"/>
  <c r="F26" i="34980"/>
  <c r="AY25" i="35036"/>
  <c r="F26" i="34984"/>
  <c r="CV25" i="35036"/>
  <c r="H26" i="34980"/>
  <c r="M25" i="34980"/>
  <c r="I26" i="34980"/>
  <c r="C69" i="34980"/>
  <c r="M68" i="35036"/>
  <c r="FW24" i="35036"/>
  <c r="FW40" i="35036"/>
  <c r="FW56" i="35036"/>
  <c r="FW72" i="35036"/>
  <c r="FW12" i="35036"/>
  <c r="FW29" i="35036"/>
  <c r="FW45" i="35036"/>
  <c r="FW61" i="35036"/>
  <c r="FW77" i="35036"/>
  <c r="FW22" i="35036"/>
  <c r="FW38" i="35036"/>
  <c r="FW54" i="35036"/>
  <c r="FW70" i="35036"/>
  <c r="FW11" i="35036"/>
  <c r="FW27" i="35036"/>
  <c r="FW43" i="35036"/>
  <c r="FW59" i="35036"/>
  <c r="FW75" i="35036"/>
  <c r="FW13" i="35036"/>
  <c r="FW28" i="35036"/>
  <c r="FW44" i="35036"/>
  <c r="FW60" i="35036"/>
  <c r="FW76" i="35036"/>
  <c r="FW17" i="35036"/>
  <c r="FW33" i="35036"/>
  <c r="FW49" i="35036"/>
  <c r="FW65" i="35036"/>
  <c r="FW81" i="35036"/>
  <c r="FW26" i="35036"/>
  <c r="FW42" i="35036"/>
  <c r="FW58" i="35036"/>
  <c r="FW74" i="35036"/>
  <c r="FW15" i="35036"/>
  <c r="FW31" i="35036"/>
  <c r="FW47" i="35036"/>
  <c r="FW63" i="35036"/>
  <c r="FW79" i="35036"/>
  <c r="FW16" i="35036"/>
  <c r="FW32" i="35036"/>
  <c r="FW48" i="35036"/>
  <c r="FW64" i="35036"/>
  <c r="FW80" i="35036"/>
  <c r="FW21" i="35036"/>
  <c r="FW37" i="35036"/>
  <c r="FW53" i="35036"/>
  <c r="FW69" i="35036"/>
  <c r="FW14" i="35036"/>
  <c r="FW30" i="35036"/>
  <c r="FW46" i="35036"/>
  <c r="FW62" i="35036"/>
  <c r="FW78" i="35036"/>
  <c r="FW19" i="35036"/>
  <c r="FW35" i="35036"/>
  <c r="FW51" i="35036"/>
  <c r="FW67" i="35036"/>
  <c r="FW83" i="35036"/>
  <c r="FW20" i="35036"/>
  <c r="FW36" i="35036"/>
  <c r="FW52" i="35036"/>
  <c r="FW68" i="35036"/>
  <c r="FW84" i="35036"/>
  <c r="FW25" i="35036"/>
  <c r="FW41" i="35036"/>
  <c r="FW57" i="35036"/>
  <c r="FW73" i="35036"/>
  <c r="FW18" i="35036"/>
  <c r="FW34" i="35036"/>
  <c r="FW50" i="35036"/>
  <c r="FW66" i="35036"/>
  <c r="FW82" i="35036"/>
  <c r="FW23" i="35036"/>
  <c r="FW39" i="35036"/>
  <c r="FW55" i="35036"/>
  <c r="FW71" i="35036"/>
  <c r="F26" i="35017"/>
  <c r="M25" i="35017"/>
  <c r="D26" i="34984"/>
  <c r="BX25" i="35036"/>
  <c r="C26" i="34986"/>
  <c r="FL26" i="35036"/>
  <c r="FT25" i="35036"/>
  <c r="C28" i="35017"/>
  <c r="GC11" i="35036" a="1"/>
  <c r="K15" i="35062" l="1"/>
  <c r="J15" i="35062"/>
  <c r="D2050" i="35405"/>
  <c r="D2031" i="35405"/>
  <c r="D2046" i="35405"/>
  <c r="D2037" i="35405"/>
  <c r="D2038" i="35405"/>
  <c r="D2049" i="35405"/>
  <c r="D2052" i="35405"/>
  <c r="D2032" i="35405"/>
  <c r="D2040" i="35405"/>
  <c r="D2047" i="35405"/>
  <c r="D2045" i="35405"/>
  <c r="D2035" i="35405"/>
  <c r="D2043" i="35405"/>
  <c r="D2055" i="35405"/>
  <c r="D2030" i="35405"/>
  <c r="D2034" i="35405"/>
  <c r="D2033" i="35405"/>
  <c r="D2042" i="35405"/>
  <c r="D2039" i="35405"/>
  <c r="D2044" i="35405"/>
  <c r="D2041" i="35405"/>
  <c r="D2053" i="35405"/>
  <c r="D2048" i="35405"/>
  <c r="D2051" i="35405"/>
  <c r="D2036" i="35405"/>
  <c r="D2054" i="35405"/>
  <c r="D215" i="35405"/>
  <c r="D235" i="35405"/>
  <c r="D227" i="35405"/>
  <c r="D224" i="35405"/>
  <c r="D218" i="35405"/>
  <c r="D217" i="35405"/>
  <c r="D225" i="35405"/>
  <c r="D222" i="35405"/>
  <c r="D226" i="35405"/>
  <c r="D229" i="35405"/>
  <c r="D228" i="35405"/>
  <c r="D212" i="35405"/>
  <c r="D211" i="35405"/>
  <c r="D223" i="35405"/>
  <c r="D234" i="35405"/>
  <c r="D231" i="35405"/>
  <c r="D216" i="35405"/>
  <c r="D219" i="35405"/>
  <c r="D213" i="35405"/>
  <c r="D230" i="35405"/>
  <c r="D232" i="35405"/>
  <c r="D233" i="35405"/>
  <c r="D220" i="35405"/>
  <c r="D214" i="35405"/>
  <c r="D221" i="35405"/>
  <c r="D210" i="35405"/>
  <c r="FY11" i="35036" a="1"/>
  <c r="H27" i="34980"/>
  <c r="M26" i="34980"/>
  <c r="F27" i="34984"/>
  <c r="CV26" i="35036"/>
  <c r="E59" i="34980"/>
  <c r="AK58" i="35036"/>
  <c r="C29" i="35017"/>
  <c r="GC15" i="35036"/>
  <c r="GC12" i="35036"/>
  <c r="GC14" i="35036"/>
  <c r="GC17" i="35036"/>
  <c r="GC19" i="35036"/>
  <c r="GC21" i="35036"/>
  <c r="GC23" i="35036"/>
  <c r="GC25" i="35036"/>
  <c r="GC27" i="35036"/>
  <c r="GC29" i="35036"/>
  <c r="GC31" i="35036"/>
  <c r="GC33" i="35036"/>
  <c r="GC35" i="35036"/>
  <c r="GC37" i="35036"/>
  <c r="GC39" i="35036"/>
  <c r="GC41" i="35036"/>
  <c r="GC43" i="35036"/>
  <c r="GC45" i="35036"/>
  <c r="GC47" i="35036"/>
  <c r="GC49" i="35036"/>
  <c r="GC51" i="35036"/>
  <c r="GC53" i="35036"/>
  <c r="GC55" i="35036"/>
  <c r="GC57" i="35036"/>
  <c r="GC59" i="35036"/>
  <c r="GC61" i="35036"/>
  <c r="GC63" i="35036"/>
  <c r="GC65" i="35036"/>
  <c r="GC67" i="35036"/>
  <c r="GC69" i="35036"/>
  <c r="GC71" i="35036"/>
  <c r="GC73" i="35036"/>
  <c r="GC75" i="35036"/>
  <c r="GC77" i="35036"/>
  <c r="GC79" i="35036"/>
  <c r="GC81" i="35036"/>
  <c r="GC83" i="35036"/>
  <c r="GC11" i="35036"/>
  <c r="GC13" i="35036"/>
  <c r="GC16" i="35036"/>
  <c r="GC18" i="35036"/>
  <c r="GC20" i="35036"/>
  <c r="GC22" i="35036"/>
  <c r="GC24" i="35036"/>
  <c r="GC26" i="35036"/>
  <c r="GC28" i="35036"/>
  <c r="GC30" i="35036"/>
  <c r="GC32" i="35036"/>
  <c r="GC34" i="35036"/>
  <c r="GC36" i="35036"/>
  <c r="GC38" i="35036"/>
  <c r="GC40" i="35036"/>
  <c r="GC42" i="35036"/>
  <c r="GC44" i="35036"/>
  <c r="GC46" i="35036"/>
  <c r="GC48" i="35036"/>
  <c r="GC50" i="35036"/>
  <c r="GC52" i="35036"/>
  <c r="GC54" i="35036"/>
  <c r="GC56" i="35036"/>
  <c r="GC58" i="35036"/>
  <c r="GC60" i="35036"/>
  <c r="GC62" i="35036"/>
  <c r="GC64" i="35036"/>
  <c r="GC66" i="35036"/>
  <c r="GC68" i="35036"/>
  <c r="GC70" i="35036"/>
  <c r="GC72" i="35036"/>
  <c r="GC74" i="35036"/>
  <c r="GC76" i="35036"/>
  <c r="GC78" i="35036"/>
  <c r="GC80" i="35036"/>
  <c r="GC82" i="35036"/>
  <c r="GC84" i="35036"/>
  <c r="C27" i="34986"/>
  <c r="FT26" i="35036"/>
  <c r="FL27" i="35036"/>
  <c r="D27" i="34984"/>
  <c r="BX26" i="35036"/>
  <c r="F27" i="35017"/>
  <c r="M26" i="35017"/>
  <c r="C70" i="34980"/>
  <c r="M69" i="35036"/>
  <c r="I27" i="34980"/>
  <c r="F27" i="34980"/>
  <c r="AY26" i="35036"/>
  <c r="J16" i="35062" l="1"/>
  <c r="K16" i="35062"/>
  <c r="D253" i="35405"/>
  <c r="D256" i="35405"/>
  <c r="D242" i="35405"/>
  <c r="D241" i="35405"/>
  <c r="D260" i="35405"/>
  <c r="D254" i="35405"/>
  <c r="D259" i="35405"/>
  <c r="D238" i="35405"/>
  <c r="D251" i="35405"/>
  <c r="D243" i="35405"/>
  <c r="D250" i="35405"/>
  <c r="D255" i="35405"/>
  <c r="D245" i="35405"/>
  <c r="D257" i="35405"/>
  <c r="D244" i="35405"/>
  <c r="D240" i="35405"/>
  <c r="D247" i="35405"/>
  <c r="D248" i="35405"/>
  <c r="D237" i="35405"/>
  <c r="D239" i="35405"/>
  <c r="D258" i="35405"/>
  <c r="D252" i="35405"/>
  <c r="D249" i="35405"/>
  <c r="D261" i="35405"/>
  <c r="D236" i="35405"/>
  <c r="D246" i="35405"/>
  <c r="D2073" i="35405"/>
  <c r="D2059" i="35405"/>
  <c r="D2067" i="35405"/>
  <c r="D2081" i="35405"/>
  <c r="D2068" i="35405"/>
  <c r="D2057" i="35405"/>
  <c r="D2064" i="35405"/>
  <c r="D2080" i="35405"/>
  <c r="D2079" i="35405"/>
  <c r="D2072" i="35405"/>
  <c r="D2078" i="35405"/>
  <c r="D2062" i="35405"/>
  <c r="D2069" i="35405"/>
  <c r="D2061" i="35405"/>
  <c r="D2077" i="35405"/>
  <c r="D2075" i="35405"/>
  <c r="D2060" i="35405"/>
  <c r="D2056" i="35405"/>
  <c r="D2074" i="35405"/>
  <c r="D2070" i="35405"/>
  <c r="D2071" i="35405"/>
  <c r="D2065" i="35405"/>
  <c r="D2063" i="35405"/>
  <c r="D2076" i="35405"/>
  <c r="D2058" i="35405"/>
  <c r="D2066" i="35405"/>
  <c r="I28" i="34980"/>
  <c r="D28" i="34984"/>
  <c r="BX27" i="35036"/>
  <c r="C30" i="35017"/>
  <c r="E60" i="34980"/>
  <c r="AK59" i="35036"/>
  <c r="F28" i="34984"/>
  <c r="CV27" i="35036"/>
  <c r="F28" i="34980"/>
  <c r="AY27" i="35036"/>
  <c r="C71" i="34980"/>
  <c r="M70" i="35036"/>
  <c r="F28" i="35017"/>
  <c r="M27" i="35017"/>
  <c r="C28" i="34986"/>
  <c r="FT27" i="35036"/>
  <c r="FL28" i="35036"/>
  <c r="H28" i="34980"/>
  <c r="M27" i="34980"/>
  <c r="FY62" i="35036"/>
  <c r="FY14" i="35036"/>
  <c r="FY40" i="35036"/>
  <c r="FY74" i="35036"/>
  <c r="FY79" i="35036"/>
  <c r="FY22" i="35036"/>
  <c r="FY29" i="35036"/>
  <c r="FY78" i="35036"/>
  <c r="FY54" i="35036"/>
  <c r="FY63" i="35036"/>
  <c r="FY18" i="35036"/>
  <c r="FY30" i="35036"/>
  <c r="FY59" i="35036"/>
  <c r="FY34" i="35036"/>
  <c r="FY27" i="35036"/>
  <c r="FY49" i="35036"/>
  <c r="FY51" i="35036"/>
  <c r="FY15" i="35036"/>
  <c r="FY69" i="35036"/>
  <c r="FY42" i="35036"/>
  <c r="FY41" i="35036"/>
  <c r="FY66" i="35036"/>
  <c r="FY80" i="35036"/>
  <c r="FY65" i="35036"/>
  <c r="FY70" i="35036"/>
  <c r="FY37" i="35036"/>
  <c r="FY21" i="35036"/>
  <c r="FY68" i="35036"/>
  <c r="FY61" i="35036"/>
  <c r="FY53" i="35036"/>
  <c r="FY57" i="35036"/>
  <c r="FY64" i="35036"/>
  <c r="FY16" i="35036"/>
  <c r="FY46" i="35036"/>
  <c r="FY32" i="35036"/>
  <c r="FY33" i="35036"/>
  <c r="FY60" i="35036"/>
  <c r="FY83" i="35036"/>
  <c r="FY58" i="35036"/>
  <c r="FY47" i="35036"/>
  <c r="FY72" i="35036"/>
  <c r="FY71" i="35036"/>
  <c r="FY25" i="35036"/>
  <c r="FY48" i="35036"/>
  <c r="FY19" i="35036"/>
  <c r="FY84" i="35036"/>
  <c r="FY28" i="35036"/>
  <c r="FY43" i="35036"/>
  <c r="FY56" i="35036"/>
  <c r="FY50" i="35036"/>
  <c r="FY38" i="35036"/>
  <c r="FY73" i="35036"/>
  <c r="FY81" i="35036"/>
  <c r="FY11" i="35036"/>
  <c r="FY24" i="35036"/>
  <c r="FY76" i="35036"/>
  <c r="FY26" i="35036"/>
  <c r="FY55" i="35036"/>
  <c r="FY77" i="35036"/>
  <c r="FY23" i="35036"/>
  <c r="FY20" i="35036"/>
  <c r="FY39" i="35036"/>
  <c r="FY17" i="35036"/>
  <c r="FY67" i="35036"/>
  <c r="FY31" i="35036"/>
  <c r="FY52" i="35036"/>
  <c r="FY45" i="35036"/>
  <c r="FY44" i="35036"/>
  <c r="FY36" i="35036"/>
  <c r="FY12" i="35036"/>
  <c r="FY13" i="35036"/>
  <c r="FY35" i="35036"/>
  <c r="FY82" i="35036"/>
  <c r="FY75" i="35036"/>
  <c r="K17" i="35062" l="1"/>
  <c r="D2099" i="35405"/>
  <c r="D2082" i="35405"/>
  <c r="D2085" i="35405"/>
  <c r="D2089" i="35405"/>
  <c r="D2092" i="35405"/>
  <c r="D2098" i="35405"/>
  <c r="D2086" i="35405"/>
  <c r="D2101" i="35405"/>
  <c r="D2084" i="35405"/>
  <c r="D2096" i="35405"/>
  <c r="D2093" i="35405"/>
  <c r="D2097" i="35405"/>
  <c r="D2103" i="35405"/>
  <c r="D2100" i="35405"/>
  <c r="D2095" i="35405"/>
  <c r="D2087" i="35405"/>
  <c r="D2083" i="35405"/>
  <c r="D2106" i="35405"/>
  <c r="D2102" i="35405"/>
  <c r="D2107" i="35405"/>
  <c r="D2091" i="35405"/>
  <c r="D2090" i="35405"/>
  <c r="D2094" i="35405"/>
  <c r="D2088" i="35405"/>
  <c r="D2104" i="35405"/>
  <c r="D2105" i="35405"/>
  <c r="D285" i="35405"/>
  <c r="D278" i="35405"/>
  <c r="D262" i="35405"/>
  <c r="D264" i="35405"/>
  <c r="D269" i="35405"/>
  <c r="D274" i="35405"/>
  <c r="D283" i="35405"/>
  <c r="D281" i="35405"/>
  <c r="D265" i="35405"/>
  <c r="D280" i="35405"/>
  <c r="D267" i="35405"/>
  <c r="D273" i="35405"/>
  <c r="D282" i="35405"/>
  <c r="D277" i="35405"/>
  <c r="D271" i="35405"/>
  <c r="D270" i="35405"/>
  <c r="D284" i="35405"/>
  <c r="D286" i="35405"/>
  <c r="D276" i="35405"/>
  <c r="D279" i="35405"/>
  <c r="D268" i="35405"/>
  <c r="D275" i="35405"/>
  <c r="D272" i="35405"/>
  <c r="D263" i="35405"/>
  <c r="D266" i="35405"/>
  <c r="D287" i="35405"/>
  <c r="J17" i="35062"/>
  <c r="F29" i="35017"/>
  <c r="M28" i="35017"/>
  <c r="GB11" i="35036" a="1"/>
  <c r="GA11" i="35036" a="1"/>
  <c r="FZ11" i="35036" a="1"/>
  <c r="H29" i="34980"/>
  <c r="M28" i="34980"/>
  <c r="F29" i="34980"/>
  <c r="AY28" i="35036"/>
  <c r="D29" i="34984"/>
  <c r="BX28" i="35036"/>
  <c r="I29" i="34980"/>
  <c r="C29" i="34986"/>
  <c r="FL29" i="35036"/>
  <c r="FT28" i="35036"/>
  <c r="C72" i="34980"/>
  <c r="M71" i="35036"/>
  <c r="F29" i="34984"/>
  <c r="CV28" i="35036"/>
  <c r="E61" i="34980"/>
  <c r="AK60" i="35036"/>
  <c r="C31" i="35017"/>
  <c r="K18" i="35062" l="1"/>
  <c r="D309" i="35405"/>
  <c r="D298" i="35405"/>
  <c r="D300" i="35405"/>
  <c r="D303" i="35405"/>
  <c r="D312" i="35405"/>
  <c r="D291" i="35405"/>
  <c r="D302" i="35405"/>
  <c r="D288" i="35405"/>
  <c r="D293" i="35405"/>
  <c r="D308" i="35405"/>
  <c r="D289" i="35405"/>
  <c r="D299" i="35405"/>
  <c r="D301" i="35405"/>
  <c r="D305" i="35405"/>
  <c r="D304" i="35405"/>
  <c r="D311" i="35405"/>
  <c r="D307" i="35405"/>
  <c r="D296" i="35405"/>
  <c r="D306" i="35405"/>
  <c r="D297" i="35405"/>
  <c r="D294" i="35405"/>
  <c r="D313" i="35405"/>
  <c r="D292" i="35405"/>
  <c r="D310" i="35405"/>
  <c r="D295" i="35405"/>
  <c r="D290" i="35405"/>
  <c r="J18" i="35062"/>
  <c r="D2110" i="35405"/>
  <c r="D2115" i="35405"/>
  <c r="D2108" i="35405"/>
  <c r="D2128" i="35405"/>
  <c r="D2119" i="35405"/>
  <c r="D2121" i="35405"/>
  <c r="D2114" i="35405"/>
  <c r="D2130" i="35405"/>
  <c r="D2122" i="35405"/>
  <c r="D2131" i="35405"/>
  <c r="D2113" i="35405"/>
  <c r="D2111" i="35405"/>
  <c r="D2118" i="35405"/>
  <c r="D2123" i="35405"/>
  <c r="D2124" i="35405"/>
  <c r="D2109" i="35405"/>
  <c r="D2116" i="35405"/>
  <c r="D2126" i="35405"/>
  <c r="D2132" i="35405"/>
  <c r="D2129" i="35405"/>
  <c r="D2117" i="35405"/>
  <c r="D2127" i="35405"/>
  <c r="D2133" i="35405"/>
  <c r="D2120" i="35405"/>
  <c r="D2112" i="35405"/>
  <c r="D2125" i="35405"/>
  <c r="C32" i="35017"/>
  <c r="E62" i="34980"/>
  <c r="AK61" i="35036"/>
  <c r="H30" i="34980"/>
  <c r="M29" i="34980"/>
  <c r="GA69" i="35036"/>
  <c r="GA79" i="35036"/>
  <c r="GA22" i="35036"/>
  <c r="GA36" i="35036"/>
  <c r="GA81" i="35036"/>
  <c r="GA16" i="35036"/>
  <c r="GA48" i="35036"/>
  <c r="GA80" i="35036"/>
  <c r="GA28" i="35036"/>
  <c r="GA72" i="35036"/>
  <c r="GA54" i="35036"/>
  <c r="GA62" i="35036"/>
  <c r="GA39" i="35036"/>
  <c r="GA52" i="35036"/>
  <c r="GA27" i="35036"/>
  <c r="GA83" i="35036"/>
  <c r="GA19" i="35036"/>
  <c r="GA63" i="35036"/>
  <c r="GA13" i="35036"/>
  <c r="GA31" i="35036"/>
  <c r="GA29" i="35036"/>
  <c r="GA53" i="35036"/>
  <c r="GA60" i="35036"/>
  <c r="GA64" i="35036"/>
  <c r="GA74" i="35036"/>
  <c r="GA24" i="35036"/>
  <c r="GA77" i="35036"/>
  <c r="GA38" i="35036"/>
  <c r="GA46" i="35036"/>
  <c r="GA18" i="35036"/>
  <c r="GA15" i="35036"/>
  <c r="GA65" i="35036"/>
  <c r="GA43" i="35036"/>
  <c r="GA70" i="35036"/>
  <c r="GA44" i="35036"/>
  <c r="GA57" i="35036"/>
  <c r="GA17" i="35036"/>
  <c r="GA14" i="35036"/>
  <c r="GA67" i="35036"/>
  <c r="GA40" i="35036"/>
  <c r="GA84" i="35036"/>
  <c r="GA12" i="35036"/>
  <c r="GA45" i="35036"/>
  <c r="GA75" i="35036"/>
  <c r="GA41" i="35036"/>
  <c r="GA49" i="35036"/>
  <c r="GA25" i="35036"/>
  <c r="GA73" i="35036"/>
  <c r="GA51" i="35036"/>
  <c r="GA58" i="35036"/>
  <c r="GA68" i="35036"/>
  <c r="GA66" i="35036"/>
  <c r="GA78" i="35036"/>
  <c r="GA26" i="35036"/>
  <c r="GA35" i="35036"/>
  <c r="GA50" i="35036"/>
  <c r="GA23" i="35036"/>
  <c r="GA47" i="35036"/>
  <c r="GA34" i="35036"/>
  <c r="GA56" i="35036"/>
  <c r="GA32" i="35036"/>
  <c r="GA59" i="35036"/>
  <c r="GA30" i="35036"/>
  <c r="GA21" i="35036"/>
  <c r="GA33" i="35036"/>
  <c r="GA61" i="35036"/>
  <c r="GA82" i="35036"/>
  <c r="GA42" i="35036"/>
  <c r="GA55" i="35036"/>
  <c r="GA11" i="35036"/>
  <c r="GA71" i="35036"/>
  <c r="GA76" i="35036"/>
  <c r="GA37" i="35036"/>
  <c r="GA20" i="35036"/>
  <c r="C73" i="34980"/>
  <c r="M72" i="35036"/>
  <c r="F30" i="34984"/>
  <c r="CV29" i="35036"/>
  <c r="C30" i="34986"/>
  <c r="FL30" i="35036"/>
  <c r="FT29" i="35036"/>
  <c r="I30" i="34980"/>
  <c r="D30" i="34984"/>
  <c r="BX29" i="35036"/>
  <c r="F30" i="34980"/>
  <c r="AY29" i="35036"/>
  <c r="FZ32" i="35036"/>
  <c r="FZ16" i="35036"/>
  <c r="FZ76" i="35036"/>
  <c r="FZ25" i="35036"/>
  <c r="FZ27" i="35036"/>
  <c r="FZ26" i="35036"/>
  <c r="FZ20" i="35036"/>
  <c r="FZ22" i="35036"/>
  <c r="FZ80" i="35036"/>
  <c r="FZ37" i="35036"/>
  <c r="FZ84" i="35036"/>
  <c r="FZ15" i="35036"/>
  <c r="FZ13" i="35036"/>
  <c r="FZ62" i="35036"/>
  <c r="FZ73" i="35036"/>
  <c r="FZ68" i="35036"/>
  <c r="FZ67" i="35036"/>
  <c r="FZ17" i="35036"/>
  <c r="FZ57" i="35036"/>
  <c r="FZ75" i="35036"/>
  <c r="FZ82" i="35036"/>
  <c r="FZ38" i="35036"/>
  <c r="FZ54" i="35036"/>
  <c r="FZ50" i="35036"/>
  <c r="FZ59" i="35036"/>
  <c r="FZ49" i="35036"/>
  <c r="FZ79" i="35036"/>
  <c r="FZ74" i="35036"/>
  <c r="FZ24" i="35036"/>
  <c r="FZ43" i="35036"/>
  <c r="FZ35" i="35036"/>
  <c r="FZ71" i="35036"/>
  <c r="FZ45" i="35036"/>
  <c r="FZ53" i="35036"/>
  <c r="FZ56" i="35036"/>
  <c r="FZ44" i="35036"/>
  <c r="FZ40" i="35036"/>
  <c r="FZ28" i="35036"/>
  <c r="FZ70" i="35036"/>
  <c r="FZ69" i="35036"/>
  <c r="FZ48" i="35036"/>
  <c r="FZ12" i="35036"/>
  <c r="FZ36" i="35036"/>
  <c r="FZ63" i="35036"/>
  <c r="FZ31" i="35036"/>
  <c r="FZ83" i="35036"/>
  <c r="FZ46" i="35036"/>
  <c r="FZ14" i="35036"/>
  <c r="FZ42" i="35036"/>
  <c r="FZ41" i="35036"/>
  <c r="FZ58" i="35036"/>
  <c r="FZ51" i="35036"/>
  <c r="FZ19" i="35036"/>
  <c r="FZ18" i="35036"/>
  <c r="FZ72" i="35036"/>
  <c r="FZ23" i="35036"/>
  <c r="FZ52" i="35036"/>
  <c r="FZ34" i="35036"/>
  <c r="FZ30" i="35036"/>
  <c r="FZ77" i="35036"/>
  <c r="FZ11" i="35036"/>
  <c r="FZ61" i="35036"/>
  <c r="FZ47" i="35036"/>
  <c r="FZ39" i="35036"/>
  <c r="FZ55" i="35036"/>
  <c r="FZ65" i="35036"/>
  <c r="FZ66" i="35036"/>
  <c r="FZ29" i="35036"/>
  <c r="FZ64" i="35036"/>
  <c r="FZ33" i="35036"/>
  <c r="FZ81" i="35036"/>
  <c r="FZ78" i="35036"/>
  <c r="FZ60" i="35036"/>
  <c r="FZ21" i="35036"/>
  <c r="GB23" i="35036"/>
  <c r="GB55" i="35036"/>
  <c r="GB42" i="35036"/>
  <c r="GB79" i="35036"/>
  <c r="GB25" i="35036"/>
  <c r="GB52" i="35036"/>
  <c r="GB26" i="35036"/>
  <c r="GB80" i="35036"/>
  <c r="GB43" i="35036"/>
  <c r="GB66" i="35036"/>
  <c r="GB15" i="35036"/>
  <c r="GB50" i="35036"/>
  <c r="GB35" i="35036"/>
  <c r="GB41" i="35036"/>
  <c r="GB74" i="35036"/>
  <c r="GB58" i="35036"/>
  <c r="GB61" i="35036"/>
  <c r="GB19" i="35036"/>
  <c r="GB24" i="35036"/>
  <c r="GB18" i="35036"/>
  <c r="GB75" i="35036"/>
  <c r="GB14" i="35036"/>
  <c r="GB33" i="35036"/>
  <c r="GB28" i="35036"/>
  <c r="GB21" i="35036"/>
  <c r="GB45" i="35036"/>
  <c r="GB76" i="35036"/>
  <c r="GB68" i="35036"/>
  <c r="GB70" i="35036"/>
  <c r="GB47" i="35036"/>
  <c r="GB73" i="35036"/>
  <c r="GB82" i="35036"/>
  <c r="GB44" i="35036"/>
  <c r="GB22" i="35036"/>
  <c r="GB16" i="35036"/>
  <c r="GB59" i="35036"/>
  <c r="GB37" i="35036"/>
  <c r="GB71" i="35036"/>
  <c r="GB11" i="35036"/>
  <c r="GB77" i="35036"/>
  <c r="GB78" i="35036"/>
  <c r="GB67" i="35036"/>
  <c r="GB84" i="35036"/>
  <c r="GB62" i="35036"/>
  <c r="GB40" i="35036"/>
  <c r="GB51" i="35036"/>
  <c r="GB30" i="35036"/>
  <c r="GB57" i="35036"/>
  <c r="GB29" i="35036"/>
  <c r="GB56" i="35036"/>
  <c r="GB46" i="35036"/>
  <c r="GB20" i="35036"/>
  <c r="GB27" i="35036"/>
  <c r="GB31" i="35036"/>
  <c r="GB49" i="35036"/>
  <c r="GB64" i="35036"/>
  <c r="GB17" i="35036"/>
  <c r="GB63" i="35036"/>
  <c r="GB54" i="35036"/>
  <c r="GB38" i="35036"/>
  <c r="GB39" i="35036"/>
  <c r="GB65" i="35036"/>
  <c r="GB53" i="35036"/>
  <c r="GB12" i="35036"/>
  <c r="GB13" i="35036"/>
  <c r="GB36" i="35036"/>
  <c r="GB83" i="35036"/>
  <c r="GB81" i="35036"/>
  <c r="GB60" i="35036"/>
  <c r="GB34" i="35036"/>
  <c r="GB72" i="35036"/>
  <c r="GB69" i="35036"/>
  <c r="GB32" i="35036"/>
  <c r="GB48" i="35036"/>
  <c r="F30" i="35017"/>
  <c r="M29" i="35017"/>
  <c r="K19" i="35062" l="1"/>
  <c r="J19" i="35062"/>
  <c r="D315" i="35405"/>
  <c r="D333" i="35405"/>
  <c r="D317" i="35405"/>
  <c r="D321" i="35405"/>
  <c r="D329" i="35405"/>
  <c r="D316" i="35405"/>
  <c r="D336" i="35405"/>
  <c r="D332" i="35405"/>
  <c r="D327" i="35405"/>
  <c r="D319" i="35405"/>
  <c r="D324" i="35405"/>
  <c r="D322" i="35405"/>
  <c r="D328" i="35405"/>
  <c r="D338" i="35405"/>
  <c r="D335" i="35405"/>
  <c r="D314" i="35405"/>
  <c r="D326" i="35405"/>
  <c r="D323" i="35405"/>
  <c r="D331" i="35405"/>
  <c r="D320" i="35405"/>
  <c r="D337" i="35405"/>
  <c r="D339" i="35405"/>
  <c r="D325" i="35405"/>
  <c r="D318" i="35405"/>
  <c r="D330" i="35405"/>
  <c r="D334" i="35405"/>
  <c r="D2142" i="35405"/>
  <c r="D2144" i="35405"/>
  <c r="D2149" i="35405"/>
  <c r="D2148" i="35405"/>
  <c r="D2141" i="35405"/>
  <c r="D2156" i="35405"/>
  <c r="D2137" i="35405"/>
  <c r="D2158" i="35405"/>
  <c r="D2147" i="35405"/>
  <c r="D2145" i="35405"/>
  <c r="D2139" i="35405"/>
  <c r="D2157" i="35405"/>
  <c r="D2152" i="35405"/>
  <c r="D2134" i="35405"/>
  <c r="D2135" i="35405"/>
  <c r="D2138" i="35405"/>
  <c r="D2143" i="35405"/>
  <c r="D2146" i="35405"/>
  <c r="D2155" i="35405"/>
  <c r="D2136" i="35405"/>
  <c r="D2150" i="35405"/>
  <c r="D2159" i="35405"/>
  <c r="D2140" i="35405"/>
  <c r="D2151" i="35405"/>
  <c r="D2154" i="35405"/>
  <c r="D2153" i="35405"/>
  <c r="GF11" i="35036" a="1"/>
  <c r="F31" i="34984"/>
  <c r="CV30" i="35036"/>
  <c r="H31" i="34980"/>
  <c r="M30" i="34980"/>
  <c r="F31" i="35017"/>
  <c r="M30" i="35017"/>
  <c r="C31" i="34986"/>
  <c r="FT30" i="35036"/>
  <c r="FL31" i="35036"/>
  <c r="F31" i="34980"/>
  <c r="AY30" i="35036"/>
  <c r="D31" i="34984"/>
  <c r="BX30" i="35036"/>
  <c r="I31" i="34980"/>
  <c r="C74" i="34980"/>
  <c r="M73" i="35036"/>
  <c r="E63" i="34980"/>
  <c r="AK62" i="35036"/>
  <c r="C33" i="35017"/>
  <c r="K20" i="35062" l="1"/>
  <c r="D352" i="35405"/>
  <c r="D362" i="35405"/>
  <c r="D350" i="35405"/>
  <c r="D361" i="35405"/>
  <c r="D349" i="35405"/>
  <c r="D341" i="35405"/>
  <c r="D340" i="35405"/>
  <c r="D365" i="35405"/>
  <c r="D364" i="35405"/>
  <c r="D347" i="35405"/>
  <c r="D360" i="35405"/>
  <c r="D357" i="35405"/>
  <c r="D355" i="35405"/>
  <c r="D346" i="35405"/>
  <c r="D343" i="35405"/>
  <c r="D345" i="35405"/>
  <c r="D344" i="35405"/>
  <c r="D354" i="35405"/>
  <c r="D359" i="35405"/>
  <c r="D363" i="35405"/>
  <c r="D351" i="35405"/>
  <c r="D353" i="35405"/>
  <c r="D342" i="35405"/>
  <c r="D356" i="35405"/>
  <c r="D348" i="35405"/>
  <c r="D358" i="35405"/>
  <c r="D2184" i="35405"/>
  <c r="D2170" i="35405"/>
  <c r="D2168" i="35405"/>
  <c r="D2182" i="35405"/>
  <c r="D2185" i="35405"/>
  <c r="D2174" i="35405"/>
  <c r="D2167" i="35405"/>
  <c r="D2175" i="35405"/>
  <c r="D2163" i="35405"/>
  <c r="D2164" i="35405"/>
  <c r="D2161" i="35405"/>
  <c r="D2169" i="35405"/>
  <c r="D2176" i="35405"/>
  <c r="D2181" i="35405"/>
  <c r="D2183" i="35405"/>
  <c r="D2179" i="35405"/>
  <c r="D2173" i="35405"/>
  <c r="D2180" i="35405"/>
  <c r="D2172" i="35405"/>
  <c r="D2162" i="35405"/>
  <c r="D2177" i="35405"/>
  <c r="D2165" i="35405"/>
  <c r="D2160" i="35405"/>
  <c r="D2178" i="35405"/>
  <c r="D2171" i="35405"/>
  <c r="D2166" i="35405"/>
  <c r="J20" i="35062"/>
  <c r="C75" i="34980"/>
  <c r="M74" i="35036"/>
  <c r="I32" i="34980"/>
  <c r="D32" i="34984"/>
  <c r="BX31" i="35036"/>
  <c r="F32" i="34980"/>
  <c r="AY31" i="35036"/>
  <c r="C32" i="34986"/>
  <c r="FL32" i="35036"/>
  <c r="FT31" i="35036"/>
  <c r="F32" i="35017"/>
  <c r="M31" i="35017"/>
  <c r="H32" i="34980"/>
  <c r="M31" i="34980"/>
  <c r="GF66" i="35036"/>
  <c r="GF22" i="35036"/>
  <c r="GF48" i="35036"/>
  <c r="GF68" i="35036"/>
  <c r="GF31" i="35036"/>
  <c r="GF75" i="35036"/>
  <c r="GF12" i="35036"/>
  <c r="GF33" i="35036"/>
  <c r="GF49" i="35036"/>
  <c r="GF70" i="35036"/>
  <c r="GF55" i="35036"/>
  <c r="GF11" i="35036"/>
  <c r="GF17" i="35036"/>
  <c r="GF59" i="35036"/>
  <c r="GF32" i="35036"/>
  <c r="GF42" i="35036"/>
  <c r="GF65" i="35036"/>
  <c r="GF20" i="35036"/>
  <c r="GF69" i="35036"/>
  <c r="GF45" i="35036"/>
  <c r="GF67" i="35036"/>
  <c r="GF77" i="35036"/>
  <c r="GF30" i="35036"/>
  <c r="GF52" i="35036"/>
  <c r="GF24" i="35036"/>
  <c r="GF34" i="35036"/>
  <c r="GF16" i="35036"/>
  <c r="GF80" i="35036"/>
  <c r="GF63" i="35036"/>
  <c r="GF25" i="35036"/>
  <c r="GF43" i="35036"/>
  <c r="GF21" i="35036"/>
  <c r="GF37" i="35036"/>
  <c r="GF13" i="35036"/>
  <c r="GF71" i="35036"/>
  <c r="GF64" i="35036"/>
  <c r="GF29" i="35036"/>
  <c r="GF78" i="35036"/>
  <c r="GF81" i="35036"/>
  <c r="GF51" i="35036"/>
  <c r="GF41" i="35036"/>
  <c r="GF44" i="35036"/>
  <c r="GF26" i="35036"/>
  <c r="GF72" i="35036"/>
  <c r="GF74" i="35036"/>
  <c r="GF40" i="35036"/>
  <c r="GF46" i="35036"/>
  <c r="GF18" i="35036"/>
  <c r="GF83" i="35036"/>
  <c r="GF79" i="35036"/>
  <c r="GF15" i="35036"/>
  <c r="GF39" i="35036"/>
  <c r="GF54" i="35036"/>
  <c r="GF19" i="35036"/>
  <c r="GF58" i="35036"/>
  <c r="GF38" i="35036"/>
  <c r="GF53" i="35036"/>
  <c r="GF61" i="35036"/>
  <c r="GF14" i="35036"/>
  <c r="GF23" i="35036"/>
  <c r="GF27" i="35036"/>
  <c r="GF82" i="35036"/>
  <c r="GF47" i="35036"/>
  <c r="GF50" i="35036"/>
  <c r="GF73" i="35036"/>
  <c r="GF62" i="35036"/>
  <c r="GF35" i="35036"/>
  <c r="GF76" i="35036"/>
  <c r="GF60" i="35036"/>
  <c r="GF56" i="35036"/>
  <c r="GF28" i="35036"/>
  <c r="GF57" i="35036"/>
  <c r="GF84" i="35036"/>
  <c r="GF36" i="35036"/>
  <c r="C34" i="35017"/>
  <c r="E64" i="34980"/>
  <c r="AK63" i="35036"/>
  <c r="F32" i="34984"/>
  <c r="CV31" i="35036"/>
  <c r="D372" i="35405" l="1"/>
  <c r="D391" i="35405"/>
  <c r="D379" i="35405"/>
  <c r="D386" i="35405"/>
  <c r="D381" i="35405"/>
  <c r="D373" i="35405"/>
  <c r="D384" i="35405"/>
  <c r="D389" i="35405"/>
  <c r="D377" i="35405"/>
  <c r="D383" i="35405"/>
  <c r="D369" i="35405"/>
  <c r="D368" i="35405"/>
  <c r="D374" i="35405"/>
  <c r="D366" i="35405"/>
  <c r="D382" i="35405"/>
  <c r="D378" i="35405"/>
  <c r="D367" i="35405"/>
  <c r="D370" i="35405"/>
  <c r="D380" i="35405"/>
  <c r="D388" i="35405"/>
  <c r="D375" i="35405"/>
  <c r="D387" i="35405"/>
  <c r="D371" i="35405"/>
  <c r="D390" i="35405"/>
  <c r="D376" i="35405"/>
  <c r="D385" i="35405"/>
  <c r="J21" i="35062"/>
  <c r="K21" i="35062"/>
  <c r="D2209" i="35405"/>
  <c r="D2189" i="35405"/>
  <c r="D2197" i="35405"/>
  <c r="D2188" i="35405"/>
  <c r="D2211" i="35405"/>
  <c r="D2187" i="35405"/>
  <c r="D2190" i="35405"/>
  <c r="D2204" i="35405"/>
  <c r="D2193" i="35405"/>
  <c r="D2195" i="35405"/>
  <c r="D2200" i="35405"/>
  <c r="D2206" i="35405"/>
  <c r="D2192" i="35405"/>
  <c r="D2196" i="35405"/>
  <c r="D2191" i="35405"/>
  <c r="D2198" i="35405"/>
  <c r="D2203" i="35405"/>
  <c r="D2201" i="35405"/>
  <c r="D2199" i="35405"/>
  <c r="D2205" i="35405"/>
  <c r="D2194" i="35405"/>
  <c r="D2207" i="35405"/>
  <c r="D2208" i="35405"/>
  <c r="D2202" i="35405"/>
  <c r="D2186" i="35405"/>
  <c r="D2210" i="35405"/>
  <c r="E65" i="34980"/>
  <c r="AK64" i="35036"/>
  <c r="C35" i="35017"/>
  <c r="C33" i="34986"/>
  <c r="FL33" i="35036"/>
  <c r="FT32" i="35036"/>
  <c r="C76" i="34980"/>
  <c r="M75" i="35036"/>
  <c r="F33" i="34984"/>
  <c r="CV32" i="35036"/>
  <c r="H33" i="34980"/>
  <c r="M32" i="34980"/>
  <c r="F33" i="35017"/>
  <c r="M32" i="35017"/>
  <c r="F33" i="34980"/>
  <c r="AY32" i="35036"/>
  <c r="D33" i="34984"/>
  <c r="BX32" i="35036"/>
  <c r="I33" i="34980"/>
  <c r="J22" i="35062" l="1"/>
  <c r="D2226" i="35405"/>
  <c r="D2228" i="35405"/>
  <c r="D2237" i="35405"/>
  <c r="D2224" i="35405"/>
  <c r="D2216" i="35405"/>
  <c r="D2233" i="35405"/>
  <c r="D2227" i="35405"/>
  <c r="D2221" i="35405"/>
  <c r="D2219" i="35405"/>
  <c r="D2213" i="35405"/>
  <c r="D2223" i="35405"/>
  <c r="D2232" i="35405"/>
  <c r="D2225" i="35405"/>
  <c r="D2230" i="35405"/>
  <c r="D2215" i="35405"/>
  <c r="D2234" i="35405"/>
  <c r="D2220" i="35405"/>
  <c r="D2235" i="35405"/>
  <c r="D2218" i="35405"/>
  <c r="D2212" i="35405"/>
  <c r="D2214" i="35405"/>
  <c r="D2231" i="35405"/>
  <c r="D2229" i="35405"/>
  <c r="D2236" i="35405"/>
  <c r="D2222" i="35405"/>
  <c r="D2217" i="35405"/>
  <c r="D414" i="35405"/>
  <c r="D409" i="35405"/>
  <c r="D401" i="35405"/>
  <c r="D392" i="35405"/>
  <c r="D413" i="35405"/>
  <c r="D400" i="35405"/>
  <c r="D397" i="35405"/>
  <c r="D417" i="35405"/>
  <c r="D403" i="35405"/>
  <c r="D404" i="35405"/>
  <c r="D395" i="35405"/>
  <c r="D406" i="35405"/>
  <c r="D398" i="35405"/>
  <c r="D410" i="35405"/>
  <c r="D405" i="35405"/>
  <c r="D415" i="35405"/>
  <c r="D416" i="35405"/>
  <c r="D412" i="35405"/>
  <c r="D411" i="35405"/>
  <c r="D408" i="35405"/>
  <c r="D402" i="35405"/>
  <c r="D396" i="35405"/>
  <c r="D394" i="35405"/>
  <c r="D407" i="35405"/>
  <c r="D393" i="35405"/>
  <c r="D399" i="35405"/>
  <c r="K22" i="35062"/>
  <c r="I34" i="34980"/>
  <c r="D34" i="34984"/>
  <c r="BX33" i="35036"/>
  <c r="F34" i="34980"/>
  <c r="AY33" i="35036"/>
  <c r="F34" i="35017"/>
  <c r="M33" i="35017"/>
  <c r="C77" i="34980"/>
  <c r="M76" i="35036"/>
  <c r="C36" i="35017"/>
  <c r="E66" i="34980"/>
  <c r="AK65" i="35036"/>
  <c r="H34" i="34980"/>
  <c r="M33" i="34980"/>
  <c r="F34" i="34984"/>
  <c r="CV33" i="35036"/>
  <c r="C34" i="34986"/>
  <c r="FL34" i="35036"/>
  <c r="FT33" i="35036"/>
  <c r="K23" i="35062" l="1"/>
  <c r="J23" i="35062"/>
  <c r="D2251" i="35405"/>
  <c r="D2263" i="35405"/>
  <c r="D2258" i="35405"/>
  <c r="D2259" i="35405"/>
  <c r="D2238" i="35405"/>
  <c r="D2243" i="35405"/>
  <c r="D2257" i="35405"/>
  <c r="D2261" i="35405"/>
  <c r="D2244" i="35405"/>
  <c r="D2247" i="35405"/>
  <c r="D2253" i="35405"/>
  <c r="D2255" i="35405"/>
  <c r="D2262" i="35405"/>
  <c r="D2239" i="35405"/>
  <c r="D2248" i="35405"/>
  <c r="D2252" i="35405"/>
  <c r="D2260" i="35405"/>
  <c r="D2246" i="35405"/>
  <c r="D2254" i="35405"/>
  <c r="D2240" i="35405"/>
  <c r="D2249" i="35405"/>
  <c r="D2250" i="35405"/>
  <c r="D2242" i="35405"/>
  <c r="D2241" i="35405"/>
  <c r="D2256" i="35405"/>
  <c r="D2245" i="35405"/>
  <c r="D418" i="35405"/>
  <c r="D424" i="35405"/>
  <c r="D432" i="35405"/>
  <c r="D423" i="35405"/>
  <c r="D428" i="35405"/>
  <c r="D420" i="35405"/>
  <c r="D435" i="35405"/>
  <c r="D429" i="35405"/>
  <c r="D421" i="35405"/>
  <c r="D442" i="35405"/>
  <c r="D422" i="35405"/>
  <c r="D419" i="35405"/>
  <c r="D433" i="35405"/>
  <c r="D426" i="35405"/>
  <c r="D431" i="35405"/>
  <c r="D427" i="35405"/>
  <c r="D441" i="35405"/>
  <c r="D438" i="35405"/>
  <c r="D430" i="35405"/>
  <c r="D437" i="35405"/>
  <c r="D434" i="35405"/>
  <c r="D440" i="35405"/>
  <c r="D443" i="35405"/>
  <c r="D425" i="35405"/>
  <c r="D436" i="35405"/>
  <c r="D439" i="35405"/>
  <c r="F35" i="34984"/>
  <c r="CV34" i="35036"/>
  <c r="F35" i="34980"/>
  <c r="AY34" i="35036"/>
  <c r="D35" i="34984"/>
  <c r="BX34" i="35036"/>
  <c r="I35" i="34980"/>
  <c r="C35" i="34986"/>
  <c r="FT34" i="35036"/>
  <c r="FL35" i="35036"/>
  <c r="H35" i="34980"/>
  <c r="M34" i="34980"/>
  <c r="E67" i="34980"/>
  <c r="AK66" i="35036"/>
  <c r="C37" i="35017"/>
  <c r="C78" i="34980"/>
  <c r="M77" i="35036"/>
  <c r="F35" i="35017"/>
  <c r="M34" i="35017"/>
  <c r="J24" i="35062" l="1"/>
  <c r="D462" i="35405"/>
  <c r="D454" i="35405"/>
  <c r="D451" i="35405"/>
  <c r="D452" i="35405"/>
  <c r="D463" i="35405"/>
  <c r="D445" i="35405"/>
  <c r="D468" i="35405"/>
  <c r="D459" i="35405"/>
  <c r="D448" i="35405"/>
  <c r="D457" i="35405"/>
  <c r="D460" i="35405"/>
  <c r="D446" i="35405"/>
  <c r="D444" i="35405"/>
  <c r="D467" i="35405"/>
  <c r="D450" i="35405"/>
  <c r="D453" i="35405"/>
  <c r="D469" i="35405"/>
  <c r="D465" i="35405"/>
  <c r="D458" i="35405"/>
  <c r="D466" i="35405"/>
  <c r="D464" i="35405"/>
  <c r="D456" i="35405"/>
  <c r="D455" i="35405"/>
  <c r="D461" i="35405"/>
  <c r="D449" i="35405"/>
  <c r="D447" i="35405"/>
  <c r="K24" i="35062"/>
  <c r="D2269" i="35405"/>
  <c r="D2271" i="35405"/>
  <c r="D2267" i="35405"/>
  <c r="D2265" i="35405"/>
  <c r="D2275" i="35405"/>
  <c r="D2289" i="35405"/>
  <c r="D2277" i="35405"/>
  <c r="D2266" i="35405"/>
  <c r="D2273" i="35405"/>
  <c r="D2274" i="35405"/>
  <c r="D2287" i="35405"/>
  <c r="D2278" i="35405"/>
  <c r="D2288" i="35405"/>
  <c r="D2280" i="35405"/>
  <c r="D2279" i="35405"/>
  <c r="D2284" i="35405"/>
  <c r="D2276" i="35405"/>
  <c r="D2264" i="35405"/>
  <c r="D2283" i="35405"/>
  <c r="D2282" i="35405"/>
  <c r="D2285" i="35405"/>
  <c r="D2272" i="35405"/>
  <c r="D2286" i="35405"/>
  <c r="D2268" i="35405"/>
  <c r="D2281" i="35405"/>
  <c r="D2270" i="35405"/>
  <c r="H36" i="34980"/>
  <c r="M35" i="34980"/>
  <c r="I36" i="34980"/>
  <c r="F36" i="35017"/>
  <c r="M35" i="35017"/>
  <c r="C79" i="34980"/>
  <c r="M78" i="35036"/>
  <c r="C38" i="35017"/>
  <c r="E68" i="34980"/>
  <c r="AK67" i="35036"/>
  <c r="C36" i="34986"/>
  <c r="FL36" i="35036"/>
  <c r="FT35" i="35036"/>
  <c r="D36" i="34984"/>
  <c r="BX35" i="35036"/>
  <c r="F36" i="34980"/>
  <c r="AY35" i="35036"/>
  <c r="F36" i="34984"/>
  <c r="CV35" i="35036"/>
  <c r="J25" i="35062" l="1"/>
  <c r="K25" i="35062"/>
  <c r="D2309" i="35405"/>
  <c r="D2313" i="35405"/>
  <c r="D2312" i="35405"/>
  <c r="D2307" i="35405"/>
  <c r="D2291" i="35405"/>
  <c r="D2290" i="35405"/>
  <c r="D2311" i="35405"/>
  <c r="D2297" i="35405"/>
  <c r="D2301" i="35405"/>
  <c r="D2304" i="35405"/>
  <c r="D2292" i="35405"/>
  <c r="D2310" i="35405"/>
  <c r="D2314" i="35405"/>
  <c r="D2296" i="35405"/>
  <c r="D2294" i="35405"/>
  <c r="D2308" i="35405"/>
  <c r="D2300" i="35405"/>
  <c r="D2293" i="35405"/>
  <c r="D2302" i="35405"/>
  <c r="D2298" i="35405"/>
  <c r="D2305" i="35405"/>
  <c r="D2306" i="35405"/>
  <c r="D2315" i="35405"/>
  <c r="D2303" i="35405"/>
  <c r="D2299" i="35405"/>
  <c r="D2295" i="35405"/>
  <c r="D481" i="35405"/>
  <c r="D493" i="35405"/>
  <c r="D477" i="35405"/>
  <c r="D490" i="35405"/>
  <c r="D487" i="35405"/>
  <c r="D488" i="35405"/>
  <c r="D483" i="35405"/>
  <c r="D470" i="35405"/>
  <c r="D489" i="35405"/>
  <c r="D474" i="35405"/>
  <c r="D495" i="35405"/>
  <c r="D478" i="35405"/>
  <c r="D494" i="35405"/>
  <c r="D492" i="35405"/>
  <c r="D491" i="35405"/>
  <c r="D476" i="35405"/>
  <c r="D471" i="35405"/>
  <c r="D472" i="35405"/>
  <c r="D486" i="35405"/>
  <c r="D480" i="35405"/>
  <c r="D479" i="35405"/>
  <c r="D482" i="35405"/>
  <c r="D484" i="35405"/>
  <c r="D475" i="35405"/>
  <c r="D473" i="35405"/>
  <c r="D485" i="35405"/>
  <c r="F37" i="34984"/>
  <c r="CV36" i="35036"/>
  <c r="D37" i="34984"/>
  <c r="BX36" i="35036"/>
  <c r="F37" i="34980"/>
  <c r="AY36" i="35036"/>
  <c r="C37" i="34986"/>
  <c r="FL37" i="35036"/>
  <c r="FT36" i="35036"/>
  <c r="F37" i="35017"/>
  <c r="M36" i="35017"/>
  <c r="I37" i="34980"/>
  <c r="H37" i="34980"/>
  <c r="M36" i="34980"/>
  <c r="E69" i="34980"/>
  <c r="AK68" i="35036"/>
  <c r="C39" i="35017"/>
  <c r="C80" i="34980"/>
  <c r="M79" i="35036"/>
  <c r="J26" i="35062" l="1"/>
  <c r="K26" i="35062"/>
  <c r="D2322" i="35405"/>
  <c r="D2335" i="35405"/>
  <c r="D2333" i="35405"/>
  <c r="D2323" i="35405"/>
  <c r="D2329" i="35405"/>
  <c r="D2325" i="35405"/>
  <c r="D2316" i="35405"/>
  <c r="D2332" i="35405"/>
  <c r="D2327" i="35405"/>
  <c r="D2318" i="35405"/>
  <c r="D2331" i="35405"/>
  <c r="D2330" i="35405"/>
  <c r="D2338" i="35405"/>
  <c r="D2337" i="35405"/>
  <c r="D2341" i="35405"/>
  <c r="D2336" i="35405"/>
  <c r="D2328" i="35405"/>
  <c r="D2334" i="35405"/>
  <c r="D2320" i="35405"/>
  <c r="D2326" i="35405"/>
  <c r="D2317" i="35405"/>
  <c r="D2319" i="35405"/>
  <c r="D2340" i="35405"/>
  <c r="D2339" i="35405"/>
  <c r="D2324" i="35405"/>
  <c r="D2321" i="35405"/>
  <c r="D516" i="35405"/>
  <c r="D505" i="35405"/>
  <c r="D511" i="35405"/>
  <c r="D517" i="35405"/>
  <c r="D506" i="35405"/>
  <c r="D508" i="35405"/>
  <c r="D503" i="35405"/>
  <c r="D497" i="35405"/>
  <c r="D501" i="35405"/>
  <c r="D519" i="35405"/>
  <c r="D521" i="35405"/>
  <c r="D518" i="35405"/>
  <c r="D499" i="35405"/>
  <c r="D496" i="35405"/>
  <c r="D513" i="35405"/>
  <c r="D500" i="35405"/>
  <c r="D515" i="35405"/>
  <c r="D512" i="35405"/>
  <c r="D498" i="35405"/>
  <c r="D504" i="35405"/>
  <c r="D509" i="35405"/>
  <c r="D520" i="35405"/>
  <c r="D507" i="35405"/>
  <c r="D510" i="35405"/>
  <c r="D502" i="35405"/>
  <c r="D514" i="35405"/>
  <c r="H38" i="34980"/>
  <c r="M37" i="34980"/>
  <c r="I38" i="34980"/>
  <c r="F38" i="35017"/>
  <c r="M37" i="35017"/>
  <c r="C38" i="34986"/>
  <c r="FL38" i="35036"/>
  <c r="FT37" i="35036"/>
  <c r="F38" i="34980"/>
  <c r="AY37" i="35036"/>
  <c r="F38" i="34984"/>
  <c r="CV37" i="35036"/>
  <c r="C81" i="34980"/>
  <c r="M80" i="35036"/>
  <c r="C40" i="35017"/>
  <c r="E70" i="34980"/>
  <c r="AK69" i="35036"/>
  <c r="D38" i="34984"/>
  <c r="BX37" i="35036"/>
  <c r="K27" i="35062" l="1"/>
  <c r="J27" i="35062"/>
  <c r="D2364" i="35405"/>
  <c r="D2343" i="35405"/>
  <c r="D2348" i="35405"/>
  <c r="D2357" i="35405"/>
  <c r="D2352" i="35405"/>
  <c r="D2353" i="35405"/>
  <c r="D2345" i="35405"/>
  <c r="D2342" i="35405"/>
  <c r="D2366" i="35405"/>
  <c r="D2360" i="35405"/>
  <c r="D2362" i="35405"/>
  <c r="D2344" i="35405"/>
  <c r="D2363" i="35405"/>
  <c r="D2367" i="35405"/>
  <c r="D2354" i="35405"/>
  <c r="D2347" i="35405"/>
  <c r="D2358" i="35405"/>
  <c r="D2359" i="35405"/>
  <c r="D2361" i="35405"/>
  <c r="D2355" i="35405"/>
  <c r="D2351" i="35405"/>
  <c r="D2365" i="35405"/>
  <c r="D2349" i="35405"/>
  <c r="D2356" i="35405"/>
  <c r="D2346" i="35405"/>
  <c r="D2350" i="35405"/>
  <c r="D523" i="35405"/>
  <c r="D527" i="35405"/>
  <c r="D539" i="35405"/>
  <c r="D535" i="35405"/>
  <c r="D537" i="35405"/>
  <c r="D536" i="35405"/>
  <c r="D538" i="35405"/>
  <c r="D530" i="35405"/>
  <c r="D545" i="35405"/>
  <c r="D526" i="35405"/>
  <c r="D541" i="35405"/>
  <c r="D524" i="35405"/>
  <c r="D547" i="35405"/>
  <c r="D540" i="35405"/>
  <c r="D522" i="35405"/>
  <c r="D546" i="35405"/>
  <c r="D525" i="35405"/>
  <c r="D542" i="35405"/>
  <c r="D529" i="35405"/>
  <c r="D531" i="35405"/>
  <c r="D528" i="35405"/>
  <c r="D544" i="35405"/>
  <c r="D534" i="35405"/>
  <c r="D532" i="35405"/>
  <c r="D533" i="35405"/>
  <c r="D543" i="35405"/>
  <c r="E71" i="34980"/>
  <c r="AK70" i="35036"/>
  <c r="C41" i="35017"/>
  <c r="C82" i="34980"/>
  <c r="M81" i="35036"/>
  <c r="C39" i="34986"/>
  <c r="FL39" i="35036"/>
  <c r="FT38" i="35036"/>
  <c r="F39" i="35017"/>
  <c r="M38" i="35017"/>
  <c r="I39" i="34980"/>
  <c r="D39" i="34984"/>
  <c r="BX38" i="35036"/>
  <c r="F39" i="34984"/>
  <c r="CV38" i="35036"/>
  <c r="F39" i="34980"/>
  <c r="AY38" i="35036"/>
  <c r="H39" i="34980"/>
  <c r="M38" i="34980"/>
  <c r="K28" i="35062" l="1"/>
  <c r="D567" i="35405"/>
  <c r="D570" i="35405"/>
  <c r="D557" i="35405"/>
  <c r="D558" i="35405"/>
  <c r="D572" i="35405"/>
  <c r="D556" i="35405"/>
  <c r="D559" i="35405"/>
  <c r="D565" i="35405"/>
  <c r="D563" i="35405"/>
  <c r="D548" i="35405"/>
  <c r="D550" i="35405"/>
  <c r="D549" i="35405"/>
  <c r="D553" i="35405"/>
  <c r="D569" i="35405"/>
  <c r="D560" i="35405"/>
  <c r="D554" i="35405"/>
  <c r="D573" i="35405"/>
  <c r="D568" i="35405"/>
  <c r="D571" i="35405"/>
  <c r="D552" i="35405"/>
  <c r="D564" i="35405"/>
  <c r="D562" i="35405"/>
  <c r="D561" i="35405"/>
  <c r="D566" i="35405"/>
  <c r="D555" i="35405"/>
  <c r="D551" i="35405"/>
  <c r="D2390" i="35405"/>
  <c r="D2381" i="35405"/>
  <c r="D2382" i="35405"/>
  <c r="D2384" i="35405"/>
  <c r="D2368" i="35405"/>
  <c r="D2376" i="35405"/>
  <c r="D2372" i="35405"/>
  <c r="D2389" i="35405"/>
  <c r="D2378" i="35405"/>
  <c r="D2393" i="35405"/>
  <c r="D2369" i="35405"/>
  <c r="D2387" i="35405"/>
  <c r="D2375" i="35405"/>
  <c r="D2374" i="35405"/>
  <c r="D2383" i="35405"/>
  <c r="D2388" i="35405"/>
  <c r="D2392" i="35405"/>
  <c r="D2380" i="35405"/>
  <c r="D2370" i="35405"/>
  <c r="D2371" i="35405"/>
  <c r="D2386" i="35405"/>
  <c r="D2385" i="35405"/>
  <c r="D2377" i="35405"/>
  <c r="D2379" i="35405"/>
  <c r="D2373" i="35405"/>
  <c r="D2391" i="35405"/>
  <c r="J28" i="35062"/>
  <c r="H40" i="34980"/>
  <c r="M39" i="34980"/>
  <c r="F40" i="34980"/>
  <c r="AY39" i="35036"/>
  <c r="D40" i="34984"/>
  <c r="BX39" i="35036"/>
  <c r="C40" i="34986"/>
  <c r="FL40" i="35036"/>
  <c r="FT39" i="35036"/>
  <c r="F40" i="34984"/>
  <c r="CV39" i="35036"/>
  <c r="I40" i="34980"/>
  <c r="F40" i="35017"/>
  <c r="M39" i="35017"/>
  <c r="M82" i="35036"/>
  <c r="C83" i="34980"/>
  <c r="C42" i="35017"/>
  <c r="E72" i="34980"/>
  <c r="AK71" i="35036"/>
  <c r="J29" i="35062" l="1"/>
  <c r="K29" i="35062"/>
  <c r="D2415" i="35405"/>
  <c r="D2397" i="35405"/>
  <c r="D2413" i="35405"/>
  <c r="D2395" i="35405"/>
  <c r="D2394" i="35405"/>
  <c r="D2398" i="35405"/>
  <c r="D2411" i="35405"/>
  <c r="D2419" i="35405"/>
  <c r="D2406" i="35405"/>
  <c r="D2412" i="35405"/>
  <c r="D2407" i="35405"/>
  <c r="D2403" i="35405"/>
  <c r="D2408" i="35405"/>
  <c r="D2416" i="35405"/>
  <c r="D2405" i="35405"/>
  <c r="D2399" i="35405"/>
  <c r="D2409" i="35405"/>
  <c r="D2396" i="35405"/>
  <c r="D2418" i="35405"/>
  <c r="D2401" i="35405"/>
  <c r="D2417" i="35405"/>
  <c r="D2404" i="35405"/>
  <c r="D2410" i="35405"/>
  <c r="D2400" i="35405"/>
  <c r="D2414" i="35405"/>
  <c r="D2402" i="35405"/>
  <c r="D576" i="35405"/>
  <c r="D593" i="35405"/>
  <c r="D591" i="35405"/>
  <c r="D584" i="35405"/>
  <c r="D583" i="35405"/>
  <c r="D588" i="35405"/>
  <c r="D578" i="35405"/>
  <c r="D577" i="35405"/>
  <c r="D587" i="35405"/>
  <c r="D581" i="35405"/>
  <c r="D575" i="35405"/>
  <c r="D594" i="35405"/>
  <c r="D580" i="35405"/>
  <c r="D597" i="35405"/>
  <c r="D592" i="35405"/>
  <c r="D574" i="35405"/>
  <c r="D590" i="35405"/>
  <c r="D595" i="35405"/>
  <c r="D599" i="35405"/>
  <c r="D598" i="35405"/>
  <c r="D585" i="35405"/>
  <c r="D596" i="35405"/>
  <c r="D586" i="35405"/>
  <c r="D582" i="35405"/>
  <c r="D589" i="35405"/>
  <c r="D579" i="35405"/>
  <c r="E73" i="34980"/>
  <c r="AK72" i="35036"/>
  <c r="C43" i="35017"/>
  <c r="C84" i="34980"/>
  <c r="O11" i="35036" s="1" a="1"/>
  <c r="M83" i="35036"/>
  <c r="F11" i="35036" a="1"/>
  <c r="I41" i="34980"/>
  <c r="F41" i="35017"/>
  <c r="M40" i="35017"/>
  <c r="F41" i="34980"/>
  <c r="AY40" i="35036"/>
  <c r="F41" i="34984"/>
  <c r="CV40" i="35036"/>
  <c r="C41" i="34986"/>
  <c r="FT40" i="35036"/>
  <c r="FL41" i="35036"/>
  <c r="D41" i="34984"/>
  <c r="BX40" i="35036"/>
  <c r="H41" i="34980"/>
  <c r="M40" i="34980"/>
  <c r="M61" i="35391" l="1" a="1"/>
  <c r="M61" i="35391" s="1"/>
  <c r="N61" i="35391" s="1"/>
  <c r="O61" i="35391" s="1"/>
  <c r="D2426" i="35405"/>
  <c r="D2441" i="35405"/>
  <c r="D2425" i="35405"/>
  <c r="D2427" i="35405"/>
  <c r="D2442" i="35405"/>
  <c r="D2422" i="35405"/>
  <c r="D2438" i="35405"/>
  <c r="D2435" i="35405"/>
  <c r="D2437" i="35405"/>
  <c r="D2445" i="35405"/>
  <c r="D2429" i="35405"/>
  <c r="D2436" i="35405"/>
  <c r="D2424" i="35405"/>
  <c r="D2432" i="35405"/>
  <c r="D2444" i="35405"/>
  <c r="D2420" i="35405"/>
  <c r="D2439" i="35405"/>
  <c r="D2428" i="35405"/>
  <c r="D2430" i="35405"/>
  <c r="D2440" i="35405"/>
  <c r="D2423" i="35405"/>
  <c r="D2433" i="35405"/>
  <c r="D2421" i="35405"/>
  <c r="D2431" i="35405"/>
  <c r="D2434" i="35405"/>
  <c r="D2443" i="35405"/>
  <c r="K30" i="35062"/>
  <c r="D606" i="35405"/>
  <c r="D613" i="35405"/>
  <c r="D619" i="35405"/>
  <c r="D607" i="35405"/>
  <c r="D623" i="35405"/>
  <c r="D620" i="35405"/>
  <c r="D602" i="35405"/>
  <c r="D625" i="35405"/>
  <c r="D609" i="35405"/>
  <c r="D616" i="35405"/>
  <c r="D610" i="35405"/>
  <c r="D614" i="35405"/>
  <c r="D604" i="35405"/>
  <c r="D603" i="35405"/>
  <c r="D611" i="35405"/>
  <c r="D617" i="35405"/>
  <c r="D608" i="35405"/>
  <c r="D618" i="35405"/>
  <c r="D624" i="35405"/>
  <c r="D605" i="35405"/>
  <c r="D621" i="35405"/>
  <c r="D600" i="35405"/>
  <c r="D601" i="35405"/>
  <c r="D622" i="35405"/>
  <c r="D615" i="35405"/>
  <c r="D612" i="35405"/>
  <c r="J30" i="35062"/>
  <c r="H42" i="34980"/>
  <c r="M41" i="34980"/>
  <c r="F42" i="34984"/>
  <c r="CV41" i="35036"/>
  <c r="F42" i="34980"/>
  <c r="AY41" i="35036"/>
  <c r="I42" i="34980"/>
  <c r="O51" i="35036"/>
  <c r="O24" i="35036"/>
  <c r="O74" i="35036"/>
  <c r="O26" i="35036"/>
  <c r="O71" i="35036"/>
  <c r="O32" i="35036"/>
  <c r="O21" i="35036"/>
  <c r="O41" i="35036"/>
  <c r="O57" i="35036"/>
  <c r="O55" i="35036"/>
  <c r="O16" i="35036"/>
  <c r="O25" i="35036"/>
  <c r="O82" i="35036"/>
  <c r="O13" i="35036"/>
  <c r="O33" i="35036"/>
  <c r="O31" i="35036"/>
  <c r="O53" i="35036"/>
  <c r="O23" i="35036"/>
  <c r="O59" i="35036"/>
  <c r="O61" i="35036"/>
  <c r="O18" i="35036"/>
  <c r="O34" i="35036"/>
  <c r="O46" i="35036"/>
  <c r="O73" i="35036"/>
  <c r="O78" i="35036"/>
  <c r="O68" i="35036"/>
  <c r="O39" i="35036"/>
  <c r="O83" i="35036"/>
  <c r="O76" i="35036"/>
  <c r="O37" i="35036"/>
  <c r="O15" i="35036"/>
  <c r="O29" i="35036"/>
  <c r="O35" i="35036"/>
  <c r="O50" i="35036"/>
  <c r="O44" i="35036"/>
  <c r="O64" i="35036"/>
  <c r="O54" i="35036"/>
  <c r="O56" i="35036"/>
  <c r="O52" i="35036"/>
  <c r="O20" i="35036"/>
  <c r="O75" i="35036"/>
  <c r="O11" i="35036"/>
  <c r="O49" i="35036"/>
  <c r="O63" i="35036"/>
  <c r="O14" i="35036"/>
  <c r="O30" i="35036"/>
  <c r="O42" i="35036"/>
  <c r="O67" i="35036"/>
  <c r="O77" i="35036"/>
  <c r="O36" i="35036"/>
  <c r="O69" i="35036"/>
  <c r="O70" i="35036"/>
  <c r="O38" i="35036"/>
  <c r="O62" i="35036"/>
  <c r="O22" i="35036"/>
  <c r="O65" i="35036"/>
  <c r="O27" i="35036"/>
  <c r="O40" i="35036"/>
  <c r="O66" i="35036"/>
  <c r="O17" i="35036"/>
  <c r="O58" i="35036"/>
  <c r="O47" i="35036"/>
  <c r="O72" i="35036"/>
  <c r="O19" i="35036"/>
  <c r="O84" i="35036"/>
  <c r="O45" i="35036"/>
  <c r="O48" i="35036"/>
  <c r="O79" i="35036"/>
  <c r="O43" i="35036"/>
  <c r="O28" i="35036"/>
  <c r="O12" i="35036"/>
  <c r="O60" i="35036"/>
  <c r="O81" i="35036"/>
  <c r="O80" i="35036"/>
  <c r="D42" i="34984"/>
  <c r="BX41" i="35036"/>
  <c r="C42" i="34986"/>
  <c r="FL42" i="35036"/>
  <c r="FT41" i="35036"/>
  <c r="F42" i="35017"/>
  <c r="M41" i="35017"/>
  <c r="F56" i="35036"/>
  <c r="F25" i="35036"/>
  <c r="F47" i="35036"/>
  <c r="F84" i="35036"/>
  <c r="F55" i="35036"/>
  <c r="F71" i="35036"/>
  <c r="F82" i="35036"/>
  <c r="F12" i="35036"/>
  <c r="F24" i="35036"/>
  <c r="F51" i="35036"/>
  <c r="F38" i="35036"/>
  <c r="F31" i="35036"/>
  <c r="F11" i="35036"/>
  <c r="F34" i="35036"/>
  <c r="F39" i="35036"/>
  <c r="F49" i="35036"/>
  <c r="F42" i="35036"/>
  <c r="F66" i="35036"/>
  <c r="F52" i="35036"/>
  <c r="F54" i="35036"/>
  <c r="F80" i="35036"/>
  <c r="F48" i="35036"/>
  <c r="F40" i="35036"/>
  <c r="F26" i="35036"/>
  <c r="F76" i="35036"/>
  <c r="F20" i="35036"/>
  <c r="F46" i="35036"/>
  <c r="F27" i="35036"/>
  <c r="F30" i="35036"/>
  <c r="F77" i="35036"/>
  <c r="F22" i="35036"/>
  <c r="F78" i="35036"/>
  <c r="F60" i="35036"/>
  <c r="F67" i="35036"/>
  <c r="F13" i="35036"/>
  <c r="F62" i="35036"/>
  <c r="F17" i="35036"/>
  <c r="F83" i="35036"/>
  <c r="F18" i="35036"/>
  <c r="F19" i="35036"/>
  <c r="F16" i="35036"/>
  <c r="F41" i="35036"/>
  <c r="F33" i="35036"/>
  <c r="F65" i="35036"/>
  <c r="F28" i="35036"/>
  <c r="F15" i="35036"/>
  <c r="F32" i="35036"/>
  <c r="F70" i="35036"/>
  <c r="F29" i="35036"/>
  <c r="F45" i="35036"/>
  <c r="F74" i="35036"/>
  <c r="F68" i="35036"/>
  <c r="F69" i="35036"/>
  <c r="F57" i="35036"/>
  <c r="F43" i="35036"/>
  <c r="F53" i="35036"/>
  <c r="F61" i="35036"/>
  <c r="F63" i="35036"/>
  <c r="F73" i="35036"/>
  <c r="F75" i="35036"/>
  <c r="F35" i="35036"/>
  <c r="F23" i="35036"/>
  <c r="F79" i="35036"/>
  <c r="F37" i="35036"/>
  <c r="F14" i="35036"/>
  <c r="F58" i="35036"/>
  <c r="F59" i="35036"/>
  <c r="F81" i="35036"/>
  <c r="F36" i="35036"/>
  <c r="F21" i="35036"/>
  <c r="F64" i="35036"/>
  <c r="F72" i="35036"/>
  <c r="F50" i="35036"/>
  <c r="F44" i="35036"/>
  <c r="M84" i="35036"/>
  <c r="N11" i="35036" a="1"/>
  <c r="C44" i="35017"/>
  <c r="E74" i="34980"/>
  <c r="AK73" i="35036"/>
  <c r="D632" i="35405" l="1"/>
  <c r="D648" i="35405"/>
  <c r="D627" i="35405"/>
  <c r="D633" i="35405"/>
  <c r="D651" i="35405"/>
  <c r="D644" i="35405"/>
  <c r="D639" i="35405"/>
  <c r="D645" i="35405"/>
  <c r="D626" i="35405"/>
  <c r="D649" i="35405"/>
  <c r="D638" i="35405"/>
  <c r="D646" i="35405"/>
  <c r="D630" i="35405"/>
  <c r="D642" i="35405"/>
  <c r="D650" i="35405"/>
  <c r="D628" i="35405"/>
  <c r="D637" i="35405"/>
  <c r="D640" i="35405"/>
  <c r="D636" i="35405"/>
  <c r="D629" i="35405"/>
  <c r="D635" i="35405"/>
  <c r="D643" i="35405"/>
  <c r="D647" i="35405"/>
  <c r="D634" i="35405"/>
  <c r="D631" i="35405"/>
  <c r="D641" i="35405"/>
  <c r="D2455" i="35405"/>
  <c r="D2449" i="35405"/>
  <c r="D2460" i="35405"/>
  <c r="D2454" i="35405"/>
  <c r="D2453" i="35405"/>
  <c r="D2451" i="35405"/>
  <c r="D2468" i="35405"/>
  <c r="D2470" i="35405"/>
  <c r="D2461" i="35405"/>
  <c r="D2464" i="35405"/>
  <c r="D2457" i="35405"/>
  <c r="D2446" i="35405"/>
  <c r="D2459" i="35405"/>
  <c r="D2462" i="35405"/>
  <c r="D2469" i="35405"/>
  <c r="D2463" i="35405"/>
  <c r="D2450" i="35405"/>
  <c r="D2465" i="35405"/>
  <c r="D2466" i="35405"/>
  <c r="D2452" i="35405"/>
  <c r="D2471" i="35405"/>
  <c r="D2458" i="35405"/>
  <c r="D2467" i="35405"/>
  <c r="D2447" i="35405"/>
  <c r="D2456" i="35405"/>
  <c r="D2448" i="35405"/>
  <c r="J31" i="35062"/>
  <c r="K31" i="35062"/>
  <c r="E75" i="34980"/>
  <c r="AK74" i="35036"/>
  <c r="H11" i="35036" a="1"/>
  <c r="N81" i="35036"/>
  <c r="N80" i="35036"/>
  <c r="N42" i="35036"/>
  <c r="N53" i="35036"/>
  <c r="N33" i="35036"/>
  <c r="N19" i="35036"/>
  <c r="N72" i="35036"/>
  <c r="N58" i="35036"/>
  <c r="N49" i="35036"/>
  <c r="N70" i="35036"/>
  <c r="N29" i="35036"/>
  <c r="N76" i="35036"/>
  <c r="N82" i="35036"/>
  <c r="N73" i="35036"/>
  <c r="N44" i="35036"/>
  <c r="N17" i="35036"/>
  <c r="N43" i="35036"/>
  <c r="N37" i="35036"/>
  <c r="N28" i="35036"/>
  <c r="N34" i="35036"/>
  <c r="N30" i="35036"/>
  <c r="N67" i="35036"/>
  <c r="N54" i="35036"/>
  <c r="N14" i="35036"/>
  <c r="N36" i="35036"/>
  <c r="N84" i="35036"/>
  <c r="N18" i="35036"/>
  <c r="N71" i="35036"/>
  <c r="N25" i="35036"/>
  <c r="N52" i="35036"/>
  <c r="N15" i="35036"/>
  <c r="N45" i="35036"/>
  <c r="N75" i="35036"/>
  <c r="N23" i="35036"/>
  <c r="N57" i="35036"/>
  <c r="N61" i="35036"/>
  <c r="N12" i="35036"/>
  <c r="N74" i="35036"/>
  <c r="N22" i="35036"/>
  <c r="N78" i="35036"/>
  <c r="N16" i="35036"/>
  <c r="N77" i="35036"/>
  <c r="N32" i="35036"/>
  <c r="N13" i="35036"/>
  <c r="N55" i="35036"/>
  <c r="N31" i="35036"/>
  <c r="N11" i="35036"/>
  <c r="N38" i="35036"/>
  <c r="N41" i="35036"/>
  <c r="N63" i="35036"/>
  <c r="N20" i="35036"/>
  <c r="N39" i="35036"/>
  <c r="N79" i="35036"/>
  <c r="N62" i="35036"/>
  <c r="N40" i="35036"/>
  <c r="N50" i="35036"/>
  <c r="N26" i="35036"/>
  <c r="N68" i="35036"/>
  <c r="N46" i="35036"/>
  <c r="N48" i="35036"/>
  <c r="N47" i="35036"/>
  <c r="N59" i="35036"/>
  <c r="N27" i="35036"/>
  <c r="N51" i="35036"/>
  <c r="N35" i="35036"/>
  <c r="N64" i="35036"/>
  <c r="N24" i="35036"/>
  <c r="N56" i="35036"/>
  <c r="N65" i="35036"/>
  <c r="N60" i="35036"/>
  <c r="N69" i="35036"/>
  <c r="N83" i="35036"/>
  <c r="N21" i="35036"/>
  <c r="N66" i="35036"/>
  <c r="F43" i="35017"/>
  <c r="M42" i="35017"/>
  <c r="C43" i="34986"/>
  <c r="FL43" i="35036"/>
  <c r="FT42" i="35036"/>
  <c r="I43" i="34980"/>
  <c r="F43" i="34980"/>
  <c r="AY42" i="35036"/>
  <c r="H43" i="34980"/>
  <c r="M42" i="34980"/>
  <c r="C45" i="35017"/>
  <c r="D43" i="34984"/>
  <c r="BX42" i="35036"/>
  <c r="F43" i="34984"/>
  <c r="CV42" i="35036"/>
  <c r="K32" i="35062" l="1"/>
  <c r="D2488" i="35405"/>
  <c r="D2494" i="35405"/>
  <c r="D2484" i="35405"/>
  <c r="D2491" i="35405"/>
  <c r="D2478" i="35405"/>
  <c r="D2490" i="35405"/>
  <c r="D2492" i="35405"/>
  <c r="D2480" i="35405"/>
  <c r="D2493" i="35405"/>
  <c r="D2472" i="35405"/>
  <c r="D2474" i="35405"/>
  <c r="D2485" i="35405"/>
  <c r="D2489" i="35405"/>
  <c r="D2475" i="35405"/>
  <c r="D2496" i="35405"/>
  <c r="D2486" i="35405"/>
  <c r="D2487" i="35405"/>
  <c r="D2476" i="35405"/>
  <c r="D2495" i="35405"/>
  <c r="D2473" i="35405"/>
  <c r="D2482" i="35405"/>
  <c r="D2481" i="35405"/>
  <c r="D2483" i="35405"/>
  <c r="D2479" i="35405"/>
  <c r="D2477" i="35405"/>
  <c r="D2497" i="35405"/>
  <c r="J32" i="35062"/>
  <c r="D668" i="35405"/>
  <c r="D660" i="35405"/>
  <c r="D662" i="35405"/>
  <c r="D673" i="35405"/>
  <c r="D674" i="35405"/>
  <c r="D652" i="35405"/>
  <c r="D664" i="35405"/>
  <c r="D677" i="35405"/>
  <c r="D661" i="35405"/>
  <c r="D667" i="35405"/>
  <c r="D656" i="35405"/>
  <c r="D655" i="35405"/>
  <c r="D659" i="35405"/>
  <c r="D669" i="35405"/>
  <c r="D672" i="35405"/>
  <c r="D663" i="35405"/>
  <c r="D671" i="35405"/>
  <c r="D675" i="35405"/>
  <c r="D654" i="35405"/>
  <c r="D670" i="35405"/>
  <c r="D657" i="35405"/>
  <c r="D653" i="35405"/>
  <c r="D676" i="35405"/>
  <c r="D665" i="35405"/>
  <c r="D666" i="35405"/>
  <c r="D658" i="35405"/>
  <c r="D44" i="34984"/>
  <c r="BX43" i="35036"/>
  <c r="F44" i="34984"/>
  <c r="CV43" i="35036"/>
  <c r="C46" i="35017"/>
  <c r="H44" i="34980"/>
  <c r="M43" i="34980"/>
  <c r="F44" i="34980"/>
  <c r="AY43" i="35036"/>
  <c r="I44" i="34980"/>
  <c r="C44" i="34986"/>
  <c r="FL44" i="35036"/>
  <c r="FT43" i="35036"/>
  <c r="F44" i="35017"/>
  <c r="M43" i="35017"/>
  <c r="H44" i="35036"/>
  <c r="H47" i="35036"/>
  <c r="H40" i="35036"/>
  <c r="H68" i="35036"/>
  <c r="H11" i="35036"/>
  <c r="H37" i="35036"/>
  <c r="H82" i="35036"/>
  <c r="H13" i="35036"/>
  <c r="H30" i="35036"/>
  <c r="H41" i="35036"/>
  <c r="H19" i="35036"/>
  <c r="H83" i="35036"/>
  <c r="H36" i="35036"/>
  <c r="H49" i="35036"/>
  <c r="H55" i="35036"/>
  <c r="H62" i="35036"/>
  <c r="H78" i="35036"/>
  <c r="H75" i="35036"/>
  <c r="H31" i="35036"/>
  <c r="H72" i="35036"/>
  <c r="H27" i="35036"/>
  <c r="H50" i="35036"/>
  <c r="H25" i="35036"/>
  <c r="H22" i="35036"/>
  <c r="H65" i="35036"/>
  <c r="H14" i="35036"/>
  <c r="H17" i="35036"/>
  <c r="H35" i="35036"/>
  <c r="H80" i="35036"/>
  <c r="H70" i="35036"/>
  <c r="H28" i="35036"/>
  <c r="H38" i="35036"/>
  <c r="H52" i="35036"/>
  <c r="H73" i="35036"/>
  <c r="H39" i="35036"/>
  <c r="H64" i="35036"/>
  <c r="H61" i="35036"/>
  <c r="H15" i="35036"/>
  <c r="H24" i="35036"/>
  <c r="H46" i="35036"/>
  <c r="H43" i="35036"/>
  <c r="H48" i="35036"/>
  <c r="H66" i="35036"/>
  <c r="H84" i="35036"/>
  <c r="H60" i="35036"/>
  <c r="H54" i="35036"/>
  <c r="H76" i="35036"/>
  <c r="H56" i="35036"/>
  <c r="H81" i="35036"/>
  <c r="H79" i="35036"/>
  <c r="H29" i="35036"/>
  <c r="H21" i="35036"/>
  <c r="H67" i="35036"/>
  <c r="H42" i="35036"/>
  <c r="H53" i="35036"/>
  <c r="H32" i="35036"/>
  <c r="H69" i="35036"/>
  <c r="H18" i="35036"/>
  <c r="H77" i="35036"/>
  <c r="H57" i="35036"/>
  <c r="H26" i="35036"/>
  <c r="H71" i="35036"/>
  <c r="H74" i="35036"/>
  <c r="H20" i="35036"/>
  <c r="H63" i="35036"/>
  <c r="H23" i="35036"/>
  <c r="H34" i="35036"/>
  <c r="H16" i="35036"/>
  <c r="H51" i="35036"/>
  <c r="H59" i="35036"/>
  <c r="H58" i="35036"/>
  <c r="H45" i="35036"/>
  <c r="H33" i="35036"/>
  <c r="H12" i="35036"/>
  <c r="E76" i="34980"/>
  <c r="AK75" i="35036"/>
  <c r="K33" i="35062" l="1"/>
  <c r="J33" i="35062"/>
  <c r="D699" i="35405"/>
  <c r="D695" i="35405"/>
  <c r="D680" i="35405"/>
  <c r="D690" i="35405"/>
  <c r="D684" i="35405"/>
  <c r="D700" i="35405"/>
  <c r="D691" i="35405"/>
  <c r="D679" i="35405"/>
  <c r="D702" i="35405"/>
  <c r="D682" i="35405"/>
  <c r="D703" i="35405"/>
  <c r="D697" i="35405"/>
  <c r="D701" i="35405"/>
  <c r="D694" i="35405"/>
  <c r="D692" i="35405"/>
  <c r="D688" i="35405"/>
  <c r="D687" i="35405"/>
  <c r="D689" i="35405"/>
  <c r="D693" i="35405"/>
  <c r="D698" i="35405"/>
  <c r="D685" i="35405"/>
  <c r="D681" i="35405"/>
  <c r="D686" i="35405"/>
  <c r="D678" i="35405"/>
  <c r="D683" i="35405"/>
  <c r="D696" i="35405"/>
  <c r="D2507" i="35405"/>
  <c r="D2513" i="35405"/>
  <c r="D2511" i="35405"/>
  <c r="D2522" i="35405"/>
  <c r="D2516" i="35405"/>
  <c r="D2506" i="35405"/>
  <c r="D2512" i="35405"/>
  <c r="D2514" i="35405"/>
  <c r="D2501" i="35405"/>
  <c r="D2503" i="35405"/>
  <c r="D2504" i="35405"/>
  <c r="D2510" i="35405"/>
  <c r="D2521" i="35405"/>
  <c r="D2502" i="35405"/>
  <c r="D2519" i="35405"/>
  <c r="D2499" i="35405"/>
  <c r="D2517" i="35405"/>
  <c r="D2509" i="35405"/>
  <c r="D2500" i="35405"/>
  <c r="D2520" i="35405"/>
  <c r="D2505" i="35405"/>
  <c r="D2498" i="35405"/>
  <c r="D2518" i="35405"/>
  <c r="D2508" i="35405"/>
  <c r="D2523" i="35405"/>
  <c r="D2515" i="35405"/>
  <c r="F45" i="35017"/>
  <c r="M44" i="35017"/>
  <c r="E77" i="34980"/>
  <c r="AK76" i="35036"/>
  <c r="K11" i="35036" a="1"/>
  <c r="J11" i="35036" a="1"/>
  <c r="I11" i="35036" a="1"/>
  <c r="C45" i="34986"/>
  <c r="FL45" i="35036"/>
  <c r="FT44" i="35036"/>
  <c r="I45" i="34980"/>
  <c r="H45" i="34980"/>
  <c r="M44" i="34980"/>
  <c r="C47" i="35017"/>
  <c r="D45" i="34984"/>
  <c r="BX44" i="35036"/>
  <c r="F45" i="34980"/>
  <c r="AY44" i="35036"/>
  <c r="F45" i="34984"/>
  <c r="CV44" i="35036"/>
  <c r="J34" i="35062" l="1"/>
  <c r="K34" i="35062"/>
  <c r="D711" i="35405"/>
  <c r="D707" i="35405"/>
  <c r="D727" i="35405"/>
  <c r="D710" i="35405"/>
  <c r="D722" i="35405"/>
  <c r="D729" i="35405"/>
  <c r="D717" i="35405"/>
  <c r="D715" i="35405"/>
  <c r="D725" i="35405"/>
  <c r="D728" i="35405"/>
  <c r="D716" i="35405"/>
  <c r="D718" i="35405"/>
  <c r="D713" i="35405"/>
  <c r="D709" i="35405"/>
  <c r="D704" i="35405"/>
  <c r="D719" i="35405"/>
  <c r="D712" i="35405"/>
  <c r="D724" i="35405"/>
  <c r="D706" i="35405"/>
  <c r="D708" i="35405"/>
  <c r="D705" i="35405"/>
  <c r="D721" i="35405"/>
  <c r="D726" i="35405"/>
  <c r="D723" i="35405"/>
  <c r="D714" i="35405"/>
  <c r="D720" i="35405"/>
  <c r="D2548" i="35405"/>
  <c r="D2535" i="35405"/>
  <c r="D2545" i="35405"/>
  <c r="D2526" i="35405"/>
  <c r="D2534" i="35405"/>
  <c r="D2549" i="35405"/>
  <c r="D2544" i="35405"/>
  <c r="D2537" i="35405"/>
  <c r="D2540" i="35405"/>
  <c r="D2543" i="35405"/>
  <c r="D2538" i="35405"/>
  <c r="D2527" i="35405"/>
  <c r="D2533" i="35405"/>
  <c r="D2541" i="35405"/>
  <c r="D2529" i="35405"/>
  <c r="D2530" i="35405"/>
  <c r="D2539" i="35405"/>
  <c r="D2531" i="35405"/>
  <c r="D2532" i="35405"/>
  <c r="D2542" i="35405"/>
  <c r="D2547" i="35405"/>
  <c r="D2546" i="35405"/>
  <c r="D2528" i="35405"/>
  <c r="D2536" i="35405"/>
  <c r="D2524" i="35405"/>
  <c r="D2525" i="35405"/>
  <c r="D46" i="34984"/>
  <c r="BX45" i="35036"/>
  <c r="H46" i="34980"/>
  <c r="M45" i="34980"/>
  <c r="I46" i="34980"/>
  <c r="I13" i="35036"/>
  <c r="I58" i="35036"/>
  <c r="I21" i="35036"/>
  <c r="I50" i="35036"/>
  <c r="I35" i="35036"/>
  <c r="I57" i="35036"/>
  <c r="I74" i="35036"/>
  <c r="I63" i="35036"/>
  <c r="I51" i="35036"/>
  <c r="I72" i="35036"/>
  <c r="I24" i="35036"/>
  <c r="I28" i="35036"/>
  <c r="I23" i="35036"/>
  <c r="I82" i="35036"/>
  <c r="I54" i="35036"/>
  <c r="I37" i="35036"/>
  <c r="I56" i="35036"/>
  <c r="I60" i="35036"/>
  <c r="I12" i="35036"/>
  <c r="I67" i="35036"/>
  <c r="I38" i="35036"/>
  <c r="I84" i="35036"/>
  <c r="I64" i="35036"/>
  <c r="I26" i="35036"/>
  <c r="I42" i="35036"/>
  <c r="I22" i="35036"/>
  <c r="I44" i="35036"/>
  <c r="I79" i="35036"/>
  <c r="I30" i="35036"/>
  <c r="I81" i="35036"/>
  <c r="I77" i="35036"/>
  <c r="I53" i="35036"/>
  <c r="I16" i="35036"/>
  <c r="I20" i="35036"/>
  <c r="I78" i="35036"/>
  <c r="I62" i="35036"/>
  <c r="I46" i="35036"/>
  <c r="I83" i="35036"/>
  <c r="I66" i="35036"/>
  <c r="I68" i="35036"/>
  <c r="I43" i="35036"/>
  <c r="I71" i="35036"/>
  <c r="I49" i="35036"/>
  <c r="I34" i="35036"/>
  <c r="I73" i="35036"/>
  <c r="I61" i="35036"/>
  <c r="I29" i="35036"/>
  <c r="I11" i="35036"/>
  <c r="I31" i="35036"/>
  <c r="I70" i="35036"/>
  <c r="I48" i="35036"/>
  <c r="I52" i="35036"/>
  <c r="I80" i="35036"/>
  <c r="I65" i="35036"/>
  <c r="I19" i="35036"/>
  <c r="I47" i="35036"/>
  <c r="I39" i="35036"/>
  <c r="I45" i="35036"/>
  <c r="I32" i="35036"/>
  <c r="I27" i="35036"/>
  <c r="I18" i="35036"/>
  <c r="I41" i="35036"/>
  <c r="I55" i="35036"/>
  <c r="I17" i="35036"/>
  <c r="I69" i="35036"/>
  <c r="I40" i="35036"/>
  <c r="I76" i="35036"/>
  <c r="I33" i="35036"/>
  <c r="I15" i="35036"/>
  <c r="I36" i="35036"/>
  <c r="I59" i="35036"/>
  <c r="I14" i="35036"/>
  <c r="I25" i="35036"/>
  <c r="I75" i="35036"/>
  <c r="K72" i="35036"/>
  <c r="K33" i="35036"/>
  <c r="K76" i="35036"/>
  <c r="K32" i="35036"/>
  <c r="K83" i="35036"/>
  <c r="K30" i="35036"/>
  <c r="K61" i="35036"/>
  <c r="K60" i="35036"/>
  <c r="K84" i="35036"/>
  <c r="K57" i="35036"/>
  <c r="K28" i="35036"/>
  <c r="K68" i="35036"/>
  <c r="K55" i="35036"/>
  <c r="K71" i="35036"/>
  <c r="K69" i="35036"/>
  <c r="K58" i="35036"/>
  <c r="K23" i="35036"/>
  <c r="K59" i="35036"/>
  <c r="K13" i="35036"/>
  <c r="K46" i="35036"/>
  <c r="K37" i="35036"/>
  <c r="K80" i="35036"/>
  <c r="K45" i="35036"/>
  <c r="K24" i="35036"/>
  <c r="K31" i="35036"/>
  <c r="K65" i="35036"/>
  <c r="K29" i="35036"/>
  <c r="K47" i="35036"/>
  <c r="K75" i="35036"/>
  <c r="K52" i="35036"/>
  <c r="K63" i="35036"/>
  <c r="K34" i="35036"/>
  <c r="K43" i="35036"/>
  <c r="K12" i="35036"/>
  <c r="K77" i="35036"/>
  <c r="K62" i="35036"/>
  <c r="K21" i="35036"/>
  <c r="K41" i="35036"/>
  <c r="K11" i="35036"/>
  <c r="K49" i="35036"/>
  <c r="K54" i="35036"/>
  <c r="K50" i="35036"/>
  <c r="K19" i="35036"/>
  <c r="K81" i="35036"/>
  <c r="K18" i="35036"/>
  <c r="K16" i="35036"/>
  <c r="K48" i="35036"/>
  <c r="K26" i="35036"/>
  <c r="K78" i="35036"/>
  <c r="K35" i="35036"/>
  <c r="K51" i="35036"/>
  <c r="K38" i="35036"/>
  <c r="K56" i="35036"/>
  <c r="K15" i="35036"/>
  <c r="K53" i="35036"/>
  <c r="K14" i="35036"/>
  <c r="K64" i="35036"/>
  <c r="K27" i="35036"/>
  <c r="K79" i="35036"/>
  <c r="K36" i="35036"/>
  <c r="K73" i="35036"/>
  <c r="K20" i="35036"/>
  <c r="K70" i="35036"/>
  <c r="K42" i="35036"/>
  <c r="K74" i="35036"/>
  <c r="K22" i="35036"/>
  <c r="K82" i="35036"/>
  <c r="K40" i="35036"/>
  <c r="K17" i="35036"/>
  <c r="K67" i="35036"/>
  <c r="K39" i="35036"/>
  <c r="K66" i="35036"/>
  <c r="K25" i="35036"/>
  <c r="K44" i="35036"/>
  <c r="F46" i="34984"/>
  <c r="CV45" i="35036"/>
  <c r="F46" i="34980"/>
  <c r="AY45" i="35036"/>
  <c r="C48" i="35017"/>
  <c r="C46" i="34986"/>
  <c r="FL46" i="35036"/>
  <c r="FT45" i="35036"/>
  <c r="J58" i="35036"/>
  <c r="J24" i="35036"/>
  <c r="J63" i="35036"/>
  <c r="J70" i="35036"/>
  <c r="J30" i="35036"/>
  <c r="J65" i="35036"/>
  <c r="J25" i="35036"/>
  <c r="J11" i="35036"/>
  <c r="J59" i="35036"/>
  <c r="J37" i="35036"/>
  <c r="J57" i="35036"/>
  <c r="J80" i="35036"/>
  <c r="J45" i="35036"/>
  <c r="J34" i="35036"/>
  <c r="J42" i="35036"/>
  <c r="J19" i="35036"/>
  <c r="J46" i="35036"/>
  <c r="J26" i="35036"/>
  <c r="J78" i="35036"/>
  <c r="J22" i="35036"/>
  <c r="J67" i="35036"/>
  <c r="J77" i="35036"/>
  <c r="J64" i="35036"/>
  <c r="J47" i="35036"/>
  <c r="J41" i="35036"/>
  <c r="J55" i="35036"/>
  <c r="J31" i="35036"/>
  <c r="J69" i="35036"/>
  <c r="J73" i="35036"/>
  <c r="J17" i="35036"/>
  <c r="J54" i="35036"/>
  <c r="J71" i="35036"/>
  <c r="J12" i="35036"/>
  <c r="J29" i="35036"/>
  <c r="J28" i="35036"/>
  <c r="J50" i="35036"/>
  <c r="J38" i="35036"/>
  <c r="J44" i="35036"/>
  <c r="J36" i="35036"/>
  <c r="J48" i="35036"/>
  <c r="J43" i="35036"/>
  <c r="J18" i="35036"/>
  <c r="J35" i="35036"/>
  <c r="J51" i="35036"/>
  <c r="J66" i="35036"/>
  <c r="J83" i="35036"/>
  <c r="J20" i="35036"/>
  <c r="J21" i="35036"/>
  <c r="J13" i="35036"/>
  <c r="J62" i="35036"/>
  <c r="J76" i="35036"/>
  <c r="J14" i="35036"/>
  <c r="J15" i="35036"/>
  <c r="J82" i="35036"/>
  <c r="J23" i="35036"/>
  <c r="J27" i="35036"/>
  <c r="J84" i="35036"/>
  <c r="J56" i="35036"/>
  <c r="J81" i="35036"/>
  <c r="J53" i="35036"/>
  <c r="J60" i="35036"/>
  <c r="J49" i="35036"/>
  <c r="J61" i="35036"/>
  <c r="J52" i="35036"/>
  <c r="J16" i="35036"/>
  <c r="J74" i="35036"/>
  <c r="J39" i="35036"/>
  <c r="J68" i="35036"/>
  <c r="J33" i="35036"/>
  <c r="J72" i="35036"/>
  <c r="J40" i="35036"/>
  <c r="J32" i="35036"/>
  <c r="J75" i="35036"/>
  <c r="J79" i="35036"/>
  <c r="E78" i="34980"/>
  <c r="AK77" i="35036"/>
  <c r="F46" i="35017"/>
  <c r="M45" i="35017"/>
  <c r="J35" i="35062" l="1"/>
  <c r="D2552" i="35405"/>
  <c r="D2557" i="35405"/>
  <c r="D2560" i="35405"/>
  <c r="D2569" i="35405"/>
  <c r="D2571" i="35405"/>
  <c r="D2561" i="35405"/>
  <c r="D2566" i="35405"/>
  <c r="D2574" i="35405"/>
  <c r="D2562" i="35405"/>
  <c r="D2568" i="35405"/>
  <c r="D2572" i="35405"/>
  <c r="D2570" i="35405"/>
  <c r="D2559" i="35405"/>
  <c r="D2554" i="35405"/>
  <c r="D2567" i="35405"/>
  <c r="D2575" i="35405"/>
  <c r="D2555" i="35405"/>
  <c r="D2556" i="35405"/>
  <c r="D2564" i="35405"/>
  <c r="D2550" i="35405"/>
  <c r="D2563" i="35405"/>
  <c r="D2553" i="35405"/>
  <c r="D2551" i="35405"/>
  <c r="D2565" i="35405"/>
  <c r="D2573" i="35405"/>
  <c r="D2558" i="35405"/>
  <c r="D741" i="35405"/>
  <c r="D739" i="35405"/>
  <c r="D753" i="35405"/>
  <c r="D737" i="35405"/>
  <c r="D746" i="35405"/>
  <c r="D752" i="35405"/>
  <c r="D742" i="35405"/>
  <c r="D731" i="35405"/>
  <c r="D738" i="35405"/>
  <c r="D755" i="35405"/>
  <c r="D754" i="35405"/>
  <c r="D744" i="35405"/>
  <c r="D736" i="35405"/>
  <c r="D747" i="35405"/>
  <c r="D733" i="35405"/>
  <c r="D734" i="35405"/>
  <c r="D730" i="35405"/>
  <c r="D750" i="35405"/>
  <c r="D743" i="35405"/>
  <c r="D751" i="35405"/>
  <c r="D732" i="35405"/>
  <c r="D745" i="35405"/>
  <c r="D740" i="35405"/>
  <c r="D748" i="35405"/>
  <c r="D749" i="35405"/>
  <c r="D735" i="35405"/>
  <c r="K35" i="35062"/>
  <c r="F47" i="35017"/>
  <c r="M46" i="35017"/>
  <c r="F47" i="34984"/>
  <c r="CV46" i="35036"/>
  <c r="P11" i="35036" a="1"/>
  <c r="H47" i="34980"/>
  <c r="M46" i="34980"/>
  <c r="E79" i="34980"/>
  <c r="AK78" i="35036"/>
  <c r="C47" i="34986"/>
  <c r="FT46" i="35036"/>
  <c r="FL47" i="35036"/>
  <c r="C49" i="35017"/>
  <c r="F47" i="34980"/>
  <c r="AY46" i="35036"/>
  <c r="I47" i="34980"/>
  <c r="D47" i="34984"/>
  <c r="BX46" i="35036"/>
  <c r="D2587" i="35405" l="1"/>
  <c r="D2589" i="35405"/>
  <c r="D2588" i="35405"/>
  <c r="D2584" i="35405"/>
  <c r="D2596" i="35405"/>
  <c r="D2597" i="35405"/>
  <c r="D2594" i="35405"/>
  <c r="D2585" i="35405"/>
  <c r="D2595" i="35405"/>
  <c r="D2600" i="35405"/>
  <c r="D2578" i="35405"/>
  <c r="D2586" i="35405"/>
  <c r="D2581" i="35405"/>
  <c r="D2582" i="35405"/>
  <c r="D2579" i="35405"/>
  <c r="D2598" i="35405"/>
  <c r="D2583" i="35405"/>
  <c r="D2576" i="35405"/>
  <c r="D2592" i="35405"/>
  <c r="D2593" i="35405"/>
  <c r="D2601" i="35405"/>
  <c r="D2599" i="35405"/>
  <c r="D2591" i="35405"/>
  <c r="D2590" i="35405"/>
  <c r="D2577" i="35405"/>
  <c r="D2580" i="35405"/>
  <c r="K36" i="35062"/>
  <c r="J36" i="35062"/>
  <c r="D775" i="35405"/>
  <c r="D762" i="35405"/>
  <c r="D759" i="35405"/>
  <c r="D764" i="35405"/>
  <c r="D776" i="35405"/>
  <c r="D780" i="35405"/>
  <c r="D777" i="35405"/>
  <c r="D766" i="35405"/>
  <c r="D768" i="35405"/>
  <c r="D763" i="35405"/>
  <c r="D758" i="35405"/>
  <c r="D770" i="35405"/>
  <c r="D757" i="35405"/>
  <c r="D761" i="35405"/>
  <c r="D756" i="35405"/>
  <c r="D769" i="35405"/>
  <c r="D771" i="35405"/>
  <c r="D767" i="35405"/>
  <c r="D773" i="35405"/>
  <c r="D779" i="35405"/>
  <c r="D765" i="35405"/>
  <c r="D778" i="35405"/>
  <c r="D760" i="35405"/>
  <c r="D772" i="35405"/>
  <c r="D774" i="35405"/>
  <c r="D781" i="35405"/>
  <c r="C48" i="34986"/>
  <c r="FL48" i="35036"/>
  <c r="FT47" i="35036"/>
  <c r="H48" i="34980"/>
  <c r="M47" i="34980"/>
  <c r="F48" i="34984"/>
  <c r="CV47" i="35036"/>
  <c r="D48" i="34984"/>
  <c r="BX47" i="35036"/>
  <c r="I48" i="34980"/>
  <c r="F48" i="34980"/>
  <c r="AY47" i="35036"/>
  <c r="C50" i="35017"/>
  <c r="E80" i="34980"/>
  <c r="AK79" i="35036"/>
  <c r="P36" i="35036"/>
  <c r="P66" i="35036"/>
  <c r="P22" i="35036"/>
  <c r="P48" i="35036"/>
  <c r="P68" i="35036"/>
  <c r="P31" i="35036"/>
  <c r="P75" i="35036"/>
  <c r="P12" i="35036"/>
  <c r="P33" i="35036"/>
  <c r="P49" i="35036"/>
  <c r="P70" i="35036"/>
  <c r="P55" i="35036"/>
  <c r="P11" i="35036"/>
  <c r="P17" i="35036"/>
  <c r="P59" i="35036"/>
  <c r="P32" i="35036"/>
  <c r="P42" i="35036"/>
  <c r="P65" i="35036"/>
  <c r="P20" i="35036"/>
  <c r="P69" i="35036"/>
  <c r="P45" i="35036"/>
  <c r="P67" i="35036"/>
  <c r="P77" i="35036"/>
  <c r="P30" i="35036"/>
  <c r="P52" i="35036"/>
  <c r="P24" i="35036"/>
  <c r="P34" i="35036"/>
  <c r="P16" i="35036"/>
  <c r="P80" i="35036"/>
  <c r="P63" i="35036"/>
  <c r="P25" i="35036"/>
  <c r="P43" i="35036"/>
  <c r="P21" i="35036"/>
  <c r="P37" i="35036"/>
  <c r="P13" i="35036"/>
  <c r="P71" i="35036"/>
  <c r="P64" i="35036"/>
  <c r="P29" i="35036"/>
  <c r="P78" i="35036"/>
  <c r="P81" i="35036"/>
  <c r="P51" i="35036"/>
  <c r="P41" i="35036"/>
  <c r="P44" i="35036"/>
  <c r="P26" i="35036"/>
  <c r="P72" i="35036"/>
  <c r="P74" i="35036"/>
  <c r="P40" i="35036"/>
  <c r="P46" i="35036"/>
  <c r="P18" i="35036"/>
  <c r="P83" i="35036"/>
  <c r="P79" i="35036"/>
  <c r="P15" i="35036"/>
  <c r="P39" i="35036"/>
  <c r="P54" i="35036"/>
  <c r="P19" i="35036"/>
  <c r="P58" i="35036"/>
  <c r="P38" i="35036"/>
  <c r="P53" i="35036"/>
  <c r="P61" i="35036"/>
  <c r="P14" i="35036"/>
  <c r="P23" i="35036"/>
  <c r="P27" i="35036"/>
  <c r="P82" i="35036"/>
  <c r="P47" i="35036"/>
  <c r="P50" i="35036"/>
  <c r="P73" i="35036"/>
  <c r="P62" i="35036"/>
  <c r="P35" i="35036"/>
  <c r="P76" i="35036"/>
  <c r="P60" i="35036"/>
  <c r="P56" i="35036"/>
  <c r="P28" i="35036"/>
  <c r="P57" i="35036"/>
  <c r="P84" i="35036"/>
  <c r="F48" i="35017"/>
  <c r="M47" i="35017"/>
  <c r="D2613" i="35405" l="1"/>
  <c r="D2614" i="35405"/>
  <c r="D2608" i="35405"/>
  <c r="D2619" i="35405"/>
  <c r="D2602" i="35405"/>
  <c r="D2616" i="35405"/>
  <c r="D2625" i="35405"/>
  <c r="D2621" i="35405"/>
  <c r="D2618" i="35405"/>
  <c r="D2622" i="35405"/>
  <c r="D2623" i="35405"/>
  <c r="D2606" i="35405"/>
  <c r="D2607" i="35405"/>
  <c r="D2617" i="35405"/>
  <c r="D2610" i="35405"/>
  <c r="D2624" i="35405"/>
  <c r="D2605" i="35405"/>
  <c r="D2612" i="35405"/>
  <c r="D2615" i="35405"/>
  <c r="D2603" i="35405"/>
  <c r="D2609" i="35405"/>
  <c r="D2627" i="35405"/>
  <c r="D2604" i="35405"/>
  <c r="D2626" i="35405"/>
  <c r="D2620" i="35405"/>
  <c r="D2611" i="35405"/>
  <c r="K37" i="35062"/>
  <c r="J37" i="35062"/>
  <c r="D795" i="35405"/>
  <c r="D800" i="35405"/>
  <c r="D798" i="35405"/>
  <c r="D803" i="35405"/>
  <c r="D794" i="35405"/>
  <c r="D789" i="35405"/>
  <c r="D788" i="35405"/>
  <c r="D793" i="35405"/>
  <c r="D799" i="35405"/>
  <c r="D805" i="35405"/>
  <c r="D806" i="35405"/>
  <c r="D801" i="35405"/>
  <c r="D785" i="35405"/>
  <c r="D782" i="35405"/>
  <c r="D790" i="35405"/>
  <c r="D787" i="35405"/>
  <c r="D797" i="35405"/>
  <c r="D786" i="35405"/>
  <c r="D802" i="35405"/>
  <c r="D784" i="35405"/>
  <c r="D807" i="35405"/>
  <c r="D796" i="35405"/>
  <c r="D783" i="35405"/>
  <c r="D804" i="35405"/>
  <c r="D791" i="35405"/>
  <c r="D792" i="35405"/>
  <c r="F49" i="34980"/>
  <c r="AY48" i="35036"/>
  <c r="D49" i="34984"/>
  <c r="BX48" i="35036"/>
  <c r="H49" i="34980"/>
  <c r="M48" i="34980"/>
  <c r="F49" i="35017"/>
  <c r="M48" i="35017"/>
  <c r="E81" i="34980"/>
  <c r="AK80" i="35036"/>
  <c r="C51" i="35017"/>
  <c r="I49" i="34980"/>
  <c r="F49" i="34984"/>
  <c r="CV48" i="35036"/>
  <c r="C49" i="34986"/>
  <c r="FL49" i="35036"/>
  <c r="FT48" i="35036"/>
  <c r="K38" i="35062" l="1"/>
  <c r="D2643" i="35405"/>
  <c r="D2641" i="35405"/>
  <c r="D2634" i="35405"/>
  <c r="D2639" i="35405"/>
  <c r="D2629" i="35405"/>
  <c r="D2642" i="35405"/>
  <c r="D2640" i="35405"/>
  <c r="D2650" i="35405"/>
  <c r="D2635" i="35405"/>
  <c r="D2645" i="35405"/>
  <c r="D2637" i="35405"/>
  <c r="D2633" i="35405"/>
  <c r="D2630" i="35405"/>
  <c r="D2653" i="35405"/>
  <c r="D2649" i="35405"/>
  <c r="D2632" i="35405"/>
  <c r="D2636" i="35405"/>
  <c r="D2644" i="35405"/>
  <c r="D2652" i="35405"/>
  <c r="D2647" i="35405"/>
  <c r="D2651" i="35405"/>
  <c r="D2646" i="35405"/>
  <c r="D2638" i="35405"/>
  <c r="D2628" i="35405"/>
  <c r="D2631" i="35405"/>
  <c r="D2648" i="35405"/>
  <c r="D829" i="35405"/>
  <c r="D826" i="35405"/>
  <c r="D822" i="35405"/>
  <c r="D810" i="35405"/>
  <c r="D818" i="35405"/>
  <c r="D816" i="35405"/>
  <c r="D831" i="35405"/>
  <c r="D823" i="35405"/>
  <c r="D811" i="35405"/>
  <c r="D820" i="35405"/>
  <c r="D817" i="35405"/>
  <c r="D812" i="35405"/>
  <c r="D830" i="35405"/>
  <c r="D827" i="35405"/>
  <c r="D813" i="35405"/>
  <c r="D825" i="35405"/>
  <c r="D821" i="35405"/>
  <c r="D808" i="35405"/>
  <c r="D824" i="35405"/>
  <c r="D833" i="35405"/>
  <c r="D809" i="35405"/>
  <c r="D828" i="35405"/>
  <c r="D832" i="35405"/>
  <c r="D814" i="35405"/>
  <c r="D819" i="35405"/>
  <c r="D815" i="35405"/>
  <c r="J38" i="35062"/>
  <c r="C50" i="34986"/>
  <c r="FL50" i="35036"/>
  <c r="FT49" i="35036"/>
  <c r="C52" i="35017"/>
  <c r="F50" i="35017"/>
  <c r="M49" i="35017"/>
  <c r="D50" i="34984"/>
  <c r="BX49" i="35036"/>
  <c r="F50" i="34980"/>
  <c r="AY49" i="35036"/>
  <c r="F50" i="34984"/>
  <c r="CV49" i="35036"/>
  <c r="I50" i="34980"/>
  <c r="E82" i="34980"/>
  <c r="AK81" i="35036"/>
  <c r="H50" i="34980"/>
  <c r="M49" i="34980"/>
  <c r="J39" i="35062" l="1"/>
  <c r="K39" i="35062"/>
  <c r="D849" i="35405"/>
  <c r="D853" i="35405"/>
  <c r="D839" i="35405"/>
  <c r="D848" i="35405"/>
  <c r="D855" i="35405"/>
  <c r="D852" i="35405"/>
  <c r="D854" i="35405"/>
  <c r="D856" i="35405"/>
  <c r="D843" i="35405"/>
  <c r="D838" i="35405"/>
  <c r="D857" i="35405"/>
  <c r="D847" i="35405"/>
  <c r="D846" i="35405"/>
  <c r="D859" i="35405"/>
  <c r="D837" i="35405"/>
  <c r="D840" i="35405"/>
  <c r="D836" i="35405"/>
  <c r="D835" i="35405"/>
  <c r="D850" i="35405"/>
  <c r="D858" i="35405"/>
  <c r="D834" i="35405"/>
  <c r="D842" i="35405"/>
  <c r="D841" i="35405"/>
  <c r="D844" i="35405"/>
  <c r="D845" i="35405"/>
  <c r="D851" i="35405"/>
  <c r="D2673" i="35405"/>
  <c r="D2659" i="35405"/>
  <c r="D2666" i="35405"/>
  <c r="D2674" i="35405"/>
  <c r="D2655" i="35405"/>
  <c r="D2675" i="35405"/>
  <c r="D2668" i="35405"/>
  <c r="D2670" i="35405"/>
  <c r="D2676" i="35405"/>
  <c r="D2658" i="35405"/>
  <c r="D2677" i="35405"/>
  <c r="D2660" i="35405"/>
  <c r="D2671" i="35405"/>
  <c r="D2654" i="35405"/>
  <c r="D2669" i="35405"/>
  <c r="D2678" i="35405"/>
  <c r="D2656" i="35405"/>
  <c r="D2661" i="35405"/>
  <c r="D2657" i="35405"/>
  <c r="D2663" i="35405"/>
  <c r="D2672" i="35405"/>
  <c r="D2665" i="35405"/>
  <c r="D2679" i="35405"/>
  <c r="D2662" i="35405"/>
  <c r="D2664" i="35405"/>
  <c r="D2667" i="35405"/>
  <c r="C53" i="35017"/>
  <c r="C51" i="34986"/>
  <c r="FL51" i="35036"/>
  <c r="FT50" i="35036"/>
  <c r="F51" i="34984"/>
  <c r="CV50" i="35036"/>
  <c r="F51" i="34980"/>
  <c r="AY50" i="35036"/>
  <c r="H51" i="34980"/>
  <c r="M50" i="34980"/>
  <c r="E83" i="34980"/>
  <c r="AK82" i="35036"/>
  <c r="I51" i="34980"/>
  <c r="D51" i="34984"/>
  <c r="BX50" i="35036"/>
  <c r="F51" i="35017"/>
  <c r="M50" i="35017"/>
  <c r="K40" i="35062" l="1"/>
  <c r="D2688" i="35405"/>
  <c r="D2683" i="35405"/>
  <c r="D2697" i="35405"/>
  <c r="D2689" i="35405"/>
  <c r="D2694" i="35405"/>
  <c r="D2695" i="35405"/>
  <c r="D2682" i="35405"/>
  <c r="D2692" i="35405"/>
  <c r="D2703" i="35405"/>
  <c r="D2686" i="35405"/>
  <c r="D2684" i="35405"/>
  <c r="D2680" i="35405"/>
  <c r="D2681" i="35405"/>
  <c r="D2693" i="35405"/>
  <c r="D2700" i="35405"/>
  <c r="D2685" i="35405"/>
  <c r="D2687" i="35405"/>
  <c r="D2691" i="35405"/>
  <c r="D2698" i="35405"/>
  <c r="D2701" i="35405"/>
  <c r="D2696" i="35405"/>
  <c r="D2702" i="35405"/>
  <c r="D2699" i="35405"/>
  <c r="D2690" i="35405"/>
  <c r="D2704" i="35405"/>
  <c r="D2705" i="35405"/>
  <c r="J40" i="35062"/>
  <c r="D864" i="35405"/>
  <c r="D885" i="35405"/>
  <c r="D863" i="35405"/>
  <c r="D877" i="35405"/>
  <c r="D869" i="35405"/>
  <c r="D880" i="35405"/>
  <c r="D874" i="35405"/>
  <c r="D872" i="35405"/>
  <c r="D866" i="35405"/>
  <c r="D878" i="35405"/>
  <c r="D876" i="35405"/>
  <c r="D879" i="35405"/>
  <c r="D882" i="35405"/>
  <c r="D862" i="35405"/>
  <c r="D871" i="35405"/>
  <c r="D865" i="35405"/>
  <c r="D881" i="35405"/>
  <c r="D860" i="35405"/>
  <c r="D868" i="35405"/>
  <c r="D873" i="35405"/>
  <c r="D875" i="35405"/>
  <c r="D883" i="35405"/>
  <c r="D861" i="35405"/>
  <c r="D867" i="35405"/>
  <c r="D870" i="35405"/>
  <c r="D884" i="35405"/>
  <c r="D52" i="34984"/>
  <c r="BX51" i="35036"/>
  <c r="H52" i="34980"/>
  <c r="M51" i="34980"/>
  <c r="F52" i="34984"/>
  <c r="CV51" i="35036"/>
  <c r="F52" i="35017"/>
  <c r="M51" i="35017"/>
  <c r="I52" i="34980"/>
  <c r="E84" i="34980"/>
  <c r="M63" i="35391" s="1" a="1"/>
  <c r="M63" i="35391" s="1"/>
  <c r="N63" i="35391" s="1"/>
  <c r="O63" i="35391" s="1"/>
  <c r="AK83" i="35036"/>
  <c r="AD11" i="35036" a="1"/>
  <c r="F52" i="34980"/>
  <c r="AY51" i="35036"/>
  <c r="C52" i="34986"/>
  <c r="FL52" i="35036"/>
  <c r="FT51" i="35036"/>
  <c r="C54" i="35017"/>
  <c r="J41" i="35062" l="1"/>
  <c r="K41" i="35062"/>
  <c r="D904" i="35405"/>
  <c r="D890" i="35405"/>
  <c r="D886" i="35405"/>
  <c r="D896" i="35405"/>
  <c r="D889" i="35405"/>
  <c r="D893" i="35405"/>
  <c r="D902" i="35405"/>
  <c r="D897" i="35405"/>
  <c r="D905" i="35405"/>
  <c r="D909" i="35405"/>
  <c r="D895" i="35405"/>
  <c r="D892" i="35405"/>
  <c r="D888" i="35405"/>
  <c r="D906" i="35405"/>
  <c r="D908" i="35405"/>
  <c r="D903" i="35405"/>
  <c r="D898" i="35405"/>
  <c r="D911" i="35405"/>
  <c r="D887" i="35405"/>
  <c r="D894" i="35405"/>
  <c r="D910" i="35405"/>
  <c r="D907" i="35405"/>
  <c r="D891" i="35405"/>
  <c r="D900" i="35405"/>
  <c r="D901" i="35405"/>
  <c r="D899" i="35405"/>
  <c r="D2724" i="35405"/>
  <c r="D2723" i="35405"/>
  <c r="D2708" i="35405"/>
  <c r="D2726" i="35405"/>
  <c r="D2731" i="35405"/>
  <c r="D2707" i="35405"/>
  <c r="D2710" i="35405"/>
  <c r="D2709" i="35405"/>
  <c r="D2718" i="35405"/>
  <c r="D2722" i="35405"/>
  <c r="D2706" i="35405"/>
  <c r="D2719" i="35405"/>
  <c r="D2715" i="35405"/>
  <c r="D2728" i="35405"/>
  <c r="D2712" i="35405"/>
  <c r="D2711" i="35405"/>
  <c r="D2727" i="35405"/>
  <c r="D2730" i="35405"/>
  <c r="D2716" i="35405"/>
  <c r="D2717" i="35405"/>
  <c r="D2714" i="35405"/>
  <c r="D2721" i="35405"/>
  <c r="D2729" i="35405"/>
  <c r="D2720" i="35405"/>
  <c r="D2725" i="35405"/>
  <c r="D2713" i="35405"/>
  <c r="C55" i="35017"/>
  <c r="F53" i="34980"/>
  <c r="AY52" i="35036"/>
  <c r="AD11" i="35036"/>
  <c r="AD14" i="35036"/>
  <c r="AD16" i="35036"/>
  <c r="AD18" i="35036"/>
  <c r="AD20" i="35036"/>
  <c r="AD22" i="35036"/>
  <c r="AD24" i="35036"/>
  <c r="AD26" i="35036"/>
  <c r="AD28" i="35036"/>
  <c r="AD30" i="35036"/>
  <c r="AD32" i="35036"/>
  <c r="AD34" i="35036"/>
  <c r="AD36" i="35036"/>
  <c r="AD38" i="35036"/>
  <c r="AD40" i="35036"/>
  <c r="AD42" i="35036"/>
  <c r="AD44" i="35036"/>
  <c r="AD46" i="35036"/>
  <c r="AD48" i="35036"/>
  <c r="AD50" i="35036"/>
  <c r="AD52" i="35036"/>
  <c r="AD54" i="35036"/>
  <c r="AD56" i="35036"/>
  <c r="AD58" i="35036"/>
  <c r="AD60" i="35036"/>
  <c r="AD62" i="35036"/>
  <c r="AD64" i="35036"/>
  <c r="AD66" i="35036"/>
  <c r="AD68" i="35036"/>
  <c r="AD70" i="35036"/>
  <c r="AD72" i="35036"/>
  <c r="AD74" i="35036"/>
  <c r="AD76" i="35036"/>
  <c r="AD78" i="35036"/>
  <c r="AD80" i="35036"/>
  <c r="AD82" i="35036"/>
  <c r="AD84" i="35036"/>
  <c r="AD13" i="35036"/>
  <c r="AD15" i="35036"/>
  <c r="AD17" i="35036"/>
  <c r="AD19" i="35036"/>
  <c r="AD21" i="35036"/>
  <c r="AD23" i="35036"/>
  <c r="AD25" i="35036"/>
  <c r="AD27" i="35036"/>
  <c r="AD29" i="35036"/>
  <c r="AD31" i="35036"/>
  <c r="AD33" i="35036"/>
  <c r="AD35" i="35036"/>
  <c r="AD37" i="35036"/>
  <c r="AD39" i="35036"/>
  <c r="AD41" i="35036"/>
  <c r="AD43" i="35036"/>
  <c r="AD45" i="35036"/>
  <c r="AD47" i="35036"/>
  <c r="AD49" i="35036"/>
  <c r="AD51" i="35036"/>
  <c r="AD53" i="35036"/>
  <c r="AD55" i="35036"/>
  <c r="AD57" i="35036"/>
  <c r="AD59" i="35036"/>
  <c r="AD61" i="35036"/>
  <c r="AD63" i="35036"/>
  <c r="AD65" i="35036"/>
  <c r="AD67" i="35036"/>
  <c r="AD69" i="35036"/>
  <c r="AD71" i="35036"/>
  <c r="AD73" i="35036"/>
  <c r="AD75" i="35036"/>
  <c r="AD77" i="35036"/>
  <c r="AD79" i="35036"/>
  <c r="AD81" i="35036"/>
  <c r="AD83" i="35036"/>
  <c r="AD12" i="35036"/>
  <c r="AK84" i="35036"/>
  <c r="AL11" i="35036" a="1"/>
  <c r="F53" i="35017"/>
  <c r="M52" i="35017"/>
  <c r="H53" i="34980"/>
  <c r="M52" i="34980"/>
  <c r="D53" i="34984"/>
  <c r="BX52" i="35036"/>
  <c r="C53" i="34986"/>
  <c r="FL53" i="35036"/>
  <c r="FT52" i="35036"/>
  <c r="I53" i="34980"/>
  <c r="F53" i="34984"/>
  <c r="CV52" i="35036"/>
  <c r="AM11" i="35036" a="1"/>
  <c r="J42" i="35062" l="1"/>
  <c r="D2733" i="35405"/>
  <c r="D2732" i="35405"/>
  <c r="D2738" i="35405"/>
  <c r="D2753" i="35405"/>
  <c r="D2740" i="35405"/>
  <c r="D2744" i="35405"/>
  <c r="D2743" i="35405"/>
  <c r="D2735" i="35405"/>
  <c r="D2741" i="35405"/>
  <c r="D2754" i="35405"/>
  <c r="D2752" i="35405"/>
  <c r="D2748" i="35405"/>
  <c r="D2756" i="35405"/>
  <c r="D2755" i="35405"/>
  <c r="D2751" i="35405"/>
  <c r="D2746" i="35405"/>
  <c r="D2749" i="35405"/>
  <c r="D2757" i="35405"/>
  <c r="D2742" i="35405"/>
  <c r="D2747" i="35405"/>
  <c r="D2736" i="35405"/>
  <c r="D2734" i="35405"/>
  <c r="D2745" i="35405"/>
  <c r="D2739" i="35405"/>
  <c r="D2750" i="35405"/>
  <c r="D2737" i="35405"/>
  <c r="D930" i="35405"/>
  <c r="D915" i="35405"/>
  <c r="D936" i="35405"/>
  <c r="D918" i="35405"/>
  <c r="D933" i="35405"/>
  <c r="D921" i="35405"/>
  <c r="D917" i="35405"/>
  <c r="D913" i="35405"/>
  <c r="D912" i="35405"/>
  <c r="D920" i="35405"/>
  <c r="D935" i="35405"/>
  <c r="D916" i="35405"/>
  <c r="D932" i="35405"/>
  <c r="D928" i="35405"/>
  <c r="D922" i="35405"/>
  <c r="D919" i="35405"/>
  <c r="D924" i="35405"/>
  <c r="D934" i="35405"/>
  <c r="D937" i="35405"/>
  <c r="D927" i="35405"/>
  <c r="D931" i="35405"/>
  <c r="D926" i="35405"/>
  <c r="D925" i="35405"/>
  <c r="D929" i="35405"/>
  <c r="D923" i="35405"/>
  <c r="D914" i="35405"/>
  <c r="K42" i="35062"/>
  <c r="AM13" i="35036"/>
  <c r="AM14" i="35036"/>
  <c r="AM16" i="35036"/>
  <c r="AM18" i="35036"/>
  <c r="AM20" i="35036"/>
  <c r="AM22" i="35036"/>
  <c r="AM24" i="35036"/>
  <c r="AM26" i="35036"/>
  <c r="AM28" i="35036"/>
  <c r="AM30" i="35036"/>
  <c r="AM32" i="35036"/>
  <c r="AM34" i="35036"/>
  <c r="AM36" i="35036"/>
  <c r="AM38" i="35036"/>
  <c r="AM40" i="35036"/>
  <c r="AM42" i="35036"/>
  <c r="AM44" i="35036"/>
  <c r="AM46" i="35036"/>
  <c r="AM48" i="35036"/>
  <c r="AM50" i="35036"/>
  <c r="AM52" i="35036"/>
  <c r="AM54" i="35036"/>
  <c r="AM56" i="35036"/>
  <c r="AM58" i="35036"/>
  <c r="AM60" i="35036"/>
  <c r="AM62" i="35036"/>
  <c r="AM64" i="35036"/>
  <c r="AM66" i="35036"/>
  <c r="AM68" i="35036"/>
  <c r="AM70" i="35036"/>
  <c r="AM72" i="35036"/>
  <c r="AM74" i="35036"/>
  <c r="AM76" i="35036"/>
  <c r="AM78" i="35036"/>
  <c r="AM80" i="35036"/>
  <c r="AM82" i="35036"/>
  <c r="AM84" i="35036"/>
  <c r="AM11" i="35036"/>
  <c r="AM12" i="35036"/>
  <c r="AM15" i="35036"/>
  <c r="AM17" i="35036"/>
  <c r="AM19" i="35036"/>
  <c r="AM21" i="35036"/>
  <c r="AM23" i="35036"/>
  <c r="AM25" i="35036"/>
  <c r="AM27" i="35036"/>
  <c r="AM29" i="35036"/>
  <c r="AM31" i="35036"/>
  <c r="AM33" i="35036"/>
  <c r="AM35" i="35036"/>
  <c r="AM37" i="35036"/>
  <c r="AM39" i="35036"/>
  <c r="AM41" i="35036"/>
  <c r="AM43" i="35036"/>
  <c r="AM45" i="35036"/>
  <c r="AM47" i="35036"/>
  <c r="AM49" i="35036"/>
  <c r="AM51" i="35036"/>
  <c r="AM53" i="35036"/>
  <c r="AM55" i="35036"/>
  <c r="AM57" i="35036"/>
  <c r="AM59" i="35036"/>
  <c r="AM61" i="35036"/>
  <c r="AM63" i="35036"/>
  <c r="AM65" i="35036"/>
  <c r="AM67" i="35036"/>
  <c r="AM69" i="35036"/>
  <c r="AM71" i="35036"/>
  <c r="AM73" i="35036"/>
  <c r="AM75" i="35036"/>
  <c r="AM77" i="35036"/>
  <c r="AM79" i="35036"/>
  <c r="AM81" i="35036"/>
  <c r="AM83" i="35036"/>
  <c r="I54" i="34980"/>
  <c r="H54" i="34980"/>
  <c r="M53" i="34980"/>
  <c r="AF11" i="35036" a="1"/>
  <c r="F54" i="34980"/>
  <c r="AY53" i="35036"/>
  <c r="C56" i="35017"/>
  <c r="F54" i="34984"/>
  <c r="CV53" i="35036"/>
  <c r="C54" i="34986"/>
  <c r="FL54" i="35036"/>
  <c r="FT53" i="35036"/>
  <c r="D54" i="34984"/>
  <c r="BX53" i="35036"/>
  <c r="F54" i="35017"/>
  <c r="M53" i="35017"/>
  <c r="AL14" i="35036"/>
  <c r="AL30" i="35036"/>
  <c r="AL46" i="35036"/>
  <c r="AL62" i="35036"/>
  <c r="AL78" i="35036"/>
  <c r="AL19" i="35036"/>
  <c r="AL35" i="35036"/>
  <c r="AL51" i="35036"/>
  <c r="AL67" i="35036"/>
  <c r="AL83" i="35036"/>
  <c r="AL24" i="35036"/>
  <c r="AL40" i="35036"/>
  <c r="AL56" i="35036"/>
  <c r="AL72" i="35036"/>
  <c r="AL13" i="35036"/>
  <c r="AL29" i="35036"/>
  <c r="AL45" i="35036"/>
  <c r="AL61" i="35036"/>
  <c r="AL77" i="35036"/>
  <c r="AL26" i="35036"/>
  <c r="AL42" i="35036"/>
  <c r="AL58" i="35036"/>
  <c r="AL74" i="35036"/>
  <c r="AL15" i="35036"/>
  <c r="AL31" i="35036"/>
  <c r="AL47" i="35036"/>
  <c r="AL63" i="35036"/>
  <c r="AL79" i="35036"/>
  <c r="AL20" i="35036"/>
  <c r="AL36" i="35036"/>
  <c r="AL52" i="35036"/>
  <c r="AL68" i="35036"/>
  <c r="AL84" i="35036"/>
  <c r="AL25" i="35036"/>
  <c r="AL41" i="35036"/>
  <c r="AL57" i="35036"/>
  <c r="AL73" i="35036"/>
  <c r="AL22" i="35036"/>
  <c r="AL38" i="35036"/>
  <c r="AL54" i="35036"/>
  <c r="AL70" i="35036"/>
  <c r="AL12" i="35036"/>
  <c r="AL27" i="35036"/>
  <c r="AL43" i="35036"/>
  <c r="AL59" i="35036"/>
  <c r="AL75" i="35036"/>
  <c r="AL16" i="35036"/>
  <c r="AL32" i="35036"/>
  <c r="AL48" i="35036"/>
  <c r="AL64" i="35036"/>
  <c r="AL80" i="35036"/>
  <c r="AL21" i="35036"/>
  <c r="AL37" i="35036"/>
  <c r="AL53" i="35036"/>
  <c r="AL69" i="35036"/>
  <c r="AL18" i="35036"/>
  <c r="AL34" i="35036"/>
  <c r="AL50" i="35036"/>
  <c r="AL66" i="35036"/>
  <c r="AL82" i="35036"/>
  <c r="AL23" i="35036"/>
  <c r="AL39" i="35036"/>
  <c r="AL55" i="35036"/>
  <c r="AL71" i="35036"/>
  <c r="AL11" i="35036"/>
  <c r="AL28" i="35036"/>
  <c r="AL44" i="35036"/>
  <c r="AL60" i="35036"/>
  <c r="AL76" i="35036"/>
  <c r="AL17" i="35036"/>
  <c r="AL33" i="35036"/>
  <c r="AL49" i="35036"/>
  <c r="AL65" i="35036"/>
  <c r="AL81" i="35036"/>
  <c r="D2769" i="35405" l="1"/>
  <c r="D2770" i="35405"/>
  <c r="D2766" i="35405"/>
  <c r="D2762" i="35405"/>
  <c r="D2778" i="35405"/>
  <c r="D2768" i="35405"/>
  <c r="D2763" i="35405"/>
  <c r="D2771" i="35405"/>
  <c r="D2783" i="35405"/>
  <c r="D2776" i="35405"/>
  <c r="D2758" i="35405"/>
  <c r="D2767" i="35405"/>
  <c r="D2765" i="35405"/>
  <c r="D2775" i="35405"/>
  <c r="D2782" i="35405"/>
  <c r="D2781" i="35405"/>
  <c r="D2759" i="35405"/>
  <c r="D2777" i="35405"/>
  <c r="D2764" i="35405"/>
  <c r="D2761" i="35405"/>
  <c r="D2760" i="35405"/>
  <c r="D2773" i="35405"/>
  <c r="D2772" i="35405"/>
  <c r="D2779" i="35405"/>
  <c r="D2780" i="35405"/>
  <c r="D2774" i="35405"/>
  <c r="D949" i="35405"/>
  <c r="D942" i="35405"/>
  <c r="D960" i="35405"/>
  <c r="D955" i="35405"/>
  <c r="D954" i="35405"/>
  <c r="D938" i="35405"/>
  <c r="D958" i="35405"/>
  <c r="D941" i="35405"/>
  <c r="D957" i="35405"/>
  <c r="D945" i="35405"/>
  <c r="D944" i="35405"/>
  <c r="D952" i="35405"/>
  <c r="D956" i="35405"/>
  <c r="D948" i="35405"/>
  <c r="D950" i="35405"/>
  <c r="D947" i="35405"/>
  <c r="D962" i="35405"/>
  <c r="D961" i="35405"/>
  <c r="D946" i="35405"/>
  <c r="D940" i="35405"/>
  <c r="D953" i="35405"/>
  <c r="D959" i="35405"/>
  <c r="D963" i="35405"/>
  <c r="D943" i="35405"/>
  <c r="D939" i="35405"/>
  <c r="D951" i="35405"/>
  <c r="J43" i="35062"/>
  <c r="K43" i="35062"/>
  <c r="F55" i="35017"/>
  <c r="M54" i="35017"/>
  <c r="D55" i="34984"/>
  <c r="BX54" i="35036"/>
  <c r="F55" i="34984"/>
  <c r="CV54" i="35036"/>
  <c r="C57" i="35017"/>
  <c r="C55" i="34986"/>
  <c r="FL55" i="35036"/>
  <c r="FT54" i="35036"/>
  <c r="F55" i="34980"/>
  <c r="AY54" i="35036"/>
  <c r="AF79" i="35036"/>
  <c r="AF29" i="35036"/>
  <c r="AF24" i="35036"/>
  <c r="AF45" i="35036"/>
  <c r="AF64" i="35036"/>
  <c r="AF65" i="35036"/>
  <c r="AF39" i="35036"/>
  <c r="AF33" i="35036"/>
  <c r="AF46" i="35036"/>
  <c r="AF67" i="35036"/>
  <c r="AF69" i="35036"/>
  <c r="AF54" i="35036"/>
  <c r="AF76" i="35036"/>
  <c r="AF59" i="35036"/>
  <c r="AF44" i="35036"/>
  <c r="AF25" i="35036"/>
  <c r="AF62" i="35036"/>
  <c r="AF51" i="35036"/>
  <c r="AF72" i="35036"/>
  <c r="AF17" i="35036"/>
  <c r="AF12" i="35036"/>
  <c r="AF27" i="35036"/>
  <c r="AF22" i="35036"/>
  <c r="AF68" i="35036"/>
  <c r="AF50" i="35036"/>
  <c r="AF52" i="35036"/>
  <c r="AF84" i="35036"/>
  <c r="AF28" i="35036"/>
  <c r="AF61" i="35036"/>
  <c r="AF81" i="35036"/>
  <c r="AF47" i="35036"/>
  <c r="AF80" i="35036"/>
  <c r="AF63" i="35036"/>
  <c r="AF40" i="35036"/>
  <c r="AF11" i="35036"/>
  <c r="AF37" i="35036"/>
  <c r="AF38" i="35036"/>
  <c r="AF66" i="35036"/>
  <c r="AF14" i="35036"/>
  <c r="AF41" i="35036"/>
  <c r="AF32" i="35036"/>
  <c r="AF53" i="35036"/>
  <c r="AF60" i="35036"/>
  <c r="AF57" i="35036"/>
  <c r="AF71" i="35036"/>
  <c r="AF16" i="35036"/>
  <c r="AF31" i="35036"/>
  <c r="AF78" i="35036"/>
  <c r="AF56" i="35036"/>
  <c r="AF20" i="35036"/>
  <c r="AF15" i="35036"/>
  <c r="AF21" i="35036"/>
  <c r="AF13" i="35036"/>
  <c r="AF43" i="35036"/>
  <c r="AF74" i="35036"/>
  <c r="AF19" i="35036"/>
  <c r="AF82" i="35036"/>
  <c r="AF30" i="35036"/>
  <c r="AF55" i="35036"/>
  <c r="AF35" i="35036"/>
  <c r="AF73" i="35036"/>
  <c r="AF70" i="35036"/>
  <c r="AF58" i="35036"/>
  <c r="AF18" i="35036"/>
  <c r="AF49" i="35036"/>
  <c r="AF26" i="35036"/>
  <c r="AF75" i="35036"/>
  <c r="AF34" i="35036"/>
  <c r="AF48" i="35036"/>
  <c r="AF83" i="35036"/>
  <c r="AF23" i="35036"/>
  <c r="AF42" i="35036"/>
  <c r="AF36" i="35036"/>
  <c r="AF77" i="35036"/>
  <c r="H55" i="34980"/>
  <c r="M54" i="34980"/>
  <c r="I55" i="34980"/>
  <c r="D2809" i="35405" l="1"/>
  <c r="D2784" i="35405"/>
  <c r="D2802" i="35405"/>
  <c r="D2808" i="35405"/>
  <c r="D2806" i="35405"/>
  <c r="D2787" i="35405"/>
  <c r="D2800" i="35405"/>
  <c r="D2792" i="35405"/>
  <c r="D2797" i="35405"/>
  <c r="D2798" i="35405"/>
  <c r="D2804" i="35405"/>
  <c r="D2799" i="35405"/>
  <c r="D2795" i="35405"/>
  <c r="D2790" i="35405"/>
  <c r="D2794" i="35405"/>
  <c r="D2803" i="35405"/>
  <c r="D2791" i="35405"/>
  <c r="D2807" i="35405"/>
  <c r="D2801" i="35405"/>
  <c r="D2789" i="35405"/>
  <c r="D2788" i="35405"/>
  <c r="D2786" i="35405"/>
  <c r="D2793" i="35405"/>
  <c r="D2785" i="35405"/>
  <c r="D2805" i="35405"/>
  <c r="D2796" i="35405"/>
  <c r="J44" i="35062"/>
  <c r="D975" i="35405"/>
  <c r="D978" i="35405"/>
  <c r="D964" i="35405"/>
  <c r="D965" i="35405"/>
  <c r="D977" i="35405"/>
  <c r="D986" i="35405"/>
  <c r="D983" i="35405"/>
  <c r="D968" i="35405"/>
  <c r="D971" i="35405"/>
  <c r="D979" i="35405"/>
  <c r="D976" i="35405"/>
  <c r="D970" i="35405"/>
  <c r="D982" i="35405"/>
  <c r="D973" i="35405"/>
  <c r="D969" i="35405"/>
  <c r="D980" i="35405"/>
  <c r="D984" i="35405"/>
  <c r="D974" i="35405"/>
  <c r="D972" i="35405"/>
  <c r="D988" i="35405"/>
  <c r="D981" i="35405"/>
  <c r="D989" i="35405"/>
  <c r="D985" i="35405"/>
  <c r="D966" i="35405"/>
  <c r="D987" i="35405"/>
  <c r="D967" i="35405"/>
  <c r="K44" i="35062"/>
  <c r="AH11" i="35036" a="1"/>
  <c r="AI11" i="35036" a="1"/>
  <c r="AG11" i="35036" a="1"/>
  <c r="H56" i="34980"/>
  <c r="M55" i="34980"/>
  <c r="C56" i="34986"/>
  <c r="FL56" i="35036"/>
  <c r="FT55" i="35036"/>
  <c r="C58" i="35017"/>
  <c r="D56" i="34984"/>
  <c r="BX55" i="35036"/>
  <c r="F56" i="35017"/>
  <c r="M55" i="35017"/>
  <c r="I56" i="34980"/>
  <c r="F56" i="34980"/>
  <c r="AY55" i="35036"/>
  <c r="F56" i="34984"/>
  <c r="CV55" i="35036"/>
  <c r="D1007" i="35405" l="1"/>
  <c r="D992" i="35405"/>
  <c r="D1002" i="35405"/>
  <c r="D991" i="35405"/>
  <c r="D1003" i="35405"/>
  <c r="D1008" i="35405"/>
  <c r="D1011" i="35405"/>
  <c r="D996" i="35405"/>
  <c r="D999" i="35405"/>
  <c r="D990" i="35405"/>
  <c r="D1004" i="35405"/>
  <c r="D1009" i="35405"/>
  <c r="D995" i="35405"/>
  <c r="D1005" i="35405"/>
  <c r="D1012" i="35405"/>
  <c r="D1015" i="35405"/>
  <c r="D994" i="35405"/>
  <c r="D1013" i="35405"/>
  <c r="D1001" i="35405"/>
  <c r="D1000" i="35405"/>
  <c r="D998" i="35405"/>
  <c r="D1006" i="35405"/>
  <c r="D993" i="35405"/>
  <c r="D1010" i="35405"/>
  <c r="D1014" i="35405"/>
  <c r="D997" i="35405"/>
  <c r="D2835" i="35405"/>
  <c r="D2820" i="35405"/>
  <c r="D2812" i="35405"/>
  <c r="D2834" i="35405"/>
  <c r="D2819" i="35405"/>
  <c r="D2828" i="35405"/>
  <c r="D2816" i="35405"/>
  <c r="D2818" i="35405"/>
  <c r="D2823" i="35405"/>
  <c r="D2824" i="35405"/>
  <c r="D2822" i="35405"/>
  <c r="D2813" i="35405"/>
  <c r="D2825" i="35405"/>
  <c r="D2815" i="35405"/>
  <c r="D2826" i="35405"/>
  <c r="D2833" i="35405"/>
  <c r="D2814" i="35405"/>
  <c r="D2832" i="35405"/>
  <c r="D2831" i="35405"/>
  <c r="D2830" i="35405"/>
  <c r="D2829" i="35405"/>
  <c r="D2817" i="35405"/>
  <c r="D2811" i="35405"/>
  <c r="D2827" i="35405"/>
  <c r="D2810" i="35405"/>
  <c r="D2821" i="35405"/>
  <c r="K45" i="35062"/>
  <c r="J45" i="35062"/>
  <c r="F57" i="34984"/>
  <c r="CV56" i="35036"/>
  <c r="F57" i="34980"/>
  <c r="AY56" i="35036"/>
  <c r="I57" i="34980"/>
  <c r="D57" i="34984"/>
  <c r="BX56" i="35036"/>
  <c r="C59" i="35017"/>
  <c r="H57" i="34980"/>
  <c r="M56" i="34980"/>
  <c r="AG73" i="35036"/>
  <c r="AG12" i="35036"/>
  <c r="AG84" i="35036"/>
  <c r="AG48" i="35036"/>
  <c r="AG14" i="35036"/>
  <c r="AG44" i="35036"/>
  <c r="AG37" i="35036"/>
  <c r="AG26" i="35036"/>
  <c r="AG53" i="35036"/>
  <c r="AG17" i="35036"/>
  <c r="AG55" i="35036"/>
  <c r="AG13" i="35036"/>
  <c r="AG16" i="35036"/>
  <c r="AG50" i="35036"/>
  <c r="AG75" i="35036"/>
  <c r="AG45" i="35036"/>
  <c r="AG64" i="35036"/>
  <c r="AG74" i="35036"/>
  <c r="AG35" i="35036"/>
  <c r="AG18" i="35036"/>
  <c r="AG19" i="35036"/>
  <c r="AG30" i="35036"/>
  <c r="AG39" i="35036"/>
  <c r="AG62" i="35036"/>
  <c r="AG68" i="35036"/>
  <c r="AG81" i="35036"/>
  <c r="AG83" i="35036"/>
  <c r="AG38" i="35036"/>
  <c r="AG21" i="35036"/>
  <c r="AG22" i="35036"/>
  <c r="AG57" i="35036"/>
  <c r="AG41" i="35036"/>
  <c r="AG61" i="35036"/>
  <c r="AG34" i="35036"/>
  <c r="AG79" i="35036"/>
  <c r="AG33" i="35036"/>
  <c r="AG67" i="35036"/>
  <c r="AG65" i="35036"/>
  <c r="AG29" i="35036"/>
  <c r="AG51" i="35036"/>
  <c r="AG56" i="35036"/>
  <c r="AG43" i="35036"/>
  <c r="AG77" i="35036"/>
  <c r="AG49" i="35036"/>
  <c r="AG66" i="35036"/>
  <c r="AG78" i="35036"/>
  <c r="AG36" i="35036"/>
  <c r="AG58" i="35036"/>
  <c r="AG70" i="35036"/>
  <c r="AG80" i="35036"/>
  <c r="AG69" i="35036"/>
  <c r="AG72" i="35036"/>
  <c r="AG28" i="35036"/>
  <c r="AG40" i="35036"/>
  <c r="AG52" i="35036"/>
  <c r="AG47" i="35036"/>
  <c r="AG20" i="35036"/>
  <c r="AG76" i="35036"/>
  <c r="AG11" i="35036"/>
  <c r="AG27" i="35036"/>
  <c r="AG54" i="35036"/>
  <c r="AG15" i="35036"/>
  <c r="AG63" i="35036"/>
  <c r="AG32" i="35036"/>
  <c r="AG31" i="35036"/>
  <c r="AG42" i="35036"/>
  <c r="AG82" i="35036"/>
  <c r="AG23" i="35036"/>
  <c r="AG46" i="35036"/>
  <c r="AG59" i="35036"/>
  <c r="AG71" i="35036"/>
  <c r="AG24" i="35036"/>
  <c r="AG60" i="35036"/>
  <c r="AG25" i="35036"/>
  <c r="AH33" i="35036"/>
  <c r="AH14" i="35036"/>
  <c r="AH21" i="35036"/>
  <c r="AH80" i="35036"/>
  <c r="AH64" i="35036"/>
  <c r="AH15" i="35036"/>
  <c r="AH57" i="35036"/>
  <c r="AH71" i="35036"/>
  <c r="AH11" i="35036"/>
  <c r="AH48" i="35036"/>
  <c r="AH52" i="35036"/>
  <c r="AH55" i="35036"/>
  <c r="AH75" i="35036"/>
  <c r="AH18" i="35036"/>
  <c r="AH84" i="35036"/>
  <c r="AH20" i="35036"/>
  <c r="AH53" i="35036"/>
  <c r="AH50" i="35036"/>
  <c r="AH45" i="35036"/>
  <c r="AH70" i="35036"/>
  <c r="AH17" i="35036"/>
  <c r="AH82" i="35036"/>
  <c r="AH26" i="35036"/>
  <c r="AH51" i="35036"/>
  <c r="AH61" i="35036"/>
  <c r="AH67" i="35036"/>
  <c r="AH83" i="35036"/>
  <c r="AH25" i="35036"/>
  <c r="AH36" i="35036"/>
  <c r="AH47" i="35036"/>
  <c r="AH59" i="35036"/>
  <c r="AH13" i="35036"/>
  <c r="AH72" i="35036"/>
  <c r="AH76" i="35036"/>
  <c r="AH29" i="35036"/>
  <c r="AH42" i="35036"/>
  <c r="AH62" i="35036"/>
  <c r="AH74" i="35036"/>
  <c r="AH69" i="35036"/>
  <c r="AH16" i="35036"/>
  <c r="AH63" i="35036"/>
  <c r="AH58" i="35036"/>
  <c r="AH37" i="35036"/>
  <c r="AH41" i="35036"/>
  <c r="AH77" i="35036"/>
  <c r="AH44" i="35036"/>
  <c r="AH35" i="35036"/>
  <c r="AH19" i="35036"/>
  <c r="AH40" i="35036"/>
  <c r="AH46" i="35036"/>
  <c r="AH38" i="35036"/>
  <c r="AH79" i="35036"/>
  <c r="AH54" i="35036"/>
  <c r="AH32" i="35036"/>
  <c r="AH34" i="35036"/>
  <c r="AH73" i="35036"/>
  <c r="AH65" i="35036"/>
  <c r="AH43" i="35036"/>
  <c r="AH39" i="35036"/>
  <c r="AH60" i="35036"/>
  <c r="AH66" i="35036"/>
  <c r="AH49" i="35036"/>
  <c r="AH31" i="35036"/>
  <c r="AH81" i="35036"/>
  <c r="AH24" i="35036"/>
  <c r="AH28" i="35036"/>
  <c r="AH27" i="35036"/>
  <c r="AH56" i="35036"/>
  <c r="AH78" i="35036"/>
  <c r="AH68" i="35036"/>
  <c r="AH30" i="35036"/>
  <c r="AH23" i="35036"/>
  <c r="AH12" i="35036"/>
  <c r="AH22" i="35036"/>
  <c r="F57" i="35017"/>
  <c r="M56" i="35017"/>
  <c r="C57" i="34986"/>
  <c r="FL57" i="35036"/>
  <c r="FT56" i="35036"/>
  <c r="AI69" i="35036"/>
  <c r="AI31" i="35036"/>
  <c r="AI52" i="35036"/>
  <c r="AI14" i="35036"/>
  <c r="AI56" i="35036"/>
  <c r="AI64" i="35036"/>
  <c r="AI59" i="35036"/>
  <c r="AI21" i="35036"/>
  <c r="AI58" i="35036"/>
  <c r="AI80" i="35036"/>
  <c r="AI42" i="35036"/>
  <c r="AI20" i="35036"/>
  <c r="AI33" i="35036"/>
  <c r="AI65" i="35036"/>
  <c r="AI57" i="35036"/>
  <c r="AI84" i="35036"/>
  <c r="AI28" i="35036"/>
  <c r="AI81" i="35036"/>
  <c r="AI50" i="35036"/>
  <c r="AI55" i="35036"/>
  <c r="AI13" i="35036"/>
  <c r="AI23" i="35036"/>
  <c r="AI36" i="35036"/>
  <c r="AI35" i="35036"/>
  <c r="AI25" i="35036"/>
  <c r="AI45" i="35036"/>
  <c r="AI63" i="35036"/>
  <c r="AI51" i="35036"/>
  <c r="AI16" i="35036"/>
  <c r="AI12" i="35036"/>
  <c r="AI60" i="35036"/>
  <c r="AI43" i="35036"/>
  <c r="AI22" i="35036"/>
  <c r="AI77" i="35036"/>
  <c r="AI19" i="35036"/>
  <c r="AI68" i="35036"/>
  <c r="AI61" i="35036"/>
  <c r="AI54" i="35036"/>
  <c r="AI71" i="35036"/>
  <c r="AI18" i="35036"/>
  <c r="AI49" i="35036"/>
  <c r="AI17" i="35036"/>
  <c r="AI75" i="35036"/>
  <c r="AI79" i="35036"/>
  <c r="AI78" i="35036"/>
  <c r="AI83" i="35036"/>
  <c r="AI26" i="35036"/>
  <c r="AI11" i="35036"/>
  <c r="AI74" i="35036"/>
  <c r="AI40" i="35036"/>
  <c r="AI47" i="35036"/>
  <c r="AI66" i="35036"/>
  <c r="AI38" i="35036"/>
  <c r="AI62" i="35036"/>
  <c r="AI39" i="35036"/>
  <c r="AI41" i="35036"/>
  <c r="AI15" i="35036"/>
  <c r="AI34" i="35036"/>
  <c r="AI48" i="35036"/>
  <c r="AI44" i="35036"/>
  <c r="AI24" i="35036"/>
  <c r="AI82" i="35036"/>
  <c r="AI32" i="35036"/>
  <c r="AI29" i="35036"/>
  <c r="AI72" i="35036"/>
  <c r="AI30" i="35036"/>
  <c r="AI37" i="35036"/>
  <c r="AI53" i="35036"/>
  <c r="AI70" i="35036"/>
  <c r="AI27" i="35036"/>
  <c r="AI73" i="35036"/>
  <c r="AI67" i="35036"/>
  <c r="AI46" i="35036"/>
  <c r="AI76" i="35036"/>
  <c r="D1040" i="35405" l="1"/>
  <c r="D1035" i="35405"/>
  <c r="D1041" i="35405"/>
  <c r="D1027" i="35405"/>
  <c r="D1019" i="35405"/>
  <c r="D1032" i="35405"/>
  <c r="D1029" i="35405"/>
  <c r="D1036" i="35405"/>
  <c r="D1037" i="35405"/>
  <c r="D1018" i="35405"/>
  <c r="D1024" i="35405"/>
  <c r="D1038" i="35405"/>
  <c r="D1020" i="35405"/>
  <c r="D1017" i="35405"/>
  <c r="D1023" i="35405"/>
  <c r="D1021" i="35405"/>
  <c r="D1031" i="35405"/>
  <c r="D1030" i="35405"/>
  <c r="D1039" i="35405"/>
  <c r="D1025" i="35405"/>
  <c r="D1033" i="35405"/>
  <c r="D1034" i="35405"/>
  <c r="D1026" i="35405"/>
  <c r="D1022" i="35405"/>
  <c r="D1028" i="35405"/>
  <c r="D1016" i="35405"/>
  <c r="D2846" i="35405"/>
  <c r="D2852" i="35405"/>
  <c r="D2841" i="35405"/>
  <c r="D2859" i="35405"/>
  <c r="D2853" i="35405"/>
  <c r="D2847" i="35405"/>
  <c r="D2848" i="35405"/>
  <c r="D2851" i="35405"/>
  <c r="D2856" i="35405"/>
  <c r="D2860" i="35405"/>
  <c r="D2850" i="35405"/>
  <c r="D2845" i="35405"/>
  <c r="D2849" i="35405"/>
  <c r="D2838" i="35405"/>
  <c r="D2855" i="35405"/>
  <c r="D2844" i="35405"/>
  <c r="D2840" i="35405"/>
  <c r="D2857" i="35405"/>
  <c r="D2861" i="35405"/>
  <c r="D2854" i="35405"/>
  <c r="D2858" i="35405"/>
  <c r="D2836" i="35405"/>
  <c r="D2842" i="35405"/>
  <c r="D2837" i="35405"/>
  <c r="D2843" i="35405"/>
  <c r="D2839" i="35405"/>
  <c r="J46" i="35062"/>
  <c r="K46" i="35062"/>
  <c r="AN11" i="35036" a="1"/>
  <c r="D58" i="34984"/>
  <c r="BX57" i="35036"/>
  <c r="I58" i="34980"/>
  <c r="F58" i="34980"/>
  <c r="AY57" i="35036"/>
  <c r="C58" i="34986"/>
  <c r="FT57" i="35036"/>
  <c r="FL58" i="35036"/>
  <c r="F58" i="35017"/>
  <c r="M57" i="35017"/>
  <c r="H58" i="34980"/>
  <c r="M57" i="34980"/>
  <c r="C60" i="35017"/>
  <c r="F58" i="34984"/>
  <c r="CV57" i="35036"/>
  <c r="D1051" i="35405" l="1"/>
  <c r="D1049" i="35405"/>
  <c r="D1056" i="35405"/>
  <c r="D1042" i="35405"/>
  <c r="D1062" i="35405"/>
  <c r="D1058" i="35405"/>
  <c r="D1066" i="35405"/>
  <c r="D1059" i="35405"/>
  <c r="D1048" i="35405"/>
  <c r="D1063" i="35405"/>
  <c r="D1065" i="35405"/>
  <c r="D1050" i="35405"/>
  <c r="D1043" i="35405"/>
  <c r="D1060" i="35405"/>
  <c r="D1046" i="35405"/>
  <c r="D1064" i="35405"/>
  <c r="D1045" i="35405"/>
  <c r="D1055" i="35405"/>
  <c r="D1067" i="35405"/>
  <c r="D1052" i="35405"/>
  <c r="D1054" i="35405"/>
  <c r="D1057" i="35405"/>
  <c r="D1061" i="35405"/>
  <c r="D1053" i="35405"/>
  <c r="D1044" i="35405"/>
  <c r="D1047" i="35405"/>
  <c r="J47" i="35062"/>
  <c r="K47" i="35062"/>
  <c r="D2880" i="35405"/>
  <c r="D2887" i="35405"/>
  <c r="D2871" i="35405"/>
  <c r="D2879" i="35405"/>
  <c r="D2886" i="35405"/>
  <c r="D2884" i="35405"/>
  <c r="D2869" i="35405"/>
  <c r="D2864" i="35405"/>
  <c r="D2870" i="35405"/>
  <c r="D2874" i="35405"/>
  <c r="D2868" i="35405"/>
  <c r="D2872" i="35405"/>
  <c r="D2865" i="35405"/>
  <c r="D2867" i="35405"/>
  <c r="D2877" i="35405"/>
  <c r="D2885" i="35405"/>
  <c r="D2883" i="35405"/>
  <c r="D2878" i="35405"/>
  <c r="D2866" i="35405"/>
  <c r="D2863" i="35405"/>
  <c r="D2881" i="35405"/>
  <c r="D2882" i="35405"/>
  <c r="D2862" i="35405"/>
  <c r="D2876" i="35405"/>
  <c r="D2873" i="35405"/>
  <c r="D2875" i="35405"/>
  <c r="F59" i="34984"/>
  <c r="CV58" i="35036"/>
  <c r="H59" i="34980"/>
  <c r="M58" i="34980"/>
  <c r="C59" i="34986"/>
  <c r="FL59" i="35036"/>
  <c r="FT58" i="35036"/>
  <c r="C61" i="35017"/>
  <c r="F59" i="35017"/>
  <c r="M58" i="35017"/>
  <c r="F59" i="34980"/>
  <c r="AY58" i="35036"/>
  <c r="I59" i="34980"/>
  <c r="D59" i="34984"/>
  <c r="BX58" i="35036"/>
  <c r="AN36" i="35036"/>
  <c r="AN66" i="35036"/>
  <c r="AN22" i="35036"/>
  <c r="AN48" i="35036"/>
  <c r="AN68" i="35036"/>
  <c r="AN31" i="35036"/>
  <c r="AN75" i="35036"/>
  <c r="AN12" i="35036"/>
  <c r="AN33" i="35036"/>
  <c r="AN49" i="35036"/>
  <c r="AN70" i="35036"/>
  <c r="AN55" i="35036"/>
  <c r="AN11" i="35036"/>
  <c r="AN17" i="35036"/>
  <c r="AN59" i="35036"/>
  <c r="AN32" i="35036"/>
  <c r="AN42" i="35036"/>
  <c r="AN65" i="35036"/>
  <c r="AN20" i="35036"/>
  <c r="AN69" i="35036"/>
  <c r="AN45" i="35036"/>
  <c r="AN67" i="35036"/>
  <c r="AN77" i="35036"/>
  <c r="AN30" i="35036"/>
  <c r="AN52" i="35036"/>
  <c r="AN24" i="35036"/>
  <c r="AN34" i="35036"/>
  <c r="AN16" i="35036"/>
  <c r="AN80" i="35036"/>
  <c r="AN63" i="35036"/>
  <c r="AN25" i="35036"/>
  <c r="AN43" i="35036"/>
  <c r="AN21" i="35036"/>
  <c r="AN37" i="35036"/>
  <c r="AN13" i="35036"/>
  <c r="AN71" i="35036"/>
  <c r="AN64" i="35036"/>
  <c r="AN29" i="35036"/>
  <c r="AN78" i="35036"/>
  <c r="AN81" i="35036"/>
  <c r="AN51" i="35036"/>
  <c r="AN41" i="35036"/>
  <c r="AN44" i="35036"/>
  <c r="AN26" i="35036"/>
  <c r="AN72" i="35036"/>
  <c r="AN74" i="35036"/>
  <c r="AN40" i="35036"/>
  <c r="AN46" i="35036"/>
  <c r="AN18" i="35036"/>
  <c r="AN83" i="35036"/>
  <c r="AN79" i="35036"/>
  <c r="AN15" i="35036"/>
  <c r="AN39" i="35036"/>
  <c r="AN54" i="35036"/>
  <c r="AN19" i="35036"/>
  <c r="AN58" i="35036"/>
  <c r="AN38" i="35036"/>
  <c r="AN53" i="35036"/>
  <c r="AN61" i="35036"/>
  <c r="AN14" i="35036"/>
  <c r="AN23" i="35036"/>
  <c r="AN27" i="35036"/>
  <c r="AN82" i="35036"/>
  <c r="AN47" i="35036"/>
  <c r="AN50" i="35036"/>
  <c r="AN73" i="35036"/>
  <c r="AN62" i="35036"/>
  <c r="AN35" i="35036"/>
  <c r="AN76" i="35036"/>
  <c r="AN60" i="35036"/>
  <c r="AN56" i="35036"/>
  <c r="AN28" i="35036"/>
  <c r="AN57" i="35036"/>
  <c r="AN84" i="35036"/>
  <c r="K48" i="35062" l="1"/>
  <c r="J48" i="35062"/>
  <c r="D1076" i="35405"/>
  <c r="D1089" i="35405"/>
  <c r="D1090" i="35405"/>
  <c r="D1068" i="35405"/>
  <c r="D1078" i="35405"/>
  <c r="D1082" i="35405"/>
  <c r="D1087" i="35405"/>
  <c r="D1085" i="35405"/>
  <c r="D1077" i="35405"/>
  <c r="D1080" i="35405"/>
  <c r="D1092" i="35405"/>
  <c r="D1071" i="35405"/>
  <c r="D1091" i="35405"/>
  <c r="D1075" i="35405"/>
  <c r="D1070" i="35405"/>
  <c r="D1088" i="35405"/>
  <c r="D1093" i="35405"/>
  <c r="D1072" i="35405"/>
  <c r="D1083" i="35405"/>
  <c r="D1073" i="35405"/>
  <c r="D1079" i="35405"/>
  <c r="D1074" i="35405"/>
  <c r="D1081" i="35405"/>
  <c r="D1084" i="35405"/>
  <c r="D1069" i="35405"/>
  <c r="D1086" i="35405"/>
  <c r="D2908" i="35405"/>
  <c r="D2907" i="35405"/>
  <c r="D2910" i="35405"/>
  <c r="D2902" i="35405"/>
  <c r="D2892" i="35405"/>
  <c r="D2913" i="35405"/>
  <c r="D2912" i="35405"/>
  <c r="D2891" i="35405"/>
  <c r="D2896" i="35405"/>
  <c r="D2889" i="35405"/>
  <c r="D2909" i="35405"/>
  <c r="D2899" i="35405"/>
  <c r="D2893" i="35405"/>
  <c r="D2901" i="35405"/>
  <c r="D2890" i="35405"/>
  <c r="D2904" i="35405"/>
  <c r="D2903" i="35405"/>
  <c r="D2911" i="35405"/>
  <c r="D2895" i="35405"/>
  <c r="D2888" i="35405"/>
  <c r="D2894" i="35405"/>
  <c r="D2906" i="35405"/>
  <c r="D2905" i="35405"/>
  <c r="D2900" i="35405"/>
  <c r="D2897" i="35405"/>
  <c r="D2898" i="35405"/>
  <c r="D60" i="34984"/>
  <c r="BX59" i="35036"/>
  <c r="I60" i="34980"/>
  <c r="F60" i="34980"/>
  <c r="AY59" i="35036"/>
  <c r="F60" i="35017"/>
  <c r="M59" i="35017"/>
  <c r="C62" i="35017"/>
  <c r="C60" i="34986"/>
  <c r="FT59" i="35036"/>
  <c r="FL60" i="35036"/>
  <c r="H60" i="34980"/>
  <c r="M59" i="34980"/>
  <c r="F60" i="34984"/>
  <c r="CV59" i="35036"/>
  <c r="J49" i="35062" l="1"/>
  <c r="K49" i="35062"/>
  <c r="D1095" i="35405"/>
  <c r="D1113" i="35405"/>
  <c r="D1112" i="35405"/>
  <c r="D1114" i="35405"/>
  <c r="D1105" i="35405"/>
  <c r="D1115" i="35405"/>
  <c r="D1096" i="35405"/>
  <c r="D1099" i="35405"/>
  <c r="D1109" i="35405"/>
  <c r="D1107" i="35405"/>
  <c r="D1106" i="35405"/>
  <c r="D1094" i="35405"/>
  <c r="D1110" i="35405"/>
  <c r="D1111" i="35405"/>
  <c r="D1101" i="35405"/>
  <c r="D1104" i="35405"/>
  <c r="D1098" i="35405"/>
  <c r="D1103" i="35405"/>
  <c r="D1097" i="35405"/>
  <c r="D1116" i="35405"/>
  <c r="D1100" i="35405"/>
  <c r="D1102" i="35405"/>
  <c r="D1108" i="35405"/>
  <c r="D1117" i="35405"/>
  <c r="D1118" i="35405"/>
  <c r="D1119" i="35405"/>
  <c r="D2937" i="35405"/>
  <c r="D2928" i="35405"/>
  <c r="D2936" i="35405"/>
  <c r="D2919" i="35405"/>
  <c r="D2933" i="35405"/>
  <c r="D2915" i="35405"/>
  <c r="D2922" i="35405"/>
  <c r="D2921" i="35405"/>
  <c r="D2926" i="35405"/>
  <c r="D2929" i="35405"/>
  <c r="D2935" i="35405"/>
  <c r="D2914" i="35405"/>
  <c r="D2918" i="35405"/>
  <c r="D2920" i="35405"/>
  <c r="D2924" i="35405"/>
  <c r="D2927" i="35405"/>
  <c r="D2934" i="35405"/>
  <c r="D2923" i="35405"/>
  <c r="D2917" i="35405"/>
  <c r="D2939" i="35405"/>
  <c r="D2931" i="35405"/>
  <c r="D2938" i="35405"/>
  <c r="D2925" i="35405"/>
  <c r="D2916" i="35405"/>
  <c r="D2932" i="35405"/>
  <c r="D2930" i="35405"/>
  <c r="F61" i="34984"/>
  <c r="CV60" i="35036"/>
  <c r="H61" i="34980"/>
  <c r="M60" i="34980"/>
  <c r="F61" i="35017"/>
  <c r="M60" i="35017"/>
  <c r="D61" i="34984"/>
  <c r="BX60" i="35036"/>
  <c r="C61" i="34986"/>
  <c r="FT60" i="35036"/>
  <c r="FL61" i="35036"/>
  <c r="C63" i="35017"/>
  <c r="F61" i="34980"/>
  <c r="AY60" i="35036"/>
  <c r="I61" i="34980"/>
  <c r="K50" i="35062" l="1"/>
  <c r="D2942" i="35405"/>
  <c r="D2951" i="35405"/>
  <c r="D2961" i="35405"/>
  <c r="D2963" i="35405"/>
  <c r="D2944" i="35405"/>
  <c r="D2962" i="35405"/>
  <c r="D2940" i="35405"/>
  <c r="D2952" i="35405"/>
  <c r="D2954" i="35405"/>
  <c r="D2949" i="35405"/>
  <c r="D2945" i="35405"/>
  <c r="D2943" i="35405"/>
  <c r="D2948" i="35405"/>
  <c r="D2950" i="35405"/>
  <c r="D2956" i="35405"/>
  <c r="D2960" i="35405"/>
  <c r="D2958" i="35405"/>
  <c r="D2964" i="35405"/>
  <c r="D2953" i="35405"/>
  <c r="D2947" i="35405"/>
  <c r="D2946" i="35405"/>
  <c r="D2965" i="35405"/>
  <c r="D2957" i="35405"/>
  <c r="D2941" i="35405"/>
  <c r="D2955" i="35405"/>
  <c r="D2959" i="35405"/>
  <c r="J50" i="35062"/>
  <c r="D1136" i="35405"/>
  <c r="D1144" i="35405"/>
  <c r="D1122" i="35405"/>
  <c r="D1120" i="35405"/>
  <c r="D1124" i="35405"/>
  <c r="D1131" i="35405"/>
  <c r="D1121" i="35405"/>
  <c r="D1142" i="35405"/>
  <c r="D1134" i="35405"/>
  <c r="D1137" i="35405"/>
  <c r="D1143" i="35405"/>
  <c r="D1140" i="35405"/>
  <c r="D1128" i="35405"/>
  <c r="D1139" i="35405"/>
  <c r="D1145" i="35405"/>
  <c r="D1141" i="35405"/>
  <c r="D1133" i="35405"/>
  <c r="D1126" i="35405"/>
  <c r="D1132" i="35405"/>
  <c r="D1135" i="35405"/>
  <c r="D1125" i="35405"/>
  <c r="D1138" i="35405"/>
  <c r="D1130" i="35405"/>
  <c r="D1127" i="35405"/>
  <c r="D1123" i="35405"/>
  <c r="D1129" i="35405"/>
  <c r="F62" i="34984"/>
  <c r="CV61" i="35036"/>
  <c r="C64" i="35017"/>
  <c r="I62" i="34980"/>
  <c r="F62" i="34980"/>
  <c r="AY61" i="35036"/>
  <c r="C62" i="34986"/>
  <c r="FL62" i="35036"/>
  <c r="FT61" i="35036"/>
  <c r="D62" i="34984"/>
  <c r="BX61" i="35036"/>
  <c r="F62" i="35017"/>
  <c r="M61" i="35017"/>
  <c r="H62" i="34980"/>
  <c r="M61" i="34980"/>
  <c r="J51" i="35062" l="1"/>
  <c r="K51" i="35062"/>
  <c r="D1148" i="35405"/>
  <c r="D1158" i="35405"/>
  <c r="D1171" i="35405"/>
  <c r="D1157" i="35405"/>
  <c r="D1152" i="35405"/>
  <c r="D1156" i="35405"/>
  <c r="D1168" i="35405"/>
  <c r="D1170" i="35405"/>
  <c r="D1162" i="35405"/>
  <c r="D1169" i="35405"/>
  <c r="D1154" i="35405"/>
  <c r="D1164" i="35405"/>
  <c r="D1153" i="35405"/>
  <c r="D1165" i="35405"/>
  <c r="D1166" i="35405"/>
  <c r="D1163" i="35405"/>
  <c r="D1150" i="35405"/>
  <c r="D1147" i="35405"/>
  <c r="D1149" i="35405"/>
  <c r="D1160" i="35405"/>
  <c r="D1155" i="35405"/>
  <c r="D1167" i="35405"/>
  <c r="D1146" i="35405"/>
  <c r="D1151" i="35405"/>
  <c r="D1161" i="35405"/>
  <c r="D1159" i="35405"/>
  <c r="D2989" i="35405"/>
  <c r="D2970" i="35405"/>
  <c r="D2971" i="35405"/>
  <c r="D2984" i="35405"/>
  <c r="D2975" i="35405"/>
  <c r="D2981" i="35405"/>
  <c r="D2976" i="35405"/>
  <c r="D2972" i="35405"/>
  <c r="D2986" i="35405"/>
  <c r="D2977" i="35405"/>
  <c r="D2987" i="35405"/>
  <c r="D2974" i="35405"/>
  <c r="D2990" i="35405"/>
  <c r="D2973" i="35405"/>
  <c r="D2980" i="35405"/>
  <c r="D2966" i="35405"/>
  <c r="D2978" i="35405"/>
  <c r="D2985" i="35405"/>
  <c r="D2991" i="35405"/>
  <c r="D2983" i="35405"/>
  <c r="D2969" i="35405"/>
  <c r="D2979" i="35405"/>
  <c r="D2968" i="35405"/>
  <c r="D2988" i="35405"/>
  <c r="D2967" i="35405"/>
  <c r="D2982" i="35405"/>
  <c r="C63" i="34986"/>
  <c r="FT62" i="35036"/>
  <c r="FL63" i="35036"/>
  <c r="F63" i="35017"/>
  <c r="M62" i="35017"/>
  <c r="H63" i="34980"/>
  <c r="M62" i="34980"/>
  <c r="D63" i="34984"/>
  <c r="BX62" i="35036"/>
  <c r="F63" i="34980"/>
  <c r="AY62" i="35036"/>
  <c r="I63" i="34980"/>
  <c r="C65" i="35017"/>
  <c r="F63" i="34984"/>
  <c r="CV62" i="35036"/>
  <c r="K52" i="35062" l="1"/>
  <c r="D2994" i="35405"/>
  <c r="D3010" i="35405"/>
  <c r="D3001" i="35405"/>
  <c r="D3006" i="35405"/>
  <c r="D3004" i="35405"/>
  <c r="D3007" i="35405"/>
  <c r="D3017" i="35405"/>
  <c r="D2996" i="35405"/>
  <c r="D2993" i="35405"/>
  <c r="D3009" i="35405"/>
  <c r="D3011" i="35405"/>
  <c r="D3003" i="35405"/>
  <c r="D2992" i="35405"/>
  <c r="D3016" i="35405"/>
  <c r="D3000" i="35405"/>
  <c r="D2998" i="35405"/>
  <c r="D3008" i="35405"/>
  <c r="D3002" i="35405"/>
  <c r="D2997" i="35405"/>
  <c r="D3014" i="35405"/>
  <c r="D2999" i="35405"/>
  <c r="D2995" i="35405"/>
  <c r="D3015" i="35405"/>
  <c r="D3013" i="35405"/>
  <c r="D3012" i="35405"/>
  <c r="D3005" i="35405"/>
  <c r="J52" i="35062"/>
  <c r="D1176" i="35405"/>
  <c r="D1189" i="35405"/>
  <c r="D1175" i="35405"/>
  <c r="D1183" i="35405"/>
  <c r="D1193" i="35405"/>
  <c r="D1197" i="35405"/>
  <c r="D1184" i="35405"/>
  <c r="D1179" i="35405"/>
  <c r="D1188" i="35405"/>
  <c r="D1196" i="35405"/>
  <c r="D1192" i="35405"/>
  <c r="D1180" i="35405"/>
  <c r="D1185" i="35405"/>
  <c r="D1190" i="35405"/>
  <c r="D1181" i="35405"/>
  <c r="D1186" i="35405"/>
  <c r="D1174" i="35405"/>
  <c r="D1178" i="35405"/>
  <c r="D1187" i="35405"/>
  <c r="D1172" i="35405"/>
  <c r="D1195" i="35405"/>
  <c r="D1177" i="35405"/>
  <c r="D1191" i="35405"/>
  <c r="D1182" i="35405"/>
  <c r="D1173" i="35405"/>
  <c r="D1194" i="35405"/>
  <c r="F64" i="34984"/>
  <c r="CV63" i="35036"/>
  <c r="C66" i="35017"/>
  <c r="I64" i="34980"/>
  <c r="F64" i="34980"/>
  <c r="AY63" i="35036"/>
  <c r="D64" i="34984"/>
  <c r="BX63" i="35036"/>
  <c r="H64" i="34980"/>
  <c r="M63" i="34980"/>
  <c r="F64" i="35017"/>
  <c r="M63" i="35017"/>
  <c r="C64" i="34986"/>
  <c r="FT63" i="35036"/>
  <c r="FL64" i="35036"/>
  <c r="J53" i="35062" l="1"/>
  <c r="K53" i="35062"/>
  <c r="D1218" i="35405"/>
  <c r="D1198" i="35405"/>
  <c r="D1214" i="35405"/>
  <c r="D1204" i="35405"/>
  <c r="D1199" i="35405"/>
  <c r="D1205" i="35405"/>
  <c r="D1221" i="35405"/>
  <c r="D1209" i="35405"/>
  <c r="D1203" i="35405"/>
  <c r="D1217" i="35405"/>
  <c r="D1213" i="35405"/>
  <c r="D1200" i="35405"/>
  <c r="D1212" i="35405"/>
  <c r="D1211" i="35405"/>
  <c r="D1206" i="35405"/>
  <c r="D1215" i="35405"/>
  <c r="D1210" i="35405"/>
  <c r="D1202" i="35405"/>
  <c r="D1223" i="35405"/>
  <c r="D1220" i="35405"/>
  <c r="D1222" i="35405"/>
  <c r="D1201" i="35405"/>
  <c r="D1216" i="35405"/>
  <c r="D1208" i="35405"/>
  <c r="D1219" i="35405"/>
  <c r="D1207" i="35405"/>
  <c r="D3036" i="35405"/>
  <c r="D3037" i="35405"/>
  <c r="D3038" i="35405"/>
  <c r="D3026" i="35405"/>
  <c r="D3023" i="35405"/>
  <c r="D3024" i="35405"/>
  <c r="D3042" i="35405"/>
  <c r="D3027" i="35405"/>
  <c r="D3034" i="35405"/>
  <c r="D3021" i="35405"/>
  <c r="D3035" i="35405"/>
  <c r="D3033" i="35405"/>
  <c r="D3039" i="35405"/>
  <c r="D3030" i="35405"/>
  <c r="D3041" i="35405"/>
  <c r="D3040" i="35405"/>
  <c r="D3032" i="35405"/>
  <c r="D3020" i="35405"/>
  <c r="D3028" i="35405"/>
  <c r="D3019" i="35405"/>
  <c r="D3025" i="35405"/>
  <c r="D3018" i="35405"/>
  <c r="D3043" i="35405"/>
  <c r="D3031" i="35405"/>
  <c r="D3029" i="35405"/>
  <c r="D3022" i="35405"/>
  <c r="D65" i="34984"/>
  <c r="BX64" i="35036"/>
  <c r="F65" i="35017"/>
  <c r="M64" i="35017"/>
  <c r="F65" i="34980"/>
  <c r="AY64" i="35036"/>
  <c r="I65" i="34980"/>
  <c r="C67" i="35017"/>
  <c r="C65" i="34986"/>
  <c r="FT64" i="35036"/>
  <c r="FL65" i="35036"/>
  <c r="H65" i="34980"/>
  <c r="M64" i="34980"/>
  <c r="F65" i="34984"/>
  <c r="CV64" i="35036"/>
  <c r="J54" i="35062" l="1"/>
  <c r="D3058" i="35405"/>
  <c r="D3067" i="35405"/>
  <c r="D3051" i="35405"/>
  <c r="D3046" i="35405"/>
  <c r="D3044" i="35405"/>
  <c r="D3050" i="35405"/>
  <c r="D3054" i="35405"/>
  <c r="D3048" i="35405"/>
  <c r="D3055" i="35405"/>
  <c r="D3061" i="35405"/>
  <c r="D3056" i="35405"/>
  <c r="D3053" i="35405"/>
  <c r="D3066" i="35405"/>
  <c r="D3045" i="35405"/>
  <c r="D3047" i="35405"/>
  <c r="D3063" i="35405"/>
  <c r="D3065" i="35405"/>
  <c r="D3052" i="35405"/>
  <c r="D3064" i="35405"/>
  <c r="D3062" i="35405"/>
  <c r="D3068" i="35405"/>
  <c r="D3069" i="35405"/>
  <c r="D3059" i="35405"/>
  <c r="D3060" i="35405"/>
  <c r="D3049" i="35405"/>
  <c r="D3057" i="35405"/>
  <c r="D1238" i="35405"/>
  <c r="D1246" i="35405"/>
  <c r="D1244" i="35405"/>
  <c r="D1242" i="35405"/>
  <c r="D1245" i="35405"/>
  <c r="D1240" i="35405"/>
  <c r="D1249" i="35405"/>
  <c r="D1239" i="35405"/>
  <c r="D1229" i="35405"/>
  <c r="D1226" i="35405"/>
  <c r="D1234" i="35405"/>
  <c r="D1237" i="35405"/>
  <c r="D1225" i="35405"/>
  <c r="D1236" i="35405"/>
  <c r="D1241" i="35405"/>
  <c r="D1228" i="35405"/>
  <c r="D1227" i="35405"/>
  <c r="D1224" i="35405"/>
  <c r="D1231" i="35405"/>
  <c r="D1232" i="35405"/>
  <c r="D1235" i="35405"/>
  <c r="D1230" i="35405"/>
  <c r="D1243" i="35405"/>
  <c r="D1247" i="35405"/>
  <c r="D1233" i="35405"/>
  <c r="D1248" i="35405"/>
  <c r="K54" i="35062"/>
  <c r="F66" i="34984"/>
  <c r="CV65" i="35036"/>
  <c r="H66" i="34980"/>
  <c r="M65" i="34980"/>
  <c r="C66" i="34986"/>
  <c r="FL66" i="35036"/>
  <c r="FT65" i="35036"/>
  <c r="F66" i="35017"/>
  <c r="M65" i="35017"/>
  <c r="D66" i="34984"/>
  <c r="BX65" i="35036"/>
  <c r="C68" i="35017"/>
  <c r="I66" i="34980"/>
  <c r="F66" i="34980"/>
  <c r="AY65" i="35036"/>
  <c r="J55" i="35062" l="1"/>
  <c r="D3084" i="35405"/>
  <c r="D3080" i="35405"/>
  <c r="D3087" i="35405"/>
  <c r="D3092" i="35405"/>
  <c r="D3081" i="35405"/>
  <c r="D3088" i="35405"/>
  <c r="D3086" i="35405"/>
  <c r="D3074" i="35405"/>
  <c r="D3089" i="35405"/>
  <c r="D3093" i="35405"/>
  <c r="D3076" i="35405"/>
  <c r="D3075" i="35405"/>
  <c r="D3071" i="35405"/>
  <c r="D3091" i="35405"/>
  <c r="D3073" i="35405"/>
  <c r="D3077" i="35405"/>
  <c r="D3070" i="35405"/>
  <c r="D3082" i="35405"/>
  <c r="D3095" i="35405"/>
  <c r="D3090" i="35405"/>
  <c r="D3094" i="35405"/>
  <c r="D3072" i="35405"/>
  <c r="D3085" i="35405"/>
  <c r="D3083" i="35405"/>
  <c r="D3079" i="35405"/>
  <c r="D3078" i="35405"/>
  <c r="K55" i="35062"/>
  <c r="D1271" i="35405"/>
  <c r="D1273" i="35405"/>
  <c r="D1261" i="35405"/>
  <c r="D1251" i="35405"/>
  <c r="D1260" i="35405"/>
  <c r="D1262" i="35405"/>
  <c r="D1268" i="35405"/>
  <c r="D1258" i="35405"/>
  <c r="D1272" i="35405"/>
  <c r="D1255" i="35405"/>
  <c r="D1252" i="35405"/>
  <c r="D1257" i="35405"/>
  <c r="D1275" i="35405"/>
  <c r="D1263" i="35405"/>
  <c r="D1266" i="35405"/>
  <c r="D1270" i="35405"/>
  <c r="D1250" i="35405"/>
  <c r="D1264" i="35405"/>
  <c r="D1256" i="35405"/>
  <c r="D1265" i="35405"/>
  <c r="D1253" i="35405"/>
  <c r="D1274" i="35405"/>
  <c r="D1267" i="35405"/>
  <c r="D1259" i="35405"/>
  <c r="D1254" i="35405"/>
  <c r="D1269" i="35405"/>
  <c r="C67" i="34986"/>
  <c r="FT66" i="35036"/>
  <c r="FL67" i="35036"/>
  <c r="F67" i="34984"/>
  <c r="CV66" i="35036"/>
  <c r="F67" i="34980"/>
  <c r="AY66" i="35036"/>
  <c r="I67" i="34980"/>
  <c r="C69" i="35017"/>
  <c r="D67" i="34984"/>
  <c r="BX66" i="35036"/>
  <c r="F67" i="35017"/>
  <c r="M66" i="35017"/>
  <c r="H67" i="34980"/>
  <c r="M66" i="34980"/>
  <c r="J56" i="35062" l="1"/>
  <c r="K56" i="35062"/>
  <c r="D3116" i="35405"/>
  <c r="D3114" i="35405"/>
  <c r="D3117" i="35405"/>
  <c r="D3110" i="35405"/>
  <c r="D3111" i="35405"/>
  <c r="D3099" i="35405"/>
  <c r="D3101" i="35405"/>
  <c r="D3112" i="35405"/>
  <c r="D3113" i="35405"/>
  <c r="D3120" i="35405"/>
  <c r="D3104" i="35405"/>
  <c r="D3098" i="35405"/>
  <c r="D3121" i="35405"/>
  <c r="D3100" i="35405"/>
  <c r="D3109" i="35405"/>
  <c r="D3103" i="35405"/>
  <c r="D3115" i="35405"/>
  <c r="D3106" i="35405"/>
  <c r="D3097" i="35405"/>
  <c r="D3096" i="35405"/>
  <c r="D3108" i="35405"/>
  <c r="D3107" i="35405"/>
  <c r="D3105" i="35405"/>
  <c r="D3119" i="35405"/>
  <c r="D3102" i="35405"/>
  <c r="D3118" i="35405"/>
  <c r="D1297" i="35405"/>
  <c r="D1300" i="35405"/>
  <c r="D1301" i="35405"/>
  <c r="D1299" i="35405"/>
  <c r="D1292" i="35405"/>
  <c r="D1277" i="35405"/>
  <c r="D1291" i="35405"/>
  <c r="D1290" i="35405"/>
  <c r="D1295" i="35405"/>
  <c r="D1293" i="35405"/>
  <c r="D1281" i="35405"/>
  <c r="D1280" i="35405"/>
  <c r="D1294" i="35405"/>
  <c r="D1282" i="35405"/>
  <c r="D1278" i="35405"/>
  <c r="D1287" i="35405"/>
  <c r="D1276" i="35405"/>
  <c r="D1284" i="35405"/>
  <c r="D1285" i="35405"/>
  <c r="D1283" i="35405"/>
  <c r="D1296" i="35405"/>
  <c r="D1286" i="35405"/>
  <c r="D1298" i="35405"/>
  <c r="D1289" i="35405"/>
  <c r="D1279" i="35405"/>
  <c r="D1288" i="35405"/>
  <c r="C68" i="34986"/>
  <c r="FT67" i="35036"/>
  <c r="FL68" i="35036"/>
  <c r="H68" i="34980"/>
  <c r="M67" i="34980"/>
  <c r="F68" i="35017"/>
  <c r="M67" i="35017"/>
  <c r="D68" i="34984"/>
  <c r="BX67" i="35036"/>
  <c r="C70" i="35017"/>
  <c r="I68" i="34980"/>
  <c r="F68" i="34980"/>
  <c r="AY67" i="35036"/>
  <c r="F68" i="34984"/>
  <c r="CV67" i="35036"/>
  <c r="K57" i="35062" l="1"/>
  <c r="J57" i="35062"/>
  <c r="D3131" i="35405"/>
  <c r="D3133" i="35405"/>
  <c r="D3129" i="35405"/>
  <c r="D3126" i="35405"/>
  <c r="D3141" i="35405"/>
  <c r="D3136" i="35405"/>
  <c r="D3122" i="35405"/>
  <c r="D3144" i="35405"/>
  <c r="D3128" i="35405"/>
  <c r="D3147" i="35405"/>
  <c r="D3138" i="35405"/>
  <c r="D3134" i="35405"/>
  <c r="D3123" i="35405"/>
  <c r="D3146" i="35405"/>
  <c r="D3142" i="35405"/>
  <c r="D3140" i="35405"/>
  <c r="D3125" i="35405"/>
  <c r="D3143" i="35405"/>
  <c r="D3127" i="35405"/>
  <c r="D3124" i="35405"/>
  <c r="D3145" i="35405"/>
  <c r="D3137" i="35405"/>
  <c r="D3130" i="35405"/>
  <c r="D3135" i="35405"/>
  <c r="D3132" i="35405"/>
  <c r="D3139" i="35405"/>
  <c r="D1314" i="35405"/>
  <c r="D1320" i="35405"/>
  <c r="D1309" i="35405"/>
  <c r="D1305" i="35405"/>
  <c r="D1319" i="35405"/>
  <c r="D1315" i="35405"/>
  <c r="D1325" i="35405"/>
  <c r="D1321" i="35405"/>
  <c r="D1317" i="35405"/>
  <c r="D1307" i="35405"/>
  <c r="D1310" i="35405"/>
  <c r="D1323" i="35405"/>
  <c r="D1308" i="35405"/>
  <c r="D1302" i="35405"/>
  <c r="D1324" i="35405"/>
  <c r="D1304" i="35405"/>
  <c r="D1322" i="35405"/>
  <c r="D1327" i="35405"/>
  <c r="D1312" i="35405"/>
  <c r="D1303" i="35405"/>
  <c r="D1316" i="35405"/>
  <c r="D1313" i="35405"/>
  <c r="D1326" i="35405"/>
  <c r="D1318" i="35405"/>
  <c r="D1306" i="35405"/>
  <c r="D1311" i="35405"/>
  <c r="H69" i="34980"/>
  <c r="M68" i="34980"/>
  <c r="F69" i="34980"/>
  <c r="AY68" i="35036"/>
  <c r="I69" i="34980"/>
  <c r="C71" i="35017"/>
  <c r="F69" i="34984"/>
  <c r="CV68" i="35036"/>
  <c r="D69" i="34984"/>
  <c r="BX68" i="35036"/>
  <c r="F69" i="35017"/>
  <c r="M68" i="35017"/>
  <c r="C69" i="34986"/>
  <c r="FL69" i="35036"/>
  <c r="FT68" i="35036"/>
  <c r="D1341" i="35405" l="1"/>
  <c r="D1337" i="35405"/>
  <c r="D1339" i="35405"/>
  <c r="D1343" i="35405"/>
  <c r="D1340" i="35405"/>
  <c r="D1351" i="35405"/>
  <c r="D1336" i="35405"/>
  <c r="D1350" i="35405"/>
  <c r="D1348" i="35405"/>
  <c r="D1347" i="35405"/>
  <c r="D1335" i="35405"/>
  <c r="D1333" i="35405"/>
  <c r="D1349" i="35405"/>
  <c r="D1346" i="35405"/>
  <c r="D1352" i="35405"/>
  <c r="D1338" i="35405"/>
  <c r="D1345" i="35405"/>
  <c r="D1334" i="35405"/>
  <c r="D1342" i="35405"/>
  <c r="D1330" i="35405"/>
  <c r="D1344" i="35405"/>
  <c r="D1328" i="35405"/>
  <c r="D1353" i="35405"/>
  <c r="D1329" i="35405"/>
  <c r="D1332" i="35405"/>
  <c r="D1331" i="35405"/>
  <c r="D3173" i="35405"/>
  <c r="D3169" i="35405"/>
  <c r="D3165" i="35405"/>
  <c r="D3149" i="35405"/>
  <c r="D3150" i="35405"/>
  <c r="D3171" i="35405"/>
  <c r="D3166" i="35405"/>
  <c r="D3168" i="35405"/>
  <c r="D3163" i="35405"/>
  <c r="D3153" i="35405"/>
  <c r="D3167" i="35405"/>
  <c r="D3172" i="35405"/>
  <c r="D3170" i="35405"/>
  <c r="D3157" i="35405"/>
  <c r="D3148" i="35405"/>
  <c r="D3154" i="35405"/>
  <c r="D3164" i="35405"/>
  <c r="D3158" i="35405"/>
  <c r="D3156" i="35405"/>
  <c r="D3160" i="35405"/>
  <c r="D3151" i="35405"/>
  <c r="D3162" i="35405"/>
  <c r="D3152" i="35405"/>
  <c r="D3155" i="35405"/>
  <c r="D3159" i="35405"/>
  <c r="D3161" i="35405"/>
  <c r="J58" i="35062"/>
  <c r="K58" i="35062"/>
  <c r="C70" i="34986"/>
  <c r="FL70" i="35036"/>
  <c r="FT69" i="35036"/>
  <c r="D70" i="34984"/>
  <c r="BX69" i="35036"/>
  <c r="C72" i="35017"/>
  <c r="I70" i="34980"/>
  <c r="F70" i="34980"/>
  <c r="AY69" i="35036"/>
  <c r="H70" i="34980"/>
  <c r="M69" i="34980"/>
  <c r="F70" i="35017"/>
  <c r="M69" i="35017"/>
  <c r="F70" i="34984"/>
  <c r="CV69" i="35036"/>
  <c r="D3181" i="35405" l="1"/>
  <c r="D3186" i="35405"/>
  <c r="D3192" i="35405"/>
  <c r="D3197" i="35405"/>
  <c r="D3187" i="35405"/>
  <c r="D3184" i="35405"/>
  <c r="D3177" i="35405"/>
  <c r="D3185" i="35405"/>
  <c r="D3190" i="35405"/>
  <c r="D3199" i="35405"/>
  <c r="D3178" i="35405"/>
  <c r="D3179" i="35405"/>
  <c r="D3176" i="35405"/>
  <c r="D3183" i="35405"/>
  <c r="D3182" i="35405"/>
  <c r="D3175" i="35405"/>
  <c r="D3191" i="35405"/>
  <c r="D3174" i="35405"/>
  <c r="D3180" i="35405"/>
  <c r="D3189" i="35405"/>
  <c r="D3198" i="35405"/>
  <c r="D3196" i="35405"/>
  <c r="D3188" i="35405"/>
  <c r="D3194" i="35405"/>
  <c r="D3193" i="35405"/>
  <c r="D3195" i="35405"/>
  <c r="D1363" i="35405"/>
  <c r="D1365" i="35405"/>
  <c r="D1355" i="35405"/>
  <c r="D1356" i="35405"/>
  <c r="D1357" i="35405"/>
  <c r="D1369" i="35405"/>
  <c r="D1354" i="35405"/>
  <c r="D1358" i="35405"/>
  <c r="D1362" i="35405"/>
  <c r="D1372" i="35405"/>
  <c r="D1368" i="35405"/>
  <c r="D1379" i="35405"/>
  <c r="D1360" i="35405"/>
  <c r="D1371" i="35405"/>
  <c r="D1374" i="35405"/>
  <c r="D1373" i="35405"/>
  <c r="D1364" i="35405"/>
  <c r="D1361" i="35405"/>
  <c r="D1359" i="35405"/>
  <c r="D1376" i="35405"/>
  <c r="D1370" i="35405"/>
  <c r="D1375" i="35405"/>
  <c r="D1367" i="35405"/>
  <c r="D1366" i="35405"/>
  <c r="D1377" i="35405"/>
  <c r="D1378" i="35405"/>
  <c r="J59" i="35062"/>
  <c r="K59" i="35062"/>
  <c r="F71" i="34984"/>
  <c r="CV70" i="35036"/>
  <c r="F71" i="35017"/>
  <c r="M70" i="35017"/>
  <c r="H71" i="34980"/>
  <c r="M70" i="34980"/>
  <c r="F71" i="34980"/>
  <c r="AY70" i="35036"/>
  <c r="I71" i="34980"/>
  <c r="C73" i="35017"/>
  <c r="D71" i="34984"/>
  <c r="BX70" i="35036"/>
  <c r="C71" i="34986"/>
  <c r="FL71" i="35036"/>
  <c r="FT70" i="35036"/>
  <c r="D3205" i="35405" l="1"/>
  <c r="D3204" i="35405"/>
  <c r="D3214" i="35405"/>
  <c r="D3217" i="35405"/>
  <c r="D3207" i="35405"/>
  <c r="D3211" i="35405"/>
  <c r="D3216" i="35405"/>
  <c r="D3223" i="35405"/>
  <c r="D3203" i="35405"/>
  <c r="D3208" i="35405"/>
  <c r="D3225" i="35405"/>
  <c r="D3206" i="35405"/>
  <c r="D3201" i="35405"/>
  <c r="D3202" i="35405"/>
  <c r="D3200" i="35405"/>
  <c r="D3221" i="35405"/>
  <c r="D3218" i="35405"/>
  <c r="D3215" i="35405"/>
  <c r="D3213" i="35405"/>
  <c r="D3222" i="35405"/>
  <c r="D3210" i="35405"/>
  <c r="D3209" i="35405"/>
  <c r="D3224" i="35405"/>
  <c r="D3220" i="35405"/>
  <c r="D3219" i="35405"/>
  <c r="D3212" i="35405"/>
  <c r="D1402" i="35405"/>
  <c r="D1383" i="35405"/>
  <c r="D1389" i="35405"/>
  <c r="D1394" i="35405"/>
  <c r="D1385" i="35405"/>
  <c r="D1390" i="35405"/>
  <c r="D1382" i="35405"/>
  <c r="D1386" i="35405"/>
  <c r="D1399" i="35405"/>
  <c r="D1393" i="35405"/>
  <c r="D1392" i="35405"/>
  <c r="D1387" i="35405"/>
  <c r="D1381" i="35405"/>
  <c r="D1391" i="35405"/>
  <c r="D1404" i="35405"/>
  <c r="D1400" i="35405"/>
  <c r="D1395" i="35405"/>
  <c r="D1397" i="35405"/>
  <c r="D1401" i="35405"/>
  <c r="D1403" i="35405"/>
  <c r="D1405" i="35405"/>
  <c r="D1398" i="35405"/>
  <c r="D1388" i="35405"/>
  <c r="D1384" i="35405"/>
  <c r="D1396" i="35405"/>
  <c r="D1380" i="35405"/>
  <c r="K60" i="35062"/>
  <c r="J60" i="35062"/>
  <c r="C72" i="34986"/>
  <c r="FL72" i="35036"/>
  <c r="FT71" i="35036"/>
  <c r="F72" i="34984"/>
  <c r="CV71" i="35036"/>
  <c r="H72" i="34980"/>
  <c r="M71" i="34980"/>
  <c r="D72" i="34984"/>
  <c r="BX71" i="35036"/>
  <c r="C74" i="35017"/>
  <c r="I72" i="34980"/>
  <c r="F72" i="34980"/>
  <c r="AY71" i="35036"/>
  <c r="F72" i="35017"/>
  <c r="M71" i="35017"/>
  <c r="D3239" i="35405" l="1"/>
  <c r="D3241" i="35405"/>
  <c r="D3230" i="35405"/>
  <c r="D3236" i="35405"/>
  <c r="D3232" i="35405"/>
  <c r="D3246" i="35405"/>
  <c r="D3251" i="35405"/>
  <c r="D3237" i="35405"/>
  <c r="D3238" i="35405"/>
  <c r="D3249" i="35405"/>
  <c r="D3243" i="35405"/>
  <c r="D3231" i="35405"/>
  <c r="D3242" i="35405"/>
  <c r="D3240" i="35405"/>
  <c r="D3226" i="35405"/>
  <c r="D3244" i="35405"/>
  <c r="D3247" i="35405"/>
  <c r="D3233" i="35405"/>
  <c r="D3235" i="35405"/>
  <c r="D3248" i="35405"/>
  <c r="D3229" i="35405"/>
  <c r="D3234" i="35405"/>
  <c r="D3250" i="35405"/>
  <c r="D3227" i="35405"/>
  <c r="D3245" i="35405"/>
  <c r="D3228" i="35405"/>
  <c r="K61" i="35062"/>
  <c r="D1407" i="35405"/>
  <c r="D1409" i="35405"/>
  <c r="D1426" i="35405"/>
  <c r="D1410" i="35405"/>
  <c r="D1425" i="35405"/>
  <c r="D1415" i="35405"/>
  <c r="D1418" i="35405"/>
  <c r="D1413" i="35405"/>
  <c r="D1420" i="35405"/>
  <c r="D1406" i="35405"/>
  <c r="D1430" i="35405"/>
  <c r="D1423" i="35405"/>
  <c r="D1414" i="35405"/>
  <c r="D1411" i="35405"/>
  <c r="D1412" i="35405"/>
  <c r="D1431" i="35405"/>
  <c r="D1419" i="35405"/>
  <c r="D1422" i="35405"/>
  <c r="D1416" i="35405"/>
  <c r="D1428" i="35405"/>
  <c r="D1408" i="35405"/>
  <c r="D1429" i="35405"/>
  <c r="D1417" i="35405"/>
  <c r="D1427" i="35405"/>
  <c r="D1421" i="35405"/>
  <c r="D1424" i="35405"/>
  <c r="J61" i="35062"/>
  <c r="F73" i="34980"/>
  <c r="AY72" i="35036"/>
  <c r="I73" i="34980"/>
  <c r="C75" i="35017"/>
  <c r="H73" i="34980"/>
  <c r="M72" i="34980"/>
  <c r="F73" i="34984"/>
  <c r="CV72" i="35036"/>
  <c r="F73" i="35017"/>
  <c r="M72" i="35017"/>
  <c r="D73" i="34984"/>
  <c r="BX72" i="35036"/>
  <c r="C73" i="34986"/>
  <c r="FL73" i="35036"/>
  <c r="FT72" i="35036"/>
  <c r="K62" i="35062" l="1"/>
  <c r="D3273" i="35405"/>
  <c r="D3263" i="35405"/>
  <c r="D3262" i="35405"/>
  <c r="D3253" i="35405"/>
  <c r="D3267" i="35405"/>
  <c r="D3275" i="35405"/>
  <c r="D3264" i="35405"/>
  <c r="D3258" i="35405"/>
  <c r="D3252" i="35405"/>
  <c r="D3261" i="35405"/>
  <c r="D3270" i="35405"/>
  <c r="D3259" i="35405"/>
  <c r="D3274" i="35405"/>
  <c r="D3277" i="35405"/>
  <c r="D3255" i="35405"/>
  <c r="D3268" i="35405"/>
  <c r="D3272" i="35405"/>
  <c r="D3256" i="35405"/>
  <c r="D3271" i="35405"/>
  <c r="D3276" i="35405"/>
  <c r="D3257" i="35405"/>
  <c r="D3269" i="35405"/>
  <c r="D3254" i="35405"/>
  <c r="D3265" i="35405"/>
  <c r="D3266" i="35405"/>
  <c r="D3260" i="35405"/>
  <c r="D1453" i="35405"/>
  <c r="D1438" i="35405"/>
  <c r="D1445" i="35405"/>
  <c r="D1450" i="35405"/>
  <c r="D1433" i="35405"/>
  <c r="D1447" i="35405"/>
  <c r="D1435" i="35405"/>
  <c r="D1442" i="35405"/>
  <c r="D1432" i="35405"/>
  <c r="D1456" i="35405"/>
  <c r="D1434" i="35405"/>
  <c r="D1444" i="35405"/>
  <c r="D1441" i="35405"/>
  <c r="D1454" i="35405"/>
  <c r="D1436" i="35405"/>
  <c r="D1443" i="35405"/>
  <c r="D1437" i="35405"/>
  <c r="D1455" i="35405"/>
  <c r="D1451" i="35405"/>
  <c r="D1440" i="35405"/>
  <c r="D1439" i="35405"/>
  <c r="D1449" i="35405"/>
  <c r="D1452" i="35405"/>
  <c r="D1448" i="35405"/>
  <c r="D1446" i="35405"/>
  <c r="D1457" i="35405"/>
  <c r="J62" i="35062"/>
  <c r="C74" i="34986"/>
  <c r="FL74" i="35036"/>
  <c r="FT73" i="35036"/>
  <c r="F74" i="34984"/>
  <c r="CV73" i="35036"/>
  <c r="D74" i="34984"/>
  <c r="BX73" i="35036"/>
  <c r="F74" i="35017"/>
  <c r="M73" i="35017"/>
  <c r="H74" i="34980"/>
  <c r="M73" i="34980"/>
  <c r="C76" i="35017"/>
  <c r="I74" i="34980"/>
  <c r="F74" i="34980"/>
  <c r="AY73" i="35036"/>
  <c r="K63" i="35062" l="1"/>
  <c r="J63" i="35062"/>
  <c r="D1474" i="35405"/>
  <c r="D1467" i="35405"/>
  <c r="D1476" i="35405"/>
  <c r="D1477" i="35405"/>
  <c r="D1461" i="35405"/>
  <c r="D1483" i="35405"/>
  <c r="D1475" i="35405"/>
  <c r="D1471" i="35405"/>
  <c r="D1472" i="35405"/>
  <c r="D1478" i="35405"/>
  <c r="D1469" i="35405"/>
  <c r="D1466" i="35405"/>
  <c r="D1482" i="35405"/>
  <c r="D1481" i="35405"/>
  <c r="D1463" i="35405"/>
  <c r="D1470" i="35405"/>
  <c r="D1464" i="35405"/>
  <c r="D1458" i="35405"/>
  <c r="D1468" i="35405"/>
  <c r="D1480" i="35405"/>
  <c r="D1479" i="35405"/>
  <c r="D1473" i="35405"/>
  <c r="D1465" i="35405"/>
  <c r="D1462" i="35405"/>
  <c r="D1459" i="35405"/>
  <c r="D1460" i="35405"/>
  <c r="D3295" i="35405"/>
  <c r="D3288" i="35405"/>
  <c r="D3298" i="35405"/>
  <c r="D3293" i="35405"/>
  <c r="D3300" i="35405"/>
  <c r="D3286" i="35405"/>
  <c r="D3296" i="35405"/>
  <c r="D3278" i="35405"/>
  <c r="D3285" i="35405"/>
  <c r="D3284" i="35405"/>
  <c r="D3294" i="35405"/>
  <c r="D3287" i="35405"/>
  <c r="D3303" i="35405"/>
  <c r="D3283" i="35405"/>
  <c r="D3289" i="35405"/>
  <c r="D3279" i="35405"/>
  <c r="D3290" i="35405"/>
  <c r="D3292" i="35405"/>
  <c r="D3281" i="35405"/>
  <c r="D3299" i="35405"/>
  <c r="D3280" i="35405"/>
  <c r="D3282" i="35405"/>
  <c r="D3291" i="35405"/>
  <c r="D3302" i="35405"/>
  <c r="D3297" i="35405"/>
  <c r="D3301" i="35405"/>
  <c r="H75" i="34980"/>
  <c r="M74" i="34980"/>
  <c r="F75" i="34980"/>
  <c r="AY74" i="35036"/>
  <c r="I75" i="34980"/>
  <c r="C77" i="35017"/>
  <c r="F75" i="35017"/>
  <c r="M74" i="35017"/>
  <c r="D75" i="34984"/>
  <c r="BX74" i="35036"/>
  <c r="F75" i="34984"/>
  <c r="CV74" i="35036"/>
  <c r="C75" i="34986"/>
  <c r="FT74" i="35036"/>
  <c r="FL75" i="35036"/>
  <c r="J64" i="35062" l="1"/>
  <c r="D1487" i="35405"/>
  <c r="D1488" i="35405"/>
  <c r="D1498" i="35405"/>
  <c r="D1501" i="35405"/>
  <c r="D1492" i="35405"/>
  <c r="D1508" i="35405"/>
  <c r="D1504" i="35405"/>
  <c r="D1485" i="35405"/>
  <c r="D1491" i="35405"/>
  <c r="D1490" i="35405"/>
  <c r="D1497" i="35405"/>
  <c r="D1505" i="35405"/>
  <c r="D1502" i="35405"/>
  <c r="D1494" i="35405"/>
  <c r="D1496" i="35405"/>
  <c r="D1503" i="35405"/>
  <c r="D1493" i="35405"/>
  <c r="D1484" i="35405"/>
  <c r="D1506" i="35405"/>
  <c r="D1509" i="35405"/>
  <c r="D1486" i="35405"/>
  <c r="D1489" i="35405"/>
  <c r="D1500" i="35405"/>
  <c r="D1495" i="35405"/>
  <c r="D1507" i="35405"/>
  <c r="D1499" i="35405"/>
  <c r="K64" i="35062"/>
  <c r="D3321" i="35405"/>
  <c r="D3329" i="35405"/>
  <c r="D3311" i="35405"/>
  <c r="D3324" i="35405"/>
  <c r="D3313" i="35405"/>
  <c r="D3314" i="35405"/>
  <c r="D3307" i="35405"/>
  <c r="D3327" i="35405"/>
  <c r="D3310" i="35405"/>
  <c r="D3312" i="35405"/>
  <c r="D3326" i="35405"/>
  <c r="D3323" i="35405"/>
  <c r="D3316" i="35405"/>
  <c r="D3315" i="35405"/>
  <c r="D3305" i="35405"/>
  <c r="D3304" i="35405"/>
  <c r="D3328" i="35405"/>
  <c r="D3306" i="35405"/>
  <c r="D3325" i="35405"/>
  <c r="D3320" i="35405"/>
  <c r="D3322" i="35405"/>
  <c r="D3319" i="35405"/>
  <c r="D3309" i="35405"/>
  <c r="D3318" i="35405"/>
  <c r="D3317" i="35405"/>
  <c r="D3308" i="35405"/>
  <c r="F76" i="34984"/>
  <c r="CV75" i="35036"/>
  <c r="D76" i="34984"/>
  <c r="BX75" i="35036"/>
  <c r="F76" i="35017"/>
  <c r="M75" i="35017"/>
  <c r="H76" i="34980"/>
  <c r="M75" i="34980"/>
  <c r="C76" i="34986"/>
  <c r="FL76" i="35036"/>
  <c r="FT75" i="35036"/>
  <c r="C78" i="35017"/>
  <c r="I76" i="34980"/>
  <c r="F76" i="34980"/>
  <c r="AY75" i="35036"/>
  <c r="K65" i="35062" l="1"/>
  <c r="J65" i="35062"/>
  <c r="D3351" i="35405"/>
  <c r="D3340" i="35405"/>
  <c r="D3343" i="35405"/>
  <c r="D3337" i="35405"/>
  <c r="D3334" i="35405"/>
  <c r="D3345" i="35405"/>
  <c r="D3344" i="35405"/>
  <c r="D3341" i="35405"/>
  <c r="D3353" i="35405"/>
  <c r="D3338" i="35405"/>
  <c r="D3332" i="35405"/>
  <c r="D3349" i="35405"/>
  <c r="D3350" i="35405"/>
  <c r="D3348" i="35405"/>
  <c r="D3346" i="35405"/>
  <c r="D3335" i="35405"/>
  <c r="D3355" i="35405"/>
  <c r="D3333" i="35405"/>
  <c r="D3331" i="35405"/>
  <c r="D3342" i="35405"/>
  <c r="D3330" i="35405"/>
  <c r="D3339" i="35405"/>
  <c r="D3336" i="35405"/>
  <c r="D3347" i="35405"/>
  <c r="D3354" i="35405"/>
  <c r="D3352" i="35405"/>
  <c r="D1521" i="35405"/>
  <c r="D1531" i="35405"/>
  <c r="D1529" i="35405"/>
  <c r="D1533" i="35405"/>
  <c r="D1516" i="35405"/>
  <c r="D1518" i="35405"/>
  <c r="D1511" i="35405"/>
  <c r="D1522" i="35405"/>
  <c r="D1530" i="35405"/>
  <c r="D1535" i="35405"/>
  <c r="D1512" i="35405"/>
  <c r="D1526" i="35405"/>
  <c r="D1524" i="35405"/>
  <c r="D1519" i="35405"/>
  <c r="D1510" i="35405"/>
  <c r="D1517" i="35405"/>
  <c r="D1513" i="35405"/>
  <c r="D1514" i="35405"/>
  <c r="D1534" i="35405"/>
  <c r="D1520" i="35405"/>
  <c r="D1525" i="35405"/>
  <c r="D1527" i="35405"/>
  <c r="D1532" i="35405"/>
  <c r="D1515" i="35405"/>
  <c r="D1528" i="35405"/>
  <c r="D1523" i="35405"/>
  <c r="C77" i="34986"/>
  <c r="FL77" i="35036"/>
  <c r="FT76" i="35036"/>
  <c r="D77" i="34984"/>
  <c r="BX76" i="35036"/>
  <c r="F77" i="34984"/>
  <c r="CV76" i="35036"/>
  <c r="F77" i="34980"/>
  <c r="AY76" i="35036"/>
  <c r="I77" i="34980"/>
  <c r="C79" i="35017"/>
  <c r="H77" i="34980"/>
  <c r="M76" i="34980"/>
  <c r="F77" i="35017"/>
  <c r="M76" i="35017"/>
  <c r="J66" i="35062" l="1"/>
  <c r="K66" i="35062"/>
  <c r="D3362" i="35405"/>
  <c r="D3359" i="35405"/>
  <c r="D3375" i="35405"/>
  <c r="D3360" i="35405"/>
  <c r="D3381" i="35405"/>
  <c r="D3372" i="35405"/>
  <c r="D3363" i="35405"/>
  <c r="D3366" i="35405"/>
  <c r="D3379" i="35405"/>
  <c r="D3376" i="35405"/>
  <c r="D3361" i="35405"/>
  <c r="D3357" i="35405"/>
  <c r="D3367" i="35405"/>
  <c r="D3378" i="35405"/>
  <c r="D3365" i="35405"/>
  <c r="D3356" i="35405"/>
  <c r="D3369" i="35405"/>
  <c r="D3370" i="35405"/>
  <c r="D3373" i="35405"/>
  <c r="D3368" i="35405"/>
  <c r="D3364" i="35405"/>
  <c r="D3377" i="35405"/>
  <c r="D3374" i="35405"/>
  <c r="D3371" i="35405"/>
  <c r="D3380" i="35405"/>
  <c r="D3358" i="35405"/>
  <c r="D1558" i="35405"/>
  <c r="D1542" i="35405"/>
  <c r="D1549" i="35405"/>
  <c r="D1544" i="35405"/>
  <c r="D1547" i="35405"/>
  <c r="D1548" i="35405"/>
  <c r="D1559" i="35405"/>
  <c r="D1561" i="35405"/>
  <c r="D1557" i="35405"/>
  <c r="D1538" i="35405"/>
  <c r="D1560" i="35405"/>
  <c r="D1537" i="35405"/>
  <c r="D1541" i="35405"/>
  <c r="D1552" i="35405"/>
  <c r="D1546" i="35405"/>
  <c r="D1553" i="35405"/>
  <c r="D1551" i="35405"/>
  <c r="D1536" i="35405"/>
  <c r="D1543" i="35405"/>
  <c r="D1540" i="35405"/>
  <c r="D1556" i="35405"/>
  <c r="D1554" i="35405"/>
  <c r="D1555" i="35405"/>
  <c r="D1545" i="35405"/>
  <c r="D1539" i="35405"/>
  <c r="D1550" i="35405"/>
  <c r="H78" i="34980"/>
  <c r="M77" i="34980"/>
  <c r="F78" i="35017"/>
  <c r="M77" i="35017"/>
  <c r="C80" i="35017"/>
  <c r="I78" i="34980"/>
  <c r="F78" i="34980"/>
  <c r="AY77" i="35036"/>
  <c r="D78" i="34984"/>
  <c r="BX77" i="35036"/>
  <c r="C78" i="34986"/>
  <c r="FL78" i="35036"/>
  <c r="FT77" i="35036"/>
  <c r="F78" i="34984"/>
  <c r="CV77" i="35036"/>
  <c r="J67" i="35062" l="1"/>
  <c r="D3396" i="35405"/>
  <c r="D3406" i="35405"/>
  <c r="D3387" i="35405"/>
  <c r="D3407" i="35405"/>
  <c r="D3394" i="35405"/>
  <c r="D3390" i="35405"/>
  <c r="D3397" i="35405"/>
  <c r="D3403" i="35405"/>
  <c r="D3386" i="35405"/>
  <c r="D3398" i="35405"/>
  <c r="D3405" i="35405"/>
  <c r="D3392" i="35405"/>
  <c r="D3400" i="35405"/>
  <c r="D3393" i="35405"/>
  <c r="D3382" i="35405"/>
  <c r="D3385" i="35405"/>
  <c r="D3383" i="35405"/>
  <c r="D3399" i="35405"/>
  <c r="D3404" i="35405"/>
  <c r="D3389" i="35405"/>
  <c r="D3402" i="35405"/>
  <c r="D3384" i="35405"/>
  <c r="D3391" i="35405"/>
  <c r="D3395" i="35405"/>
  <c r="D3388" i="35405"/>
  <c r="D3401" i="35405"/>
  <c r="K67" i="35062"/>
  <c r="D1563" i="35405"/>
  <c r="D1586" i="35405"/>
  <c r="D1578" i="35405"/>
  <c r="D1575" i="35405"/>
  <c r="D1572" i="35405"/>
  <c r="D1574" i="35405"/>
  <c r="D1562" i="35405"/>
  <c r="D1569" i="35405"/>
  <c r="D1579" i="35405"/>
  <c r="D1580" i="35405"/>
  <c r="D1582" i="35405"/>
  <c r="D1584" i="35405"/>
  <c r="D1585" i="35405"/>
  <c r="D1576" i="35405"/>
  <c r="D1573" i="35405"/>
  <c r="D1581" i="35405"/>
  <c r="D1577" i="35405"/>
  <c r="D1571" i="35405"/>
  <c r="D1583" i="35405"/>
  <c r="D1568" i="35405"/>
  <c r="D1565" i="35405"/>
  <c r="D1564" i="35405"/>
  <c r="D1567" i="35405"/>
  <c r="D1570" i="35405"/>
  <c r="D1587" i="35405"/>
  <c r="D1566" i="35405"/>
  <c r="D79" i="34984"/>
  <c r="BX78" i="35036"/>
  <c r="F79" i="35017"/>
  <c r="M78" i="35017"/>
  <c r="H79" i="34980"/>
  <c r="M78" i="34980"/>
  <c r="F79" i="34984"/>
  <c r="CV78" i="35036"/>
  <c r="C79" i="34986"/>
  <c r="FL79" i="35036"/>
  <c r="FT78" i="35036"/>
  <c r="F79" i="34980"/>
  <c r="AY78" i="35036"/>
  <c r="I79" i="34980"/>
  <c r="C81" i="35017"/>
  <c r="K68" i="35062" l="1"/>
  <c r="D3419" i="35405"/>
  <c r="D3420" i="35405"/>
  <c r="D3428" i="35405"/>
  <c r="D3410" i="35405"/>
  <c r="D3412" i="35405"/>
  <c r="D3427" i="35405"/>
  <c r="D3433" i="35405"/>
  <c r="D3408" i="35405"/>
  <c r="D3418" i="35405"/>
  <c r="D3424" i="35405"/>
  <c r="D3417" i="35405"/>
  <c r="D3409" i="35405"/>
  <c r="D3426" i="35405"/>
  <c r="D3416" i="35405"/>
  <c r="D3429" i="35405"/>
  <c r="D3415" i="35405"/>
  <c r="D3423" i="35405"/>
  <c r="D3430" i="35405"/>
  <c r="D3432" i="35405"/>
  <c r="D3425" i="35405"/>
  <c r="D3431" i="35405"/>
  <c r="D3422" i="35405"/>
  <c r="D3413" i="35405"/>
  <c r="D3421" i="35405"/>
  <c r="D3411" i="35405"/>
  <c r="D3414" i="35405"/>
  <c r="D1608" i="35405"/>
  <c r="D1604" i="35405"/>
  <c r="D1599" i="35405"/>
  <c r="D1602" i="35405"/>
  <c r="D1607" i="35405"/>
  <c r="D1591" i="35405"/>
  <c r="D1592" i="35405"/>
  <c r="D1593" i="35405"/>
  <c r="D1597" i="35405"/>
  <c r="D1589" i="35405"/>
  <c r="D1609" i="35405"/>
  <c r="D1590" i="35405"/>
  <c r="D1588" i="35405"/>
  <c r="D1595" i="35405"/>
  <c r="D1600" i="35405"/>
  <c r="D1596" i="35405"/>
  <c r="D1605" i="35405"/>
  <c r="D1603" i="35405"/>
  <c r="D1611" i="35405"/>
  <c r="D1606" i="35405"/>
  <c r="D1610" i="35405"/>
  <c r="D1613" i="35405"/>
  <c r="D1601" i="35405"/>
  <c r="D1612" i="35405"/>
  <c r="D1598" i="35405"/>
  <c r="D1594" i="35405"/>
  <c r="J68" i="35062"/>
  <c r="C82" i="35017"/>
  <c r="I80" i="34980"/>
  <c r="F80" i="34980"/>
  <c r="AY79" i="35036"/>
  <c r="F80" i="34984"/>
  <c r="CV79" i="35036"/>
  <c r="H80" i="34980"/>
  <c r="M79" i="34980"/>
  <c r="D80" i="34984"/>
  <c r="BX79" i="35036"/>
  <c r="C80" i="34986"/>
  <c r="FL80" i="35036"/>
  <c r="FT79" i="35036"/>
  <c r="F80" i="35017"/>
  <c r="M79" i="35017"/>
  <c r="K69" i="35062" l="1"/>
  <c r="D1633" i="35405"/>
  <c r="D1614" i="35405"/>
  <c r="D1618" i="35405"/>
  <c r="D1625" i="35405"/>
  <c r="D1639" i="35405"/>
  <c r="D1623" i="35405"/>
  <c r="D1626" i="35405"/>
  <c r="D1628" i="35405"/>
  <c r="D1617" i="35405"/>
  <c r="D1615" i="35405"/>
  <c r="D1636" i="35405"/>
  <c r="D1619" i="35405"/>
  <c r="D1622" i="35405"/>
  <c r="D1634" i="35405"/>
  <c r="D1624" i="35405"/>
  <c r="D1635" i="35405"/>
  <c r="D1620" i="35405"/>
  <c r="D1638" i="35405"/>
  <c r="D1630" i="35405"/>
  <c r="D1627" i="35405"/>
  <c r="D1621" i="35405"/>
  <c r="D1632" i="35405"/>
  <c r="D1629" i="35405"/>
  <c r="D1616" i="35405"/>
  <c r="D1631" i="35405"/>
  <c r="D1637" i="35405"/>
  <c r="J69" i="35062"/>
  <c r="D3435" i="35405"/>
  <c r="D3434" i="35405"/>
  <c r="D3455" i="35405"/>
  <c r="D3438" i="35405"/>
  <c r="D3453" i="35405"/>
  <c r="D3447" i="35405"/>
  <c r="D3446" i="35405"/>
  <c r="D3439" i="35405"/>
  <c r="D3454" i="35405"/>
  <c r="D3442" i="35405"/>
  <c r="D3448" i="35405"/>
  <c r="D3459" i="35405"/>
  <c r="D3450" i="35405"/>
  <c r="D3444" i="35405"/>
  <c r="D3436" i="35405"/>
  <c r="D3456" i="35405"/>
  <c r="D3452" i="35405"/>
  <c r="D3440" i="35405"/>
  <c r="D3449" i="35405"/>
  <c r="D3437" i="35405"/>
  <c r="D3441" i="35405"/>
  <c r="D3445" i="35405"/>
  <c r="D3451" i="35405"/>
  <c r="D3457" i="35405"/>
  <c r="D3458" i="35405"/>
  <c r="D3443" i="35405"/>
  <c r="C81" i="34986"/>
  <c r="FL81" i="35036"/>
  <c r="FT80" i="35036"/>
  <c r="H81" i="34980"/>
  <c r="M80" i="34980"/>
  <c r="F81" i="34980"/>
  <c r="AY80" i="35036"/>
  <c r="I81" i="34980"/>
  <c r="C83" i="35017"/>
  <c r="F81" i="35017"/>
  <c r="M80" i="35017"/>
  <c r="D81" i="34984"/>
  <c r="BX80" i="35036"/>
  <c r="F81" i="34984"/>
  <c r="CV80" i="35036"/>
  <c r="J70" i="35062" l="1"/>
  <c r="K70" i="35062"/>
  <c r="D1644" i="35405"/>
  <c r="D1652" i="35405"/>
  <c r="D1645" i="35405"/>
  <c r="D1658" i="35405"/>
  <c r="D1647" i="35405"/>
  <c r="D1653" i="35405"/>
  <c r="D1648" i="35405"/>
  <c r="D1661" i="35405"/>
  <c r="D1649" i="35405"/>
  <c r="D1642" i="35405"/>
  <c r="D1664" i="35405"/>
  <c r="D1641" i="35405"/>
  <c r="D1651" i="35405"/>
  <c r="D1650" i="35405"/>
  <c r="D1659" i="35405"/>
  <c r="D1660" i="35405"/>
  <c r="D1665" i="35405"/>
  <c r="D1663" i="35405"/>
  <c r="D1657" i="35405"/>
  <c r="D1640" i="35405"/>
  <c r="D1646" i="35405"/>
  <c r="D1643" i="35405"/>
  <c r="D1656" i="35405"/>
  <c r="D1655" i="35405"/>
  <c r="D1654" i="35405"/>
  <c r="D1662" i="35405"/>
  <c r="D3478" i="35405"/>
  <c r="D3461" i="35405"/>
  <c r="D3482" i="35405"/>
  <c r="D3473" i="35405"/>
  <c r="D3475" i="35405"/>
  <c r="D3474" i="35405"/>
  <c r="D3472" i="35405"/>
  <c r="D3477" i="35405"/>
  <c r="D3464" i="35405"/>
  <c r="D3484" i="35405"/>
  <c r="D3467" i="35405"/>
  <c r="D3483" i="35405"/>
  <c r="D3470" i="35405"/>
  <c r="D3466" i="35405"/>
  <c r="D3479" i="35405"/>
  <c r="D3462" i="35405"/>
  <c r="D3476" i="35405"/>
  <c r="D3471" i="35405"/>
  <c r="D3460" i="35405"/>
  <c r="D3469" i="35405"/>
  <c r="D3485" i="35405"/>
  <c r="D3481" i="35405"/>
  <c r="D3480" i="35405"/>
  <c r="D3463" i="35405"/>
  <c r="D3468" i="35405"/>
  <c r="D3465" i="35405"/>
  <c r="F82" i="34984"/>
  <c r="CV81" i="35036"/>
  <c r="D82" i="34984"/>
  <c r="BX81" i="35036"/>
  <c r="F82" i="35017"/>
  <c r="M81" i="35017"/>
  <c r="C84" i="35017"/>
  <c r="M44" i="35391" s="1" a="1"/>
  <c r="M44" i="35391" s="1"/>
  <c r="N44" i="35391" s="1"/>
  <c r="O44" i="35391" s="1"/>
  <c r="I82" i="34980"/>
  <c r="F82" i="34980"/>
  <c r="AY81" i="35036"/>
  <c r="H82" i="34980"/>
  <c r="M81" i="34980"/>
  <c r="C82" i="34986"/>
  <c r="FL82" i="35036"/>
  <c r="FT81" i="35036"/>
  <c r="J71" i="35062" l="1"/>
  <c r="D3510" i="35405"/>
  <c r="D3507" i="35405"/>
  <c r="D3503" i="35405"/>
  <c r="D3487" i="35405"/>
  <c r="D3505" i="35405"/>
  <c r="D3491" i="35405"/>
  <c r="D3508" i="35405"/>
  <c r="D3494" i="35405"/>
  <c r="D3489" i="35405"/>
  <c r="D3502" i="35405"/>
  <c r="D3511" i="35405"/>
  <c r="D3488" i="35405"/>
  <c r="D3506" i="35405"/>
  <c r="D3500" i="35405"/>
  <c r="D3495" i="35405"/>
  <c r="D3504" i="35405"/>
  <c r="D3490" i="35405"/>
  <c r="D3486" i="35405"/>
  <c r="D3499" i="35405"/>
  <c r="D3493" i="35405"/>
  <c r="D3509" i="35405"/>
  <c r="D3496" i="35405"/>
  <c r="D3497" i="35405"/>
  <c r="D3501" i="35405"/>
  <c r="D3492" i="35405"/>
  <c r="D3498" i="35405"/>
  <c r="D1686" i="35405"/>
  <c r="D1673" i="35405"/>
  <c r="D1668" i="35405"/>
  <c r="D1666" i="35405"/>
  <c r="D1675" i="35405"/>
  <c r="D1681" i="35405"/>
  <c r="D1685" i="35405"/>
  <c r="D1684" i="35405"/>
  <c r="D1676" i="35405"/>
  <c r="D1688" i="35405"/>
  <c r="D1679" i="35405"/>
  <c r="D1677" i="35405"/>
  <c r="D1682" i="35405"/>
  <c r="D1671" i="35405"/>
  <c r="D1680" i="35405"/>
  <c r="D1691" i="35405"/>
  <c r="D1674" i="35405"/>
  <c r="D1669" i="35405"/>
  <c r="D1687" i="35405"/>
  <c r="D1670" i="35405"/>
  <c r="D1678" i="35405"/>
  <c r="D1667" i="35405"/>
  <c r="D1683" i="35405"/>
  <c r="D1672" i="35405"/>
  <c r="D1689" i="35405"/>
  <c r="D1690" i="35405"/>
  <c r="K71" i="35062"/>
  <c r="H83" i="34980"/>
  <c r="M82" i="34980"/>
  <c r="FT82" i="35036"/>
  <c r="C83" i="34986"/>
  <c r="FL83" i="35036"/>
  <c r="AY82" i="35036"/>
  <c r="F83" i="34980"/>
  <c r="I83" i="34980"/>
  <c r="G11" i="34980" a="1"/>
  <c r="F83" i="35017"/>
  <c r="M82" i="35017"/>
  <c r="F83" i="34984"/>
  <c r="CV82" i="35036"/>
  <c r="D83" i="34984"/>
  <c r="BX82" i="35036"/>
  <c r="J74" i="35062" l="1"/>
  <c r="D1770" i="35405" s="1"/>
  <c r="J72" i="35062"/>
  <c r="K74" i="35062"/>
  <c r="D3611" i="35405" s="1"/>
  <c r="K72" i="35062"/>
  <c r="D1695" i="35405"/>
  <c r="D1711" i="35405"/>
  <c r="D1702" i="35405"/>
  <c r="D1714" i="35405"/>
  <c r="D1697" i="35405"/>
  <c r="D1693" i="35405"/>
  <c r="D1712" i="35405"/>
  <c r="D1717" i="35405"/>
  <c r="D1700" i="35405"/>
  <c r="D1703" i="35405"/>
  <c r="D1698" i="35405"/>
  <c r="D1708" i="35405"/>
  <c r="D1704" i="35405"/>
  <c r="D1696" i="35405"/>
  <c r="D1699" i="35405"/>
  <c r="D1706" i="35405"/>
  <c r="D1692" i="35405"/>
  <c r="D1710" i="35405"/>
  <c r="D1713" i="35405"/>
  <c r="D1709" i="35405"/>
  <c r="D1705" i="35405"/>
  <c r="D1715" i="35405"/>
  <c r="D1694" i="35405"/>
  <c r="D1707" i="35405"/>
  <c r="D1701" i="35405"/>
  <c r="D1716" i="35405"/>
  <c r="D3526" i="35405"/>
  <c r="D3519" i="35405"/>
  <c r="D3537" i="35405"/>
  <c r="D3514" i="35405"/>
  <c r="D3522" i="35405"/>
  <c r="D3515" i="35405"/>
  <c r="D3532" i="35405"/>
  <c r="D3533" i="35405"/>
  <c r="D3523" i="35405"/>
  <c r="D3534" i="35405"/>
  <c r="D3535" i="35405"/>
  <c r="D3524" i="35405"/>
  <c r="D3516" i="35405"/>
  <c r="D3512" i="35405"/>
  <c r="D3531" i="35405"/>
  <c r="D3527" i="35405"/>
  <c r="D3529" i="35405"/>
  <c r="D3517" i="35405"/>
  <c r="D3530" i="35405"/>
  <c r="D3521" i="35405"/>
  <c r="D3520" i="35405"/>
  <c r="D3528" i="35405"/>
  <c r="D3525" i="35405"/>
  <c r="D3518" i="35405"/>
  <c r="D3513" i="35405"/>
  <c r="D3536" i="35405"/>
  <c r="F84" i="34984"/>
  <c r="CV84" i="35036" s="1"/>
  <c r="CV83" i="35036"/>
  <c r="CN11" i="35036" a="1"/>
  <c r="G13" i="34980"/>
  <c r="G15" i="34980"/>
  <c r="G17" i="34980"/>
  <c r="G19" i="34980"/>
  <c r="G21" i="34980"/>
  <c r="G23" i="34980"/>
  <c r="G25" i="34980"/>
  <c r="G27" i="34980"/>
  <c r="G29" i="34980"/>
  <c r="G31" i="34980"/>
  <c r="G33" i="34980"/>
  <c r="G35" i="34980"/>
  <c r="G37" i="34980"/>
  <c r="G39" i="34980"/>
  <c r="G41" i="34980"/>
  <c r="G43" i="34980"/>
  <c r="G45" i="34980"/>
  <c r="G47" i="34980"/>
  <c r="G49" i="34980"/>
  <c r="G51" i="34980"/>
  <c r="G53" i="34980"/>
  <c r="G55" i="34980"/>
  <c r="G57" i="34980"/>
  <c r="G59" i="34980"/>
  <c r="G61" i="34980"/>
  <c r="G63" i="34980"/>
  <c r="G65" i="34980"/>
  <c r="G67" i="34980"/>
  <c r="G69" i="34980"/>
  <c r="G71" i="34980"/>
  <c r="G73" i="34980"/>
  <c r="G75" i="34980"/>
  <c r="G77" i="34980"/>
  <c r="G79" i="34980"/>
  <c r="G81" i="34980"/>
  <c r="G11" i="34980"/>
  <c r="G83" i="34980"/>
  <c r="G14" i="34980"/>
  <c r="G16" i="34980"/>
  <c r="G18" i="34980"/>
  <c r="G20" i="34980"/>
  <c r="G22" i="34980"/>
  <c r="G24" i="34980"/>
  <c r="G26" i="34980"/>
  <c r="G28" i="34980"/>
  <c r="G30" i="34980"/>
  <c r="G32" i="34980"/>
  <c r="G34" i="34980"/>
  <c r="G36" i="34980"/>
  <c r="G38" i="34980"/>
  <c r="G40" i="34980"/>
  <c r="G42" i="34980"/>
  <c r="G44" i="34980"/>
  <c r="G46" i="34980"/>
  <c r="G48" i="34980"/>
  <c r="G50" i="34980"/>
  <c r="G52" i="34980"/>
  <c r="G54" i="34980"/>
  <c r="G56" i="34980"/>
  <c r="G58" i="34980"/>
  <c r="G60" i="34980"/>
  <c r="G62" i="34980"/>
  <c r="G64" i="34980"/>
  <c r="G66" i="34980"/>
  <c r="G68" i="34980"/>
  <c r="G70" i="34980"/>
  <c r="G72" i="34980"/>
  <c r="G74" i="34980"/>
  <c r="G76" i="34980"/>
  <c r="G78" i="34980"/>
  <c r="G80" i="34980"/>
  <c r="G82" i="34980"/>
  <c r="G12" i="34980"/>
  <c r="G84" i="34980"/>
  <c r="AY83" i="35036"/>
  <c r="F84" i="34980"/>
  <c r="AW11" i="35036" s="1" a="1"/>
  <c r="AP11" i="35036" a="1"/>
  <c r="FL84" i="35036"/>
  <c r="FN11" i="35036" s="1" a="1"/>
  <c r="C84" i="34986"/>
  <c r="M80" i="35391" s="1" a="1"/>
  <c r="M80" i="35391" s="1"/>
  <c r="FT83" i="35036"/>
  <c r="H84" i="34980"/>
  <c r="M68" i="35391" s="1"/>
  <c r="M83" i="34980"/>
  <c r="D84" i="34984"/>
  <c r="BY11" i="35036" s="1" a="1"/>
  <c r="BX83" i="35036"/>
  <c r="BP11" i="35036" a="1"/>
  <c r="F84" i="35017"/>
  <c r="M83" i="35017"/>
  <c r="I84" i="34980"/>
  <c r="M69" i="35391" s="1"/>
  <c r="N69" i="35391" s="1"/>
  <c r="R42" i="35391" l="1"/>
  <c r="T42" i="35391" s="1"/>
  <c r="N80" i="35391"/>
  <c r="O80" i="35391" s="1"/>
  <c r="M83" i="35391"/>
  <c r="N83" i="35391" s="1"/>
  <c r="O83" i="35391" s="1"/>
  <c r="O69" i="35391"/>
  <c r="V15" i="35391"/>
  <c r="M67" i="35391"/>
  <c r="N67" i="35391" s="1"/>
  <c r="O67" i="35391" s="1"/>
  <c r="N68" i="35391"/>
  <c r="O68" i="35391" s="1"/>
  <c r="M56" i="35391"/>
  <c r="M64" i="35391" a="1"/>
  <c r="M64" i="35391" s="1"/>
  <c r="M75" i="35391" a="1"/>
  <c r="M75" i="35391" s="1"/>
  <c r="N75" i="35391" s="1"/>
  <c r="O75" i="35391" s="1"/>
  <c r="M73" i="35391" a="1"/>
  <c r="M73" i="35391" s="1"/>
  <c r="D1792" i="35405"/>
  <c r="D1774" i="35405"/>
  <c r="D1782" i="35405"/>
  <c r="D1781" i="35405"/>
  <c r="D1777" i="35405"/>
  <c r="D3600" i="35405"/>
  <c r="D1776" i="35405"/>
  <c r="D3605" i="35405"/>
  <c r="D1790" i="35405"/>
  <c r="D1783" i="35405"/>
  <c r="D3609" i="35405"/>
  <c r="D1778" i="35405"/>
  <c r="D1772" i="35405"/>
  <c r="D3601" i="35405"/>
  <c r="D3610" i="35405"/>
  <c r="D1795" i="35405"/>
  <c r="D3596" i="35405"/>
  <c r="D1787" i="35405"/>
  <c r="D3607" i="35405"/>
  <c r="D1794" i="35405"/>
  <c r="D3612" i="35405"/>
  <c r="D3604" i="35405"/>
  <c r="M84" i="35017"/>
  <c r="S11" i="35035" s="1" a="1"/>
  <c r="M47" i="35391" a="1"/>
  <c r="M47" i="35391" s="1"/>
  <c r="D3597" i="35405"/>
  <c r="D1773" i="35405"/>
  <c r="D3613" i="35405"/>
  <c r="D1785" i="35405"/>
  <c r="D3590" i="35405"/>
  <c r="D3592" i="35405"/>
  <c r="D3608" i="35405"/>
  <c r="D1784" i="35405"/>
  <c r="D3602" i="35405"/>
  <c r="D3606" i="35405"/>
  <c r="D1786" i="35405"/>
  <c r="D3599" i="35405"/>
  <c r="D3598" i="35405"/>
  <c r="D1793" i="35405"/>
  <c r="D1771" i="35405"/>
  <c r="D1779" i="35405"/>
  <c r="D1791" i="35405"/>
  <c r="D1789" i="35405"/>
  <c r="D3591" i="35405"/>
  <c r="D1775" i="35405"/>
  <c r="D1788" i="35405"/>
  <c r="D3603" i="35405"/>
  <c r="D1780" i="35405"/>
  <c r="J76" i="35062"/>
  <c r="J73" i="35062"/>
  <c r="D3594" i="35405"/>
  <c r="D3593" i="35405"/>
  <c r="D3614" i="35405"/>
  <c r="D3615" i="35405"/>
  <c r="D3595" i="35405"/>
  <c r="D3544" i="35405"/>
  <c r="D3547" i="35405"/>
  <c r="D3542" i="35405"/>
  <c r="D3560" i="35405"/>
  <c r="D3539" i="35405"/>
  <c r="D3562" i="35405"/>
  <c r="D3558" i="35405"/>
  <c r="D3549" i="35405"/>
  <c r="D3548" i="35405"/>
  <c r="D3561" i="35405"/>
  <c r="D3556" i="35405"/>
  <c r="D3555" i="35405"/>
  <c r="D3559" i="35405"/>
  <c r="D3550" i="35405"/>
  <c r="D3538" i="35405"/>
  <c r="D3552" i="35405"/>
  <c r="D3543" i="35405"/>
  <c r="D3551" i="35405"/>
  <c r="D3554" i="35405"/>
  <c r="D3553" i="35405"/>
  <c r="D3541" i="35405"/>
  <c r="D3557" i="35405"/>
  <c r="D3545" i="35405"/>
  <c r="D3540" i="35405"/>
  <c r="D3546" i="35405"/>
  <c r="D3563" i="35405"/>
  <c r="D1733" i="35405"/>
  <c r="D1740" i="35405"/>
  <c r="D1720" i="35405"/>
  <c r="D1734" i="35405"/>
  <c r="D1730" i="35405"/>
  <c r="D1735" i="35405"/>
  <c r="D1724" i="35405"/>
  <c r="D1718" i="35405"/>
  <c r="D1731" i="35405"/>
  <c r="D1719" i="35405"/>
  <c r="D1723" i="35405"/>
  <c r="D1732" i="35405"/>
  <c r="D1737" i="35405"/>
  <c r="D1722" i="35405"/>
  <c r="D1721" i="35405"/>
  <c r="D1726" i="35405"/>
  <c r="D1728" i="35405"/>
  <c r="D1743" i="35405"/>
  <c r="D1741" i="35405"/>
  <c r="D1727" i="35405"/>
  <c r="D1725" i="35405"/>
  <c r="D1729" i="35405"/>
  <c r="D1739" i="35405"/>
  <c r="D1742" i="35405"/>
  <c r="D1738" i="35405"/>
  <c r="D1736" i="35405"/>
  <c r="K75" i="35062"/>
  <c r="D3632" i="35405" s="1"/>
  <c r="K73" i="35062"/>
  <c r="K76" i="35062"/>
  <c r="J78" i="35062"/>
  <c r="J75" i="35062"/>
  <c r="K77" i="35062"/>
  <c r="K78" i="35062"/>
  <c r="CU11" i="35036" a="1"/>
  <c r="CU14" i="35036" s="1"/>
  <c r="CW11" i="35036" a="1"/>
  <c r="CW26" i="35036" s="1"/>
  <c r="BW11" i="35036" a="1"/>
  <c r="BW78" i="35036" s="1"/>
  <c r="BY35" i="35036"/>
  <c r="BY79" i="35036"/>
  <c r="BY32" i="35036"/>
  <c r="BY65" i="35036"/>
  <c r="BY62" i="35036"/>
  <c r="BY18" i="35036"/>
  <c r="BY63" i="35036"/>
  <c r="BY44" i="35036"/>
  <c r="BY38" i="35036"/>
  <c r="BY43" i="35036"/>
  <c r="BY21" i="35036"/>
  <c r="BY42" i="35036"/>
  <c r="BY13" i="35036"/>
  <c r="BY12" i="35036"/>
  <c r="BY47" i="35036"/>
  <c r="BY81" i="35036"/>
  <c r="BY51" i="35036"/>
  <c r="BY78" i="35036"/>
  <c r="BY37" i="35036"/>
  <c r="BY61" i="35036"/>
  <c r="BY36" i="35036"/>
  <c r="BY57" i="35036"/>
  <c r="BY59" i="35036"/>
  <c r="BY70" i="35036"/>
  <c r="BY55" i="35036"/>
  <c r="BY46" i="35036"/>
  <c r="BY19" i="35036"/>
  <c r="BY25" i="35036"/>
  <c r="BY20" i="35036"/>
  <c r="BY53" i="35036"/>
  <c r="BY80" i="35036"/>
  <c r="BY17" i="35036"/>
  <c r="BY14" i="35036"/>
  <c r="BY45" i="35036"/>
  <c r="BY31" i="35036"/>
  <c r="BY69" i="35036"/>
  <c r="BY52" i="35036"/>
  <c r="BY74" i="35036"/>
  <c r="BY82" i="35036"/>
  <c r="BY60" i="35036"/>
  <c r="BY58" i="35036"/>
  <c r="BY23" i="35036"/>
  <c r="BY68" i="35036"/>
  <c r="BY73" i="35036"/>
  <c r="BY54" i="35036"/>
  <c r="BY64" i="35036"/>
  <c r="BY11" i="35036"/>
  <c r="BY30" i="35036"/>
  <c r="BY84" i="35036"/>
  <c r="BY48" i="35036"/>
  <c r="BY29" i="35036"/>
  <c r="BY33" i="35036"/>
  <c r="BY39" i="35036"/>
  <c r="BY49" i="35036"/>
  <c r="BY15" i="35036"/>
  <c r="BY67" i="35036"/>
  <c r="BY66" i="35036"/>
  <c r="BY24" i="35036"/>
  <c r="BY28" i="35036"/>
  <c r="BY50" i="35036"/>
  <c r="BY26" i="35036"/>
  <c r="BY22" i="35036"/>
  <c r="BY71" i="35036"/>
  <c r="BY40" i="35036"/>
  <c r="BY76" i="35036"/>
  <c r="BY83" i="35036"/>
  <c r="BY16" i="35036"/>
  <c r="BY77" i="35036"/>
  <c r="BY27" i="35036"/>
  <c r="BY56" i="35036"/>
  <c r="BY34" i="35036"/>
  <c r="BY72" i="35036"/>
  <c r="BY75" i="35036"/>
  <c r="BY41" i="35036"/>
  <c r="FT84" i="35036"/>
  <c r="FR11" i="35036" a="1"/>
  <c r="G11" i="34986" a="1"/>
  <c r="AP79" i="35036"/>
  <c r="AP27" i="35036"/>
  <c r="AP16" i="35036"/>
  <c r="AP19" i="35036"/>
  <c r="AP31" i="35036"/>
  <c r="AP35" i="35036"/>
  <c r="AP75" i="35036"/>
  <c r="AP23" i="35036"/>
  <c r="AP73" i="35036"/>
  <c r="AP21" i="35036"/>
  <c r="AP76" i="35036"/>
  <c r="AP63" i="35036"/>
  <c r="AP62" i="35036"/>
  <c r="AP58" i="35036"/>
  <c r="AP17" i="35036"/>
  <c r="AP83" i="35036"/>
  <c r="AP72" i="35036"/>
  <c r="AP13" i="35036"/>
  <c r="AP33" i="35036"/>
  <c r="AP12" i="35036"/>
  <c r="AP18" i="35036"/>
  <c r="AP78" i="35036"/>
  <c r="AP22" i="35036"/>
  <c r="AP80" i="35036"/>
  <c r="AP60" i="35036"/>
  <c r="AP56" i="35036"/>
  <c r="AP52" i="35036"/>
  <c r="AP24" i="35036"/>
  <c r="AP20" i="35036"/>
  <c r="AP36" i="35036"/>
  <c r="AP64" i="35036"/>
  <c r="AP51" i="35036"/>
  <c r="AP50" i="35036"/>
  <c r="AP39" i="35036"/>
  <c r="AP57" i="35036"/>
  <c r="AP28" i="35036"/>
  <c r="AP34" i="35036"/>
  <c r="AP38" i="35036"/>
  <c r="AP70" i="35036"/>
  <c r="AP11" i="35036"/>
  <c r="AP82" i="35036"/>
  <c r="AP49" i="35036"/>
  <c r="AP15" i="35036"/>
  <c r="AP53" i="35036"/>
  <c r="AP44" i="35036"/>
  <c r="AP74" i="35036"/>
  <c r="AP65" i="35036"/>
  <c r="AP66" i="35036"/>
  <c r="AP67" i="35036"/>
  <c r="AP25" i="35036"/>
  <c r="AP43" i="35036"/>
  <c r="AP69" i="35036"/>
  <c r="AP59" i="35036"/>
  <c r="AP41" i="35036"/>
  <c r="AP26" i="35036"/>
  <c r="AP14" i="35036"/>
  <c r="AP81" i="35036"/>
  <c r="AP46" i="35036"/>
  <c r="AP54" i="35036"/>
  <c r="AP30" i="35036"/>
  <c r="AP29" i="35036"/>
  <c r="AP32" i="35036"/>
  <c r="AP42" i="35036"/>
  <c r="AP71" i="35036"/>
  <c r="AP40" i="35036"/>
  <c r="AP84" i="35036"/>
  <c r="AP37" i="35036"/>
  <c r="AP77" i="35036"/>
  <c r="AP45" i="35036"/>
  <c r="AP61" i="35036"/>
  <c r="AP47" i="35036"/>
  <c r="AP48" i="35036"/>
  <c r="AP55" i="35036"/>
  <c r="AP68" i="35036"/>
  <c r="M65" i="35391" a="1"/>
  <c r="M65" i="35391" s="1"/>
  <c r="CN47" i="35036"/>
  <c r="CN58" i="35036"/>
  <c r="CN65" i="35036"/>
  <c r="CN76" i="35036"/>
  <c r="CN12" i="35036"/>
  <c r="CN27" i="35036"/>
  <c r="CN38" i="35036"/>
  <c r="CN45" i="35036"/>
  <c r="CN56" i="35036"/>
  <c r="CN55" i="35036"/>
  <c r="CN66" i="35036"/>
  <c r="CN73" i="35036"/>
  <c r="CN84" i="35036"/>
  <c r="CN20" i="35036"/>
  <c r="CN35" i="35036"/>
  <c r="CN46" i="35036"/>
  <c r="CN53" i="35036"/>
  <c r="CN64" i="35036"/>
  <c r="CN63" i="35036"/>
  <c r="CN74" i="35036"/>
  <c r="CN81" i="35036"/>
  <c r="CN17" i="35036"/>
  <c r="CN28" i="35036"/>
  <c r="CN43" i="35036"/>
  <c r="CN54" i="35036"/>
  <c r="CN61" i="35036"/>
  <c r="CN72" i="35036"/>
  <c r="CN71" i="35036"/>
  <c r="CN82" i="35036"/>
  <c r="CN18" i="35036"/>
  <c r="CN25" i="35036"/>
  <c r="CN36" i="35036"/>
  <c r="CN51" i="35036"/>
  <c r="CN62" i="35036"/>
  <c r="CN69" i="35036"/>
  <c r="CN80" i="35036"/>
  <c r="CN16" i="35036"/>
  <c r="CN79" i="35036"/>
  <c r="CN15" i="35036"/>
  <c r="CN26" i="35036"/>
  <c r="CN33" i="35036"/>
  <c r="CN44" i="35036"/>
  <c r="CN59" i="35036"/>
  <c r="CN70" i="35036"/>
  <c r="CN77" i="35036"/>
  <c r="CN13" i="35036"/>
  <c r="CN24" i="35036"/>
  <c r="CN23" i="35036"/>
  <c r="CN34" i="35036"/>
  <c r="CN41" i="35036"/>
  <c r="CN52" i="35036"/>
  <c r="CN67" i="35036"/>
  <c r="CN78" i="35036"/>
  <c r="CN14" i="35036"/>
  <c r="CN21" i="35036"/>
  <c r="CN32" i="35036"/>
  <c r="CN31" i="35036"/>
  <c r="CN42" i="35036"/>
  <c r="CN49" i="35036"/>
  <c r="CN60" i="35036"/>
  <c r="CN75" i="35036"/>
  <c r="CN11" i="35036"/>
  <c r="CN22" i="35036"/>
  <c r="CN29" i="35036"/>
  <c r="CN40" i="35036"/>
  <c r="CN39" i="35036"/>
  <c r="CN50" i="35036"/>
  <c r="CN57" i="35036"/>
  <c r="CN68" i="35036"/>
  <c r="CN83" i="35036"/>
  <c r="CN19" i="35036"/>
  <c r="CN30" i="35036"/>
  <c r="CN37" i="35036"/>
  <c r="CN48" i="35036"/>
  <c r="BP73" i="35036"/>
  <c r="BP84" i="35036"/>
  <c r="BP71" i="35036"/>
  <c r="BP46" i="35036"/>
  <c r="BP12" i="35036"/>
  <c r="BP17" i="35036"/>
  <c r="BP59" i="35036"/>
  <c r="BP68" i="35036"/>
  <c r="BP38" i="35036"/>
  <c r="BP26" i="35036"/>
  <c r="BP56" i="35036"/>
  <c r="BP76" i="35036"/>
  <c r="BP64" i="35036"/>
  <c r="BP67" i="35036"/>
  <c r="BP28" i="35036"/>
  <c r="BP63" i="35036"/>
  <c r="BP45" i="35036"/>
  <c r="BP70" i="35036"/>
  <c r="BP23" i="35036"/>
  <c r="BP35" i="35036"/>
  <c r="BP80" i="35036"/>
  <c r="BP83" i="35036"/>
  <c r="BP54" i="35036"/>
  <c r="BP55" i="35036"/>
  <c r="BP15" i="35036"/>
  <c r="BP19" i="35036"/>
  <c r="BP30" i="35036"/>
  <c r="BP72" i="35036"/>
  <c r="BP50" i="35036"/>
  <c r="BP25" i="35036"/>
  <c r="BP78" i="35036"/>
  <c r="BP74" i="35036"/>
  <c r="BP11" i="35036"/>
  <c r="BP66" i="35036"/>
  <c r="BP32" i="35036"/>
  <c r="BP36" i="35036"/>
  <c r="BP53" i="35036"/>
  <c r="BP41" i="35036"/>
  <c r="BP81" i="35036"/>
  <c r="BP49" i="35036"/>
  <c r="BP47" i="35036"/>
  <c r="BP42" i="35036"/>
  <c r="BP60" i="35036"/>
  <c r="BP61" i="35036"/>
  <c r="BP20" i="35036"/>
  <c r="BP18" i="35036"/>
  <c r="BP62" i="35036"/>
  <c r="BP14" i="35036"/>
  <c r="BP52" i="35036"/>
  <c r="BP31" i="35036"/>
  <c r="BP27" i="35036"/>
  <c r="BP79" i="35036"/>
  <c r="BP57" i="35036"/>
  <c r="BP34" i="35036"/>
  <c r="BP77" i="35036"/>
  <c r="BP75" i="35036"/>
  <c r="BP51" i="35036"/>
  <c r="BP40" i="35036"/>
  <c r="BP82" i="35036"/>
  <c r="BP21" i="35036"/>
  <c r="BP37" i="35036"/>
  <c r="BP48" i="35036"/>
  <c r="BP13" i="35036"/>
  <c r="BP24" i="35036"/>
  <c r="BP29" i="35036"/>
  <c r="BP16" i="35036"/>
  <c r="BP39" i="35036"/>
  <c r="BP65" i="35036"/>
  <c r="BP43" i="35036"/>
  <c r="BP44" i="35036"/>
  <c r="BP58" i="35036"/>
  <c r="BP33" i="35036"/>
  <c r="BP22" i="35036"/>
  <c r="BP69" i="35036"/>
  <c r="BX84" i="35036"/>
  <c r="I11" i="34984" a="1"/>
  <c r="M84" i="34980"/>
  <c r="K11" i="34980" s="1" a="1"/>
  <c r="J77" i="35062"/>
  <c r="FN55" i="35036"/>
  <c r="FN74" i="35036"/>
  <c r="FN73" i="35036"/>
  <c r="FN39" i="35036"/>
  <c r="FN47" i="35036"/>
  <c r="FN69" i="35036"/>
  <c r="FN42" i="35036"/>
  <c r="FN17" i="35036"/>
  <c r="FN51" i="35036"/>
  <c r="FN18" i="35036"/>
  <c r="FN21" i="35036"/>
  <c r="FN75" i="35036"/>
  <c r="FN81" i="35036"/>
  <c r="FN24" i="35036"/>
  <c r="FN37" i="35036"/>
  <c r="FN22" i="35036"/>
  <c r="FN19" i="35036"/>
  <c r="FN52" i="35036"/>
  <c r="FN66" i="35036"/>
  <c r="FN13" i="35036"/>
  <c r="FN79" i="35036"/>
  <c r="FN48" i="35036"/>
  <c r="FN38" i="35036"/>
  <c r="FN34" i="35036"/>
  <c r="FN58" i="35036"/>
  <c r="FN35" i="35036"/>
  <c r="FN50" i="35036"/>
  <c r="FN28" i="35036"/>
  <c r="FN23" i="35036"/>
  <c r="FN57" i="35036"/>
  <c r="FN71" i="35036"/>
  <c r="FN77" i="35036"/>
  <c r="FN33" i="35036"/>
  <c r="FN80" i="35036"/>
  <c r="FN70" i="35036"/>
  <c r="FN72" i="35036"/>
  <c r="FN40" i="35036"/>
  <c r="FN46" i="35036"/>
  <c r="FN32" i="35036"/>
  <c r="FN56" i="35036"/>
  <c r="FN68" i="35036"/>
  <c r="FN64" i="35036"/>
  <c r="FN15" i="35036"/>
  <c r="FN30" i="35036"/>
  <c r="FN25" i="35036"/>
  <c r="FN61" i="35036"/>
  <c r="FN41" i="35036"/>
  <c r="FN43" i="35036"/>
  <c r="FN26" i="35036"/>
  <c r="FN65" i="35036"/>
  <c r="FN45" i="35036"/>
  <c r="FN16" i="35036"/>
  <c r="FN60" i="35036"/>
  <c r="FN44" i="35036"/>
  <c r="FN63" i="35036"/>
  <c r="FN82" i="35036"/>
  <c r="FN83" i="35036"/>
  <c r="FN53" i="35036"/>
  <c r="FN67" i="35036"/>
  <c r="FN59" i="35036"/>
  <c r="FN29" i="35036"/>
  <c r="FN84" i="35036"/>
  <c r="FN11" i="35036"/>
  <c r="FN49" i="35036"/>
  <c r="FN76" i="35036"/>
  <c r="FN78" i="35036"/>
  <c r="FN36" i="35036"/>
  <c r="FN31" i="35036"/>
  <c r="FN12" i="35036"/>
  <c r="FN27" i="35036"/>
  <c r="FN14" i="35036"/>
  <c r="FN54" i="35036"/>
  <c r="FN20" i="35036"/>
  <c r="FN62" i="35036"/>
  <c r="AW25" i="35036"/>
  <c r="AW53" i="35036"/>
  <c r="AW15" i="35036"/>
  <c r="AW42" i="35036"/>
  <c r="AW81" i="35036"/>
  <c r="AW43" i="35036"/>
  <c r="AW76" i="35036"/>
  <c r="AW62" i="35036"/>
  <c r="AW79" i="35036"/>
  <c r="AW80" i="35036"/>
  <c r="AW35" i="35036"/>
  <c r="AW46" i="35036"/>
  <c r="AW64" i="35036"/>
  <c r="AW61" i="35036"/>
  <c r="AW67" i="35036"/>
  <c r="AW28" i="35036"/>
  <c r="AW69" i="35036"/>
  <c r="AW65" i="35036"/>
  <c r="AW57" i="35036"/>
  <c r="AW82" i="35036"/>
  <c r="AW36" i="35036"/>
  <c r="AW40" i="35036"/>
  <c r="AW18" i="35036"/>
  <c r="AW73" i="35036"/>
  <c r="AW22" i="35036"/>
  <c r="AW78" i="35036"/>
  <c r="AW24" i="35036"/>
  <c r="AW20" i="35036"/>
  <c r="AW27" i="35036"/>
  <c r="AW59" i="35036"/>
  <c r="AW70" i="35036"/>
  <c r="AW48" i="35036"/>
  <c r="AW63" i="35036"/>
  <c r="AW77" i="35036"/>
  <c r="AW11" i="35036"/>
  <c r="AW38" i="35036"/>
  <c r="AW13" i="35036"/>
  <c r="AW33" i="35036"/>
  <c r="AW84" i="35036"/>
  <c r="AW14" i="35036"/>
  <c r="AW56" i="35036"/>
  <c r="AW49" i="35036"/>
  <c r="AW41" i="35036"/>
  <c r="AW31" i="35036"/>
  <c r="AW32" i="35036"/>
  <c r="AW60" i="35036"/>
  <c r="AW50" i="35036"/>
  <c r="AW54" i="35036"/>
  <c r="AW45" i="35036"/>
  <c r="AW58" i="35036"/>
  <c r="AW55" i="35036"/>
  <c r="AW75" i="35036"/>
  <c r="AW68" i="35036"/>
  <c r="AW17" i="35036"/>
  <c r="AW29" i="35036"/>
  <c r="AW71" i="35036"/>
  <c r="AW16" i="35036"/>
  <c r="AW72" i="35036"/>
  <c r="AW39" i="35036"/>
  <c r="AW21" i="35036"/>
  <c r="AW26" i="35036"/>
  <c r="AW19" i="35036"/>
  <c r="AW66" i="35036"/>
  <c r="AW47" i="35036"/>
  <c r="AW52" i="35036"/>
  <c r="AW30" i="35036"/>
  <c r="AW74" i="35036"/>
  <c r="AW51" i="35036"/>
  <c r="AW44" i="35036"/>
  <c r="AW12" i="35036"/>
  <c r="AW23" i="35036"/>
  <c r="AW37" i="35036"/>
  <c r="AW34" i="35036"/>
  <c r="AW83" i="35036"/>
  <c r="AY84" i="35036"/>
  <c r="AX11" i="35036" a="1"/>
  <c r="L31" i="34908" l="1" a="1"/>
  <c r="L31" i="34908" s="1"/>
  <c r="M31" i="34908" s="1"/>
  <c r="N31" i="34908" s="1"/>
  <c r="N64" i="35391"/>
  <c r="O64" i="35391" s="1"/>
  <c r="R40" i="35391"/>
  <c r="T40" i="35391" s="1"/>
  <c r="N73" i="35391"/>
  <c r="O73" i="35391" s="1"/>
  <c r="R41" i="35391"/>
  <c r="T41" i="35391" s="1"/>
  <c r="M77" i="35391"/>
  <c r="N77" i="35391" s="1"/>
  <c r="O77" i="35391" s="1"/>
  <c r="V10" i="35391"/>
  <c r="W11" i="35391" s="1"/>
  <c r="W12" i="35391" s="1"/>
  <c r="M43" i="35391" a="1"/>
  <c r="M43" i="35391" s="1"/>
  <c r="N43" i="35391" s="1"/>
  <c r="O43" i="35391" s="1"/>
  <c r="R32" i="35391"/>
  <c r="N47" i="35391"/>
  <c r="O47" i="35391" s="1"/>
  <c r="D3617" i="35405"/>
  <c r="D3638" i="35405"/>
  <c r="D3636" i="35405"/>
  <c r="D3625" i="35405"/>
  <c r="D3620" i="35405"/>
  <c r="D3633" i="35405"/>
  <c r="D3641" i="35405"/>
  <c r="D3619" i="35405"/>
  <c r="D3637" i="35405"/>
  <c r="D3640" i="35405"/>
  <c r="D3639" i="35405"/>
  <c r="D3618" i="35405"/>
  <c r="D3629" i="35405"/>
  <c r="D3630" i="35405"/>
  <c r="D3621" i="35405"/>
  <c r="D3631" i="35405"/>
  <c r="D3634" i="35405"/>
  <c r="D3622" i="35405"/>
  <c r="D3635" i="35405"/>
  <c r="D3624" i="35405"/>
  <c r="D3582" i="35405"/>
  <c r="D3577" i="35405"/>
  <c r="D3568" i="35405"/>
  <c r="D3570" i="35405"/>
  <c r="D3573" i="35405"/>
  <c r="D3589" i="35405"/>
  <c r="D3574" i="35405"/>
  <c r="D3587" i="35405"/>
  <c r="D3569" i="35405"/>
  <c r="D3579" i="35405"/>
  <c r="D3575" i="35405"/>
  <c r="D3564" i="35405"/>
  <c r="D3583" i="35405"/>
  <c r="D3567" i="35405"/>
  <c r="D3585" i="35405"/>
  <c r="D3578" i="35405"/>
  <c r="D3571" i="35405"/>
  <c r="D3588" i="35405"/>
  <c r="D3576" i="35405"/>
  <c r="D3584" i="35405"/>
  <c r="D3580" i="35405"/>
  <c r="D3566" i="35405"/>
  <c r="D3572" i="35405"/>
  <c r="D3586" i="35405"/>
  <c r="D3581" i="35405"/>
  <c r="D3565" i="35405"/>
  <c r="D3627" i="35405"/>
  <c r="D3623" i="35405"/>
  <c r="D3628" i="35405"/>
  <c r="D1757" i="35405"/>
  <c r="D1764" i="35405"/>
  <c r="D1758" i="35405"/>
  <c r="D1752" i="35405"/>
  <c r="D1762" i="35405"/>
  <c r="D1750" i="35405"/>
  <c r="D1755" i="35405"/>
  <c r="D1754" i="35405"/>
  <c r="D1769" i="35405"/>
  <c r="D1745" i="35405"/>
  <c r="D1753" i="35405"/>
  <c r="D1765" i="35405"/>
  <c r="D1759" i="35405"/>
  <c r="D1761" i="35405"/>
  <c r="D1767" i="35405"/>
  <c r="D1760" i="35405"/>
  <c r="D1763" i="35405"/>
  <c r="D1746" i="35405"/>
  <c r="D1768" i="35405"/>
  <c r="D1756" i="35405"/>
  <c r="D1744" i="35405"/>
  <c r="D1751" i="35405"/>
  <c r="D1766" i="35405"/>
  <c r="D1747" i="35405"/>
  <c r="D1748" i="35405"/>
  <c r="D1749" i="35405"/>
  <c r="D3616" i="35405"/>
  <c r="D3626" i="35405"/>
  <c r="D1801" i="35405"/>
  <c r="D1800" i="35405"/>
  <c r="D1813" i="35405"/>
  <c r="D1805" i="35405"/>
  <c r="D1810" i="35405"/>
  <c r="D1806" i="35405"/>
  <c r="D1811" i="35405"/>
  <c r="D1809" i="35405"/>
  <c r="D1797" i="35405"/>
  <c r="D1798" i="35405"/>
  <c r="D1812" i="35405"/>
  <c r="D1796" i="35405"/>
  <c r="D1803" i="35405"/>
  <c r="D1802" i="35405"/>
  <c r="D1808" i="35405"/>
  <c r="D1817" i="35405"/>
  <c r="D1816" i="35405"/>
  <c r="D1820" i="35405"/>
  <c r="D1818" i="35405"/>
  <c r="D1819" i="35405"/>
  <c r="D1821" i="35405"/>
  <c r="D1814" i="35405"/>
  <c r="D1807" i="35405"/>
  <c r="D1799" i="35405"/>
  <c r="D1804" i="35405"/>
  <c r="D1815" i="35405"/>
  <c r="CW56" i="35036"/>
  <c r="CW70" i="35036"/>
  <c r="CW31" i="35036"/>
  <c r="CW79" i="35036"/>
  <c r="CW65" i="35036"/>
  <c r="CU71" i="35036"/>
  <c r="CU55" i="35036"/>
  <c r="CU39" i="35036"/>
  <c r="CU23" i="35036"/>
  <c r="CU80" i="35036"/>
  <c r="CU64" i="35036"/>
  <c r="CU44" i="35036"/>
  <c r="CU12" i="35036"/>
  <c r="CU79" i="35036"/>
  <c r="CU63" i="35036"/>
  <c r="CU47" i="35036"/>
  <c r="CU31" i="35036"/>
  <c r="CU15" i="35036"/>
  <c r="CU72" i="35036"/>
  <c r="CU56" i="35036"/>
  <c r="CU28" i="35036"/>
  <c r="CW33" i="35036"/>
  <c r="CW13" i="35036"/>
  <c r="CW25" i="35036"/>
  <c r="CW19" i="35036"/>
  <c r="BW51" i="35036"/>
  <c r="CU83" i="35036"/>
  <c r="CU75" i="35036"/>
  <c r="CU67" i="35036"/>
  <c r="CU59" i="35036"/>
  <c r="CU51" i="35036"/>
  <c r="CU43" i="35036"/>
  <c r="CU35" i="35036"/>
  <c r="CU27" i="35036"/>
  <c r="CU19" i="35036"/>
  <c r="CU84" i="35036"/>
  <c r="CU76" i="35036"/>
  <c r="CU68" i="35036"/>
  <c r="CU60" i="35036"/>
  <c r="CU52" i="35036"/>
  <c r="CU36" i="35036"/>
  <c r="CU20" i="35036"/>
  <c r="CW50" i="35036"/>
  <c r="CW76" i="35036"/>
  <c r="CW11" i="35036"/>
  <c r="CW75" i="35036"/>
  <c r="CW24" i="35036"/>
  <c r="CW80" i="35036"/>
  <c r="CW29" i="35036"/>
  <c r="CW18" i="35036"/>
  <c r="CW22" i="35036"/>
  <c r="CW35" i="35036"/>
  <c r="CW20" i="35036"/>
  <c r="CW78" i="35036"/>
  <c r="CW44" i="35036"/>
  <c r="CW73" i="35036"/>
  <c r="CW41" i="35036"/>
  <c r="CW39" i="35036"/>
  <c r="CW43" i="35036"/>
  <c r="CW71" i="35036"/>
  <c r="CW51" i="35036"/>
  <c r="CW52" i="35036"/>
  <c r="CW30" i="35036"/>
  <c r="CW77" i="35036"/>
  <c r="CW55" i="35036"/>
  <c r="CW66" i="35036"/>
  <c r="CW40" i="35036"/>
  <c r="CW63" i="35036"/>
  <c r="CW23" i="35036"/>
  <c r="CW58" i="35036"/>
  <c r="CU48" i="35036"/>
  <c r="CU40" i="35036"/>
  <c r="CU32" i="35036"/>
  <c r="CU24" i="35036"/>
  <c r="CU16" i="35036"/>
  <c r="CU11" i="35036"/>
  <c r="CU81" i="35036"/>
  <c r="CU77" i="35036"/>
  <c r="CU73" i="35036"/>
  <c r="CU69" i="35036"/>
  <c r="CU65" i="35036"/>
  <c r="CU61" i="35036"/>
  <c r="CU57" i="35036"/>
  <c r="CU53" i="35036"/>
  <c r="CU49" i="35036"/>
  <c r="CU45" i="35036"/>
  <c r="CU41" i="35036"/>
  <c r="CU37" i="35036"/>
  <c r="CU33" i="35036"/>
  <c r="CU29" i="35036"/>
  <c r="CU25" i="35036"/>
  <c r="CU21" i="35036"/>
  <c r="CU17" i="35036"/>
  <c r="CU13" i="35036"/>
  <c r="CU82" i="35036"/>
  <c r="CU78" i="35036"/>
  <c r="CU74" i="35036"/>
  <c r="CU70" i="35036"/>
  <c r="CU66" i="35036"/>
  <c r="CU62" i="35036"/>
  <c r="CU58" i="35036"/>
  <c r="CU54" i="35036"/>
  <c r="CU50" i="35036"/>
  <c r="CU46" i="35036"/>
  <c r="CU42" i="35036"/>
  <c r="CU38" i="35036"/>
  <c r="CU34" i="35036"/>
  <c r="CU30" i="35036"/>
  <c r="CU26" i="35036"/>
  <c r="CU22" i="35036"/>
  <c r="CU18" i="35036"/>
  <c r="CW72" i="35036"/>
  <c r="CW46" i="35036"/>
  <c r="CW49" i="35036"/>
  <c r="CW60" i="35036"/>
  <c r="CW68" i="35036"/>
  <c r="CW37" i="35036"/>
  <c r="CW61" i="35036"/>
  <c r="CW36" i="35036"/>
  <c r="CW38" i="35036"/>
  <c r="CW74" i="35036"/>
  <c r="CW64" i="35036"/>
  <c r="CW62" i="35036"/>
  <c r="CW48" i="35036"/>
  <c r="CW57" i="35036"/>
  <c r="CW32" i="35036"/>
  <c r="CW34" i="35036"/>
  <c r="CW12" i="35036"/>
  <c r="CW82" i="35036"/>
  <c r="CW59" i="35036"/>
  <c r="CW15" i="35036"/>
  <c r="CW67" i="35036"/>
  <c r="CW45" i="35036"/>
  <c r="CW28" i="35036"/>
  <c r="CW16" i="35036"/>
  <c r="CW17" i="35036"/>
  <c r="CW54" i="35036"/>
  <c r="CW47" i="35036"/>
  <c r="CW27" i="35036"/>
  <c r="CW83" i="35036"/>
  <c r="CW53" i="35036"/>
  <c r="CW21" i="35036"/>
  <c r="CW42" i="35036"/>
  <c r="CW69" i="35036"/>
  <c r="CW81" i="35036"/>
  <c r="CW14" i="35036"/>
  <c r="CW84" i="35036"/>
  <c r="BW20" i="35036"/>
  <c r="BW39" i="35036"/>
  <c r="BW42" i="35036"/>
  <c r="BW43" i="35036"/>
  <c r="BW47" i="35036"/>
  <c r="BW53" i="35036"/>
  <c r="BW61" i="35036"/>
  <c r="BW41" i="35036"/>
  <c r="BW65" i="35036"/>
  <c r="BW32" i="35036"/>
  <c r="BW74" i="35036"/>
  <c r="BW79" i="35036"/>
  <c r="BW12" i="35036"/>
  <c r="BW15" i="35036"/>
  <c r="BW67" i="35036"/>
  <c r="BW58" i="35036"/>
  <c r="BW62" i="35036"/>
  <c r="BW23" i="35036"/>
  <c r="BW80" i="35036"/>
  <c r="BW82" i="35036"/>
  <c r="BW38" i="35036"/>
  <c r="BW55" i="35036"/>
  <c r="BW45" i="35036"/>
  <c r="BW54" i="35036"/>
  <c r="BW27" i="35036"/>
  <c r="BW44" i="35036"/>
  <c r="BW77" i="35036"/>
  <c r="BW40" i="35036"/>
  <c r="BW19" i="35036"/>
  <c r="BW14" i="35036"/>
  <c r="BW13" i="35036"/>
  <c r="BW84" i="35036"/>
  <c r="BW16" i="35036"/>
  <c r="BW52" i="35036"/>
  <c r="BW37" i="35036"/>
  <c r="BW21" i="35036"/>
  <c r="BW33" i="35036"/>
  <c r="BW57" i="35036"/>
  <c r="BW63" i="35036"/>
  <c r="BW60" i="35036"/>
  <c r="BW24" i="35036"/>
  <c r="BW25" i="35036"/>
  <c r="BW48" i="35036"/>
  <c r="BW17" i="35036"/>
  <c r="BW68" i="35036"/>
  <c r="BW56" i="35036"/>
  <c r="BW59" i="35036"/>
  <c r="BW34" i="35036"/>
  <c r="BW66" i="35036"/>
  <c r="BW28" i="35036"/>
  <c r="BW75" i="35036"/>
  <c r="BW30" i="35036"/>
  <c r="BW71" i="35036"/>
  <c r="BW46" i="35036"/>
  <c r="BW76" i="35036"/>
  <c r="BW70" i="35036"/>
  <c r="BW26" i="35036"/>
  <c r="BW22" i="35036"/>
  <c r="BW73" i="35036"/>
  <c r="BW64" i="35036"/>
  <c r="BW83" i="35036"/>
  <c r="BW18" i="35036"/>
  <c r="BW72" i="35036"/>
  <c r="BW31" i="35036"/>
  <c r="BW36" i="35036"/>
  <c r="BW81" i="35036"/>
  <c r="BW11" i="35036"/>
  <c r="BW69" i="35036"/>
  <c r="BW29" i="35036"/>
  <c r="BW35" i="35036"/>
  <c r="BW49" i="35036"/>
  <c r="BW50" i="35036"/>
  <c r="CP11" i="35036" a="1"/>
  <c r="N65" i="35391"/>
  <c r="O65" i="35391" s="1"/>
  <c r="M66" i="35391"/>
  <c r="N66" i="35391" s="1"/>
  <c r="O66" i="35391" s="1"/>
  <c r="G37" i="34986"/>
  <c r="G78" i="34986"/>
  <c r="G26" i="34986"/>
  <c r="G18" i="34986"/>
  <c r="G40" i="34986"/>
  <c r="G43" i="34986"/>
  <c r="G20" i="34986"/>
  <c r="G65" i="34986"/>
  <c r="G71" i="34986"/>
  <c r="G58" i="34986"/>
  <c r="G31" i="34986"/>
  <c r="G27" i="34986"/>
  <c r="G56" i="34986"/>
  <c r="G44" i="34986"/>
  <c r="G34" i="34986"/>
  <c r="G68" i="34986"/>
  <c r="G24" i="34986"/>
  <c r="G22" i="34986"/>
  <c r="G32" i="34986"/>
  <c r="G57" i="34986"/>
  <c r="G33" i="34986"/>
  <c r="G60" i="34986"/>
  <c r="G81" i="34986"/>
  <c r="G83" i="34986"/>
  <c r="G39" i="34986"/>
  <c r="G36" i="34986"/>
  <c r="G67" i="34986"/>
  <c r="G69" i="34986"/>
  <c r="G35" i="34986"/>
  <c r="G82" i="34986"/>
  <c r="G17" i="34986"/>
  <c r="G59" i="34986"/>
  <c r="G45" i="34986"/>
  <c r="G29" i="34986"/>
  <c r="G64" i="34986"/>
  <c r="G12" i="34986"/>
  <c r="G38" i="34986"/>
  <c r="G30" i="34986"/>
  <c r="G11" i="34986"/>
  <c r="G19" i="34986"/>
  <c r="G74" i="34986"/>
  <c r="G41" i="34986"/>
  <c r="G51" i="34986"/>
  <c r="G53" i="34986"/>
  <c r="G55" i="34986"/>
  <c r="G75" i="34986"/>
  <c r="G84" i="34986"/>
  <c r="G80" i="34986"/>
  <c r="G25" i="34986"/>
  <c r="G28" i="34986"/>
  <c r="G77" i="34986"/>
  <c r="G73" i="34986"/>
  <c r="G14" i="34986"/>
  <c r="G72" i="34986"/>
  <c r="G42" i="34986"/>
  <c r="G47" i="34986"/>
  <c r="G23" i="34986"/>
  <c r="G62" i="34986"/>
  <c r="G48" i="34986"/>
  <c r="G15" i="34986"/>
  <c r="G70" i="34986"/>
  <c r="G79" i="34986"/>
  <c r="G54" i="34986"/>
  <c r="G66" i="34986"/>
  <c r="G49" i="34986"/>
  <c r="G63" i="34986"/>
  <c r="G13" i="34986"/>
  <c r="G52" i="34986"/>
  <c r="G76" i="34986"/>
  <c r="G50" i="34986"/>
  <c r="G21" i="34986"/>
  <c r="G46" i="34986"/>
  <c r="G61" i="34986"/>
  <c r="G16" i="34986"/>
  <c r="AX12" i="35036"/>
  <c r="AX13" i="35036"/>
  <c r="AX16" i="35036"/>
  <c r="AX18" i="35036"/>
  <c r="AX20" i="35036"/>
  <c r="AX22" i="35036"/>
  <c r="AX24" i="35036"/>
  <c r="AX26" i="35036"/>
  <c r="AX28" i="35036"/>
  <c r="AX30" i="35036"/>
  <c r="AX32" i="35036"/>
  <c r="AX34" i="35036"/>
  <c r="AX36" i="35036"/>
  <c r="AX38" i="35036"/>
  <c r="AX40" i="35036"/>
  <c r="AX42" i="35036"/>
  <c r="AX44" i="35036"/>
  <c r="AX46" i="35036"/>
  <c r="AX48" i="35036"/>
  <c r="AX50" i="35036"/>
  <c r="AX52" i="35036"/>
  <c r="AX54" i="35036"/>
  <c r="AX56" i="35036"/>
  <c r="AX58" i="35036"/>
  <c r="AX60" i="35036"/>
  <c r="AX62" i="35036"/>
  <c r="AX64" i="35036"/>
  <c r="AX66" i="35036"/>
  <c r="AX68" i="35036"/>
  <c r="AX70" i="35036"/>
  <c r="AX72" i="35036"/>
  <c r="AX74" i="35036"/>
  <c r="AX76" i="35036"/>
  <c r="AX78" i="35036"/>
  <c r="AX80" i="35036"/>
  <c r="AX82" i="35036"/>
  <c r="AX84" i="35036"/>
  <c r="AX11" i="35036"/>
  <c r="AX14" i="35036"/>
  <c r="AX15" i="35036"/>
  <c r="AX17" i="35036"/>
  <c r="AX19" i="35036"/>
  <c r="AX21" i="35036"/>
  <c r="AX23" i="35036"/>
  <c r="AX25" i="35036"/>
  <c r="AX27" i="35036"/>
  <c r="AX29" i="35036"/>
  <c r="AX31" i="35036"/>
  <c r="AX33" i="35036"/>
  <c r="AX35" i="35036"/>
  <c r="AX37" i="35036"/>
  <c r="AX39" i="35036"/>
  <c r="AX41" i="35036"/>
  <c r="AX43" i="35036"/>
  <c r="AX45" i="35036"/>
  <c r="AX47" i="35036"/>
  <c r="AX49" i="35036"/>
  <c r="AX51" i="35036"/>
  <c r="AX53" i="35036"/>
  <c r="AX55" i="35036"/>
  <c r="AX57" i="35036"/>
  <c r="AX59" i="35036"/>
  <c r="AX61" i="35036"/>
  <c r="AX63" i="35036"/>
  <c r="AX65" i="35036"/>
  <c r="AX67" i="35036"/>
  <c r="AX69" i="35036"/>
  <c r="AX71" i="35036"/>
  <c r="AX73" i="35036"/>
  <c r="AX75" i="35036"/>
  <c r="AX77" i="35036"/>
  <c r="AX79" i="35036"/>
  <c r="AX81" i="35036"/>
  <c r="AX83" i="35036"/>
  <c r="BR11" i="35036" a="1"/>
  <c r="K22" i="34980"/>
  <c r="K13" i="34980"/>
  <c r="K15" i="34980"/>
  <c r="K17" i="34980"/>
  <c r="K19" i="34980"/>
  <c r="K21" i="34980"/>
  <c r="K24" i="34980"/>
  <c r="K26" i="34980"/>
  <c r="K28" i="34980"/>
  <c r="K30" i="34980"/>
  <c r="K32" i="34980"/>
  <c r="K34" i="34980"/>
  <c r="K36" i="34980"/>
  <c r="K38" i="34980"/>
  <c r="K40" i="34980"/>
  <c r="K42" i="34980"/>
  <c r="K44" i="34980"/>
  <c r="K46" i="34980"/>
  <c r="K48" i="34980"/>
  <c r="K50" i="34980"/>
  <c r="K52" i="34980"/>
  <c r="K54" i="34980"/>
  <c r="K56" i="34980"/>
  <c r="K58" i="34980"/>
  <c r="K60" i="34980"/>
  <c r="K62" i="34980"/>
  <c r="K64" i="34980"/>
  <c r="K66" i="34980"/>
  <c r="K68" i="34980"/>
  <c r="K70" i="34980"/>
  <c r="K72" i="34980"/>
  <c r="K74" i="34980"/>
  <c r="K76" i="34980"/>
  <c r="K78" i="34980"/>
  <c r="K80" i="34980"/>
  <c r="K82" i="34980"/>
  <c r="K83" i="34980"/>
  <c r="K12" i="34980"/>
  <c r="K14" i="34980"/>
  <c r="K18" i="34980"/>
  <c r="K23" i="34980"/>
  <c r="K27" i="34980"/>
  <c r="K31" i="34980"/>
  <c r="K35" i="34980"/>
  <c r="K39" i="34980"/>
  <c r="K43" i="34980"/>
  <c r="K47" i="34980"/>
  <c r="K51" i="34980"/>
  <c r="K55" i="34980"/>
  <c r="K59" i="34980"/>
  <c r="K63" i="34980"/>
  <c r="K67" i="34980"/>
  <c r="K71" i="34980"/>
  <c r="K75" i="34980"/>
  <c r="K79" i="34980"/>
  <c r="K84" i="34980"/>
  <c r="K16" i="34980"/>
  <c r="K20" i="34980"/>
  <c r="K25" i="34980"/>
  <c r="K29" i="34980"/>
  <c r="K33" i="34980"/>
  <c r="K37" i="34980"/>
  <c r="K41" i="34980"/>
  <c r="K45" i="34980"/>
  <c r="K49" i="34980"/>
  <c r="K53" i="34980"/>
  <c r="K57" i="34980"/>
  <c r="K61" i="34980"/>
  <c r="K65" i="34980"/>
  <c r="K69" i="34980"/>
  <c r="K73" i="34980"/>
  <c r="K77" i="34980"/>
  <c r="K81" i="34980"/>
  <c r="K11" i="34980"/>
  <c r="FQ11" i="35036" a="1"/>
  <c r="FO11" i="35036" a="1"/>
  <c r="FP11" i="35036" a="1"/>
  <c r="I35" i="34984"/>
  <c r="I45" i="34984"/>
  <c r="I34" i="34984"/>
  <c r="I79" i="34984"/>
  <c r="I41" i="34984"/>
  <c r="I57" i="34984"/>
  <c r="I83" i="34984"/>
  <c r="I59" i="34984"/>
  <c r="I74" i="34984"/>
  <c r="I37" i="34984"/>
  <c r="I62" i="34984"/>
  <c r="I61" i="34984"/>
  <c r="I50" i="34984"/>
  <c r="I38" i="34984"/>
  <c r="I11" i="34984"/>
  <c r="I15" i="34984"/>
  <c r="I24" i="34984"/>
  <c r="I14" i="34984"/>
  <c r="I81" i="34984"/>
  <c r="I39" i="34984"/>
  <c r="I76" i="34984"/>
  <c r="I44" i="34984"/>
  <c r="I12" i="34984"/>
  <c r="I82" i="34984"/>
  <c r="I33" i="34984"/>
  <c r="I21" i="34984"/>
  <c r="I18" i="34984"/>
  <c r="I23" i="34984"/>
  <c r="I51" i="34984"/>
  <c r="I71" i="34984"/>
  <c r="I48" i="34984"/>
  <c r="I72" i="34984"/>
  <c r="I58" i="34984"/>
  <c r="I29" i="34984"/>
  <c r="I17" i="34984"/>
  <c r="I84" i="34984"/>
  <c r="I69" i="34984"/>
  <c r="I26" i="34984"/>
  <c r="I63" i="34984"/>
  <c r="I16" i="34984"/>
  <c r="I30" i="34984"/>
  <c r="I64" i="34984"/>
  <c r="I25" i="34984"/>
  <c r="I55" i="34984"/>
  <c r="I13" i="34984"/>
  <c r="I20" i="34984"/>
  <c r="I28" i="34984"/>
  <c r="I70" i="34984"/>
  <c r="I65" i="34984"/>
  <c r="I36" i="34984"/>
  <c r="I32" i="34984"/>
  <c r="I31" i="34984"/>
  <c r="I49" i="34984"/>
  <c r="I52" i="34984"/>
  <c r="I75" i="34984"/>
  <c r="I54" i="34984"/>
  <c r="I47" i="34984"/>
  <c r="I73" i="34984"/>
  <c r="I77" i="34984"/>
  <c r="I43" i="34984"/>
  <c r="I19" i="34984"/>
  <c r="I80" i="34984"/>
  <c r="I66" i="34984"/>
  <c r="I78" i="34984"/>
  <c r="I56" i="34984"/>
  <c r="I67" i="34984"/>
  <c r="I22" i="34984"/>
  <c r="I27" i="34984"/>
  <c r="I42" i="34984"/>
  <c r="I53" i="34984"/>
  <c r="I46" i="34984"/>
  <c r="I60" i="34984"/>
  <c r="I40" i="34984"/>
  <c r="I68" i="34984"/>
  <c r="AR11" i="35036" a="1"/>
  <c r="FR31" i="35036"/>
  <c r="FR67" i="35036"/>
  <c r="FR36" i="35036"/>
  <c r="FR79" i="35036"/>
  <c r="FR75" i="35036"/>
  <c r="FR18" i="35036"/>
  <c r="FR43" i="35036"/>
  <c r="FR38" i="35036"/>
  <c r="FR56" i="35036"/>
  <c r="FR72" i="35036"/>
  <c r="FR24" i="35036"/>
  <c r="FR66" i="35036"/>
  <c r="FR83" i="35036"/>
  <c r="FR55" i="35036"/>
  <c r="FR13" i="35036"/>
  <c r="FR20" i="35036"/>
  <c r="FR50" i="35036"/>
  <c r="FR48" i="35036"/>
  <c r="FR68" i="35036"/>
  <c r="FR22" i="35036"/>
  <c r="FR63" i="35036"/>
  <c r="FR57" i="35036"/>
  <c r="FR46" i="35036"/>
  <c r="FR82" i="35036"/>
  <c r="FR61" i="35036"/>
  <c r="FR29" i="35036"/>
  <c r="FR53" i="35036"/>
  <c r="FR80" i="35036"/>
  <c r="FR54" i="35036"/>
  <c r="FR28" i="35036"/>
  <c r="FR49" i="35036"/>
  <c r="FR23" i="35036"/>
  <c r="FR33" i="35036"/>
  <c r="FR81" i="35036"/>
  <c r="FR27" i="35036"/>
  <c r="FR16" i="35036"/>
  <c r="FR65" i="35036"/>
  <c r="FR40" i="35036"/>
  <c r="FR69" i="35036"/>
  <c r="FR32" i="35036"/>
  <c r="FR34" i="35036"/>
  <c r="FR21" i="35036"/>
  <c r="FR26" i="35036"/>
  <c r="FR77" i="35036"/>
  <c r="FR52" i="35036"/>
  <c r="FR42" i="35036"/>
  <c r="FR73" i="35036"/>
  <c r="FR76" i="35036"/>
  <c r="FR44" i="35036"/>
  <c r="FR39" i="35036"/>
  <c r="FR25" i="35036"/>
  <c r="FR41" i="35036"/>
  <c r="FR64" i="35036"/>
  <c r="FR60" i="35036"/>
  <c r="FR35" i="35036"/>
  <c r="FR45" i="35036"/>
  <c r="FR78" i="35036"/>
  <c r="FR51" i="35036"/>
  <c r="FR14" i="35036"/>
  <c r="FR47" i="35036"/>
  <c r="FR19" i="35036"/>
  <c r="FR12" i="35036"/>
  <c r="FR71" i="35036"/>
  <c r="FR62" i="35036"/>
  <c r="FR84" i="35036"/>
  <c r="FR30" i="35036"/>
  <c r="FR15" i="35036"/>
  <c r="FR37" i="35036"/>
  <c r="FR70" i="35036"/>
  <c r="FR74" i="35036"/>
  <c r="FR59" i="35036"/>
  <c r="FR11" i="35036"/>
  <c r="FR58" i="35036"/>
  <c r="FR17" i="35036"/>
  <c r="S42" i="35035"/>
  <c r="S81" i="35035"/>
  <c r="S29" i="35035"/>
  <c r="S20" i="35035"/>
  <c r="S11" i="35035"/>
  <c r="S56" i="35035"/>
  <c r="S68" i="35035"/>
  <c r="S40" i="35035"/>
  <c r="S38" i="35035"/>
  <c r="S70" i="35035"/>
  <c r="S72" i="35035"/>
  <c r="S26" i="35035"/>
  <c r="S22" i="35035"/>
  <c r="S13" i="35035"/>
  <c r="S47" i="35035"/>
  <c r="S69" i="35035"/>
  <c r="S50" i="35035"/>
  <c r="S30" i="35035"/>
  <c r="S76" i="35035"/>
  <c r="S36" i="35035"/>
  <c r="S79" i="35035"/>
  <c r="S82" i="35035"/>
  <c r="S75" i="35035"/>
  <c r="S60" i="35035"/>
  <c r="S46" i="35035"/>
  <c r="S65" i="35035"/>
  <c r="S52" i="35035"/>
  <c r="S48" i="35035"/>
  <c r="S74" i="35035"/>
  <c r="S19" i="35035"/>
  <c r="S34" i="35035"/>
  <c r="S31" i="35035"/>
  <c r="S44" i="35035"/>
  <c r="S15" i="35035"/>
  <c r="S39" i="35035"/>
  <c r="S28" i="35035"/>
  <c r="S12" i="35035"/>
  <c r="S35" i="35035"/>
  <c r="S57" i="35035"/>
  <c r="S80" i="35035"/>
  <c r="S37" i="35035"/>
  <c r="S67" i="35035"/>
  <c r="S16" i="35035"/>
  <c r="S27" i="35035"/>
  <c r="S49" i="35035"/>
  <c r="S62" i="35035"/>
  <c r="S71" i="35035"/>
  <c r="S41" i="35035"/>
  <c r="S54" i="35035"/>
  <c r="S64" i="35035"/>
  <c r="S63" i="35035"/>
  <c r="S18" i="35035"/>
  <c r="S51" i="35035"/>
  <c r="S14" i="35035"/>
  <c r="S77" i="35035"/>
  <c r="S55" i="35035"/>
  <c r="S84" i="35035"/>
  <c r="S59" i="35035"/>
  <c r="S17" i="35035"/>
  <c r="S23" i="35035"/>
  <c r="S25" i="35035"/>
  <c r="S61" i="35035"/>
  <c r="S58" i="35035"/>
  <c r="S73" i="35035"/>
  <c r="S32" i="35035"/>
  <c r="S21" i="35035"/>
  <c r="S53" i="35035"/>
  <c r="S78" i="35035"/>
  <c r="S24" i="35035"/>
  <c r="S66" i="35035"/>
  <c r="S43" i="35035"/>
  <c r="S33" i="35035"/>
  <c r="S83" i="35035"/>
  <c r="S45" i="35035"/>
  <c r="V11" i="35391" l="1"/>
  <c r="V12" i="35391" s="1"/>
  <c r="T32" i="35391"/>
  <c r="R31" i="35391"/>
  <c r="T31" i="35391" s="1"/>
  <c r="N12" i="35035"/>
  <c r="Q78" i="35062"/>
  <c r="AR79" i="35036"/>
  <c r="AR27" i="35036"/>
  <c r="AR16" i="35036"/>
  <c r="AR82" i="35036"/>
  <c r="AR49" i="35036"/>
  <c r="AR15" i="35036"/>
  <c r="AR53" i="35036"/>
  <c r="AR44" i="35036"/>
  <c r="AR74" i="35036"/>
  <c r="AR65" i="35036"/>
  <c r="AR66" i="35036"/>
  <c r="AR67" i="35036"/>
  <c r="AR25" i="35036"/>
  <c r="AR43" i="35036"/>
  <c r="AR69" i="35036"/>
  <c r="AR59" i="35036"/>
  <c r="AR41" i="35036"/>
  <c r="AR26" i="35036"/>
  <c r="AR14" i="35036"/>
  <c r="AR81" i="35036"/>
  <c r="AR46" i="35036"/>
  <c r="AR54" i="35036"/>
  <c r="AR30" i="35036"/>
  <c r="AR29" i="35036"/>
  <c r="AR32" i="35036"/>
  <c r="AR42" i="35036"/>
  <c r="AR71" i="35036"/>
  <c r="AR40" i="35036"/>
  <c r="AR84" i="35036"/>
  <c r="AR37" i="35036"/>
  <c r="AR77" i="35036"/>
  <c r="AR45" i="35036"/>
  <c r="AR61" i="35036"/>
  <c r="AR47" i="35036"/>
  <c r="AR48" i="35036"/>
  <c r="AR55" i="35036"/>
  <c r="AR68" i="35036"/>
  <c r="AR38" i="35036"/>
  <c r="AR70" i="35036"/>
  <c r="AR19" i="35036"/>
  <c r="AR31" i="35036"/>
  <c r="AR35" i="35036"/>
  <c r="AR75" i="35036"/>
  <c r="AR23" i="35036"/>
  <c r="AR73" i="35036"/>
  <c r="AR21" i="35036"/>
  <c r="AR76" i="35036"/>
  <c r="AR63" i="35036"/>
  <c r="AR62" i="35036"/>
  <c r="AR58" i="35036"/>
  <c r="AR17" i="35036"/>
  <c r="AR83" i="35036"/>
  <c r="AR72" i="35036"/>
  <c r="AR13" i="35036"/>
  <c r="AR33" i="35036"/>
  <c r="AR12" i="35036"/>
  <c r="AR18" i="35036"/>
  <c r="AR78" i="35036"/>
  <c r="AR22" i="35036"/>
  <c r="AR80" i="35036"/>
  <c r="AR60" i="35036"/>
  <c r="AR56" i="35036"/>
  <c r="AR52" i="35036"/>
  <c r="AR24" i="35036"/>
  <c r="AR20" i="35036"/>
  <c r="AR36" i="35036"/>
  <c r="AR64" i="35036"/>
  <c r="AR51" i="35036"/>
  <c r="AR50" i="35036"/>
  <c r="AR39" i="35036"/>
  <c r="AR57" i="35036"/>
  <c r="AR28" i="35036"/>
  <c r="AR34" i="35036"/>
  <c r="AR11" i="35036"/>
  <c r="FO21" i="35036"/>
  <c r="FO74" i="35036"/>
  <c r="FO50" i="35036"/>
  <c r="FO64" i="35036"/>
  <c r="FO67" i="35036"/>
  <c r="FO33" i="35036"/>
  <c r="FO76" i="35036"/>
  <c r="FO63" i="35036"/>
  <c r="FO71" i="35036"/>
  <c r="FO72" i="35036"/>
  <c r="FO31" i="35036"/>
  <c r="FO12" i="35036"/>
  <c r="FO41" i="35036"/>
  <c r="FO22" i="35036"/>
  <c r="FO32" i="35036"/>
  <c r="FO66" i="35036"/>
  <c r="FO37" i="35036"/>
  <c r="FO20" i="35036"/>
  <c r="FO59" i="35036"/>
  <c r="FO61" i="35036"/>
  <c r="FO29" i="35036"/>
  <c r="FO49" i="35036"/>
  <c r="FO14" i="35036"/>
  <c r="FO55" i="35036"/>
  <c r="FO27" i="35036"/>
  <c r="FO34" i="35036"/>
  <c r="FO65" i="35036"/>
  <c r="FO36" i="35036"/>
  <c r="FO68" i="35036"/>
  <c r="FO53" i="35036"/>
  <c r="FO75" i="35036"/>
  <c r="FO54" i="35036"/>
  <c r="FO69" i="35036"/>
  <c r="FO40" i="35036"/>
  <c r="FO39" i="35036"/>
  <c r="FO84" i="35036"/>
  <c r="FO73" i="35036"/>
  <c r="FO48" i="35036"/>
  <c r="FO25" i="35036"/>
  <c r="FO60" i="35036"/>
  <c r="FO17" i="35036"/>
  <c r="FO30" i="35036"/>
  <c r="FO80" i="35036"/>
  <c r="FO57" i="35036"/>
  <c r="FO28" i="35036"/>
  <c r="FO44" i="35036"/>
  <c r="FO58" i="35036"/>
  <c r="FO77" i="35036"/>
  <c r="FO46" i="35036"/>
  <c r="FO38" i="35036"/>
  <c r="FO51" i="35036"/>
  <c r="FO45" i="35036"/>
  <c r="FO62" i="35036"/>
  <c r="FO79" i="35036"/>
  <c r="FO18" i="35036"/>
  <c r="FO11" i="35036"/>
  <c r="FO24" i="35036"/>
  <c r="FO78" i="35036"/>
  <c r="FO26" i="35036"/>
  <c r="FO15" i="35036"/>
  <c r="FO13" i="35036"/>
  <c r="FO56" i="35036"/>
  <c r="FO70" i="35036"/>
  <c r="FO42" i="35036"/>
  <c r="FO19" i="35036"/>
  <c r="FO52" i="35036"/>
  <c r="FO23" i="35036"/>
  <c r="FO81" i="35036"/>
  <c r="FO47" i="35036"/>
  <c r="FO16" i="35036"/>
  <c r="FO35" i="35036"/>
  <c r="FO83" i="35036"/>
  <c r="FO43" i="35036"/>
  <c r="FO82" i="35036"/>
  <c r="N11" i="35035"/>
  <c r="Q70" i="35062"/>
  <c r="N77" i="35035"/>
  <c r="Q62" i="35062"/>
  <c r="N69" i="35035"/>
  <c r="Q54" i="35062"/>
  <c r="N61" i="35035"/>
  <c r="N53" i="35035"/>
  <c r="Q46" i="35062"/>
  <c r="Q38" i="35062"/>
  <c r="N45" i="35035"/>
  <c r="Q30" i="35062"/>
  <c r="N37" i="35035"/>
  <c r="Q22" i="35062"/>
  <c r="N29" i="35035"/>
  <c r="N20" i="35035"/>
  <c r="Q13" i="35062"/>
  <c r="N84" i="35035"/>
  <c r="Q77" i="35062"/>
  <c r="Q68" i="35062"/>
  <c r="N75" i="35035"/>
  <c r="Q60" i="35062"/>
  <c r="N67" i="35035"/>
  <c r="Q52" i="35062"/>
  <c r="N59" i="35035"/>
  <c r="N51" i="35035"/>
  <c r="Q44" i="35062"/>
  <c r="Q36" i="35062"/>
  <c r="N43" i="35035"/>
  <c r="N35" i="35035"/>
  <c r="Q28" i="35062"/>
  <c r="Q20" i="35062"/>
  <c r="N27" i="35035"/>
  <c r="N18" i="35035"/>
  <c r="Q11" i="35062"/>
  <c r="N82" i="35035"/>
  <c r="Q75" i="35062"/>
  <c r="Q71" i="35062"/>
  <c r="N78" i="35035"/>
  <c r="Q67" i="35062"/>
  <c r="N74" i="35035"/>
  <c r="Q63" i="35062"/>
  <c r="N70" i="35035"/>
  <c r="Q59" i="35062"/>
  <c r="N66" i="35035"/>
  <c r="N62" i="35035"/>
  <c r="Q55" i="35062"/>
  <c r="N58" i="35035"/>
  <c r="Q51" i="35062"/>
  <c r="Q47" i="35062"/>
  <c r="N54" i="35035"/>
  <c r="N50" i="35035"/>
  <c r="Q43" i="35062"/>
  <c r="Q39" i="35062"/>
  <c r="N46" i="35035"/>
  <c r="Q35" i="35062"/>
  <c r="N42" i="35035"/>
  <c r="Q31" i="35062"/>
  <c r="N38" i="35035"/>
  <c r="Q27" i="35062"/>
  <c r="N34" i="35035"/>
  <c r="Q23" i="35062"/>
  <c r="N30" i="35035"/>
  <c r="Q19" i="35062"/>
  <c r="N26" i="35035"/>
  <c r="Q14" i="35062"/>
  <c r="N21" i="35035"/>
  <c r="Q10" i="35062"/>
  <c r="N17" i="35035"/>
  <c r="L10" i="34908" a="1"/>
  <c r="L10" i="34908" s="1"/>
  <c r="N13" i="35035"/>
  <c r="Q6" i="35062"/>
  <c r="L26" i="34908" a="1"/>
  <c r="L26" i="34908" s="1"/>
  <c r="W11" i="35035" a="1"/>
  <c r="GG11" i="35036" a="1"/>
  <c r="L18" i="34908" a="1"/>
  <c r="L18" i="34908" s="1"/>
  <c r="BO11" i="35036" a="1"/>
  <c r="Q11" i="35035" a="1"/>
  <c r="CM11" i="35036" a="1"/>
  <c r="FP64" i="35036"/>
  <c r="FP51" i="35036"/>
  <c r="FP20" i="35036"/>
  <c r="FP81" i="35036"/>
  <c r="FP25" i="35036"/>
  <c r="FP56" i="35036"/>
  <c r="FP13" i="35036"/>
  <c r="FP61" i="35036"/>
  <c r="FP84" i="35036"/>
  <c r="FP66" i="35036"/>
  <c r="FP65" i="35036"/>
  <c r="FP57" i="35036"/>
  <c r="FP82" i="35036"/>
  <c r="FP41" i="35036"/>
  <c r="FP45" i="35036"/>
  <c r="FP54" i="35036"/>
  <c r="FP74" i="35036"/>
  <c r="FP11" i="35036"/>
  <c r="FP23" i="35036"/>
  <c r="FP42" i="35036"/>
  <c r="FP79" i="35036"/>
  <c r="FP48" i="35036"/>
  <c r="FP71" i="35036"/>
  <c r="FP77" i="35036"/>
  <c r="FP28" i="35036"/>
  <c r="FP46" i="35036"/>
  <c r="FP40" i="35036"/>
  <c r="FP78" i="35036"/>
  <c r="FP31" i="35036"/>
  <c r="FP58" i="35036"/>
  <c r="FP43" i="35036"/>
  <c r="FP63" i="35036"/>
  <c r="FP73" i="35036"/>
  <c r="FP55" i="35036"/>
  <c r="FP36" i="35036"/>
  <c r="FP34" i="35036"/>
  <c r="FP75" i="35036"/>
  <c r="FP35" i="35036"/>
  <c r="FP17" i="35036"/>
  <c r="FP59" i="35036"/>
  <c r="FP53" i="35036"/>
  <c r="FP80" i="35036"/>
  <c r="FP33" i="35036"/>
  <c r="FP18" i="35036"/>
  <c r="FP27" i="35036"/>
  <c r="FP32" i="35036"/>
  <c r="FP29" i="35036"/>
  <c r="FP52" i="35036"/>
  <c r="FP15" i="35036"/>
  <c r="FP70" i="35036"/>
  <c r="FP12" i="35036"/>
  <c r="FP16" i="35036"/>
  <c r="FP44" i="35036"/>
  <c r="FP38" i="35036"/>
  <c r="FP68" i="35036"/>
  <c r="FP22" i="35036"/>
  <c r="FP49" i="35036"/>
  <c r="FP47" i="35036"/>
  <c r="FP39" i="35036"/>
  <c r="FP50" i="35036"/>
  <c r="FP19" i="35036"/>
  <c r="FP60" i="35036"/>
  <c r="FP72" i="35036"/>
  <c r="FP21" i="35036"/>
  <c r="FP69" i="35036"/>
  <c r="FP14" i="35036"/>
  <c r="FP67" i="35036"/>
  <c r="FP76" i="35036"/>
  <c r="FP26" i="35036"/>
  <c r="FP24" i="35036"/>
  <c r="FP83" i="35036"/>
  <c r="FP37" i="35036"/>
  <c r="FP62" i="35036"/>
  <c r="FP30" i="35036"/>
  <c r="FQ18" i="35036"/>
  <c r="FQ80" i="35036"/>
  <c r="FQ64" i="35036"/>
  <c r="FQ28" i="35036"/>
  <c r="FQ13" i="35036"/>
  <c r="FQ23" i="35036"/>
  <c r="FQ32" i="35036"/>
  <c r="FQ39" i="35036"/>
  <c r="FQ35" i="35036"/>
  <c r="FQ57" i="35036"/>
  <c r="FQ26" i="35036"/>
  <c r="FQ17" i="35036"/>
  <c r="FQ31" i="35036"/>
  <c r="FQ29" i="35036"/>
  <c r="FQ30" i="35036"/>
  <c r="FQ81" i="35036"/>
  <c r="FQ16" i="35036"/>
  <c r="FQ24" i="35036"/>
  <c r="FQ19" i="35036"/>
  <c r="FQ84" i="35036"/>
  <c r="FQ34" i="35036"/>
  <c r="FQ43" i="35036"/>
  <c r="FQ71" i="35036"/>
  <c r="FQ53" i="35036"/>
  <c r="FQ74" i="35036"/>
  <c r="FQ48" i="35036"/>
  <c r="FQ45" i="35036"/>
  <c r="FQ37" i="35036"/>
  <c r="FQ22" i="35036"/>
  <c r="FQ52" i="35036"/>
  <c r="FQ77" i="35036"/>
  <c r="FQ75" i="35036"/>
  <c r="FQ12" i="35036"/>
  <c r="FQ70" i="35036"/>
  <c r="FQ50" i="35036"/>
  <c r="FQ27" i="35036"/>
  <c r="FQ55" i="35036"/>
  <c r="FQ82" i="35036"/>
  <c r="FQ40" i="35036"/>
  <c r="FQ65" i="35036"/>
  <c r="FQ69" i="35036"/>
  <c r="FQ67" i="35036"/>
  <c r="FQ61" i="35036"/>
  <c r="FQ56" i="35036"/>
  <c r="FQ14" i="35036"/>
  <c r="FQ42" i="35036"/>
  <c r="FQ36" i="35036"/>
  <c r="FQ20" i="35036"/>
  <c r="FQ51" i="35036"/>
  <c r="FQ25" i="35036"/>
  <c r="FQ78" i="35036"/>
  <c r="FQ15" i="35036"/>
  <c r="FQ46" i="35036"/>
  <c r="FQ72" i="35036"/>
  <c r="FQ79" i="35036"/>
  <c r="FQ11" i="35036"/>
  <c r="FQ38" i="35036"/>
  <c r="FQ49" i="35036"/>
  <c r="FQ66" i="35036"/>
  <c r="FQ54" i="35036"/>
  <c r="FQ68" i="35036"/>
  <c r="FQ41" i="35036"/>
  <c r="FQ33" i="35036"/>
  <c r="FQ73" i="35036"/>
  <c r="FQ83" i="35036"/>
  <c r="FQ47" i="35036"/>
  <c r="FQ44" i="35036"/>
  <c r="FQ58" i="35036"/>
  <c r="FQ76" i="35036"/>
  <c r="FQ59" i="35036"/>
  <c r="FQ62" i="35036"/>
  <c r="FQ60" i="35036"/>
  <c r="FQ21" i="35036"/>
  <c r="FQ63" i="35036"/>
  <c r="Q74" i="35062"/>
  <c r="N81" i="35035"/>
  <c r="Q66" i="35062"/>
  <c r="N73" i="35035"/>
  <c r="Q58" i="35062"/>
  <c r="N65" i="35035"/>
  <c r="N57" i="35035"/>
  <c r="Q50" i="35062"/>
  <c r="Q42" i="35062"/>
  <c r="N49" i="35035"/>
  <c r="N41" i="35035"/>
  <c r="Q34" i="35062"/>
  <c r="Q26" i="35062"/>
  <c r="N33" i="35035"/>
  <c r="Q18" i="35062"/>
  <c r="N25" i="35035"/>
  <c r="Q9" i="35062"/>
  <c r="N16" i="35035"/>
  <c r="N79" i="35035"/>
  <c r="Q72" i="35062"/>
  <c r="Q64" i="35062"/>
  <c r="N71" i="35035"/>
  <c r="N63" i="35035"/>
  <c r="Q56" i="35062"/>
  <c r="Q48" i="35062"/>
  <c r="N55" i="35035"/>
  <c r="Q40" i="35062"/>
  <c r="N47" i="35035"/>
  <c r="N39" i="35035"/>
  <c r="Q32" i="35062"/>
  <c r="Q24" i="35062"/>
  <c r="N31" i="35035"/>
  <c r="N23" i="35035"/>
  <c r="Q16" i="35062"/>
  <c r="Q7" i="35062"/>
  <c r="N14" i="35035"/>
  <c r="Q76" i="35062"/>
  <c r="N83" i="35035"/>
  <c r="N80" i="35035"/>
  <c r="Q73" i="35062"/>
  <c r="N76" i="35035"/>
  <c r="Q69" i="35062"/>
  <c r="N72" i="35035"/>
  <c r="Q65" i="35062"/>
  <c r="N68" i="35035"/>
  <c r="Q61" i="35062"/>
  <c r="Q57" i="35062"/>
  <c r="N64" i="35035"/>
  <c r="Q53" i="35062"/>
  <c r="N60" i="35035"/>
  <c r="Q49" i="35062"/>
  <c r="N56" i="35035"/>
  <c r="Q45" i="35062"/>
  <c r="N52" i="35035"/>
  <c r="N48" i="35035"/>
  <c r="Q41" i="35062"/>
  <c r="N44" i="35035"/>
  <c r="Q37" i="35062"/>
  <c r="Q33" i="35062"/>
  <c r="N40" i="35035"/>
  <c r="N36" i="35035"/>
  <c r="Q29" i="35062"/>
  <c r="Q25" i="35062"/>
  <c r="N32" i="35035"/>
  <c r="Q21" i="35062"/>
  <c r="N28" i="35035"/>
  <c r="Q17" i="35062"/>
  <c r="N24" i="35035"/>
  <c r="N19" i="35035"/>
  <c r="Q12" i="35062"/>
  <c r="Q8" i="35062"/>
  <c r="N15" i="35035"/>
  <c r="Q15" i="35062"/>
  <c r="N22" i="35035"/>
  <c r="BR75" i="35036"/>
  <c r="BR79" i="35036"/>
  <c r="BR50" i="35036"/>
  <c r="BR48" i="35036"/>
  <c r="BR42" i="35036"/>
  <c r="BR52" i="35036"/>
  <c r="BR78" i="35036"/>
  <c r="BR83" i="35036"/>
  <c r="BR63" i="35036"/>
  <c r="BR73" i="35036"/>
  <c r="BR80" i="35036"/>
  <c r="BR62" i="35036"/>
  <c r="BR35" i="35036"/>
  <c r="BR13" i="35036"/>
  <c r="BR72" i="35036"/>
  <c r="BR12" i="35036"/>
  <c r="BR38" i="35036"/>
  <c r="BR69" i="35036"/>
  <c r="BR30" i="35036"/>
  <c r="BR81" i="35036"/>
  <c r="BR57" i="35036"/>
  <c r="BR41" i="35036"/>
  <c r="BR68" i="35036"/>
  <c r="BR24" i="35036"/>
  <c r="BR60" i="35036"/>
  <c r="BR47" i="35036"/>
  <c r="BR65" i="35036"/>
  <c r="BR37" i="35036"/>
  <c r="BR28" i="35036"/>
  <c r="BR26" i="35036"/>
  <c r="BR58" i="35036"/>
  <c r="BR16" i="35036"/>
  <c r="BR55" i="35036"/>
  <c r="BR46" i="35036"/>
  <c r="BR27" i="35036"/>
  <c r="BR56" i="35036"/>
  <c r="BR71" i="35036"/>
  <c r="BR67" i="35036"/>
  <c r="BR18" i="35036"/>
  <c r="BR43" i="35036"/>
  <c r="BR20" i="35036"/>
  <c r="BR64" i="35036"/>
  <c r="BR31" i="35036"/>
  <c r="BR23" i="35036"/>
  <c r="BR51" i="35036"/>
  <c r="BR15" i="35036"/>
  <c r="BR29" i="35036"/>
  <c r="BR32" i="35036"/>
  <c r="BR53" i="35036"/>
  <c r="BR61" i="35036"/>
  <c r="BR33" i="35036"/>
  <c r="BR44" i="35036"/>
  <c r="BR49" i="35036"/>
  <c r="BR40" i="35036"/>
  <c r="BR21" i="35036"/>
  <c r="BR70" i="35036"/>
  <c r="BR34" i="35036"/>
  <c r="BR74" i="35036"/>
  <c r="BR59" i="35036"/>
  <c r="BR11" i="35036"/>
  <c r="BR14" i="35036"/>
  <c r="BR77" i="35036"/>
  <c r="BR39" i="35036"/>
  <c r="BR45" i="35036"/>
  <c r="BR76" i="35036"/>
  <c r="BR25" i="35036"/>
  <c r="BR17" i="35036"/>
  <c r="BR84" i="35036"/>
  <c r="BR22" i="35036"/>
  <c r="BR82" i="35036"/>
  <c r="BR54" i="35036"/>
  <c r="BR36" i="35036"/>
  <c r="BR66" i="35036"/>
  <c r="BR19" i="35036"/>
  <c r="CP53" i="35036"/>
  <c r="CP72" i="35036"/>
  <c r="CP56" i="35036"/>
  <c r="CP19" i="35036"/>
  <c r="CP62" i="35036"/>
  <c r="CP68" i="35036"/>
  <c r="CP26" i="35036"/>
  <c r="CP70" i="35036"/>
  <c r="CP73" i="35036"/>
  <c r="CP82" i="35036"/>
  <c r="CP30" i="35036"/>
  <c r="CP51" i="35036"/>
  <c r="CP79" i="35036"/>
  <c r="CP58" i="35036"/>
  <c r="CP66" i="35036"/>
  <c r="CP24" i="35036"/>
  <c r="CP57" i="35036"/>
  <c r="CP22" i="35036"/>
  <c r="CP45" i="35036"/>
  <c r="CP37" i="35036"/>
  <c r="CP55" i="35036"/>
  <c r="CP71" i="35036"/>
  <c r="CP76" i="35036"/>
  <c r="CP59" i="35036"/>
  <c r="CP47" i="35036"/>
  <c r="CP52" i="35036"/>
  <c r="CP35" i="35036"/>
  <c r="CP64" i="35036"/>
  <c r="CP25" i="35036"/>
  <c r="CP34" i="35036"/>
  <c r="CP14" i="35036"/>
  <c r="CP69" i="35036"/>
  <c r="CP21" i="35036"/>
  <c r="CP29" i="35036"/>
  <c r="CP81" i="35036"/>
  <c r="CP36" i="35036"/>
  <c r="CP50" i="35036"/>
  <c r="CP80" i="35036"/>
  <c r="CP39" i="35036"/>
  <c r="CP74" i="35036"/>
  <c r="CP28" i="35036"/>
  <c r="CP48" i="35036"/>
  <c r="CP49" i="35036"/>
  <c r="CP23" i="35036"/>
  <c r="CP13" i="35036"/>
  <c r="CP44" i="35036"/>
  <c r="CP61" i="35036"/>
  <c r="CP38" i="35036"/>
  <c r="CP67" i="35036"/>
  <c r="CP60" i="35036"/>
  <c r="CP75" i="35036"/>
  <c r="CP63" i="35036"/>
  <c r="CP33" i="35036"/>
  <c r="CP31" i="35036"/>
  <c r="CP43" i="35036"/>
  <c r="CP17" i="35036"/>
  <c r="CP77" i="35036"/>
  <c r="CP11" i="35036"/>
  <c r="CP54" i="35036"/>
  <c r="CP16" i="35036"/>
  <c r="CP40" i="35036"/>
  <c r="CP83" i="35036"/>
  <c r="CP12" i="35036"/>
  <c r="CP65" i="35036"/>
  <c r="CP27" i="35036"/>
  <c r="CP32" i="35036"/>
  <c r="CP20" i="35036"/>
  <c r="CP78" i="35036"/>
  <c r="CP15" i="35036"/>
  <c r="CP84" i="35036"/>
  <c r="CP46" i="35036"/>
  <c r="CP18" i="35036"/>
  <c r="CP41" i="35036"/>
  <c r="CP42" i="35036"/>
  <c r="FV11" i="35036" l="1" a="1"/>
  <c r="FV84" i="35036" s="1"/>
  <c r="CS11" i="35036" a="1"/>
  <c r="CR11" i="35036" a="1"/>
  <c r="CQ11" i="35036" a="1"/>
  <c r="BT11" i="35036" a="1"/>
  <c r="BU11" i="35036" a="1"/>
  <c r="BS11" i="35036" a="1"/>
  <c r="Q43" i="35035"/>
  <c r="R43" i="35035" s="1"/>
  <c r="Q47" i="35035"/>
  <c r="R47" i="35035" s="1"/>
  <c r="Q15" i="35035"/>
  <c r="R15" i="35035" s="1"/>
  <c r="Q58" i="35035"/>
  <c r="R58" i="35035" s="1"/>
  <c r="Q35" i="35035"/>
  <c r="R35" i="35035" s="1"/>
  <c r="Q33" i="35035"/>
  <c r="R33" i="35035" s="1"/>
  <c r="Q83" i="35035"/>
  <c r="R83" i="35035" s="1"/>
  <c r="Q20" i="35035"/>
  <c r="R20" i="35035" s="1"/>
  <c r="Q32" i="35035"/>
  <c r="R32" i="35035" s="1"/>
  <c r="Q37" i="35035"/>
  <c r="R37" i="35035" s="1"/>
  <c r="Q74" i="35035"/>
  <c r="R74" i="35035" s="1"/>
  <c r="Q72" i="35035"/>
  <c r="R72" i="35035" s="1"/>
  <c r="Q28" i="35035"/>
  <c r="R28" i="35035" s="1"/>
  <c r="Q70" i="35035"/>
  <c r="R70" i="35035" s="1"/>
  <c r="Q80" i="35035"/>
  <c r="R80" i="35035" s="1"/>
  <c r="Q24" i="35035"/>
  <c r="R24" i="35035" s="1"/>
  <c r="Q81" i="35035"/>
  <c r="R81" i="35035" s="1"/>
  <c r="Q18" i="35035"/>
  <c r="R18" i="35035" s="1"/>
  <c r="Q26" i="35035"/>
  <c r="R26" i="35035" s="1"/>
  <c r="Q60" i="35035"/>
  <c r="R60" i="35035" s="1"/>
  <c r="Q82" i="35035"/>
  <c r="R82" i="35035" s="1"/>
  <c r="Q36" i="35035"/>
  <c r="R36" i="35035" s="1"/>
  <c r="Q55" i="35035"/>
  <c r="R55" i="35035" s="1"/>
  <c r="Q22" i="35035"/>
  <c r="R22" i="35035" s="1"/>
  <c r="Q68" i="35035"/>
  <c r="R68" i="35035" s="1"/>
  <c r="Q19" i="35035"/>
  <c r="R19" i="35035" s="1"/>
  <c r="Q62" i="35035"/>
  <c r="R62" i="35035" s="1"/>
  <c r="Q45" i="35035"/>
  <c r="R45" i="35035" s="1"/>
  <c r="Q76" i="35035"/>
  <c r="R76" i="35035" s="1"/>
  <c r="Q69" i="35035"/>
  <c r="R69" i="35035" s="1"/>
  <c r="Q48" i="35035"/>
  <c r="R48" i="35035" s="1"/>
  <c r="Q57" i="35035"/>
  <c r="R57" i="35035" s="1"/>
  <c r="Q77" i="35035"/>
  <c r="R77" i="35035" s="1"/>
  <c r="Q39" i="35035"/>
  <c r="R39" i="35035" s="1"/>
  <c r="Q23" i="35035"/>
  <c r="R23" i="35035" s="1"/>
  <c r="Q46" i="35035"/>
  <c r="R46" i="35035" s="1"/>
  <c r="Q64" i="35035"/>
  <c r="R64" i="35035" s="1"/>
  <c r="Q78" i="35035"/>
  <c r="R78" i="35035" s="1"/>
  <c r="Q40" i="35035"/>
  <c r="R40" i="35035" s="1"/>
  <c r="Q12" i="35035"/>
  <c r="R12" i="35035" s="1"/>
  <c r="Q53" i="35035"/>
  <c r="R53" i="35035" s="1"/>
  <c r="Q84" i="35035"/>
  <c r="R84" i="35035" s="1"/>
  <c r="Q65" i="35035"/>
  <c r="R65" i="35035" s="1"/>
  <c r="Q11" i="35035"/>
  <c r="R11" i="35035" s="1"/>
  <c r="Q79" i="35035"/>
  <c r="R79" i="35035" s="1"/>
  <c r="Q63" i="35035"/>
  <c r="R63" i="35035" s="1"/>
  <c r="Q30" i="35035"/>
  <c r="R30" i="35035" s="1"/>
  <c r="Q56" i="35035"/>
  <c r="R56" i="35035" s="1"/>
  <c r="Q61" i="35035"/>
  <c r="R61" i="35035" s="1"/>
  <c r="Q51" i="35035"/>
  <c r="R51" i="35035" s="1"/>
  <c r="Q27" i="35035"/>
  <c r="R27" i="35035" s="1"/>
  <c r="Q17" i="35035"/>
  <c r="R17" i="35035" s="1"/>
  <c r="Q52" i="35035"/>
  <c r="R52" i="35035" s="1"/>
  <c r="Q44" i="35035"/>
  <c r="R44" i="35035" s="1"/>
  <c r="Q16" i="35035"/>
  <c r="R16" i="35035" s="1"/>
  <c r="Q66" i="35035"/>
  <c r="R66" i="35035" s="1"/>
  <c r="Q31" i="35035"/>
  <c r="R31" i="35035" s="1"/>
  <c r="Q54" i="35035"/>
  <c r="R54" i="35035" s="1"/>
  <c r="Q29" i="35035"/>
  <c r="R29" i="35035" s="1"/>
  <c r="Q71" i="35035"/>
  <c r="R71" i="35035" s="1"/>
  <c r="Q50" i="35035"/>
  <c r="R50" i="35035" s="1"/>
  <c r="Q49" i="35035"/>
  <c r="R49" i="35035" s="1"/>
  <c r="Q42" i="35035"/>
  <c r="R42" i="35035" s="1"/>
  <c r="Q25" i="35035"/>
  <c r="R25" i="35035" s="1"/>
  <c r="Q67" i="35035"/>
  <c r="R67" i="35035" s="1"/>
  <c r="Q21" i="35035"/>
  <c r="R21" i="35035" s="1"/>
  <c r="Q59" i="35035"/>
  <c r="R59" i="35035" s="1"/>
  <c r="Q13" i="35035"/>
  <c r="R13" i="35035" s="1"/>
  <c r="Q73" i="35035"/>
  <c r="R73" i="35035" s="1"/>
  <c r="Q34" i="35035"/>
  <c r="R34" i="35035" s="1"/>
  <c r="Q38" i="35035"/>
  <c r="R38" i="35035" s="1"/>
  <c r="Q75" i="35035"/>
  <c r="R75" i="35035" s="1"/>
  <c r="Q41" i="35035"/>
  <c r="R41" i="35035" s="1"/>
  <c r="Q14" i="35035"/>
  <c r="R14" i="35035" s="1"/>
  <c r="M18" i="34908"/>
  <c r="N18" i="34908" s="1"/>
  <c r="L24" i="34908"/>
  <c r="M24" i="34908" s="1"/>
  <c r="N24" i="34908" s="1"/>
  <c r="M26" i="34908"/>
  <c r="N26" i="34908" s="1"/>
  <c r="L28" i="34908"/>
  <c r="M28" i="34908" s="1"/>
  <c r="N28" i="34908" s="1"/>
  <c r="M10" i="34908"/>
  <c r="N10" i="34908" s="1"/>
  <c r="FU11" i="35036" a="1"/>
  <c r="AU11" i="35036" a="1"/>
  <c r="AT11" i="35036" a="1"/>
  <c r="AS11" i="35036" a="1"/>
  <c r="CM13" i="35036"/>
  <c r="CM33" i="35036"/>
  <c r="CM50" i="35036"/>
  <c r="CM16" i="35036"/>
  <c r="CM15" i="35036"/>
  <c r="CM47" i="35036"/>
  <c r="CM32" i="35036"/>
  <c r="CM55" i="35036"/>
  <c r="CM49" i="35036"/>
  <c r="CM44" i="35036"/>
  <c r="CM53" i="35036"/>
  <c r="CM80" i="35036"/>
  <c r="CM25" i="35036"/>
  <c r="CM76" i="35036"/>
  <c r="CM29" i="35036"/>
  <c r="CM38" i="35036"/>
  <c r="CM30" i="35036"/>
  <c r="CM74" i="35036"/>
  <c r="CM14" i="35036"/>
  <c r="CM23" i="35036"/>
  <c r="CM51" i="35036"/>
  <c r="CM18" i="35036"/>
  <c r="CM36" i="35036"/>
  <c r="CM56" i="35036"/>
  <c r="CM41" i="35036"/>
  <c r="CM22" i="35036"/>
  <c r="CM21" i="35036"/>
  <c r="CM27" i="35036"/>
  <c r="CM42" i="35036"/>
  <c r="CM81" i="35036"/>
  <c r="CM59" i="35036"/>
  <c r="CM69" i="35036"/>
  <c r="CM46" i="35036"/>
  <c r="CM75" i="35036"/>
  <c r="CM37" i="35036"/>
  <c r="CM34" i="35036"/>
  <c r="CM28" i="35036"/>
  <c r="CM26" i="35036"/>
  <c r="CM64" i="35036"/>
  <c r="CM67" i="35036"/>
  <c r="CM17" i="35036"/>
  <c r="CM20" i="35036"/>
  <c r="CM78" i="35036"/>
  <c r="CM19" i="35036"/>
  <c r="CM12" i="35036"/>
  <c r="CM71" i="35036"/>
  <c r="CM39" i="35036"/>
  <c r="CM82" i="35036"/>
  <c r="CM48" i="35036"/>
  <c r="CM62" i="35036"/>
  <c r="CM72" i="35036"/>
  <c r="CM61" i="35036"/>
  <c r="CM63" i="35036"/>
  <c r="CM73" i="35036"/>
  <c r="CM70" i="35036"/>
  <c r="CM40" i="35036"/>
  <c r="CM54" i="35036"/>
  <c r="CM57" i="35036"/>
  <c r="CM31" i="35036"/>
  <c r="CM24" i="35036"/>
  <c r="CM52" i="35036"/>
  <c r="CM45" i="35036"/>
  <c r="CM65" i="35036"/>
  <c r="CM83" i="35036"/>
  <c r="CM66" i="35036"/>
  <c r="CM79" i="35036"/>
  <c r="CM60" i="35036"/>
  <c r="CM58" i="35036"/>
  <c r="CM43" i="35036"/>
  <c r="CM68" i="35036"/>
  <c r="CM35" i="35036"/>
  <c r="CM77" i="35036"/>
  <c r="CM11" i="35036"/>
  <c r="CM84" i="35036"/>
  <c r="BO13" i="35036"/>
  <c r="BO33" i="35036"/>
  <c r="BO50" i="35036"/>
  <c r="BO16" i="35036"/>
  <c r="BO15" i="35036"/>
  <c r="BO47" i="35036"/>
  <c r="BO32" i="35036"/>
  <c r="BO55" i="35036"/>
  <c r="BO49" i="35036"/>
  <c r="BO44" i="35036"/>
  <c r="BO53" i="35036"/>
  <c r="BO80" i="35036"/>
  <c r="BO25" i="35036"/>
  <c r="BO76" i="35036"/>
  <c r="BO29" i="35036"/>
  <c r="BO38" i="35036"/>
  <c r="BO30" i="35036"/>
  <c r="BO74" i="35036"/>
  <c r="BO14" i="35036"/>
  <c r="BO23" i="35036"/>
  <c r="BO51" i="35036"/>
  <c r="BO18" i="35036"/>
  <c r="BO36" i="35036"/>
  <c r="BO56" i="35036"/>
  <c r="BO41" i="35036"/>
  <c r="BO22" i="35036"/>
  <c r="BO21" i="35036"/>
  <c r="BO27" i="35036"/>
  <c r="BO42" i="35036"/>
  <c r="BO81" i="35036"/>
  <c r="BO59" i="35036"/>
  <c r="BO69" i="35036"/>
  <c r="BO46" i="35036"/>
  <c r="BO75" i="35036"/>
  <c r="BO37" i="35036"/>
  <c r="BO34" i="35036"/>
  <c r="BO28" i="35036"/>
  <c r="BO26" i="35036"/>
  <c r="BO64" i="35036"/>
  <c r="BO67" i="35036"/>
  <c r="BO17" i="35036"/>
  <c r="BO20" i="35036"/>
  <c r="BO78" i="35036"/>
  <c r="BO19" i="35036"/>
  <c r="BO12" i="35036"/>
  <c r="BO71" i="35036"/>
  <c r="BO39" i="35036"/>
  <c r="BO82" i="35036"/>
  <c r="BO48" i="35036"/>
  <c r="BO62" i="35036"/>
  <c r="BO72" i="35036"/>
  <c r="BO61" i="35036"/>
  <c r="BO63" i="35036"/>
  <c r="BO73" i="35036"/>
  <c r="BO70" i="35036"/>
  <c r="BO40" i="35036"/>
  <c r="BO54" i="35036"/>
  <c r="BO57" i="35036"/>
  <c r="BO31" i="35036"/>
  <c r="BO24" i="35036"/>
  <c r="BO52" i="35036"/>
  <c r="BO45" i="35036"/>
  <c r="BO65" i="35036"/>
  <c r="BO83" i="35036"/>
  <c r="BO66" i="35036"/>
  <c r="BO79" i="35036"/>
  <c r="BO60" i="35036"/>
  <c r="BO58" i="35036"/>
  <c r="BO43" i="35036"/>
  <c r="BO68" i="35036"/>
  <c r="BO35" i="35036"/>
  <c r="BO77" i="35036"/>
  <c r="BO84" i="35036"/>
  <c r="BO11" i="35036"/>
  <c r="GG13" i="35036"/>
  <c r="GG33" i="35036"/>
  <c r="GG50" i="35036"/>
  <c r="GG16" i="35036"/>
  <c r="GG15" i="35036"/>
  <c r="GG47" i="35036"/>
  <c r="GG32" i="35036"/>
  <c r="GG55" i="35036"/>
  <c r="GG49" i="35036"/>
  <c r="GG44" i="35036"/>
  <c r="GG53" i="35036"/>
  <c r="GG80" i="35036"/>
  <c r="GG25" i="35036"/>
  <c r="GG76" i="35036"/>
  <c r="GG29" i="35036"/>
  <c r="GG38" i="35036"/>
  <c r="GG30" i="35036"/>
  <c r="GG74" i="35036"/>
  <c r="GG14" i="35036"/>
  <c r="GG23" i="35036"/>
  <c r="GG51" i="35036"/>
  <c r="GG18" i="35036"/>
  <c r="GG36" i="35036"/>
  <c r="GG56" i="35036"/>
  <c r="GG41" i="35036"/>
  <c r="GG22" i="35036"/>
  <c r="GG21" i="35036"/>
  <c r="GG27" i="35036"/>
  <c r="GG42" i="35036"/>
  <c r="GG81" i="35036"/>
  <c r="GG59" i="35036"/>
  <c r="GG69" i="35036"/>
  <c r="GG46" i="35036"/>
  <c r="GG75" i="35036"/>
  <c r="GG37" i="35036"/>
  <c r="GG34" i="35036"/>
  <c r="GG28" i="35036"/>
  <c r="GG26" i="35036"/>
  <c r="GG64" i="35036"/>
  <c r="GG67" i="35036"/>
  <c r="GG17" i="35036"/>
  <c r="GG20" i="35036"/>
  <c r="GG78" i="35036"/>
  <c r="GG19" i="35036"/>
  <c r="GG12" i="35036"/>
  <c r="GG71" i="35036"/>
  <c r="GG39" i="35036"/>
  <c r="GG82" i="35036"/>
  <c r="GG48" i="35036"/>
  <c r="GG62" i="35036"/>
  <c r="GG72" i="35036"/>
  <c r="GG61" i="35036"/>
  <c r="GG63" i="35036"/>
  <c r="GG73" i="35036"/>
  <c r="GG70" i="35036"/>
  <c r="GG40" i="35036"/>
  <c r="GG54" i="35036"/>
  <c r="GG57" i="35036"/>
  <c r="GG31" i="35036"/>
  <c r="GG24" i="35036"/>
  <c r="GG52" i="35036"/>
  <c r="GG45" i="35036"/>
  <c r="GG65" i="35036"/>
  <c r="GG83" i="35036"/>
  <c r="GG66" i="35036"/>
  <c r="GG79" i="35036"/>
  <c r="GG60" i="35036"/>
  <c r="GG58" i="35036"/>
  <c r="GG43" i="35036"/>
  <c r="GG68" i="35036"/>
  <c r="GG35" i="35036"/>
  <c r="GG77" i="35036"/>
  <c r="GG11" i="35036"/>
  <c r="GG84" i="35036"/>
  <c r="W45" i="35035"/>
  <c r="X45" i="35035" s="1"/>
  <c r="W63" i="35035"/>
  <c r="X63" i="35035" s="1"/>
  <c r="W56" i="35035"/>
  <c r="X56" i="35035" s="1"/>
  <c r="W47" i="35035"/>
  <c r="X47" i="35035" s="1"/>
  <c r="W84" i="35035"/>
  <c r="X84" i="35035" s="1"/>
  <c r="W32" i="35035"/>
  <c r="X32" i="35035" s="1"/>
  <c r="W18" i="35035"/>
  <c r="X18" i="35035" s="1"/>
  <c r="W13" i="35035"/>
  <c r="X13" i="35035" s="1"/>
  <c r="W46" i="35035"/>
  <c r="X46" i="35035" s="1"/>
  <c r="W26" i="35035"/>
  <c r="X26" i="35035" s="1"/>
  <c r="W73" i="35035"/>
  <c r="X73" i="35035" s="1"/>
  <c r="W52" i="35035"/>
  <c r="X52" i="35035" s="1"/>
  <c r="W35" i="35035"/>
  <c r="X35" i="35035" s="1"/>
  <c r="W49" i="35035"/>
  <c r="X49" i="35035" s="1"/>
  <c r="W48" i="35035"/>
  <c r="X48" i="35035" s="1"/>
  <c r="W42" i="35035"/>
  <c r="X42" i="35035" s="1"/>
  <c r="W36" i="35035"/>
  <c r="X36" i="35035" s="1"/>
  <c r="W24" i="35035"/>
  <c r="X24" i="35035" s="1"/>
  <c r="W30" i="35035"/>
  <c r="X30" i="35035" s="1"/>
  <c r="W44" i="35035"/>
  <c r="X44" i="35035" s="1"/>
  <c r="W31" i="35035"/>
  <c r="X31" i="35035" s="1"/>
  <c r="W75" i="35035"/>
  <c r="X75" i="35035" s="1"/>
  <c r="W61" i="35035"/>
  <c r="X61" i="35035" s="1"/>
  <c r="W25" i="35035"/>
  <c r="X25" i="35035" s="1"/>
  <c r="W39" i="35035"/>
  <c r="X39" i="35035" s="1"/>
  <c r="W12" i="35035"/>
  <c r="X12" i="35035" s="1"/>
  <c r="W40" i="35035"/>
  <c r="X40" i="35035" s="1"/>
  <c r="W14" i="35035"/>
  <c r="X14" i="35035" s="1"/>
  <c r="W28" i="35035"/>
  <c r="X28" i="35035" s="1"/>
  <c r="W15" i="35035"/>
  <c r="X15" i="35035" s="1"/>
  <c r="W81" i="35035"/>
  <c r="X81" i="35035" s="1"/>
  <c r="W41" i="35035"/>
  <c r="X41" i="35035" s="1"/>
  <c r="W57" i="35035"/>
  <c r="X57" i="35035" s="1"/>
  <c r="W51" i="35035"/>
  <c r="X51" i="35035" s="1"/>
  <c r="W34" i="35035"/>
  <c r="X34" i="35035" s="1"/>
  <c r="W21" i="35035"/>
  <c r="X21" i="35035" s="1"/>
  <c r="W17" i="35035"/>
  <c r="X17" i="35035" s="1"/>
  <c r="W76" i="35035"/>
  <c r="X76" i="35035" s="1"/>
  <c r="W79" i="35035"/>
  <c r="X79" i="35035" s="1"/>
  <c r="W38" i="35035"/>
  <c r="X38" i="35035" s="1"/>
  <c r="W72" i="35035"/>
  <c r="X72" i="35035" s="1"/>
  <c r="W70" i="35035"/>
  <c r="X70" i="35035" s="1"/>
  <c r="W29" i="35035"/>
  <c r="X29" i="35035" s="1"/>
  <c r="W68" i="35035"/>
  <c r="X68" i="35035" s="1"/>
  <c r="W62" i="35035"/>
  <c r="X62" i="35035" s="1"/>
  <c r="W82" i="35035"/>
  <c r="X82" i="35035" s="1"/>
  <c r="W22" i="35035"/>
  <c r="X22" i="35035" s="1"/>
  <c r="W33" i="35035"/>
  <c r="X33" i="35035" s="1"/>
  <c r="W83" i="35035"/>
  <c r="X83" i="35035" s="1"/>
  <c r="W58" i="35035"/>
  <c r="X58" i="35035" s="1"/>
  <c r="W60" i="35035"/>
  <c r="X60" i="35035" s="1"/>
  <c r="W69" i="35035"/>
  <c r="X69" i="35035" s="1"/>
  <c r="W53" i="35035"/>
  <c r="X53" i="35035" s="1"/>
  <c r="W50" i="35035"/>
  <c r="X50" i="35035" s="1"/>
  <c r="W78" i="35035"/>
  <c r="X78" i="35035" s="1"/>
  <c r="W71" i="35035"/>
  <c r="X71" i="35035" s="1"/>
  <c r="W55" i="35035"/>
  <c r="X55" i="35035" s="1"/>
  <c r="W20" i="35035"/>
  <c r="X20" i="35035" s="1"/>
  <c r="W67" i="35035"/>
  <c r="X67" i="35035" s="1"/>
  <c r="W64" i="35035"/>
  <c r="X64" i="35035" s="1"/>
  <c r="W11" i="35035"/>
  <c r="X11" i="35035" s="1"/>
  <c r="W80" i="35035"/>
  <c r="X80" i="35035" s="1"/>
  <c r="W65" i="35035"/>
  <c r="X65" i="35035" s="1"/>
  <c r="W37" i="35035"/>
  <c r="X37" i="35035" s="1"/>
  <c r="W43" i="35035"/>
  <c r="X43" i="35035" s="1"/>
  <c r="W23" i="35035"/>
  <c r="X23" i="35035" s="1"/>
  <c r="W27" i="35035"/>
  <c r="X27" i="35035" s="1"/>
  <c r="W74" i="35035"/>
  <c r="X74" i="35035" s="1"/>
  <c r="W16" i="35035"/>
  <c r="X16" i="35035" s="1"/>
  <c r="W77" i="35035"/>
  <c r="X77" i="35035" s="1"/>
  <c r="W59" i="35035"/>
  <c r="X59" i="35035" s="1"/>
  <c r="W54" i="35035"/>
  <c r="X54" i="35035" s="1"/>
  <c r="W66" i="35035"/>
  <c r="X66" i="35035" s="1"/>
  <c r="W19" i="35035"/>
  <c r="X19" i="35035" s="1"/>
  <c r="FV83" i="35036" l="1"/>
  <c r="GI83" i="35036" s="1"/>
  <c r="FV81" i="35036"/>
  <c r="GI81" i="35036" s="1"/>
  <c r="FV71" i="35036"/>
  <c r="GI71" i="35036" s="1"/>
  <c r="FV76" i="35036"/>
  <c r="GI76" i="35036" s="1"/>
  <c r="FV60" i="35036"/>
  <c r="GI60" i="35036" s="1"/>
  <c r="FV70" i="35036"/>
  <c r="GI70" i="35036" s="1"/>
  <c r="FV26" i="35036"/>
  <c r="GI26" i="35036" s="1"/>
  <c r="FV18" i="35036"/>
  <c r="GI18" i="35036" s="1"/>
  <c r="FV47" i="35036"/>
  <c r="GI47" i="35036" s="1"/>
  <c r="FV35" i="35036"/>
  <c r="GI35" i="35036" s="1"/>
  <c r="FV31" i="35036"/>
  <c r="GI31" i="35036" s="1"/>
  <c r="FV62" i="35036"/>
  <c r="GI62" i="35036" s="1"/>
  <c r="FV20" i="35036"/>
  <c r="GI20" i="35036" s="1"/>
  <c r="FV75" i="35036"/>
  <c r="GI75" i="35036" s="1"/>
  <c r="FV22" i="35036"/>
  <c r="GI22" i="35036" s="1"/>
  <c r="FV74" i="35036"/>
  <c r="GI74" i="35036" s="1"/>
  <c r="FV44" i="35036"/>
  <c r="GI44" i="35036" s="1"/>
  <c r="FV33" i="35036"/>
  <c r="GI33" i="35036" s="1"/>
  <c r="FV77" i="35036"/>
  <c r="GI77" i="35036" s="1"/>
  <c r="FV24" i="35036"/>
  <c r="GI24" i="35036" s="1"/>
  <c r="FV58" i="35036"/>
  <c r="GI58" i="35036" s="1"/>
  <c r="FV45" i="35036"/>
  <c r="GI45" i="35036" s="1"/>
  <c r="FV54" i="35036"/>
  <c r="GI54" i="35036" s="1"/>
  <c r="FV61" i="35036"/>
  <c r="GI61" i="35036" s="1"/>
  <c r="FV82" i="35036"/>
  <c r="GI82" i="35036" s="1"/>
  <c r="FV19" i="35036"/>
  <c r="GI19" i="35036" s="1"/>
  <c r="FV67" i="35036"/>
  <c r="GI67" i="35036" s="1"/>
  <c r="FV34" i="35036"/>
  <c r="GI34" i="35036" s="1"/>
  <c r="FV69" i="35036"/>
  <c r="GI69" i="35036" s="1"/>
  <c r="FV27" i="35036"/>
  <c r="GI27" i="35036" s="1"/>
  <c r="FV56" i="35036"/>
  <c r="GI56" i="35036" s="1"/>
  <c r="FV23" i="35036"/>
  <c r="GI23" i="35036" s="1"/>
  <c r="FV38" i="35036"/>
  <c r="GI38" i="35036" s="1"/>
  <c r="FV80" i="35036"/>
  <c r="GI80" i="35036" s="1"/>
  <c r="FV55" i="35036"/>
  <c r="GI55" i="35036" s="1"/>
  <c r="FV16" i="35036"/>
  <c r="GI16" i="35036" s="1"/>
  <c r="FV11" i="35036"/>
  <c r="GI11" i="35036" s="1"/>
  <c r="FV43" i="35036"/>
  <c r="GI43" i="35036" s="1"/>
  <c r="FV79" i="35036"/>
  <c r="GI79" i="35036" s="1"/>
  <c r="FV63" i="35036"/>
  <c r="GI63" i="35036" s="1"/>
  <c r="FV68" i="35036"/>
  <c r="GI68" i="35036" s="1"/>
  <c r="FV66" i="35036"/>
  <c r="GI66" i="35036" s="1"/>
  <c r="FV65" i="35036"/>
  <c r="GI65" i="35036" s="1"/>
  <c r="FV52" i="35036"/>
  <c r="GI52" i="35036" s="1"/>
  <c r="FV57" i="35036"/>
  <c r="GI57" i="35036" s="1"/>
  <c r="FV40" i="35036"/>
  <c r="GI40" i="35036" s="1"/>
  <c r="FV73" i="35036"/>
  <c r="GI73" i="35036" s="1"/>
  <c r="FV72" i="35036"/>
  <c r="GI72" i="35036" s="1"/>
  <c r="FV48" i="35036"/>
  <c r="GI48" i="35036" s="1"/>
  <c r="FV39" i="35036"/>
  <c r="GI39" i="35036" s="1"/>
  <c r="FV12" i="35036"/>
  <c r="GI12" i="35036" s="1"/>
  <c r="FV78" i="35036"/>
  <c r="GI78" i="35036" s="1"/>
  <c r="FV17" i="35036"/>
  <c r="GI17" i="35036" s="1"/>
  <c r="FV64" i="35036"/>
  <c r="GI64" i="35036" s="1"/>
  <c r="FV28" i="35036"/>
  <c r="GI28" i="35036" s="1"/>
  <c r="FV37" i="35036"/>
  <c r="GI37" i="35036" s="1"/>
  <c r="FV46" i="35036"/>
  <c r="GI46" i="35036" s="1"/>
  <c r="FV59" i="35036"/>
  <c r="GI59" i="35036" s="1"/>
  <c r="FV42" i="35036"/>
  <c r="GI42" i="35036" s="1"/>
  <c r="FV21" i="35036"/>
  <c r="GI21" i="35036" s="1"/>
  <c r="FV41" i="35036"/>
  <c r="GI41" i="35036" s="1"/>
  <c r="FV36" i="35036"/>
  <c r="GI36" i="35036" s="1"/>
  <c r="FV51" i="35036"/>
  <c r="GI51" i="35036" s="1"/>
  <c r="FV14" i="35036"/>
  <c r="GI14" i="35036" s="1"/>
  <c r="FV30" i="35036"/>
  <c r="GI30" i="35036" s="1"/>
  <c r="FV29" i="35036"/>
  <c r="GI29" i="35036" s="1"/>
  <c r="FV25" i="35036"/>
  <c r="GI25" i="35036" s="1"/>
  <c r="FV53" i="35036"/>
  <c r="GI53" i="35036" s="1"/>
  <c r="FV49" i="35036"/>
  <c r="GI49" i="35036" s="1"/>
  <c r="FV32" i="35036"/>
  <c r="GI32" i="35036" s="1"/>
  <c r="FV15" i="35036"/>
  <c r="GI15" i="35036" s="1"/>
  <c r="FV50" i="35036"/>
  <c r="GI50" i="35036" s="1"/>
  <c r="FV13" i="35036"/>
  <c r="GI13" i="35036" s="1"/>
  <c r="GI84" i="35036"/>
  <c r="AT11" i="35036"/>
  <c r="AT14" i="35036"/>
  <c r="AT76" i="35036"/>
  <c r="AT40" i="35036"/>
  <c r="AT19" i="35036"/>
  <c r="AT29" i="35036"/>
  <c r="AT64" i="35036"/>
  <c r="AT42" i="35036"/>
  <c r="AT36" i="35036"/>
  <c r="AT32" i="35036"/>
  <c r="AT50" i="35036"/>
  <c r="AT12" i="35036"/>
  <c r="AT43" i="35036"/>
  <c r="AT46" i="35036"/>
  <c r="AT24" i="35036"/>
  <c r="AT45" i="35036"/>
  <c r="AT74" i="35036"/>
  <c r="AT34" i="35036"/>
  <c r="AT72" i="35036"/>
  <c r="AT39" i="35036"/>
  <c r="AT66" i="35036"/>
  <c r="AT84" i="35036"/>
  <c r="AT51" i="35036"/>
  <c r="AT25" i="35036"/>
  <c r="AT26" i="35036"/>
  <c r="AT18" i="35036"/>
  <c r="AT47" i="35036"/>
  <c r="AT78" i="35036"/>
  <c r="AT65" i="35036"/>
  <c r="AT37" i="35036"/>
  <c r="AT60" i="35036"/>
  <c r="AT69" i="35036"/>
  <c r="AT63" i="35036"/>
  <c r="AT16" i="35036"/>
  <c r="AT79" i="35036"/>
  <c r="AT67" i="35036"/>
  <c r="AT70" i="35036"/>
  <c r="AT54" i="35036"/>
  <c r="AT58" i="35036"/>
  <c r="AT82" i="35036"/>
  <c r="AT57" i="35036"/>
  <c r="AT21" i="35036"/>
  <c r="AT75" i="35036"/>
  <c r="AT35" i="35036"/>
  <c r="AT83" i="35036"/>
  <c r="AT20" i="35036"/>
  <c r="AT41" i="35036"/>
  <c r="AT13" i="35036"/>
  <c r="AT27" i="35036"/>
  <c r="AT68" i="35036"/>
  <c r="AT28" i="35036"/>
  <c r="AT22" i="35036"/>
  <c r="AT30" i="35036"/>
  <c r="AT62" i="35036"/>
  <c r="AT33" i="35036"/>
  <c r="AT73" i="35036"/>
  <c r="AT17" i="35036"/>
  <c r="AT48" i="35036"/>
  <c r="AT56" i="35036"/>
  <c r="AT55" i="35036"/>
  <c r="AT38" i="35036"/>
  <c r="AT61" i="35036"/>
  <c r="AT77" i="35036"/>
  <c r="AT44" i="35036"/>
  <c r="AT81" i="35036"/>
  <c r="AT23" i="35036"/>
  <c r="AT59" i="35036"/>
  <c r="AT71" i="35036"/>
  <c r="AT52" i="35036"/>
  <c r="AT49" i="35036"/>
  <c r="AT80" i="35036"/>
  <c r="AT53" i="35036"/>
  <c r="AT15" i="35036"/>
  <c r="AT31" i="35036"/>
  <c r="FU66" i="35036"/>
  <c r="GH66" i="35036" s="1"/>
  <c r="FU22" i="35036"/>
  <c r="GH22" i="35036" s="1"/>
  <c r="FU48" i="35036"/>
  <c r="GH48" i="35036" s="1"/>
  <c r="FU68" i="35036"/>
  <c r="GH68" i="35036" s="1"/>
  <c r="FU31" i="35036"/>
  <c r="GH31" i="35036" s="1"/>
  <c r="FU75" i="35036"/>
  <c r="GH75" i="35036" s="1"/>
  <c r="FU12" i="35036"/>
  <c r="GH12" i="35036" s="1"/>
  <c r="FU33" i="35036"/>
  <c r="GH33" i="35036" s="1"/>
  <c r="FU49" i="35036"/>
  <c r="GH49" i="35036" s="1"/>
  <c r="FU70" i="35036"/>
  <c r="GH70" i="35036" s="1"/>
  <c r="FU55" i="35036"/>
  <c r="GH55" i="35036" s="1"/>
  <c r="FU11" i="35036"/>
  <c r="GH11" i="35036" s="1"/>
  <c r="FU17" i="35036"/>
  <c r="GH17" i="35036" s="1"/>
  <c r="FU59" i="35036"/>
  <c r="GH59" i="35036" s="1"/>
  <c r="FU32" i="35036"/>
  <c r="GH32" i="35036" s="1"/>
  <c r="FU42" i="35036"/>
  <c r="GH42" i="35036" s="1"/>
  <c r="FU65" i="35036"/>
  <c r="GH65" i="35036" s="1"/>
  <c r="FU20" i="35036"/>
  <c r="GH20" i="35036" s="1"/>
  <c r="FU69" i="35036"/>
  <c r="GH69" i="35036" s="1"/>
  <c r="FU45" i="35036"/>
  <c r="GH45" i="35036" s="1"/>
  <c r="FU67" i="35036"/>
  <c r="GH67" i="35036" s="1"/>
  <c r="FU77" i="35036"/>
  <c r="GH77" i="35036" s="1"/>
  <c r="FU30" i="35036"/>
  <c r="GH30" i="35036" s="1"/>
  <c r="FU52" i="35036"/>
  <c r="GH52" i="35036" s="1"/>
  <c r="FU24" i="35036"/>
  <c r="GH24" i="35036" s="1"/>
  <c r="FU34" i="35036"/>
  <c r="GH34" i="35036" s="1"/>
  <c r="FU16" i="35036"/>
  <c r="GH16" i="35036" s="1"/>
  <c r="FU80" i="35036"/>
  <c r="GH80" i="35036" s="1"/>
  <c r="FU63" i="35036"/>
  <c r="GH63" i="35036" s="1"/>
  <c r="FU25" i="35036"/>
  <c r="GH25" i="35036" s="1"/>
  <c r="FU43" i="35036"/>
  <c r="GH43" i="35036" s="1"/>
  <c r="FU21" i="35036"/>
  <c r="GH21" i="35036" s="1"/>
  <c r="FU37" i="35036"/>
  <c r="GH37" i="35036" s="1"/>
  <c r="FU13" i="35036"/>
  <c r="GH13" i="35036" s="1"/>
  <c r="FU71" i="35036"/>
  <c r="GH71" i="35036" s="1"/>
  <c r="FU64" i="35036"/>
  <c r="GH64" i="35036" s="1"/>
  <c r="FU29" i="35036"/>
  <c r="GH29" i="35036" s="1"/>
  <c r="FU78" i="35036"/>
  <c r="GH78" i="35036" s="1"/>
  <c r="FU81" i="35036"/>
  <c r="GH81" i="35036" s="1"/>
  <c r="FU51" i="35036"/>
  <c r="GH51" i="35036" s="1"/>
  <c r="FU41" i="35036"/>
  <c r="GH41" i="35036" s="1"/>
  <c r="FU44" i="35036"/>
  <c r="GH44" i="35036" s="1"/>
  <c r="FU26" i="35036"/>
  <c r="GH26" i="35036" s="1"/>
  <c r="FU72" i="35036"/>
  <c r="GH72" i="35036" s="1"/>
  <c r="FU74" i="35036"/>
  <c r="GH74" i="35036" s="1"/>
  <c r="FU40" i="35036"/>
  <c r="GH40" i="35036" s="1"/>
  <c r="FU46" i="35036"/>
  <c r="GH46" i="35036" s="1"/>
  <c r="FU18" i="35036"/>
  <c r="GH18" i="35036" s="1"/>
  <c r="FU83" i="35036"/>
  <c r="GH83" i="35036" s="1"/>
  <c r="FU79" i="35036"/>
  <c r="GH79" i="35036" s="1"/>
  <c r="FU15" i="35036"/>
  <c r="GH15" i="35036" s="1"/>
  <c r="FU39" i="35036"/>
  <c r="GH39" i="35036" s="1"/>
  <c r="FU54" i="35036"/>
  <c r="GH54" i="35036" s="1"/>
  <c r="FU19" i="35036"/>
  <c r="GH19" i="35036" s="1"/>
  <c r="FU58" i="35036"/>
  <c r="GH58" i="35036" s="1"/>
  <c r="FU38" i="35036"/>
  <c r="GH38" i="35036" s="1"/>
  <c r="FU53" i="35036"/>
  <c r="GH53" i="35036" s="1"/>
  <c r="FU61" i="35036"/>
  <c r="GH61" i="35036" s="1"/>
  <c r="FU14" i="35036"/>
  <c r="GH14" i="35036" s="1"/>
  <c r="FU23" i="35036"/>
  <c r="GH23" i="35036" s="1"/>
  <c r="FU27" i="35036"/>
  <c r="GH27" i="35036" s="1"/>
  <c r="FU82" i="35036"/>
  <c r="GH82" i="35036" s="1"/>
  <c r="FU47" i="35036"/>
  <c r="GH47" i="35036" s="1"/>
  <c r="FU50" i="35036"/>
  <c r="GH50" i="35036" s="1"/>
  <c r="FU73" i="35036"/>
  <c r="GH73" i="35036" s="1"/>
  <c r="FU62" i="35036"/>
  <c r="GH62" i="35036" s="1"/>
  <c r="FU35" i="35036"/>
  <c r="GH35" i="35036" s="1"/>
  <c r="FU76" i="35036"/>
  <c r="GH76" i="35036" s="1"/>
  <c r="FU60" i="35036"/>
  <c r="GH60" i="35036" s="1"/>
  <c r="FU56" i="35036"/>
  <c r="GH56" i="35036" s="1"/>
  <c r="FU28" i="35036"/>
  <c r="GH28" i="35036" s="1"/>
  <c r="FU57" i="35036"/>
  <c r="GH57" i="35036" s="1"/>
  <c r="FU36" i="35036"/>
  <c r="GH36" i="35036" s="1"/>
  <c r="FU84" i="35036"/>
  <c r="GH84" i="35036" s="1"/>
  <c r="BU18" i="35036"/>
  <c r="BU19" i="35036"/>
  <c r="BU83" i="35036"/>
  <c r="BU42" i="35036"/>
  <c r="BU46" i="35036"/>
  <c r="BU77" i="35036"/>
  <c r="BU80" i="35036"/>
  <c r="BU54" i="35036"/>
  <c r="BU13" i="35036"/>
  <c r="BU50" i="35036"/>
  <c r="BU60" i="35036"/>
  <c r="BU74" i="35036"/>
  <c r="BU82" i="35036"/>
  <c r="BU17" i="35036"/>
  <c r="BU57" i="35036"/>
  <c r="BU51" i="35036"/>
  <c r="BU29" i="35036"/>
  <c r="BU59" i="35036"/>
  <c r="BU36" i="35036"/>
  <c r="BU55" i="35036"/>
  <c r="BU35" i="35036"/>
  <c r="BU41" i="35036"/>
  <c r="BU26" i="35036"/>
  <c r="BU31" i="35036"/>
  <c r="BU45" i="35036"/>
  <c r="BU28" i="35036"/>
  <c r="BU56" i="35036"/>
  <c r="BU68" i="35036"/>
  <c r="BU66" i="35036"/>
  <c r="BU47" i="35036"/>
  <c r="BU14" i="35036"/>
  <c r="BU30" i="35036"/>
  <c r="BU61" i="35036"/>
  <c r="BU23" i="35036"/>
  <c r="BU81" i="35036"/>
  <c r="BU38" i="35036"/>
  <c r="BU25" i="35036"/>
  <c r="BU32" i="35036"/>
  <c r="BU71" i="35036"/>
  <c r="BU69" i="35036"/>
  <c r="BU12" i="35036"/>
  <c r="BU16" i="35036"/>
  <c r="BU52" i="35036"/>
  <c r="BU79" i="35036"/>
  <c r="BU24" i="35036"/>
  <c r="BU78" i="35036"/>
  <c r="BU21" i="35036"/>
  <c r="BU34" i="35036"/>
  <c r="BU64" i="35036"/>
  <c r="BU73" i="35036"/>
  <c r="BU49" i="35036"/>
  <c r="BU44" i="35036"/>
  <c r="BU62" i="35036"/>
  <c r="BU67" i="35036"/>
  <c r="BU70" i="35036"/>
  <c r="BU84" i="35036"/>
  <c r="BU22" i="35036"/>
  <c r="BU48" i="35036"/>
  <c r="BU15" i="35036"/>
  <c r="BU11" i="35036"/>
  <c r="BU37" i="35036"/>
  <c r="BU53" i="35036"/>
  <c r="BU20" i="35036"/>
  <c r="BU39" i="35036"/>
  <c r="BU65" i="35036"/>
  <c r="BU33" i="35036"/>
  <c r="BU76" i="35036"/>
  <c r="BU72" i="35036"/>
  <c r="BU40" i="35036"/>
  <c r="BU75" i="35036"/>
  <c r="BU43" i="35036"/>
  <c r="BU58" i="35036"/>
  <c r="BU63" i="35036"/>
  <c r="BU27" i="35036"/>
  <c r="CR65" i="35036"/>
  <c r="CR63" i="35036"/>
  <c r="CR57" i="35036"/>
  <c r="CR62" i="35036"/>
  <c r="CR45" i="35036"/>
  <c r="CR83" i="35036"/>
  <c r="CR53" i="35036"/>
  <c r="CR56" i="35036"/>
  <c r="CR41" i="35036"/>
  <c r="CR19" i="35036"/>
  <c r="CR69" i="35036"/>
  <c r="CR49" i="35036"/>
  <c r="CR58" i="35036"/>
  <c r="CR77" i="35036"/>
  <c r="CR11" i="35036"/>
  <c r="CR28" i="35036"/>
  <c r="CR37" i="35036"/>
  <c r="CR54" i="35036"/>
  <c r="CR31" i="35036"/>
  <c r="CR66" i="35036"/>
  <c r="CR61" i="35036"/>
  <c r="CR60" i="35036"/>
  <c r="CR51" i="35036"/>
  <c r="CR46" i="35036"/>
  <c r="CR75" i="35036"/>
  <c r="CR39" i="35036"/>
  <c r="CR55" i="35036"/>
  <c r="CR44" i="35036"/>
  <c r="CR30" i="35036"/>
  <c r="CR71" i="35036"/>
  <c r="CR64" i="35036"/>
  <c r="CR76" i="35036"/>
  <c r="CR23" i="35036"/>
  <c r="CR73" i="35036"/>
  <c r="CR33" i="35036"/>
  <c r="CR24" i="35036"/>
  <c r="CR20" i="35036"/>
  <c r="CR21" i="35036"/>
  <c r="CR38" i="35036"/>
  <c r="CR36" i="35036"/>
  <c r="CR43" i="35036"/>
  <c r="CR52" i="35036"/>
  <c r="CR27" i="35036"/>
  <c r="CR50" i="35036"/>
  <c r="CR32" i="35036"/>
  <c r="CR68" i="35036"/>
  <c r="CR26" i="35036"/>
  <c r="CR34" i="35036"/>
  <c r="CR47" i="35036"/>
  <c r="CR12" i="35036"/>
  <c r="CR80" i="35036"/>
  <c r="CR40" i="35036"/>
  <c r="CR17" i="35036"/>
  <c r="CR48" i="35036"/>
  <c r="CR67" i="35036"/>
  <c r="CR35" i="35036"/>
  <c r="CR22" i="35036"/>
  <c r="CR14" i="35036"/>
  <c r="CR42" i="35036"/>
  <c r="CR74" i="35036"/>
  <c r="CR81" i="35036"/>
  <c r="CR59" i="35036"/>
  <c r="CR16" i="35036"/>
  <c r="CR25" i="35036"/>
  <c r="CR79" i="35036"/>
  <c r="CR13" i="35036"/>
  <c r="CR70" i="35036"/>
  <c r="CR18" i="35036"/>
  <c r="CR78" i="35036"/>
  <c r="CR15" i="35036"/>
  <c r="CR29" i="35036"/>
  <c r="CR82" i="35036"/>
  <c r="CR72" i="35036"/>
  <c r="CR84" i="35036"/>
  <c r="AS80" i="35036"/>
  <c r="AS70" i="35036"/>
  <c r="AS75" i="35036"/>
  <c r="AS38" i="35036"/>
  <c r="AS84" i="35036"/>
  <c r="AS30" i="35036"/>
  <c r="AS58" i="35036"/>
  <c r="AS68" i="35036"/>
  <c r="AS65" i="35036"/>
  <c r="AS25" i="35036"/>
  <c r="AS43" i="35036"/>
  <c r="AS74" i="35036"/>
  <c r="AS60" i="35036"/>
  <c r="AS63" i="35036"/>
  <c r="AS14" i="35036"/>
  <c r="AS37" i="35036"/>
  <c r="AS71" i="35036"/>
  <c r="AS54" i="35036"/>
  <c r="AS56" i="35036"/>
  <c r="AS40" i="35036"/>
  <c r="AS52" i="35036"/>
  <c r="AS76" i="35036"/>
  <c r="AS32" i="35036"/>
  <c r="AS42" i="35036"/>
  <c r="AS78" i="35036"/>
  <c r="AS79" i="35036"/>
  <c r="AS21" i="35036"/>
  <c r="AS59" i="35036"/>
  <c r="AS41" i="35036"/>
  <c r="AS62" i="35036"/>
  <c r="AS50" i="35036"/>
  <c r="AS28" i="35036"/>
  <c r="AS17" i="35036"/>
  <c r="AS34" i="35036"/>
  <c r="AS83" i="35036"/>
  <c r="AS20" i="35036"/>
  <c r="AS26" i="35036"/>
  <c r="AS45" i="35036"/>
  <c r="AS81" i="35036"/>
  <c r="AS31" i="35036"/>
  <c r="AS11" i="35036"/>
  <c r="AS55" i="35036"/>
  <c r="AS69" i="35036"/>
  <c r="AS39" i="35036"/>
  <c r="AS29" i="35036"/>
  <c r="AS72" i="35036"/>
  <c r="AS49" i="35036"/>
  <c r="AS61" i="35036"/>
  <c r="AS35" i="35036"/>
  <c r="AS33" i="35036"/>
  <c r="AS16" i="35036"/>
  <c r="AS22" i="35036"/>
  <c r="AS57" i="35036"/>
  <c r="AS12" i="35036"/>
  <c r="AS77" i="35036"/>
  <c r="AS15" i="35036"/>
  <c r="AS48" i="35036"/>
  <c r="AS51" i="35036"/>
  <c r="AS19" i="35036"/>
  <c r="AS47" i="35036"/>
  <c r="AS64" i="35036"/>
  <c r="AS23" i="35036"/>
  <c r="AS46" i="35036"/>
  <c r="AS53" i="35036"/>
  <c r="AS13" i="35036"/>
  <c r="AS82" i="35036"/>
  <c r="AS18" i="35036"/>
  <c r="AS24" i="35036"/>
  <c r="AS67" i="35036"/>
  <c r="AS66" i="35036"/>
  <c r="AS27" i="35036"/>
  <c r="AS73" i="35036"/>
  <c r="AS44" i="35036"/>
  <c r="AS36" i="35036"/>
  <c r="AU12" i="35036"/>
  <c r="AU42" i="35036"/>
  <c r="AU24" i="35036"/>
  <c r="AU32" i="35036"/>
  <c r="AU22" i="35036"/>
  <c r="AU58" i="35036"/>
  <c r="AU76" i="35036"/>
  <c r="AU61" i="35036"/>
  <c r="AU59" i="35036"/>
  <c r="AU78" i="35036"/>
  <c r="AU83" i="35036"/>
  <c r="AU65" i="35036"/>
  <c r="AU80" i="35036"/>
  <c r="AU46" i="35036"/>
  <c r="AU14" i="35036"/>
  <c r="AU38" i="35036"/>
  <c r="AU66" i="35036"/>
  <c r="AU39" i="35036"/>
  <c r="AU34" i="35036"/>
  <c r="AU23" i="35036"/>
  <c r="AU79" i="35036"/>
  <c r="AU37" i="35036"/>
  <c r="AU25" i="35036"/>
  <c r="AU15" i="35036"/>
  <c r="AU49" i="35036"/>
  <c r="AU48" i="35036"/>
  <c r="AU29" i="35036"/>
  <c r="AU68" i="35036"/>
  <c r="AU53" i="35036"/>
  <c r="AU17" i="35036"/>
  <c r="AU31" i="35036"/>
  <c r="AU54" i="35036"/>
  <c r="AU69" i="35036"/>
  <c r="AU16" i="35036"/>
  <c r="AU18" i="35036"/>
  <c r="AU19" i="35036"/>
  <c r="AU71" i="35036"/>
  <c r="AU75" i="35036"/>
  <c r="AU43" i="35036"/>
  <c r="AU77" i="35036"/>
  <c r="AU81" i="35036"/>
  <c r="AU55" i="35036"/>
  <c r="AU84" i="35036"/>
  <c r="AU74" i="35036"/>
  <c r="AU27" i="35036"/>
  <c r="AU41" i="35036"/>
  <c r="AU26" i="35036"/>
  <c r="AU40" i="35036"/>
  <c r="AU67" i="35036"/>
  <c r="AU63" i="35036"/>
  <c r="AU28" i="35036"/>
  <c r="AU73" i="35036"/>
  <c r="AU36" i="35036"/>
  <c r="AU57" i="35036"/>
  <c r="AU47" i="35036"/>
  <c r="AU45" i="35036"/>
  <c r="AU13" i="35036"/>
  <c r="AU56" i="35036"/>
  <c r="AU44" i="35036"/>
  <c r="AU82" i="35036"/>
  <c r="AU60" i="35036"/>
  <c r="AU30" i="35036"/>
  <c r="AU62" i="35036"/>
  <c r="AU21" i="35036"/>
  <c r="AU11" i="35036"/>
  <c r="AU70" i="35036"/>
  <c r="AU64" i="35036"/>
  <c r="AU20" i="35036"/>
  <c r="AU50" i="35036"/>
  <c r="AU35" i="35036"/>
  <c r="AU33" i="35036"/>
  <c r="AU72" i="35036"/>
  <c r="AU52" i="35036"/>
  <c r="AU51" i="35036"/>
  <c r="BS27" i="35036"/>
  <c r="BS54" i="35036"/>
  <c r="BS79" i="35036"/>
  <c r="BS50" i="35036"/>
  <c r="BS56" i="35036"/>
  <c r="BS43" i="35036"/>
  <c r="BS61" i="35036"/>
  <c r="BS37" i="35036"/>
  <c r="BS57" i="35036"/>
  <c r="BS70" i="35036"/>
  <c r="BS52" i="35036"/>
  <c r="BS55" i="35036"/>
  <c r="BS77" i="35036"/>
  <c r="BS34" i="35036"/>
  <c r="BS19" i="35036"/>
  <c r="BS12" i="35036"/>
  <c r="BS49" i="35036"/>
  <c r="BS13" i="35036"/>
  <c r="BS24" i="35036"/>
  <c r="BS26" i="35036"/>
  <c r="BS35" i="35036"/>
  <c r="BS40" i="35036"/>
  <c r="BS67" i="35036"/>
  <c r="BS36" i="35036"/>
  <c r="BS74" i="35036"/>
  <c r="BS44" i="35036"/>
  <c r="BS20" i="35036"/>
  <c r="BS83" i="35036"/>
  <c r="BS66" i="35036"/>
  <c r="BS23" i="35036"/>
  <c r="BS48" i="35036"/>
  <c r="BS80" i="35036"/>
  <c r="BS71" i="35036"/>
  <c r="BS59" i="35036"/>
  <c r="BS21" i="35036"/>
  <c r="BS65" i="35036"/>
  <c r="BS82" i="35036"/>
  <c r="BS16" i="35036"/>
  <c r="BS75" i="35036"/>
  <c r="BS76" i="35036"/>
  <c r="BS78" i="35036"/>
  <c r="BS31" i="35036"/>
  <c r="BS17" i="35036"/>
  <c r="BS15" i="35036"/>
  <c r="BS63" i="35036"/>
  <c r="BS28" i="35036"/>
  <c r="BS81" i="35036"/>
  <c r="BS68" i="35036"/>
  <c r="BS53" i="35036"/>
  <c r="BS38" i="35036"/>
  <c r="BS60" i="35036"/>
  <c r="BS25" i="35036"/>
  <c r="BS73" i="35036"/>
  <c r="BS41" i="35036"/>
  <c r="BS22" i="35036"/>
  <c r="BS51" i="35036"/>
  <c r="BS11" i="35036"/>
  <c r="BS47" i="35036"/>
  <c r="BS69" i="35036"/>
  <c r="BS72" i="35036"/>
  <c r="BS39" i="35036"/>
  <c r="BS32" i="35036"/>
  <c r="BS58" i="35036"/>
  <c r="BS29" i="35036"/>
  <c r="BS84" i="35036"/>
  <c r="BS42" i="35036"/>
  <c r="BS45" i="35036"/>
  <c r="BS18" i="35036"/>
  <c r="BS33" i="35036"/>
  <c r="BS64" i="35036"/>
  <c r="BS62" i="35036"/>
  <c r="BS46" i="35036"/>
  <c r="BS30" i="35036"/>
  <c r="BS14" i="35036"/>
  <c r="BT71" i="35036"/>
  <c r="BT17" i="35036"/>
  <c r="BT54" i="35036"/>
  <c r="BT75" i="35036"/>
  <c r="BT41" i="35036"/>
  <c r="BT13" i="35036"/>
  <c r="BT20" i="35036"/>
  <c r="BT27" i="35036"/>
  <c r="BT55" i="35036"/>
  <c r="BT58" i="35036"/>
  <c r="BT64" i="35036"/>
  <c r="BT35" i="35036"/>
  <c r="BT24" i="35036"/>
  <c r="BT68" i="35036"/>
  <c r="BT80" i="35036"/>
  <c r="BT48" i="35036"/>
  <c r="BT66" i="35036"/>
  <c r="BT44" i="35036"/>
  <c r="BT31" i="35036"/>
  <c r="BT42" i="35036"/>
  <c r="BT12" i="35036"/>
  <c r="BT76" i="35036"/>
  <c r="BT79" i="35036"/>
  <c r="BT63" i="35036"/>
  <c r="BT73" i="35036"/>
  <c r="BT74" i="35036"/>
  <c r="BT14" i="35036"/>
  <c r="BT46" i="35036"/>
  <c r="BT77" i="35036"/>
  <c r="BT83" i="35036"/>
  <c r="BT18" i="35036"/>
  <c r="BT62" i="35036"/>
  <c r="BT19" i="35036"/>
  <c r="BT70" i="35036"/>
  <c r="BT69" i="35036"/>
  <c r="BT21" i="35036"/>
  <c r="BT26" i="35036"/>
  <c r="BT78" i="35036"/>
  <c r="BT53" i="35036"/>
  <c r="BT59" i="35036"/>
  <c r="BT52" i="35036"/>
  <c r="BT45" i="35036"/>
  <c r="BT15" i="35036"/>
  <c r="BT84" i="35036"/>
  <c r="BT57" i="35036"/>
  <c r="BT50" i="35036"/>
  <c r="BT28" i="35036"/>
  <c r="BT81" i="35036"/>
  <c r="BT16" i="35036"/>
  <c r="BT29" i="35036"/>
  <c r="BT33" i="35036"/>
  <c r="BT43" i="35036"/>
  <c r="BT39" i="35036"/>
  <c r="BT67" i="35036"/>
  <c r="BT65" i="35036"/>
  <c r="BT25" i="35036"/>
  <c r="BT56" i="35036"/>
  <c r="BT36" i="35036"/>
  <c r="BT47" i="35036"/>
  <c r="BT72" i="35036"/>
  <c r="BT51" i="35036"/>
  <c r="BT11" i="35036"/>
  <c r="BT22" i="35036"/>
  <c r="BT23" i="35036"/>
  <c r="BT61" i="35036"/>
  <c r="BT49" i="35036"/>
  <c r="BT34" i="35036"/>
  <c r="BT38" i="35036"/>
  <c r="BT30" i="35036"/>
  <c r="BT82" i="35036"/>
  <c r="BT32" i="35036"/>
  <c r="BT40" i="35036"/>
  <c r="BT60" i="35036"/>
  <c r="BT37" i="35036"/>
  <c r="CQ72" i="35036"/>
  <c r="CQ76" i="35036"/>
  <c r="CQ31" i="35036"/>
  <c r="CQ64" i="35036"/>
  <c r="CQ52" i="35036"/>
  <c r="CQ29" i="35036"/>
  <c r="CQ77" i="35036"/>
  <c r="CQ82" i="35036"/>
  <c r="CQ67" i="35036"/>
  <c r="CQ32" i="35036"/>
  <c r="CQ71" i="35036"/>
  <c r="CQ24" i="35036"/>
  <c r="CQ47" i="35036"/>
  <c r="CQ60" i="35036"/>
  <c r="CQ42" i="35036"/>
  <c r="CQ48" i="35036"/>
  <c r="CQ57" i="35036"/>
  <c r="CQ73" i="35036"/>
  <c r="CQ27" i="35036"/>
  <c r="CQ39" i="35036"/>
  <c r="CQ35" i="35036"/>
  <c r="CQ15" i="35036"/>
  <c r="CQ58" i="35036"/>
  <c r="CQ49" i="35036"/>
  <c r="CQ61" i="35036"/>
  <c r="CQ59" i="35036"/>
  <c r="CQ11" i="35036"/>
  <c r="CQ18" i="35036"/>
  <c r="CQ51" i="35036"/>
  <c r="CQ66" i="35036"/>
  <c r="CQ30" i="35036"/>
  <c r="CQ26" i="35036"/>
  <c r="CQ41" i="35036"/>
  <c r="CQ28" i="35036"/>
  <c r="CQ54" i="35036"/>
  <c r="CQ40" i="35036"/>
  <c r="CQ69" i="35036"/>
  <c r="CQ38" i="35036"/>
  <c r="CQ22" i="35036"/>
  <c r="CQ20" i="35036"/>
  <c r="CQ79" i="35036"/>
  <c r="CQ81" i="35036"/>
  <c r="CQ14" i="35036"/>
  <c r="CQ74" i="35036"/>
  <c r="CQ84" i="35036"/>
  <c r="CQ62" i="35036"/>
  <c r="CQ53" i="35036"/>
  <c r="CQ63" i="35036"/>
  <c r="CQ80" i="35036"/>
  <c r="CQ46" i="35036"/>
  <c r="CQ56" i="35036"/>
  <c r="CQ68" i="35036"/>
  <c r="CQ33" i="35036"/>
  <c r="CQ36" i="35036"/>
  <c r="CQ21" i="35036"/>
  <c r="CQ37" i="35036"/>
  <c r="CQ17" i="35036"/>
  <c r="CQ19" i="35036"/>
  <c r="CQ75" i="35036"/>
  <c r="CQ83" i="35036"/>
  <c r="CQ43" i="35036"/>
  <c r="CQ13" i="35036"/>
  <c r="CQ45" i="35036"/>
  <c r="CQ23" i="35036"/>
  <c r="CQ65" i="35036"/>
  <c r="CQ25" i="35036"/>
  <c r="CQ12" i="35036"/>
  <c r="CQ16" i="35036"/>
  <c r="CQ70" i="35036"/>
  <c r="CQ78" i="35036"/>
  <c r="CQ44" i="35036"/>
  <c r="CQ50" i="35036"/>
  <c r="CQ55" i="35036"/>
  <c r="CQ34" i="35036"/>
  <c r="CS41" i="35036"/>
  <c r="CS38" i="35036"/>
  <c r="CS59" i="35036"/>
  <c r="CS63" i="35036"/>
  <c r="CS11" i="35036"/>
  <c r="CS62" i="35036"/>
  <c r="CS37" i="35036"/>
  <c r="CS21" i="35036"/>
  <c r="CS81" i="35036"/>
  <c r="CS46" i="35036"/>
  <c r="CS43" i="35036"/>
  <c r="CS12" i="35036"/>
  <c r="CS36" i="35036"/>
  <c r="CS24" i="35036"/>
  <c r="CS83" i="35036"/>
  <c r="CS71" i="35036"/>
  <c r="CS57" i="35036"/>
  <c r="CS54" i="35036"/>
  <c r="CS18" i="35036"/>
  <c r="CS51" i="35036"/>
  <c r="CS66" i="35036"/>
  <c r="CS13" i="35036"/>
  <c r="CS49" i="35036"/>
  <c r="CS29" i="35036"/>
  <c r="CS75" i="35036"/>
  <c r="CS84" i="35036"/>
  <c r="CS78" i="35036"/>
  <c r="CS61" i="35036"/>
  <c r="CS60" i="35036"/>
  <c r="CS15" i="35036"/>
  <c r="CS17" i="35036"/>
  <c r="CS82" i="35036"/>
  <c r="CS50" i="35036"/>
  <c r="CS20" i="35036"/>
  <c r="CS74" i="35036"/>
  <c r="CS69" i="35036"/>
  <c r="CS33" i="35036"/>
  <c r="CS73" i="35036"/>
  <c r="CS22" i="35036"/>
  <c r="CS55" i="35036"/>
  <c r="CS26" i="35036"/>
  <c r="CS79" i="35036"/>
  <c r="CS32" i="35036"/>
  <c r="CS35" i="35036"/>
  <c r="CS19" i="35036"/>
  <c r="CS30" i="35036"/>
  <c r="CS42" i="35036"/>
  <c r="CS34" i="35036"/>
  <c r="CS47" i="35036"/>
  <c r="CS52" i="35036"/>
  <c r="CS28" i="35036"/>
  <c r="CS48" i="35036"/>
  <c r="CS14" i="35036"/>
  <c r="CS76" i="35036"/>
  <c r="CS56" i="35036"/>
  <c r="CS39" i="35036"/>
  <c r="CS70" i="35036"/>
  <c r="CS68" i="35036"/>
  <c r="CS16" i="35036"/>
  <c r="CS40" i="35036"/>
  <c r="CS58" i="35036"/>
  <c r="CS67" i="35036"/>
  <c r="CS64" i="35036"/>
  <c r="CS53" i="35036"/>
  <c r="CS31" i="35036"/>
  <c r="CS45" i="35036"/>
  <c r="CS25" i="35036"/>
  <c r="CS27" i="35036"/>
  <c r="CS72" i="35036"/>
  <c r="CS23" i="35036"/>
  <c r="CS65" i="35036"/>
  <c r="CS44" i="35036"/>
  <c r="CS77" i="35036"/>
  <c r="CS80" i="35036"/>
  <c r="G61" i="35391" l="1" a="1"/>
  <c r="G114" i="35391" s="1"/>
  <c r="CX11" i="35036" a="1"/>
  <c r="CY11" i="35036" a="1"/>
  <c r="BZ11" i="35036" a="1"/>
  <c r="CA11" i="35036" a="1"/>
  <c r="AZ11" i="35036" a="1"/>
  <c r="G117" i="35391" l="1"/>
  <c r="G64" i="35391"/>
  <c r="G102" i="35391"/>
  <c r="G62" i="35391"/>
  <c r="G123" i="35391"/>
  <c r="G77" i="35391"/>
  <c r="G130" i="35391"/>
  <c r="G85" i="35391"/>
  <c r="G89" i="35391"/>
  <c r="G90" i="35391"/>
  <c r="G63" i="35391"/>
  <c r="G61" i="35391"/>
  <c r="G93" i="35391"/>
  <c r="G109" i="35391"/>
  <c r="G91" i="35391"/>
  <c r="G121" i="35391"/>
  <c r="G72" i="35391"/>
  <c r="G70" i="35391"/>
  <c r="G79" i="35391"/>
  <c r="G74" i="35391"/>
  <c r="G101" i="35391"/>
  <c r="G98" i="35391"/>
  <c r="G124" i="35391"/>
  <c r="G132" i="35391"/>
  <c r="G76" i="35391"/>
  <c r="G81" i="35391"/>
  <c r="G129" i="35391"/>
  <c r="G69" i="35391"/>
  <c r="G107" i="35391"/>
  <c r="G86" i="35391"/>
  <c r="G118" i="35391"/>
  <c r="G111" i="35391"/>
  <c r="G126" i="35391"/>
  <c r="G68" i="35391"/>
  <c r="G128" i="35391"/>
  <c r="G115" i="35391"/>
  <c r="G105" i="35391"/>
  <c r="G73" i="35391"/>
  <c r="G131" i="35391"/>
  <c r="G120" i="35391"/>
  <c r="G97" i="35391"/>
  <c r="G88" i="35391"/>
  <c r="G83" i="35391"/>
  <c r="G71" i="35391"/>
  <c r="G96" i="35391"/>
  <c r="G75" i="35391"/>
  <c r="G100" i="35391"/>
  <c r="G95" i="35391"/>
  <c r="G78" i="35391"/>
  <c r="G66" i="35391"/>
  <c r="G92" i="35391"/>
  <c r="G125" i="35391"/>
  <c r="G80" i="35391"/>
  <c r="G110" i="35391"/>
  <c r="G133" i="35391"/>
  <c r="G103" i="35391"/>
  <c r="G94" i="35391"/>
  <c r="G84" i="35391"/>
  <c r="G116" i="35391"/>
  <c r="G122" i="35391"/>
  <c r="G99" i="35391"/>
  <c r="G106" i="35391"/>
  <c r="G104" i="35391"/>
  <c r="G135" i="35391"/>
  <c r="G112" i="35391"/>
  <c r="G67" i="35391"/>
  <c r="G65" i="35391"/>
  <c r="G134" i="35391"/>
  <c r="G87" i="35391"/>
  <c r="G119" i="35391"/>
  <c r="G113" i="35391"/>
  <c r="G127" i="35391"/>
  <c r="G82" i="35391"/>
  <c r="G108" i="35391"/>
  <c r="AZ36" i="35036"/>
  <c r="BB36" i="35036" s="1"/>
  <c r="AZ66" i="35036"/>
  <c r="BB66" i="35036" s="1"/>
  <c r="AZ22" i="35036"/>
  <c r="BB22" i="35036" s="1"/>
  <c r="AZ48" i="35036"/>
  <c r="BB48" i="35036" s="1"/>
  <c r="AZ68" i="35036"/>
  <c r="BB68" i="35036" s="1"/>
  <c r="AZ31" i="35036"/>
  <c r="BB31" i="35036" s="1"/>
  <c r="AZ75" i="35036"/>
  <c r="BB75" i="35036" s="1"/>
  <c r="AZ12" i="35036"/>
  <c r="BB12" i="35036" s="1"/>
  <c r="AZ33" i="35036"/>
  <c r="BB33" i="35036" s="1"/>
  <c r="AZ49" i="35036"/>
  <c r="BB49" i="35036" s="1"/>
  <c r="AZ70" i="35036"/>
  <c r="BB70" i="35036" s="1"/>
  <c r="AZ55" i="35036"/>
  <c r="BB55" i="35036" s="1"/>
  <c r="AZ11" i="35036"/>
  <c r="BB11" i="35036" s="1"/>
  <c r="AZ17" i="35036"/>
  <c r="BB17" i="35036" s="1"/>
  <c r="AZ59" i="35036"/>
  <c r="BB59" i="35036" s="1"/>
  <c r="AZ32" i="35036"/>
  <c r="BB32" i="35036" s="1"/>
  <c r="AZ42" i="35036"/>
  <c r="BB42" i="35036" s="1"/>
  <c r="AZ65" i="35036"/>
  <c r="BB65" i="35036" s="1"/>
  <c r="AZ20" i="35036"/>
  <c r="BB20" i="35036" s="1"/>
  <c r="AZ69" i="35036"/>
  <c r="BB69" i="35036" s="1"/>
  <c r="AZ45" i="35036"/>
  <c r="BB45" i="35036" s="1"/>
  <c r="AZ67" i="35036"/>
  <c r="BB67" i="35036" s="1"/>
  <c r="AZ77" i="35036"/>
  <c r="BB77" i="35036" s="1"/>
  <c r="AZ30" i="35036"/>
  <c r="BB30" i="35036" s="1"/>
  <c r="AZ52" i="35036"/>
  <c r="BB52" i="35036" s="1"/>
  <c r="AZ24" i="35036"/>
  <c r="BB24" i="35036" s="1"/>
  <c r="AZ34" i="35036"/>
  <c r="BB34" i="35036" s="1"/>
  <c r="AZ16" i="35036"/>
  <c r="BB16" i="35036" s="1"/>
  <c r="AZ80" i="35036"/>
  <c r="BB80" i="35036" s="1"/>
  <c r="AZ63" i="35036"/>
  <c r="BB63" i="35036" s="1"/>
  <c r="AZ25" i="35036"/>
  <c r="BB25" i="35036" s="1"/>
  <c r="AZ43" i="35036"/>
  <c r="BB43" i="35036" s="1"/>
  <c r="AZ21" i="35036"/>
  <c r="BB21" i="35036" s="1"/>
  <c r="AZ37" i="35036"/>
  <c r="BB37" i="35036" s="1"/>
  <c r="AZ13" i="35036"/>
  <c r="BB13" i="35036" s="1"/>
  <c r="AZ71" i="35036"/>
  <c r="BB71" i="35036" s="1"/>
  <c r="AZ64" i="35036"/>
  <c r="BB64" i="35036" s="1"/>
  <c r="AZ29" i="35036"/>
  <c r="BB29" i="35036" s="1"/>
  <c r="AZ78" i="35036"/>
  <c r="BB78" i="35036" s="1"/>
  <c r="AZ81" i="35036"/>
  <c r="BB81" i="35036" s="1"/>
  <c r="AZ51" i="35036"/>
  <c r="BB51" i="35036" s="1"/>
  <c r="AZ41" i="35036"/>
  <c r="BB41" i="35036" s="1"/>
  <c r="AZ44" i="35036"/>
  <c r="BB44" i="35036" s="1"/>
  <c r="AZ26" i="35036"/>
  <c r="BB26" i="35036" s="1"/>
  <c r="AZ72" i="35036"/>
  <c r="BB72" i="35036" s="1"/>
  <c r="AZ74" i="35036"/>
  <c r="BB74" i="35036" s="1"/>
  <c r="AZ40" i="35036"/>
  <c r="BB40" i="35036" s="1"/>
  <c r="AZ46" i="35036"/>
  <c r="BB46" i="35036" s="1"/>
  <c r="AZ18" i="35036"/>
  <c r="BB18" i="35036" s="1"/>
  <c r="AZ83" i="35036"/>
  <c r="BB83" i="35036" s="1"/>
  <c r="AZ79" i="35036"/>
  <c r="BB79" i="35036" s="1"/>
  <c r="AZ15" i="35036"/>
  <c r="BB15" i="35036" s="1"/>
  <c r="AZ39" i="35036"/>
  <c r="BB39" i="35036" s="1"/>
  <c r="AZ54" i="35036"/>
  <c r="BB54" i="35036" s="1"/>
  <c r="AZ19" i="35036"/>
  <c r="BB19" i="35036" s="1"/>
  <c r="AZ58" i="35036"/>
  <c r="BB58" i="35036" s="1"/>
  <c r="AZ38" i="35036"/>
  <c r="BB38" i="35036" s="1"/>
  <c r="AZ53" i="35036"/>
  <c r="BB53" i="35036" s="1"/>
  <c r="AZ61" i="35036"/>
  <c r="BB61" i="35036" s="1"/>
  <c r="AZ14" i="35036"/>
  <c r="BB14" i="35036" s="1"/>
  <c r="AZ23" i="35036"/>
  <c r="BB23" i="35036" s="1"/>
  <c r="AZ27" i="35036"/>
  <c r="BB27" i="35036" s="1"/>
  <c r="AZ82" i="35036"/>
  <c r="BB82" i="35036" s="1"/>
  <c r="AZ47" i="35036"/>
  <c r="BB47" i="35036" s="1"/>
  <c r="AZ50" i="35036"/>
  <c r="BB50" i="35036" s="1"/>
  <c r="AZ73" i="35036"/>
  <c r="BB73" i="35036" s="1"/>
  <c r="AZ62" i="35036"/>
  <c r="BB62" i="35036" s="1"/>
  <c r="AZ35" i="35036"/>
  <c r="BB35" i="35036" s="1"/>
  <c r="AZ76" i="35036"/>
  <c r="BB76" i="35036" s="1"/>
  <c r="AZ60" i="35036"/>
  <c r="BB60" i="35036" s="1"/>
  <c r="AZ56" i="35036"/>
  <c r="BB56" i="35036" s="1"/>
  <c r="AZ28" i="35036"/>
  <c r="BB28" i="35036" s="1"/>
  <c r="AZ57" i="35036"/>
  <c r="BB57" i="35036" s="1"/>
  <c r="AZ84" i="35036"/>
  <c r="BB84" i="35036" s="1"/>
  <c r="BZ66" i="35036"/>
  <c r="BZ22" i="35036"/>
  <c r="BZ48" i="35036"/>
  <c r="BZ68" i="35036"/>
  <c r="BZ31" i="35036"/>
  <c r="BZ75" i="35036"/>
  <c r="BZ12" i="35036"/>
  <c r="BZ33" i="35036"/>
  <c r="BZ49" i="35036"/>
  <c r="BZ70" i="35036"/>
  <c r="BZ55" i="35036"/>
  <c r="BZ11" i="35036"/>
  <c r="BZ17" i="35036"/>
  <c r="BZ59" i="35036"/>
  <c r="BZ32" i="35036"/>
  <c r="BZ42" i="35036"/>
  <c r="BZ65" i="35036"/>
  <c r="BZ20" i="35036"/>
  <c r="BZ69" i="35036"/>
  <c r="BZ45" i="35036"/>
  <c r="BZ67" i="35036"/>
  <c r="BZ77" i="35036"/>
  <c r="BZ30" i="35036"/>
  <c r="BZ52" i="35036"/>
  <c r="BZ24" i="35036"/>
  <c r="BZ34" i="35036"/>
  <c r="BZ16" i="35036"/>
  <c r="BZ80" i="35036"/>
  <c r="BZ63" i="35036"/>
  <c r="BZ25" i="35036"/>
  <c r="BZ43" i="35036"/>
  <c r="BZ21" i="35036"/>
  <c r="BZ37" i="35036"/>
  <c r="BZ13" i="35036"/>
  <c r="BZ71" i="35036"/>
  <c r="BZ64" i="35036"/>
  <c r="BZ29" i="35036"/>
  <c r="BZ78" i="35036"/>
  <c r="BZ81" i="35036"/>
  <c r="BZ51" i="35036"/>
  <c r="BZ41" i="35036"/>
  <c r="BZ44" i="35036"/>
  <c r="BZ26" i="35036"/>
  <c r="BZ72" i="35036"/>
  <c r="BZ74" i="35036"/>
  <c r="BZ40" i="35036"/>
  <c r="BZ46" i="35036"/>
  <c r="BZ18" i="35036"/>
  <c r="BZ83" i="35036"/>
  <c r="BZ79" i="35036"/>
  <c r="BZ15" i="35036"/>
  <c r="BZ39" i="35036"/>
  <c r="BZ54" i="35036"/>
  <c r="BZ19" i="35036"/>
  <c r="BZ58" i="35036"/>
  <c r="BZ38" i="35036"/>
  <c r="BZ53" i="35036"/>
  <c r="BZ61" i="35036"/>
  <c r="BZ14" i="35036"/>
  <c r="BZ23" i="35036"/>
  <c r="BZ27" i="35036"/>
  <c r="BZ82" i="35036"/>
  <c r="BZ47" i="35036"/>
  <c r="BZ50" i="35036"/>
  <c r="BZ73" i="35036"/>
  <c r="BZ62" i="35036"/>
  <c r="BZ35" i="35036"/>
  <c r="BZ76" i="35036"/>
  <c r="BZ60" i="35036"/>
  <c r="BZ56" i="35036"/>
  <c r="BZ28" i="35036"/>
  <c r="BZ57" i="35036"/>
  <c r="BZ36" i="35036"/>
  <c r="BZ84" i="35036"/>
  <c r="CX66" i="35036"/>
  <c r="CX22" i="35036"/>
  <c r="CX48" i="35036"/>
  <c r="CX68" i="35036"/>
  <c r="CX31" i="35036"/>
  <c r="CX75" i="35036"/>
  <c r="CX12" i="35036"/>
  <c r="CX33" i="35036"/>
  <c r="CX49" i="35036"/>
  <c r="CX70" i="35036"/>
  <c r="CX55" i="35036"/>
  <c r="CX11" i="35036"/>
  <c r="CX17" i="35036"/>
  <c r="CX59" i="35036"/>
  <c r="CX32" i="35036"/>
  <c r="CX42" i="35036"/>
  <c r="CX65" i="35036"/>
  <c r="CX20" i="35036"/>
  <c r="CX69" i="35036"/>
  <c r="CX45" i="35036"/>
  <c r="CX67" i="35036"/>
  <c r="CX77" i="35036"/>
  <c r="CX30" i="35036"/>
  <c r="CX52" i="35036"/>
  <c r="CX24" i="35036"/>
  <c r="CX34" i="35036"/>
  <c r="CX16" i="35036"/>
  <c r="CX80" i="35036"/>
  <c r="CX63" i="35036"/>
  <c r="CX25" i="35036"/>
  <c r="CX43" i="35036"/>
  <c r="CX21" i="35036"/>
  <c r="CX37" i="35036"/>
  <c r="CX13" i="35036"/>
  <c r="CX71" i="35036"/>
  <c r="CX64" i="35036"/>
  <c r="CX29" i="35036"/>
  <c r="CX78" i="35036"/>
  <c r="CX81" i="35036"/>
  <c r="CX51" i="35036"/>
  <c r="CX41" i="35036"/>
  <c r="CX44" i="35036"/>
  <c r="CX26" i="35036"/>
  <c r="CX72" i="35036"/>
  <c r="CX74" i="35036"/>
  <c r="CX40" i="35036"/>
  <c r="CX46" i="35036"/>
  <c r="CX18" i="35036"/>
  <c r="CX83" i="35036"/>
  <c r="CX79" i="35036"/>
  <c r="CX15" i="35036"/>
  <c r="CX39" i="35036"/>
  <c r="CX54" i="35036"/>
  <c r="CX19" i="35036"/>
  <c r="CX58" i="35036"/>
  <c r="CX38" i="35036"/>
  <c r="CX53" i="35036"/>
  <c r="CX61" i="35036"/>
  <c r="CX14" i="35036"/>
  <c r="CX23" i="35036"/>
  <c r="CX27" i="35036"/>
  <c r="CX82" i="35036"/>
  <c r="CX47" i="35036"/>
  <c r="CX50" i="35036"/>
  <c r="CX73" i="35036"/>
  <c r="CX62" i="35036"/>
  <c r="CX35" i="35036"/>
  <c r="CX76" i="35036"/>
  <c r="CX60" i="35036"/>
  <c r="CX56" i="35036"/>
  <c r="CX28" i="35036"/>
  <c r="CX57" i="35036"/>
  <c r="CX36" i="35036"/>
  <c r="CX84" i="35036"/>
  <c r="CA84" i="35036"/>
  <c r="CA11" i="35036"/>
  <c r="CA13" i="35036"/>
  <c r="CA33" i="35036"/>
  <c r="CA50" i="35036"/>
  <c r="CA16" i="35036"/>
  <c r="CA15" i="35036"/>
  <c r="CA47" i="35036"/>
  <c r="CA32" i="35036"/>
  <c r="CA55" i="35036"/>
  <c r="CA49" i="35036"/>
  <c r="CA44" i="35036"/>
  <c r="CA53" i="35036"/>
  <c r="CA80" i="35036"/>
  <c r="CA25" i="35036"/>
  <c r="CA76" i="35036"/>
  <c r="CA29" i="35036"/>
  <c r="CA38" i="35036"/>
  <c r="CA30" i="35036"/>
  <c r="CA74" i="35036"/>
  <c r="CA14" i="35036"/>
  <c r="CA23" i="35036"/>
  <c r="CA51" i="35036"/>
  <c r="CA18" i="35036"/>
  <c r="CA36" i="35036"/>
  <c r="CA56" i="35036"/>
  <c r="CA41" i="35036"/>
  <c r="CA22" i="35036"/>
  <c r="CA21" i="35036"/>
  <c r="CA27" i="35036"/>
  <c r="CA42" i="35036"/>
  <c r="CA81" i="35036"/>
  <c r="CA59" i="35036"/>
  <c r="CA69" i="35036"/>
  <c r="CA46" i="35036"/>
  <c r="CA75" i="35036"/>
  <c r="CA37" i="35036"/>
  <c r="CA34" i="35036"/>
  <c r="CA28" i="35036"/>
  <c r="CA26" i="35036"/>
  <c r="CA64" i="35036"/>
  <c r="CA67" i="35036"/>
  <c r="CA17" i="35036"/>
  <c r="CA20" i="35036"/>
  <c r="CA78" i="35036"/>
  <c r="CA19" i="35036"/>
  <c r="CA12" i="35036"/>
  <c r="CA71" i="35036"/>
  <c r="CA39" i="35036"/>
  <c r="CA82" i="35036"/>
  <c r="CA48" i="35036"/>
  <c r="CA62" i="35036"/>
  <c r="CA72" i="35036"/>
  <c r="CA61" i="35036"/>
  <c r="CA63" i="35036"/>
  <c r="CA73" i="35036"/>
  <c r="CA70" i="35036"/>
  <c r="CA40" i="35036"/>
  <c r="CA54" i="35036"/>
  <c r="CA57" i="35036"/>
  <c r="CA31" i="35036"/>
  <c r="CA24" i="35036"/>
  <c r="CA52" i="35036"/>
  <c r="CA45" i="35036"/>
  <c r="CA65" i="35036"/>
  <c r="CA83" i="35036"/>
  <c r="CA79" i="35036"/>
  <c r="CA58" i="35036"/>
  <c r="CA68" i="35036"/>
  <c r="CA35" i="35036"/>
  <c r="CA77" i="35036"/>
  <c r="CA66" i="35036"/>
  <c r="CA60" i="35036"/>
  <c r="CA43" i="35036"/>
  <c r="CY11" i="35036"/>
  <c r="CY13" i="35036"/>
  <c r="CY33" i="35036"/>
  <c r="CY50" i="35036"/>
  <c r="CY16" i="35036"/>
  <c r="CY15" i="35036"/>
  <c r="CY47" i="35036"/>
  <c r="CY32" i="35036"/>
  <c r="CY55" i="35036"/>
  <c r="CY49" i="35036"/>
  <c r="CY44" i="35036"/>
  <c r="CY53" i="35036"/>
  <c r="CY80" i="35036"/>
  <c r="CY25" i="35036"/>
  <c r="CY76" i="35036"/>
  <c r="CY29" i="35036"/>
  <c r="CY38" i="35036"/>
  <c r="CY30" i="35036"/>
  <c r="CY74" i="35036"/>
  <c r="CY14" i="35036"/>
  <c r="CY23" i="35036"/>
  <c r="CY51" i="35036"/>
  <c r="CY18" i="35036"/>
  <c r="CY36" i="35036"/>
  <c r="CY56" i="35036"/>
  <c r="CY41" i="35036"/>
  <c r="CY22" i="35036"/>
  <c r="CY21" i="35036"/>
  <c r="CY27" i="35036"/>
  <c r="CY42" i="35036"/>
  <c r="CY81" i="35036"/>
  <c r="CY59" i="35036"/>
  <c r="CY69" i="35036"/>
  <c r="CY46" i="35036"/>
  <c r="CY75" i="35036"/>
  <c r="CY37" i="35036"/>
  <c r="CY34" i="35036"/>
  <c r="CY28" i="35036"/>
  <c r="CY26" i="35036"/>
  <c r="CY64" i="35036"/>
  <c r="CY67" i="35036"/>
  <c r="CY17" i="35036"/>
  <c r="CY20" i="35036"/>
  <c r="CY78" i="35036"/>
  <c r="CY19" i="35036"/>
  <c r="CY12" i="35036"/>
  <c r="CY71" i="35036"/>
  <c r="CY39" i="35036"/>
  <c r="CY82" i="35036"/>
  <c r="CY48" i="35036"/>
  <c r="CY62" i="35036"/>
  <c r="CY72" i="35036"/>
  <c r="CY61" i="35036"/>
  <c r="CY63" i="35036"/>
  <c r="CY73" i="35036"/>
  <c r="CY70" i="35036"/>
  <c r="CY40" i="35036"/>
  <c r="CY54" i="35036"/>
  <c r="CY57" i="35036"/>
  <c r="CY31" i="35036"/>
  <c r="CY24" i="35036"/>
  <c r="CY52" i="35036"/>
  <c r="CY45" i="35036"/>
  <c r="CY65" i="35036"/>
  <c r="CY83" i="35036"/>
  <c r="CY66" i="35036"/>
  <c r="CY79" i="35036"/>
  <c r="CY60" i="35036"/>
  <c r="CY43" i="35036"/>
  <c r="CY35" i="35036"/>
  <c r="CY84" i="35036"/>
  <c r="CY58" i="35036"/>
  <c r="CY68" i="35036"/>
  <c r="CY77" i="35036"/>
  <c r="CZ57" i="35036" l="1"/>
  <c r="CZ23" i="35036"/>
  <c r="CZ18" i="35036"/>
  <c r="CZ64" i="35036"/>
  <c r="CZ76" i="35036"/>
  <c r="CZ38" i="35036"/>
  <c r="CZ72" i="35036"/>
  <c r="CZ21" i="35036"/>
  <c r="CZ45" i="35036"/>
  <c r="CZ60" i="35036"/>
  <c r="CZ53" i="35036"/>
  <c r="CZ74" i="35036"/>
  <c r="CZ37" i="35036"/>
  <c r="CZ67" i="35036"/>
  <c r="CZ49" i="35036"/>
  <c r="CZ35" i="35036"/>
  <c r="CZ58" i="35036"/>
  <c r="CZ26" i="35036"/>
  <c r="CZ84" i="35036"/>
  <c r="CZ82" i="35036"/>
  <c r="CZ34" i="35036"/>
  <c r="CZ36" i="35036"/>
  <c r="CZ83" i="35036"/>
  <c r="CZ29" i="35036"/>
  <c r="CZ24" i="35036"/>
  <c r="CZ17" i="35036"/>
  <c r="CZ11" i="35036"/>
  <c r="CZ66" i="35036"/>
  <c r="CZ69" i="35036"/>
  <c r="CZ22" i="35036"/>
  <c r="CZ56" i="35036"/>
  <c r="CZ61" i="35036"/>
  <c r="CZ13" i="35036"/>
  <c r="CZ77" i="35036"/>
  <c r="CZ50" i="35036"/>
  <c r="CZ51" i="35036"/>
  <c r="CZ80" i="35036"/>
  <c r="CZ28" i="35036"/>
  <c r="CZ14" i="35036"/>
  <c r="CZ46" i="35036"/>
  <c r="CZ71" i="35036"/>
  <c r="CZ15" i="35036"/>
  <c r="CZ81" i="35036"/>
  <c r="CZ16" i="35036"/>
  <c r="CZ32" i="35036"/>
  <c r="CZ48" i="35036"/>
  <c r="CZ42" i="35036"/>
  <c r="CZ68" i="35036"/>
  <c r="DA68" i="35036"/>
  <c r="CZ62" i="35036"/>
  <c r="CZ19" i="35036"/>
  <c r="CZ44" i="35036"/>
  <c r="CZ25" i="35036"/>
  <c r="CZ20" i="35036"/>
  <c r="CZ75" i="35036"/>
  <c r="CZ73" i="35036"/>
  <c r="CZ54" i="35036"/>
  <c r="CZ41" i="35036"/>
  <c r="CZ63" i="35036"/>
  <c r="CZ65" i="35036"/>
  <c r="CZ31" i="35036"/>
  <c r="CZ70" i="35036"/>
  <c r="CZ27" i="35036"/>
  <c r="CZ43" i="35036"/>
  <c r="CZ39" i="35036"/>
  <c r="CZ79" i="35036"/>
  <c r="CZ78" i="35036"/>
  <c r="DA35" i="35036"/>
  <c r="CZ30" i="35036"/>
  <c r="CZ40" i="35036"/>
  <c r="CZ12" i="35036"/>
  <c r="DA58" i="35036"/>
  <c r="DA84" i="35036"/>
  <c r="CZ33" i="35036"/>
  <c r="DA79" i="35036"/>
  <c r="DA66" i="35036"/>
  <c r="CZ59" i="35036"/>
  <c r="CZ47" i="35036"/>
  <c r="CZ52" i="35036"/>
  <c r="CZ55" i="35036"/>
  <c r="G39" i="35391" a="1"/>
  <c r="G39" i="35391" s="1"/>
  <c r="G44" i="35391" s="1"/>
  <c r="G38" i="35391" a="1"/>
  <c r="G38" i="35391" s="1"/>
  <c r="G14" i="35391" s="1" a="1"/>
  <c r="G14" i="35391" s="1"/>
  <c r="DA77" i="35036"/>
  <c r="DA60" i="35036"/>
  <c r="DA65" i="35036"/>
  <c r="DA52" i="35036"/>
  <c r="DA31" i="35036"/>
  <c r="DA54" i="35036"/>
  <c r="DA70" i="35036"/>
  <c r="DA63" i="35036"/>
  <c r="DA72" i="35036"/>
  <c r="DA48" i="35036"/>
  <c r="DA39" i="35036"/>
  <c r="DA12" i="35036"/>
  <c r="DA78" i="35036"/>
  <c r="DA17" i="35036"/>
  <c r="DA64" i="35036"/>
  <c r="DA28" i="35036"/>
  <c r="DA37" i="35036"/>
  <c r="DA46" i="35036"/>
  <c r="DA59" i="35036"/>
  <c r="DA42" i="35036"/>
  <c r="DA21" i="35036"/>
  <c r="DA41" i="35036"/>
  <c r="DA36" i="35036"/>
  <c r="DA51" i="35036"/>
  <c r="DA14" i="35036"/>
  <c r="DA30" i="35036"/>
  <c r="DA29" i="35036"/>
  <c r="DA25" i="35036"/>
  <c r="DA53" i="35036"/>
  <c r="DA49" i="35036"/>
  <c r="DA32" i="35036"/>
  <c r="DA15" i="35036"/>
  <c r="DA50" i="35036"/>
  <c r="DA13" i="35036"/>
  <c r="DA43" i="35036"/>
  <c r="DA83" i="35036"/>
  <c r="DA45" i="35036"/>
  <c r="DA24" i="35036"/>
  <c r="DA57" i="35036"/>
  <c r="DA40" i="35036"/>
  <c r="DA73" i="35036"/>
  <c r="DA61" i="35036"/>
  <c r="DA62" i="35036"/>
  <c r="DA82" i="35036"/>
  <c r="DA71" i="35036"/>
  <c r="DA19" i="35036"/>
  <c r="DA20" i="35036"/>
  <c r="DA67" i="35036"/>
  <c r="DA26" i="35036"/>
  <c r="DA34" i="35036"/>
  <c r="DA75" i="35036"/>
  <c r="DA69" i="35036"/>
  <c r="DA81" i="35036"/>
  <c r="DA27" i="35036"/>
  <c r="DA22" i="35036"/>
  <c r="DA56" i="35036"/>
  <c r="DA18" i="35036"/>
  <c r="DA23" i="35036"/>
  <c r="DA74" i="35036"/>
  <c r="DA38" i="35036"/>
  <c r="DA76" i="35036"/>
  <c r="DA80" i="35036"/>
  <c r="DA44" i="35036"/>
  <c r="DA55" i="35036"/>
  <c r="DA47" i="35036"/>
  <c r="DA16" i="35036"/>
  <c r="DA33" i="35036"/>
  <c r="DA11" i="35036"/>
  <c r="G30" i="35391" l="1" a="1"/>
  <c r="G30" i="35391" s="1"/>
  <c r="G26" i="35391" a="1"/>
  <c r="G26" i="35391" s="1"/>
  <c r="G34" i="35391" a="1"/>
  <c r="G34" i="35391" s="1"/>
  <c r="G23" i="35391" a="1"/>
  <c r="G23" i="35391" s="1"/>
  <c r="G15" i="35391" a="1"/>
  <c r="G15" i="35391" s="1"/>
  <c r="G32" i="35391" a="1"/>
  <c r="G32" i="35391" s="1"/>
  <c r="G24" i="35391" a="1"/>
  <c r="G24" i="35391" s="1"/>
  <c r="G29" i="35391" a="1"/>
  <c r="G29" i="35391" s="1"/>
  <c r="G35" i="35391" a="1"/>
  <c r="G35" i="35391" s="1"/>
  <c r="G12" i="35391" a="1"/>
  <c r="G12" i="35391" s="1"/>
  <c r="G20" i="35391" a="1"/>
  <c r="G20" i="35391" s="1"/>
  <c r="G18" i="35391" a="1"/>
  <c r="G18" i="35391" s="1"/>
  <c r="G28" i="35391" a="1"/>
  <c r="G28" i="35391" s="1"/>
  <c r="G36" i="35391" a="1"/>
  <c r="G36" i="35391" s="1"/>
  <c r="G21" i="35391" a="1"/>
  <c r="G21" i="35391" s="1"/>
  <c r="G27" i="35391" a="1"/>
  <c r="G27" i="35391" s="1"/>
  <c r="G25" i="35391" a="1"/>
  <c r="G25" i="35391" s="1"/>
  <c r="G33" i="35391" a="1"/>
  <c r="G33" i="35391" s="1"/>
  <c r="G16" i="35391" a="1"/>
  <c r="G16" i="35391" s="1"/>
  <c r="G19" i="35391" a="1"/>
  <c r="G19" i="35391" s="1"/>
  <c r="G22" i="35391" a="1"/>
  <c r="G22" i="35391" s="1"/>
  <c r="G37" i="35391" a="1"/>
  <c r="G37" i="35391" s="1"/>
  <c r="G17" i="35391" a="1"/>
  <c r="G17" i="35391" s="1"/>
  <c r="G13" i="35391" a="1"/>
  <c r="G13" i="35391" s="1"/>
  <c r="G31" i="35391" a="1"/>
  <c r="G31" i="35391" s="1"/>
  <c r="E61" i="35391" a="1"/>
  <c r="E93" i="35391" s="1"/>
  <c r="E108" i="35391" l="1"/>
  <c r="E82" i="35391"/>
  <c r="E127" i="35391"/>
  <c r="E121" i="35391"/>
  <c r="E122" i="35391"/>
  <c r="E87" i="35391"/>
  <c r="E106" i="35391"/>
  <c r="E129" i="35391"/>
  <c r="E130" i="35391"/>
  <c r="E72" i="35391"/>
  <c r="E91" i="35391"/>
  <c r="E102" i="35391"/>
  <c r="E81" i="35391"/>
  <c r="E79" i="35391"/>
  <c r="E112" i="35391"/>
  <c r="E109" i="35391"/>
  <c r="E95" i="35391"/>
  <c r="E125" i="35391"/>
  <c r="E105" i="35391"/>
  <c r="E63" i="35391"/>
  <c r="E116" i="35391"/>
  <c r="E92" i="35391"/>
  <c r="E118" i="35391"/>
  <c r="E66" i="35391"/>
  <c r="E61" i="35391"/>
  <c r="E96" i="35391"/>
  <c r="E89" i="35391"/>
  <c r="E84" i="35391"/>
  <c r="E104" i="35391"/>
  <c r="E134" i="35391"/>
  <c r="E111" i="35391"/>
  <c r="E119" i="35391"/>
  <c r="E80" i="35391"/>
  <c r="E128" i="35391"/>
  <c r="E62" i="35391"/>
  <c r="E103" i="35391"/>
  <c r="E114" i="35391"/>
  <c r="E65" i="35391"/>
  <c r="E90" i="35391"/>
  <c r="E86" i="35391"/>
  <c r="E75" i="35391"/>
  <c r="E113" i="35391"/>
  <c r="E124" i="35391"/>
  <c r="E85" i="35391"/>
  <c r="E117" i="35391"/>
  <c r="E74" i="35391"/>
  <c r="E88" i="35391"/>
  <c r="E123" i="35391"/>
  <c r="E131" i="35391"/>
  <c r="E69" i="35391"/>
  <c r="E64" i="35391"/>
  <c r="E120" i="35391"/>
  <c r="E110" i="35391"/>
  <c r="E107" i="35391"/>
  <c r="E101" i="35391"/>
  <c r="E100" i="35391"/>
  <c r="E133" i="35391"/>
  <c r="E135" i="35391"/>
  <c r="E78" i="35391"/>
  <c r="E70" i="35391"/>
  <c r="E99" i="35391"/>
  <c r="E77" i="35391"/>
  <c r="E67" i="35391"/>
  <c r="E71" i="35391"/>
  <c r="E98" i="35391"/>
  <c r="E132" i="35391"/>
  <c r="E73" i="35391"/>
  <c r="E115" i="35391"/>
  <c r="E94" i="35391"/>
  <c r="E126" i="35391"/>
  <c r="E83" i="35391"/>
  <c r="E68" i="35391"/>
  <c r="E97" i="35391"/>
  <c r="E76" i="35391"/>
  <c r="E38" i="35391" l="1" a="1"/>
  <c r="E38" i="35391" s="1"/>
  <c r="E39" i="35391" a="1"/>
  <c r="E39" i="35391" s="1"/>
  <c r="E44" i="35391" s="1"/>
  <c r="E14" i="35391" l="1" a="1"/>
  <c r="E14" i="35391" s="1"/>
  <c r="E17" i="35391" a="1"/>
  <c r="E17" i="35391" s="1"/>
  <c r="E28" i="35391" a="1"/>
  <c r="E28" i="35391" s="1"/>
  <c r="E34" i="35391" a="1"/>
  <c r="E34" i="35391" s="1"/>
  <c r="E18" i="35391" a="1"/>
  <c r="E18" i="35391" s="1"/>
  <c r="E33" i="35391" a="1"/>
  <c r="E33" i="35391" s="1"/>
  <c r="E29" i="35391" a="1"/>
  <c r="E29" i="35391" s="1"/>
  <c r="E31" i="35391" a="1"/>
  <c r="E31" i="35391" s="1"/>
  <c r="E12" i="35391" a="1"/>
  <c r="E12" i="35391" s="1"/>
  <c r="E22" i="35391" a="1"/>
  <c r="E22" i="35391" s="1"/>
  <c r="E26" i="35391" a="1"/>
  <c r="E26" i="35391" s="1"/>
  <c r="E35" i="35391" a="1"/>
  <c r="E35" i="35391" s="1"/>
  <c r="E23" i="35391" a="1"/>
  <c r="E23" i="35391" s="1"/>
  <c r="E37" i="35391" a="1"/>
  <c r="E37" i="35391" s="1"/>
  <c r="E15" i="35391" a="1"/>
  <c r="E15" i="35391" s="1"/>
  <c r="E24" i="35391" a="1"/>
  <c r="E24" i="35391" s="1"/>
  <c r="E36" i="35391" a="1"/>
  <c r="E36" i="35391" s="1"/>
  <c r="E27" i="35391" a="1"/>
  <c r="E27" i="35391" s="1"/>
  <c r="E21" i="35391" a="1"/>
  <c r="E21" i="35391" s="1"/>
  <c r="E13" i="35391" a="1"/>
  <c r="E13" i="35391" s="1"/>
  <c r="E16" i="35391" a="1"/>
  <c r="E16" i="35391" s="1"/>
  <c r="E30" i="35391" a="1"/>
  <c r="E30" i="35391" s="1"/>
  <c r="E19" i="35391" a="1"/>
  <c r="E19" i="35391" s="1"/>
  <c r="E25" i="35391" a="1"/>
  <c r="E25" i="35391" s="1"/>
  <c r="E32" i="35391" a="1"/>
  <c r="E32" i="35391" s="1"/>
  <c r="E20" i="35391" a="1"/>
  <c r="E20" i="35391" s="1"/>
  <c r="K38" i="34908" l="1" a="1"/>
  <c r="K41" i="34908"/>
  <c r="M41" i="34908" s="1"/>
  <c r="K39" i="34908"/>
  <c r="M39" i="34908" s="1"/>
  <c r="Q11" i="34999" l="1"/>
  <c r="R11" i="34999" s="1"/>
  <c r="I11" i="34999" s="1"/>
  <c r="K11" i="34999" s="1"/>
  <c r="I10" i="34999"/>
  <c r="Q12" i="34999"/>
  <c r="R12" i="34999" s="1"/>
  <c r="I12" i="34999" s="1"/>
  <c r="K12" i="34999" s="1"/>
  <c r="L19" i="35391" a="1"/>
  <c r="L19" i="35391" s="1"/>
  <c r="H10" i="34993" a="1"/>
  <c r="H21" i="34993" s="1"/>
  <c r="C10" i="35015" l="1" a="1"/>
  <c r="H10" i="35015" s="1"/>
  <c r="K10" i="34999"/>
  <c r="K10" i="35015" s="1"/>
  <c r="F10" i="35015"/>
  <c r="F11" i="35015" s="1"/>
  <c r="F12" i="35015" s="1"/>
  <c r="F13" i="35015" s="1"/>
  <c r="F14" i="35015" s="1"/>
  <c r="F15" i="35015" s="1"/>
  <c r="D10" i="35015"/>
  <c r="D11" i="35015" s="1"/>
  <c r="D12" i="35015" s="1"/>
  <c r="D13" i="35015" s="1"/>
  <c r="D14" i="35015" s="1"/>
  <c r="D15" i="35015" s="1"/>
  <c r="G10" i="35015"/>
  <c r="G11" i="35015" s="1"/>
  <c r="G12" i="35015" s="1"/>
  <c r="G13" i="35015" s="1"/>
  <c r="G14" i="35015" s="1"/>
  <c r="G15" i="35015" s="1"/>
  <c r="L10" i="35015"/>
  <c r="L11" i="35015" s="1"/>
  <c r="L12" i="35015" s="1"/>
  <c r="L13" i="35015" s="1"/>
  <c r="L14" i="35015" s="1"/>
  <c r="L15" i="35015" s="1"/>
  <c r="J10" i="35015"/>
  <c r="E10" i="35015"/>
  <c r="E11" i="35015" s="1"/>
  <c r="E12" i="35015" s="1"/>
  <c r="E13" i="35015" s="1"/>
  <c r="E14" i="35015" s="1"/>
  <c r="E15" i="35015" s="1"/>
  <c r="C10" i="35015"/>
  <c r="C11" i="35015" s="1"/>
  <c r="C12" i="35015" s="1"/>
  <c r="C13" i="35015" s="1"/>
  <c r="C14" i="35015" s="1"/>
  <c r="C15" i="35015" s="1"/>
  <c r="H40" i="34993"/>
  <c r="H66" i="34993"/>
  <c r="H17" i="34993"/>
  <c r="H82" i="34993"/>
  <c r="H64" i="34993"/>
  <c r="H59" i="34993"/>
  <c r="H72" i="34993"/>
  <c r="H46" i="34993"/>
  <c r="H50" i="34993"/>
  <c r="H42" i="34993"/>
  <c r="H70" i="34993"/>
  <c r="H34" i="34993"/>
  <c r="H43" i="34993"/>
  <c r="H77" i="34993"/>
  <c r="H56" i="34993"/>
  <c r="H20" i="34993"/>
  <c r="H45" i="34993"/>
  <c r="H57" i="34993"/>
  <c r="H60" i="34993"/>
  <c r="H49" i="34993"/>
  <c r="H53" i="34993"/>
  <c r="H31" i="34993"/>
  <c r="H41" i="34993"/>
  <c r="H62" i="34993"/>
  <c r="H76" i="34993"/>
  <c r="H15" i="34993"/>
  <c r="H44" i="34993"/>
  <c r="H84" i="34993"/>
  <c r="H69" i="34993"/>
  <c r="H81" i="34993"/>
  <c r="H24" i="34993"/>
  <c r="H80" i="34993"/>
  <c r="H10" i="34993"/>
  <c r="H65" i="34993"/>
  <c r="H51" i="34993"/>
  <c r="H39" i="34993"/>
  <c r="H23" i="34993"/>
  <c r="H37" i="34993"/>
  <c r="H13" i="34993"/>
  <c r="H79" i="34993"/>
  <c r="H16" i="34993"/>
  <c r="H33" i="34993"/>
  <c r="H67" i="34993"/>
  <c r="H28" i="34993"/>
  <c r="H74" i="34993"/>
  <c r="H48" i="34993"/>
  <c r="H47" i="34993"/>
  <c r="H30" i="34993"/>
  <c r="H61" i="34993"/>
  <c r="H27" i="34993"/>
  <c r="H18" i="34993"/>
  <c r="H12" i="34993"/>
  <c r="H26" i="34993"/>
  <c r="H83" i="34993"/>
  <c r="H68" i="34993"/>
  <c r="H29" i="34993"/>
  <c r="H19" i="34993"/>
  <c r="H55" i="34993"/>
  <c r="H63" i="34993"/>
  <c r="H14" i="34993"/>
  <c r="H32" i="34993"/>
  <c r="H22" i="34993"/>
  <c r="H71" i="34993"/>
  <c r="H54" i="34993"/>
  <c r="H36" i="34993"/>
  <c r="H35" i="34993"/>
  <c r="H73" i="34993"/>
  <c r="H58" i="34993"/>
  <c r="H25" i="34993"/>
  <c r="H52" i="34993"/>
  <c r="H78" i="34993"/>
  <c r="H11" i="34993"/>
  <c r="H11" i="35015" s="1"/>
  <c r="H75" i="34993"/>
  <c r="H38" i="34993"/>
  <c r="I10" i="35015"/>
  <c r="C16" i="35015" l="1"/>
  <c r="C17" i="35015" s="1"/>
  <c r="C18" i="35015" s="1"/>
  <c r="C19" i="35015" s="1"/>
  <c r="C20" i="35015" s="1"/>
  <c r="C21" i="35015" s="1"/>
  <c r="C22" i="35015" s="1"/>
  <c r="C23" i="35015" s="1"/>
  <c r="C24" i="35015" s="1"/>
  <c r="C25" i="35015" s="1"/>
  <c r="C26" i="35015" s="1"/>
  <c r="C27" i="35015" s="1"/>
  <c r="C28" i="35015" s="1"/>
  <c r="C29" i="35015" s="1"/>
  <c r="C30" i="35015" s="1"/>
  <c r="C31" i="35015" s="1"/>
  <c r="C32" i="35015" s="1"/>
  <c r="C33" i="35015" s="1"/>
  <c r="C34" i="35015" s="1"/>
  <c r="C35" i="35015" s="1"/>
  <c r="C36" i="35015" s="1"/>
  <c r="C37" i="35015" s="1"/>
  <c r="C38" i="35015" s="1"/>
  <c r="C39" i="35015" s="1"/>
  <c r="C40" i="35015" s="1"/>
  <c r="C41" i="35015" s="1"/>
  <c r="C42" i="35015" s="1"/>
  <c r="C43" i="35015" s="1"/>
  <c r="C44" i="35015" s="1"/>
  <c r="C45" i="35015" s="1"/>
  <c r="C46" i="35015" s="1"/>
  <c r="C47" i="35015" s="1"/>
  <c r="C48" i="35015" s="1"/>
  <c r="C49" i="35015" s="1"/>
  <c r="C50" i="35015" s="1"/>
  <c r="C51" i="35015" s="1"/>
  <c r="C52" i="35015" s="1"/>
  <c r="C53" i="35015" s="1"/>
  <c r="C54" i="35015" s="1"/>
  <c r="C55" i="35015" s="1"/>
  <c r="C56" i="35015" s="1"/>
  <c r="C57" i="35015" s="1"/>
  <c r="C58" i="35015" s="1"/>
  <c r="C59" i="35015" s="1"/>
  <c r="C60" i="35015" s="1"/>
  <c r="C61" i="35015" s="1"/>
  <c r="C62" i="35015" s="1"/>
  <c r="C63" i="35015" s="1"/>
  <c r="C64" i="35015" s="1"/>
  <c r="C65" i="35015" s="1"/>
  <c r="C66" i="35015" s="1"/>
  <c r="C67" i="35015" s="1"/>
  <c r="C68" i="35015" s="1"/>
  <c r="C69" i="35015" s="1"/>
  <c r="C70" i="35015" s="1"/>
  <c r="C71" i="35015" s="1"/>
  <c r="C72" i="35015" s="1"/>
  <c r="C73" i="35015" s="1"/>
  <c r="C74" i="35015" s="1"/>
  <c r="C75" i="35015" s="1"/>
  <c r="C76" i="35015" s="1"/>
  <c r="C77" i="35015" s="1"/>
  <c r="C78" i="35015" s="1"/>
  <c r="C79" i="35015" s="1"/>
  <c r="C80" i="35015" s="1"/>
  <c r="C81" i="35015" s="1"/>
  <c r="C82" i="35015" s="1"/>
  <c r="C83" i="35015" s="1"/>
  <c r="C84" i="35015" s="1"/>
  <c r="E16" i="35015"/>
  <c r="E17" i="35015" s="1"/>
  <c r="E18" i="35015" s="1"/>
  <c r="E19" i="35015" s="1"/>
  <c r="E20" i="35015" s="1"/>
  <c r="E21" i="35015" s="1"/>
  <c r="E22" i="35015" s="1"/>
  <c r="E23" i="35015" s="1"/>
  <c r="E24" i="35015" s="1"/>
  <c r="E25" i="35015" s="1"/>
  <c r="E26" i="35015" s="1"/>
  <c r="E27" i="35015" s="1"/>
  <c r="E28" i="35015" s="1"/>
  <c r="E29" i="35015" s="1"/>
  <c r="E30" i="35015" s="1"/>
  <c r="E31" i="35015" s="1"/>
  <c r="E32" i="35015" s="1"/>
  <c r="E33" i="35015" s="1"/>
  <c r="E34" i="35015" s="1"/>
  <c r="E35" i="35015" s="1"/>
  <c r="E36" i="35015" s="1"/>
  <c r="E37" i="35015" s="1"/>
  <c r="E38" i="35015" s="1"/>
  <c r="E39" i="35015" s="1"/>
  <c r="E40" i="35015" s="1"/>
  <c r="E41" i="35015" s="1"/>
  <c r="E42" i="35015" s="1"/>
  <c r="E43" i="35015" s="1"/>
  <c r="E44" i="35015" s="1"/>
  <c r="E45" i="35015" s="1"/>
  <c r="E46" i="35015" s="1"/>
  <c r="E47" i="35015" s="1"/>
  <c r="E48" i="35015" s="1"/>
  <c r="E49" i="35015" s="1"/>
  <c r="E50" i="35015" s="1"/>
  <c r="E51" i="35015" s="1"/>
  <c r="E52" i="35015" s="1"/>
  <c r="E53" i="35015" s="1"/>
  <c r="E54" i="35015" s="1"/>
  <c r="E55" i="35015" s="1"/>
  <c r="E56" i="35015" s="1"/>
  <c r="E57" i="35015" s="1"/>
  <c r="E58" i="35015" s="1"/>
  <c r="E59" i="35015" s="1"/>
  <c r="E60" i="35015" s="1"/>
  <c r="E61" i="35015" s="1"/>
  <c r="E62" i="35015" s="1"/>
  <c r="E63" i="35015" s="1"/>
  <c r="E64" i="35015" s="1"/>
  <c r="E65" i="35015" s="1"/>
  <c r="E66" i="35015" s="1"/>
  <c r="E67" i="35015" s="1"/>
  <c r="E68" i="35015" s="1"/>
  <c r="E69" i="35015" s="1"/>
  <c r="E70" i="35015" s="1"/>
  <c r="E71" i="35015" s="1"/>
  <c r="E72" i="35015" s="1"/>
  <c r="E73" i="35015" s="1"/>
  <c r="E74" i="35015" s="1"/>
  <c r="E75" i="35015" s="1"/>
  <c r="E76" i="35015" s="1"/>
  <c r="E77" i="35015" s="1"/>
  <c r="E78" i="35015" s="1"/>
  <c r="E79" i="35015" s="1"/>
  <c r="E80" i="35015" s="1"/>
  <c r="E81" i="35015" s="1"/>
  <c r="E82" i="35015" s="1"/>
  <c r="E83" i="35015" s="1"/>
  <c r="E84" i="35015" s="1"/>
  <c r="L16" i="35015"/>
  <c r="L17" i="35015" s="1"/>
  <c r="L18" i="35015" s="1"/>
  <c r="L19" i="35015" s="1"/>
  <c r="L20" i="35015" s="1"/>
  <c r="L21" i="35015" s="1"/>
  <c r="L22" i="35015" s="1"/>
  <c r="L23" i="35015" s="1"/>
  <c r="L24" i="35015" s="1"/>
  <c r="L25" i="35015" s="1"/>
  <c r="L26" i="35015" s="1"/>
  <c r="L27" i="35015" s="1"/>
  <c r="L28" i="35015" s="1"/>
  <c r="L29" i="35015" s="1"/>
  <c r="L30" i="35015" s="1"/>
  <c r="L31" i="35015" s="1"/>
  <c r="L32" i="35015" s="1"/>
  <c r="L33" i="35015" s="1"/>
  <c r="L34" i="35015" s="1"/>
  <c r="L35" i="35015" s="1"/>
  <c r="L36" i="35015" s="1"/>
  <c r="L37" i="35015" s="1"/>
  <c r="L38" i="35015" s="1"/>
  <c r="L39" i="35015" s="1"/>
  <c r="L40" i="35015" s="1"/>
  <c r="L41" i="35015" s="1"/>
  <c r="L42" i="35015" s="1"/>
  <c r="L43" i="35015" s="1"/>
  <c r="L44" i="35015" s="1"/>
  <c r="L45" i="35015" s="1"/>
  <c r="L46" i="35015" s="1"/>
  <c r="L47" i="35015" s="1"/>
  <c r="L48" i="35015" s="1"/>
  <c r="L49" i="35015" s="1"/>
  <c r="L50" i="35015" s="1"/>
  <c r="L51" i="35015" s="1"/>
  <c r="L52" i="35015" s="1"/>
  <c r="L53" i="35015" s="1"/>
  <c r="L54" i="35015" s="1"/>
  <c r="L55" i="35015" s="1"/>
  <c r="L56" i="35015" s="1"/>
  <c r="L57" i="35015" s="1"/>
  <c r="L58" i="35015" s="1"/>
  <c r="L59" i="35015" s="1"/>
  <c r="L60" i="35015" s="1"/>
  <c r="L61" i="35015" s="1"/>
  <c r="L62" i="35015" s="1"/>
  <c r="L63" i="35015" s="1"/>
  <c r="L64" i="35015" s="1"/>
  <c r="L65" i="35015" s="1"/>
  <c r="L66" i="35015" s="1"/>
  <c r="L67" i="35015" s="1"/>
  <c r="L68" i="35015" s="1"/>
  <c r="L69" i="35015" s="1"/>
  <c r="L70" i="35015" s="1"/>
  <c r="L71" i="35015" s="1"/>
  <c r="L72" i="35015" s="1"/>
  <c r="L73" i="35015" s="1"/>
  <c r="L74" i="35015" s="1"/>
  <c r="L75" i="35015" s="1"/>
  <c r="L76" i="35015" s="1"/>
  <c r="L77" i="35015" s="1"/>
  <c r="L78" i="35015" s="1"/>
  <c r="L79" i="35015" s="1"/>
  <c r="L80" i="35015" s="1"/>
  <c r="L81" i="35015" s="1"/>
  <c r="L82" i="35015" s="1"/>
  <c r="L83" i="35015" s="1"/>
  <c r="L84" i="35015" s="1"/>
  <c r="G16" i="35015"/>
  <c r="G17" i="35015" s="1"/>
  <c r="G18" i="35015" s="1"/>
  <c r="G19" i="35015" s="1"/>
  <c r="G20" i="35015" s="1"/>
  <c r="G21" i="35015" s="1"/>
  <c r="G22" i="35015" s="1"/>
  <c r="G23" i="35015" s="1"/>
  <c r="G24" i="35015" s="1"/>
  <c r="G25" i="35015" s="1"/>
  <c r="G26" i="35015" s="1"/>
  <c r="G27" i="35015" s="1"/>
  <c r="G28" i="35015" s="1"/>
  <c r="G29" i="35015" s="1"/>
  <c r="G30" i="35015" s="1"/>
  <c r="G31" i="35015" s="1"/>
  <c r="G32" i="35015" s="1"/>
  <c r="G33" i="35015" s="1"/>
  <c r="G34" i="35015" s="1"/>
  <c r="G35" i="35015" s="1"/>
  <c r="G36" i="35015" s="1"/>
  <c r="G37" i="35015" s="1"/>
  <c r="G38" i="35015" s="1"/>
  <c r="G39" i="35015" s="1"/>
  <c r="G40" i="35015" s="1"/>
  <c r="G41" i="35015" s="1"/>
  <c r="G42" i="35015" s="1"/>
  <c r="G43" i="35015" s="1"/>
  <c r="G44" i="35015" s="1"/>
  <c r="G45" i="35015" s="1"/>
  <c r="G46" i="35015" s="1"/>
  <c r="G47" i="35015" s="1"/>
  <c r="G48" i="35015" s="1"/>
  <c r="G49" i="35015" s="1"/>
  <c r="G50" i="35015" s="1"/>
  <c r="G51" i="35015" s="1"/>
  <c r="G52" i="35015" s="1"/>
  <c r="G53" i="35015" s="1"/>
  <c r="G54" i="35015" s="1"/>
  <c r="G55" i="35015" s="1"/>
  <c r="G56" i="35015" s="1"/>
  <c r="G57" i="35015" s="1"/>
  <c r="G58" i="35015" s="1"/>
  <c r="G59" i="35015" s="1"/>
  <c r="G60" i="35015" s="1"/>
  <c r="G61" i="35015" s="1"/>
  <c r="G62" i="35015" s="1"/>
  <c r="G63" i="35015" s="1"/>
  <c r="G64" i="35015" s="1"/>
  <c r="G65" i="35015" s="1"/>
  <c r="G66" i="35015" s="1"/>
  <c r="G67" i="35015" s="1"/>
  <c r="G68" i="35015" s="1"/>
  <c r="G69" i="35015" s="1"/>
  <c r="G70" i="35015" s="1"/>
  <c r="G71" i="35015" s="1"/>
  <c r="G72" i="35015" s="1"/>
  <c r="G73" i="35015" s="1"/>
  <c r="G74" i="35015" s="1"/>
  <c r="G75" i="35015" s="1"/>
  <c r="G76" i="35015" s="1"/>
  <c r="G77" i="35015" s="1"/>
  <c r="G78" i="35015" s="1"/>
  <c r="G79" i="35015" s="1"/>
  <c r="G80" i="35015" s="1"/>
  <c r="G81" i="35015" s="1"/>
  <c r="G82" i="35015" s="1"/>
  <c r="G83" i="35015" s="1"/>
  <c r="G84" i="35015" s="1"/>
  <c r="D16" i="35015"/>
  <c r="D17" i="35015" s="1"/>
  <c r="D18" i="35015" s="1"/>
  <c r="D19" i="35015" s="1"/>
  <c r="D20" i="35015" s="1"/>
  <c r="D21" i="35015" s="1"/>
  <c r="D22" i="35015" s="1"/>
  <c r="D23" i="35015" s="1"/>
  <c r="D24" i="35015" s="1"/>
  <c r="D25" i="35015" s="1"/>
  <c r="D26" i="35015" s="1"/>
  <c r="D27" i="35015" s="1"/>
  <c r="D28" i="35015" s="1"/>
  <c r="D29" i="35015" s="1"/>
  <c r="D30" i="35015" s="1"/>
  <c r="D31" i="35015" s="1"/>
  <c r="D32" i="35015" s="1"/>
  <c r="D33" i="35015" s="1"/>
  <c r="D34" i="35015" s="1"/>
  <c r="D35" i="35015" s="1"/>
  <c r="D36" i="35015" s="1"/>
  <c r="D37" i="35015" s="1"/>
  <c r="D38" i="35015" s="1"/>
  <c r="D39" i="35015" s="1"/>
  <c r="D40" i="35015" s="1"/>
  <c r="D41" i="35015" s="1"/>
  <c r="D42" i="35015" s="1"/>
  <c r="D43" i="35015" s="1"/>
  <c r="D44" i="35015" s="1"/>
  <c r="D45" i="35015" s="1"/>
  <c r="D46" i="35015" s="1"/>
  <c r="D47" i="35015" s="1"/>
  <c r="D48" i="35015" s="1"/>
  <c r="D49" i="35015" s="1"/>
  <c r="D50" i="35015" s="1"/>
  <c r="D51" i="35015" s="1"/>
  <c r="D52" i="35015" s="1"/>
  <c r="D53" i="35015" s="1"/>
  <c r="D54" i="35015" s="1"/>
  <c r="D55" i="35015" s="1"/>
  <c r="D56" i="35015" s="1"/>
  <c r="D57" i="35015" s="1"/>
  <c r="D58" i="35015" s="1"/>
  <c r="D59" i="35015" s="1"/>
  <c r="D60" i="35015" s="1"/>
  <c r="D61" i="35015" s="1"/>
  <c r="D62" i="35015" s="1"/>
  <c r="D63" i="35015" s="1"/>
  <c r="D64" i="35015" s="1"/>
  <c r="D65" i="35015" s="1"/>
  <c r="D66" i="35015" s="1"/>
  <c r="D67" i="35015" s="1"/>
  <c r="D68" i="35015" s="1"/>
  <c r="D69" i="35015" s="1"/>
  <c r="D70" i="35015" s="1"/>
  <c r="D71" i="35015" s="1"/>
  <c r="D72" i="35015" s="1"/>
  <c r="D73" i="35015" s="1"/>
  <c r="D74" i="35015" s="1"/>
  <c r="D75" i="35015" s="1"/>
  <c r="D76" i="35015" s="1"/>
  <c r="D77" i="35015" s="1"/>
  <c r="D78" i="35015" s="1"/>
  <c r="D79" i="35015" s="1"/>
  <c r="D80" i="35015" s="1"/>
  <c r="D81" i="35015" s="1"/>
  <c r="D82" i="35015" s="1"/>
  <c r="D83" i="35015" s="1"/>
  <c r="D84" i="35015" s="1"/>
  <c r="F16" i="35015"/>
  <c r="F17" i="35015" s="1"/>
  <c r="F18" i="35015" s="1"/>
  <c r="F19" i="35015" s="1"/>
  <c r="F20" i="35015" s="1"/>
  <c r="F21" i="35015" s="1"/>
  <c r="F22" i="35015" s="1"/>
  <c r="F23" i="35015" s="1"/>
  <c r="F24" i="35015" s="1"/>
  <c r="F25" i="35015" s="1"/>
  <c r="F26" i="35015" s="1"/>
  <c r="F27" i="35015" s="1"/>
  <c r="F28" i="35015" s="1"/>
  <c r="F29" i="35015" s="1"/>
  <c r="F30" i="35015" s="1"/>
  <c r="F31" i="35015" s="1"/>
  <c r="F32" i="35015" s="1"/>
  <c r="F33" i="35015" s="1"/>
  <c r="F34" i="35015" s="1"/>
  <c r="F35" i="35015" s="1"/>
  <c r="F36" i="35015" s="1"/>
  <c r="F37" i="35015" s="1"/>
  <c r="F38" i="35015" s="1"/>
  <c r="F39" i="35015" s="1"/>
  <c r="F40" i="35015" s="1"/>
  <c r="F41" i="35015" s="1"/>
  <c r="F42" i="35015" s="1"/>
  <c r="F43" i="35015" s="1"/>
  <c r="F44" i="35015" s="1"/>
  <c r="F45" i="35015" s="1"/>
  <c r="F46" i="35015" s="1"/>
  <c r="F47" i="35015" s="1"/>
  <c r="F48" i="35015" s="1"/>
  <c r="F49" i="35015" s="1"/>
  <c r="F50" i="35015" s="1"/>
  <c r="F51" i="35015" s="1"/>
  <c r="F52" i="35015" s="1"/>
  <c r="F53" i="35015" s="1"/>
  <c r="F54" i="35015" s="1"/>
  <c r="F55" i="35015" s="1"/>
  <c r="F56" i="35015" s="1"/>
  <c r="F57" i="35015" s="1"/>
  <c r="F58" i="35015" s="1"/>
  <c r="F59" i="35015" s="1"/>
  <c r="F60" i="35015" s="1"/>
  <c r="F61" i="35015" s="1"/>
  <c r="F62" i="35015" s="1"/>
  <c r="F63" i="35015" s="1"/>
  <c r="F64" i="35015" s="1"/>
  <c r="F65" i="35015" s="1"/>
  <c r="F66" i="35015" s="1"/>
  <c r="F67" i="35015" s="1"/>
  <c r="F68" i="35015" s="1"/>
  <c r="F69" i="35015" s="1"/>
  <c r="F70" i="35015" s="1"/>
  <c r="F71" i="35015" s="1"/>
  <c r="F72" i="35015" s="1"/>
  <c r="F73" i="35015" s="1"/>
  <c r="F74" i="35015" s="1"/>
  <c r="F75" i="35015" s="1"/>
  <c r="F76" i="35015" s="1"/>
  <c r="F77" i="35015" s="1"/>
  <c r="F78" i="35015" s="1"/>
  <c r="F79" i="35015" s="1"/>
  <c r="F80" i="35015" s="1"/>
  <c r="F81" i="35015" s="1"/>
  <c r="F82" i="35015" s="1"/>
  <c r="F83" i="35015" s="1"/>
  <c r="F84" i="35015" s="1"/>
  <c r="H12" i="35015"/>
  <c r="H13" i="35015" s="1"/>
  <c r="L15" i="34908" l="1" a="1"/>
  <c r="L15" i="34908" s="1"/>
  <c r="M15" i="34908" s="1"/>
  <c r="N15" i="34908" s="1"/>
  <c r="M17" i="35391" a="1"/>
  <c r="M17" i="35391" s="1"/>
  <c r="N17" i="35391" s="1"/>
  <c r="O17" i="35391" s="1"/>
  <c r="L13" i="34908" a="1"/>
  <c r="L13" i="34908" s="1"/>
  <c r="M13" i="34908" s="1"/>
  <c r="N13" i="34908" s="1"/>
  <c r="L14" i="34908" a="1"/>
  <c r="L14" i="34908" s="1"/>
  <c r="M14" i="34908" s="1"/>
  <c r="N14" i="34908" s="1"/>
  <c r="M13" i="35391"/>
  <c r="N13" i="35391" s="1"/>
  <c r="O13" i="35391" s="1"/>
  <c r="M15" i="35391" a="1"/>
  <c r="M15" i="35391" s="1"/>
  <c r="N15" i="35391" s="1"/>
  <c r="O15" i="35391" s="1"/>
  <c r="M14" i="35391"/>
  <c r="N14" i="35391" s="1"/>
  <c r="O14" i="35391" s="1"/>
  <c r="M18" i="35391" a="1"/>
  <c r="M18" i="35391" s="1"/>
  <c r="N18" i="35391" s="1"/>
  <c r="O18" i="35391" s="1"/>
  <c r="C6" i="35062" a="1"/>
  <c r="F6" i="35062" a="1"/>
  <c r="H6" i="35062" a="1"/>
  <c r="H75" i="35062" s="1"/>
  <c r="H14" i="35015"/>
  <c r="H15" i="35015" s="1"/>
  <c r="M12" i="35391" l="1"/>
  <c r="C8" i="35399" s="1"/>
  <c r="M16" i="35391"/>
  <c r="N16" i="35391" s="1"/>
  <c r="M23" i="35391"/>
  <c r="N23" i="35391" s="1"/>
  <c r="O23" i="35391" s="1"/>
  <c r="C78" i="35062"/>
  <c r="C76" i="35062"/>
  <c r="C77" i="35062"/>
  <c r="C6" i="35062"/>
  <c r="C7" i="35062"/>
  <c r="C8" i="35062"/>
  <c r="C9" i="35062"/>
  <c r="C10" i="35062"/>
  <c r="C11" i="35062"/>
  <c r="C12" i="35062"/>
  <c r="C13" i="35062"/>
  <c r="C14" i="35062"/>
  <c r="C15" i="35062"/>
  <c r="C16" i="35062"/>
  <c r="C17" i="35062"/>
  <c r="C18" i="35062"/>
  <c r="C19" i="35062"/>
  <c r="C20" i="35062"/>
  <c r="C21" i="35062"/>
  <c r="C22" i="35062"/>
  <c r="C23" i="35062"/>
  <c r="C24" i="35062"/>
  <c r="C25" i="35062"/>
  <c r="C26" i="35062"/>
  <c r="C27" i="35062"/>
  <c r="C28" i="35062"/>
  <c r="C29" i="35062"/>
  <c r="C30" i="35062"/>
  <c r="C31" i="35062"/>
  <c r="C32" i="35062"/>
  <c r="C33" i="35062"/>
  <c r="C34" i="35062"/>
  <c r="C35" i="35062"/>
  <c r="C36" i="35062"/>
  <c r="C37" i="35062"/>
  <c r="C38" i="35062"/>
  <c r="C39" i="35062"/>
  <c r="C40" i="35062"/>
  <c r="C41" i="35062"/>
  <c r="C42" i="35062"/>
  <c r="C43" i="35062"/>
  <c r="C44" i="35062"/>
  <c r="C45" i="35062"/>
  <c r="C46" i="35062"/>
  <c r="C47" i="35062"/>
  <c r="C48" i="35062"/>
  <c r="C49" i="35062"/>
  <c r="C50" i="35062"/>
  <c r="C51" i="35062"/>
  <c r="C52" i="35062"/>
  <c r="C53" i="35062"/>
  <c r="C54" i="35062"/>
  <c r="C55" i="35062"/>
  <c r="C56" i="35062"/>
  <c r="C57" i="35062"/>
  <c r="C58" i="35062"/>
  <c r="C59" i="35062"/>
  <c r="C60" i="35062"/>
  <c r="C61" i="35062"/>
  <c r="C62" i="35062"/>
  <c r="C63" i="35062"/>
  <c r="C64" i="35062"/>
  <c r="C65" i="35062"/>
  <c r="C66" i="35062"/>
  <c r="C67" i="35062"/>
  <c r="C68" i="35062"/>
  <c r="C69" i="35062"/>
  <c r="C70" i="35062"/>
  <c r="C71" i="35062"/>
  <c r="C72" i="35062"/>
  <c r="C73" i="35062"/>
  <c r="C74" i="35062"/>
  <c r="F76" i="35062"/>
  <c r="F78" i="35062"/>
  <c r="F77" i="35062"/>
  <c r="F6" i="35062"/>
  <c r="F7" i="35062"/>
  <c r="F8" i="35062"/>
  <c r="F9" i="35062"/>
  <c r="F10" i="35062"/>
  <c r="F11" i="35062"/>
  <c r="F12" i="35062"/>
  <c r="F13" i="35062"/>
  <c r="F14" i="35062"/>
  <c r="F15" i="35062"/>
  <c r="F16" i="35062"/>
  <c r="F17" i="35062"/>
  <c r="F18" i="35062"/>
  <c r="F19" i="35062"/>
  <c r="F20" i="35062"/>
  <c r="F21" i="35062"/>
  <c r="F22" i="35062"/>
  <c r="F23" i="35062"/>
  <c r="F24" i="35062"/>
  <c r="F25" i="35062"/>
  <c r="F26" i="35062"/>
  <c r="F27" i="35062"/>
  <c r="F28" i="35062"/>
  <c r="F29" i="35062"/>
  <c r="F30" i="35062"/>
  <c r="F31" i="35062"/>
  <c r="F32" i="35062"/>
  <c r="F33" i="35062"/>
  <c r="F34" i="35062"/>
  <c r="F35" i="35062"/>
  <c r="F36" i="35062"/>
  <c r="F37" i="35062"/>
  <c r="F38" i="35062"/>
  <c r="F39" i="35062"/>
  <c r="F40" i="35062"/>
  <c r="F41" i="35062"/>
  <c r="F42" i="35062"/>
  <c r="F43" i="35062"/>
  <c r="F44" i="35062"/>
  <c r="F45" i="35062"/>
  <c r="F46" i="35062"/>
  <c r="F47" i="35062"/>
  <c r="F48" i="35062"/>
  <c r="F49" i="35062"/>
  <c r="F50" i="35062"/>
  <c r="F51" i="35062"/>
  <c r="F52" i="35062"/>
  <c r="F53" i="35062"/>
  <c r="F54" i="35062"/>
  <c r="F55" i="35062"/>
  <c r="F56" i="35062"/>
  <c r="F57" i="35062"/>
  <c r="F58" i="35062"/>
  <c r="F59" i="35062"/>
  <c r="F60" i="35062"/>
  <c r="F61" i="35062"/>
  <c r="F62" i="35062"/>
  <c r="F63" i="35062"/>
  <c r="F64" i="35062"/>
  <c r="F65" i="35062"/>
  <c r="F66" i="35062"/>
  <c r="F67" i="35062"/>
  <c r="F68" i="35062"/>
  <c r="F69" i="35062"/>
  <c r="F70" i="35062"/>
  <c r="F71" i="35062"/>
  <c r="F72" i="35062"/>
  <c r="F73" i="35062"/>
  <c r="F74" i="35062"/>
  <c r="F75" i="35062"/>
  <c r="H76" i="35062"/>
  <c r="H77" i="35062"/>
  <c r="H78" i="35062"/>
  <c r="H6" i="35062"/>
  <c r="H7" i="35062"/>
  <c r="H8" i="35062"/>
  <c r="H9" i="35062"/>
  <c r="H10" i="35062"/>
  <c r="H11" i="35062"/>
  <c r="H12" i="35062"/>
  <c r="H13" i="35062"/>
  <c r="H14" i="35062"/>
  <c r="H15" i="35062"/>
  <c r="H16" i="35062"/>
  <c r="H17" i="35062"/>
  <c r="H18" i="35062"/>
  <c r="H19" i="35062"/>
  <c r="H20" i="35062"/>
  <c r="H21" i="35062"/>
  <c r="H22" i="35062"/>
  <c r="H23" i="35062"/>
  <c r="H24" i="35062"/>
  <c r="H25" i="35062"/>
  <c r="H26" i="35062"/>
  <c r="H27" i="35062"/>
  <c r="H28" i="35062"/>
  <c r="H29" i="35062"/>
  <c r="H30" i="35062"/>
  <c r="H31" i="35062"/>
  <c r="H32" i="35062"/>
  <c r="H33" i="35062"/>
  <c r="H34" i="35062"/>
  <c r="H35" i="35062"/>
  <c r="H36" i="35062"/>
  <c r="H37" i="35062"/>
  <c r="H38" i="35062"/>
  <c r="H39" i="35062"/>
  <c r="H40" i="35062"/>
  <c r="H41" i="35062"/>
  <c r="H42" i="35062"/>
  <c r="H43" i="35062"/>
  <c r="H44" i="35062"/>
  <c r="H45" i="35062"/>
  <c r="H46" i="35062"/>
  <c r="H47" i="35062"/>
  <c r="H48" i="35062"/>
  <c r="H49" i="35062"/>
  <c r="H50" i="35062"/>
  <c r="H51" i="35062"/>
  <c r="H52" i="35062"/>
  <c r="H53" i="35062"/>
  <c r="H54" i="35062"/>
  <c r="H55" i="35062"/>
  <c r="H56" i="35062"/>
  <c r="H57" i="35062"/>
  <c r="H58" i="35062"/>
  <c r="H59" i="35062"/>
  <c r="H60" i="35062"/>
  <c r="H61" i="35062"/>
  <c r="H62" i="35062"/>
  <c r="H63" i="35062"/>
  <c r="H64" i="35062"/>
  <c r="H65" i="35062"/>
  <c r="H66" i="35062"/>
  <c r="H67" i="35062"/>
  <c r="H68" i="35062"/>
  <c r="H69" i="35062"/>
  <c r="H70" i="35062"/>
  <c r="H71" i="35062"/>
  <c r="H72" i="35062"/>
  <c r="H73" i="35062"/>
  <c r="H74" i="35062"/>
  <c r="C75" i="35062"/>
  <c r="H16" i="35015"/>
  <c r="C7" i="35399" l="1"/>
  <c r="N12" i="35391"/>
  <c r="R16" i="35391" s="1"/>
  <c r="O16" i="35391"/>
  <c r="R19" i="35391"/>
  <c r="H17" i="35015"/>
  <c r="H18" i="35015" s="1"/>
  <c r="H19" i="35015" s="1"/>
  <c r="H20" i="35015" s="1"/>
  <c r="H21" i="35015" s="1"/>
  <c r="H22" i="35015" s="1"/>
  <c r="H23" i="35015" s="1"/>
  <c r="H24" i="35015" s="1"/>
  <c r="H25" i="35015" s="1"/>
  <c r="H26" i="35015" s="1"/>
  <c r="H27" i="35015" s="1"/>
  <c r="H28" i="35015" s="1"/>
  <c r="H29" i="35015" s="1"/>
  <c r="H30" i="35015" s="1"/>
  <c r="H31" i="35015" s="1"/>
  <c r="H32" i="35015" s="1"/>
  <c r="H33" i="35015" s="1"/>
  <c r="H34" i="35015" s="1"/>
  <c r="H35" i="35015" s="1"/>
  <c r="H36" i="35015" s="1"/>
  <c r="H37" i="35015" s="1"/>
  <c r="H38" i="35015" s="1"/>
  <c r="H39" i="35015" s="1"/>
  <c r="H40" i="35015" s="1"/>
  <c r="H41" i="35015" s="1"/>
  <c r="H42" i="35015" s="1"/>
  <c r="H43" i="35015" s="1"/>
  <c r="H44" i="35015" s="1"/>
  <c r="H45" i="35015" s="1"/>
  <c r="H46" i="35015" s="1"/>
  <c r="H47" i="35015" s="1"/>
  <c r="H48" i="35015" s="1"/>
  <c r="H49" i="35015" s="1"/>
  <c r="H50" i="35015" s="1"/>
  <c r="H51" i="35015" s="1"/>
  <c r="H52" i="35015" s="1"/>
  <c r="H53" i="35015" s="1"/>
  <c r="H54" i="35015" s="1"/>
  <c r="H55" i="35015" s="1"/>
  <c r="H56" i="35015" s="1"/>
  <c r="H57" i="35015" s="1"/>
  <c r="H58" i="35015" s="1"/>
  <c r="H59" i="35015" s="1"/>
  <c r="H60" i="35015" s="1"/>
  <c r="H61" i="35015" s="1"/>
  <c r="H62" i="35015" s="1"/>
  <c r="H63" i="35015" s="1"/>
  <c r="H64" i="35015" s="1"/>
  <c r="H65" i="35015" s="1"/>
  <c r="H66" i="35015" s="1"/>
  <c r="H67" i="35015" s="1"/>
  <c r="H68" i="35015" s="1"/>
  <c r="H69" i="35015" s="1"/>
  <c r="H70" i="35015" s="1"/>
  <c r="H71" i="35015" s="1"/>
  <c r="H72" i="35015" s="1"/>
  <c r="H73" i="35015" s="1"/>
  <c r="H74" i="35015" s="1"/>
  <c r="H75" i="35015" s="1"/>
  <c r="H76" i="35015" s="1"/>
  <c r="H77" i="35015" s="1"/>
  <c r="H78" i="35015" s="1"/>
  <c r="H79" i="35015" s="1"/>
  <c r="H80" i="35015" s="1"/>
  <c r="H81" i="35015" s="1"/>
  <c r="H82" i="35015" s="1"/>
  <c r="H83" i="35015" s="1"/>
  <c r="H84" i="35015" s="1"/>
  <c r="O12" i="35391" l="1"/>
  <c r="M19" i="35391" a="1"/>
  <c r="M19" i="35391" s="1"/>
  <c r="R18" i="35391"/>
  <c r="T18" i="35391" s="1"/>
  <c r="T19" i="35391"/>
  <c r="R15" i="35391"/>
  <c r="T15" i="35391" s="1"/>
  <c r="T16" i="35391"/>
  <c r="N19" i="35391" l="1"/>
  <c r="R25" i="35391" l="1"/>
  <c r="O19" i="35391"/>
  <c r="T25" i="35391" l="1"/>
  <c r="G10" i="34968" a="1"/>
  <c r="E10" i="34968" a="1"/>
  <c r="C10" i="34968" a="1"/>
  <c r="F10" i="34968" a="1"/>
  <c r="D10" i="34968" a="1"/>
  <c r="C39" i="34968" l="1"/>
  <c r="C79" i="34968"/>
  <c r="C47" i="34968"/>
  <c r="C78" i="34968"/>
  <c r="C64" i="34968"/>
  <c r="C14" i="34968"/>
  <c r="C82" i="34968"/>
  <c r="C18" i="34968"/>
  <c r="C51" i="34968"/>
  <c r="C13" i="34968"/>
  <c r="C21" i="34968"/>
  <c r="C53" i="34968"/>
  <c r="C22" i="34968"/>
  <c r="C24" i="34968"/>
  <c r="C38" i="34968"/>
  <c r="C23" i="34968"/>
  <c r="C29" i="34968"/>
  <c r="C81" i="34968"/>
  <c r="C46" i="34968"/>
  <c r="C32" i="34968"/>
  <c r="C62" i="34968"/>
  <c r="C71" i="34968"/>
  <c r="C67" i="34968"/>
  <c r="C74" i="34968"/>
  <c r="C73" i="34968"/>
  <c r="C26" i="34968"/>
  <c r="C11" i="34968"/>
  <c r="C42" i="34968"/>
  <c r="C28" i="34968"/>
  <c r="C49" i="34968"/>
  <c r="C57" i="34968"/>
  <c r="C60" i="34968"/>
  <c r="C40" i="34968"/>
  <c r="C68" i="34968"/>
  <c r="C84" i="34968"/>
  <c r="C70" i="34968"/>
  <c r="C56" i="34968"/>
  <c r="C17" i="34968"/>
  <c r="C12" i="34968"/>
  <c r="C31" i="34968"/>
  <c r="C80" i="34968"/>
  <c r="C75" i="34968"/>
  <c r="C55" i="34968"/>
  <c r="C35" i="34968"/>
  <c r="C66" i="34968"/>
  <c r="C52" i="34968"/>
  <c r="C10" i="34968"/>
  <c r="C77" i="34968"/>
  <c r="C27" i="34968"/>
  <c r="C41" i="34968"/>
  <c r="C63" i="34968"/>
  <c r="C34" i="34968"/>
  <c r="C65" i="34968"/>
  <c r="C54" i="34968"/>
  <c r="C45" i="34968"/>
  <c r="C36" i="34968"/>
  <c r="C15" i="34968"/>
  <c r="C20" i="34968"/>
  <c r="C69" i="34968"/>
  <c r="C59" i="34968"/>
  <c r="C19" i="34968"/>
  <c r="C48" i="34968"/>
  <c r="C50" i="34968"/>
  <c r="C83" i="34968"/>
  <c r="C25" i="34968"/>
  <c r="C72" i="34968"/>
  <c r="C30" i="34968"/>
  <c r="C16" i="34968"/>
  <c r="C37" i="34968"/>
  <c r="C33" i="34968"/>
  <c r="C76" i="34968"/>
  <c r="C43" i="34968"/>
  <c r="C58" i="34968"/>
  <c r="C44" i="34968"/>
  <c r="C61" i="34968"/>
  <c r="D81" i="34968"/>
  <c r="D54" i="34968"/>
  <c r="D51" i="34968"/>
  <c r="D58" i="34968"/>
  <c r="D11" i="34968"/>
  <c r="D65" i="34968"/>
  <c r="D13" i="34968"/>
  <c r="D79" i="34968"/>
  <c r="D14" i="34968"/>
  <c r="D31" i="34968"/>
  <c r="D35" i="34968"/>
  <c r="D47" i="34968"/>
  <c r="D71" i="34968"/>
  <c r="D57" i="34968"/>
  <c r="D37" i="34968"/>
  <c r="D32" i="34968"/>
  <c r="D84" i="34968"/>
  <c r="D26" i="34968"/>
  <c r="D21" i="34968"/>
  <c r="D43" i="34968"/>
  <c r="D12" i="34968"/>
  <c r="D60" i="34968"/>
  <c r="D62" i="34968"/>
  <c r="D76" i="34968"/>
  <c r="D15" i="34968"/>
  <c r="D78" i="34968"/>
  <c r="D75" i="34968"/>
  <c r="D82" i="34968"/>
  <c r="D83" i="34968"/>
  <c r="D64" i="34968"/>
  <c r="D16" i="34968"/>
  <c r="D27" i="34968"/>
  <c r="D41" i="34968"/>
  <c r="D23" i="34968"/>
  <c r="D22" i="34968"/>
  <c r="D56" i="34968"/>
  <c r="D29" i="34968"/>
  <c r="D50" i="34968"/>
  <c r="D45" i="34968"/>
  <c r="D18" i="34968"/>
  <c r="D52" i="34968"/>
  <c r="D42" i="34968"/>
  <c r="D61" i="34968"/>
  <c r="D24" i="34968"/>
  <c r="D28" i="34968"/>
  <c r="D36" i="34968"/>
  <c r="D67" i="34968"/>
  <c r="D20" i="34968"/>
  <c r="D39" i="34968"/>
  <c r="D46" i="34968"/>
  <c r="D80" i="34968"/>
  <c r="D53" i="34968"/>
  <c r="D74" i="34968"/>
  <c r="D68" i="34968"/>
  <c r="D40" i="34968"/>
  <c r="D30" i="34968"/>
  <c r="D48" i="34968"/>
  <c r="D66" i="34968"/>
  <c r="D63" i="34968"/>
  <c r="D70" i="34968"/>
  <c r="D59" i="34968"/>
  <c r="D77" i="34968"/>
  <c r="D69" i="34968"/>
  <c r="D72" i="34968"/>
  <c r="D10" i="34968"/>
  <c r="D44" i="34968"/>
  <c r="D17" i="34968"/>
  <c r="D38" i="34968"/>
  <c r="D33" i="34968"/>
  <c r="D55" i="34968"/>
  <c r="D25" i="34968"/>
  <c r="D49" i="34968"/>
  <c r="D34" i="34968"/>
  <c r="D73" i="34968"/>
  <c r="D19" i="34968"/>
  <c r="E74" i="34968"/>
  <c r="E79" i="34968"/>
  <c r="E45" i="34968"/>
  <c r="E30" i="34968"/>
  <c r="E14" i="34968"/>
  <c r="E83" i="34968"/>
  <c r="E71" i="34968"/>
  <c r="E40" i="34968"/>
  <c r="E25" i="34968"/>
  <c r="E23" i="34968"/>
  <c r="E51" i="34968"/>
  <c r="E22" i="34968"/>
  <c r="E13" i="34968"/>
  <c r="E39" i="34968"/>
  <c r="E68" i="34968"/>
  <c r="E76" i="34968"/>
  <c r="E46" i="34968"/>
  <c r="E29" i="34968"/>
  <c r="E44" i="34968"/>
  <c r="E24" i="34968"/>
  <c r="E69" i="34968"/>
  <c r="E54" i="34968"/>
  <c r="E59" i="34968"/>
  <c r="E80" i="34968"/>
  <c r="E82" i="34968"/>
  <c r="E43" i="34968"/>
  <c r="E64" i="34968"/>
  <c r="E49" i="34968"/>
  <c r="E47" i="34968"/>
  <c r="E84" i="34968"/>
  <c r="E36" i="34968"/>
  <c r="E63" i="34968"/>
  <c r="E56" i="34968"/>
  <c r="E60" i="34968"/>
  <c r="E32" i="34968"/>
  <c r="E70" i="34968"/>
  <c r="E53" i="34968"/>
  <c r="E15" i="34968"/>
  <c r="E48" i="34968"/>
  <c r="E38" i="34968"/>
  <c r="E11" i="34968"/>
  <c r="E78" i="34968"/>
  <c r="E55" i="34968"/>
  <c r="E21" i="34968"/>
  <c r="E61" i="34968"/>
  <c r="E27" i="34968"/>
  <c r="E62" i="34968"/>
  <c r="E67" i="34968"/>
  <c r="E33" i="34968"/>
  <c r="E18" i="34968"/>
  <c r="E73" i="34968"/>
  <c r="E10" i="34968"/>
  <c r="E75" i="34968"/>
  <c r="E77" i="34968"/>
  <c r="E81" i="34968"/>
  <c r="E65" i="34968"/>
  <c r="E34" i="34968"/>
  <c r="E28" i="34968"/>
  <c r="E19" i="34968"/>
  <c r="E17" i="34968"/>
  <c r="E20" i="34968"/>
  <c r="E12" i="34968"/>
  <c r="E57" i="34968"/>
  <c r="E42" i="34968"/>
  <c r="E72" i="34968"/>
  <c r="E66" i="34968"/>
  <c r="E31" i="34968"/>
  <c r="E52" i="34968"/>
  <c r="E37" i="34968"/>
  <c r="E35" i="34968"/>
  <c r="E26" i="34968"/>
  <c r="E50" i="34968"/>
  <c r="E58" i="34968"/>
  <c r="E41" i="34968"/>
  <c r="E16" i="34968"/>
  <c r="F52" i="34968"/>
  <c r="F82" i="34968"/>
  <c r="F14" i="34968"/>
  <c r="F41" i="34968"/>
  <c r="F22" i="34968"/>
  <c r="F30" i="34968"/>
  <c r="F36" i="34968"/>
  <c r="F54" i="34968"/>
  <c r="F60" i="34968"/>
  <c r="F45" i="34968"/>
  <c r="F43" i="34968"/>
  <c r="F63" i="34968"/>
  <c r="F83" i="34968"/>
  <c r="F49" i="34968"/>
  <c r="F39" i="34968"/>
  <c r="F73" i="34968"/>
  <c r="F26" i="34968"/>
  <c r="F23" i="34968"/>
  <c r="F50" i="34968"/>
  <c r="F65" i="34968"/>
  <c r="F56" i="34968"/>
  <c r="F71" i="34968"/>
  <c r="F61" i="34968"/>
  <c r="F32" i="34968"/>
  <c r="F80" i="34968"/>
  <c r="F76" i="34968"/>
  <c r="F84" i="34968"/>
  <c r="F69" i="34968"/>
  <c r="F67" i="34968"/>
  <c r="F16" i="34968"/>
  <c r="F46" i="34968"/>
  <c r="F51" i="34968"/>
  <c r="F74" i="34968"/>
  <c r="F17" i="34968"/>
  <c r="F70" i="34968"/>
  <c r="F78" i="34968"/>
  <c r="F27" i="34968"/>
  <c r="F47" i="34968"/>
  <c r="F20" i="34968"/>
  <c r="F18" i="34968"/>
  <c r="F24" i="34968"/>
  <c r="F33" i="34968"/>
  <c r="F44" i="34968"/>
  <c r="F77" i="34968"/>
  <c r="F58" i="34968"/>
  <c r="F48" i="34968"/>
  <c r="F25" i="34968"/>
  <c r="F29" i="34968"/>
  <c r="F10" i="34968"/>
  <c r="F37" i="34968"/>
  <c r="F62" i="34968"/>
  <c r="F79" i="34968"/>
  <c r="F68" i="34968"/>
  <c r="F21" i="34968"/>
  <c r="F31" i="34968"/>
  <c r="F19" i="34968"/>
  <c r="F13" i="34968"/>
  <c r="F11" i="34968"/>
  <c r="F38" i="34968"/>
  <c r="F53" i="34968"/>
  <c r="F34" i="34968"/>
  <c r="F40" i="34968"/>
  <c r="F35" i="34968"/>
  <c r="F81" i="34968"/>
  <c r="F59" i="34968"/>
  <c r="F64" i="34968"/>
  <c r="F72" i="34968"/>
  <c r="F57" i="34968"/>
  <c r="F55" i="34968"/>
  <c r="F75" i="34968"/>
  <c r="F12" i="34968"/>
  <c r="F42" i="34968"/>
  <c r="F66" i="34968"/>
  <c r="F15" i="34968"/>
  <c r="F28" i="34968"/>
  <c r="G68" i="34968"/>
  <c r="G41" i="34968"/>
  <c r="G61" i="34968"/>
  <c r="G35" i="34968"/>
  <c r="G72" i="34968"/>
  <c r="G36" i="34968"/>
  <c r="G11" i="34968"/>
  <c r="G28" i="34968"/>
  <c r="G57" i="34968"/>
  <c r="G60" i="34968"/>
  <c r="G58" i="34968"/>
  <c r="G43" i="34968"/>
  <c r="G63" i="34968"/>
  <c r="G81" i="34968"/>
  <c r="G50" i="34968"/>
  <c r="G52" i="34968"/>
  <c r="G19" i="34968"/>
  <c r="G74" i="34968"/>
  <c r="G21" i="34968"/>
  <c r="G65" i="34968"/>
  <c r="G14" i="34968"/>
  <c r="G59" i="34968"/>
  <c r="G40" i="34968"/>
  <c r="G26" i="34968"/>
  <c r="G37" i="34968"/>
  <c r="G76" i="34968"/>
  <c r="G25" i="34968"/>
  <c r="G82" i="34968"/>
  <c r="G67" i="34968"/>
  <c r="G16" i="34968"/>
  <c r="G54" i="34968"/>
  <c r="G31" i="34968"/>
  <c r="G78" i="34968"/>
  <c r="G27" i="34968"/>
  <c r="G45" i="34968"/>
  <c r="G18" i="34968"/>
  <c r="G24" i="34968"/>
  <c r="G32" i="34968"/>
  <c r="G33" i="34968"/>
  <c r="G71" i="34968"/>
  <c r="G39" i="34968"/>
  <c r="G12" i="34968"/>
  <c r="G56" i="34968"/>
  <c r="G29" i="34968"/>
  <c r="G49" i="34968"/>
  <c r="G23" i="34968"/>
  <c r="G48" i="34968"/>
  <c r="G38" i="34968"/>
  <c r="G22" i="34968"/>
  <c r="G51" i="34968"/>
  <c r="G83" i="34968"/>
  <c r="G62" i="34968"/>
  <c r="G46" i="34968"/>
  <c r="G69" i="34968"/>
  <c r="G34" i="34968"/>
  <c r="G64" i="34968"/>
  <c r="G80" i="34968"/>
  <c r="G53" i="34968"/>
  <c r="G73" i="34968"/>
  <c r="G47" i="34968"/>
  <c r="G42" i="34968"/>
  <c r="G17" i="34968"/>
  <c r="G30" i="34968"/>
  <c r="G66" i="34968"/>
  <c r="G13" i="34968"/>
  <c r="G70" i="34968"/>
  <c r="G55" i="34968"/>
  <c r="G75" i="34968"/>
  <c r="G20" i="34968"/>
  <c r="G44" i="34968"/>
  <c r="G15" i="34968"/>
  <c r="G77" i="34968"/>
  <c r="G10" i="34968"/>
  <c r="G79" i="34968"/>
  <c r="G84" i="34968"/>
  <c r="DT11" i="35036" l="1" a="1"/>
  <c r="DT12" i="35036" s="1"/>
  <c r="L88" i="35391" a="1"/>
  <c r="L88" i="35391" s="1"/>
  <c r="R10" i="34987" a="1"/>
  <c r="R80" i="34987" s="1"/>
  <c r="FD11" i="35036" a="1"/>
  <c r="L90" i="35391" a="1"/>
  <c r="L90" i="35391" s="1"/>
  <c r="L89" i="35391" a="1"/>
  <c r="L89" i="35391" s="1"/>
  <c r="H10" i="34968" a="1"/>
  <c r="Q10" i="34987" a="1"/>
  <c r="S10" i="34987" a="1"/>
  <c r="EF11" i="35036" a="1"/>
  <c r="T10" i="34987" a="1"/>
  <c r="L86" i="35391" a="1"/>
  <c r="L86" i="35391" s="1"/>
  <c r="ER11" i="35036" a="1"/>
  <c r="L87" i="35391" a="1"/>
  <c r="L87" i="35391" s="1"/>
  <c r="DH11" i="35036" a="1"/>
  <c r="U10" i="34987" a="1"/>
  <c r="DT11" i="35036" l="1"/>
  <c r="DT24" i="35036"/>
  <c r="DT30" i="35036"/>
  <c r="DT20" i="35036"/>
  <c r="DT42" i="35036"/>
  <c r="DT36" i="35036"/>
  <c r="DT39" i="35036"/>
  <c r="DT58" i="35036"/>
  <c r="DT50" i="35036"/>
  <c r="DT74" i="35036"/>
  <c r="DT13" i="35036"/>
  <c r="DT68" i="35036"/>
  <c r="DT73" i="35036"/>
  <c r="DT19" i="35036"/>
  <c r="DT60" i="35036"/>
  <c r="DT28" i="35036"/>
  <c r="DT70" i="35036"/>
  <c r="DT29" i="35036"/>
  <c r="DT40" i="35036"/>
  <c r="DT35" i="35036"/>
  <c r="DT62" i="35036"/>
  <c r="DT37" i="35036"/>
  <c r="DT54" i="35036"/>
  <c r="DT77" i="35036"/>
  <c r="DT47" i="35036"/>
  <c r="DT15" i="35036"/>
  <c r="DT18" i="35036"/>
  <c r="DT33" i="35036"/>
  <c r="DT66" i="35036"/>
  <c r="DT61" i="35036"/>
  <c r="DT17" i="35036"/>
  <c r="DT71" i="35036"/>
  <c r="DT81" i="35036"/>
  <c r="DT79" i="35036"/>
  <c r="DT48" i="35036"/>
  <c r="DT65" i="35036"/>
  <c r="DT80" i="35036"/>
  <c r="DT51" i="35036"/>
  <c r="DT72" i="35036"/>
  <c r="DT38" i="35036"/>
  <c r="DT53" i="35036"/>
  <c r="DT49" i="35036"/>
  <c r="DT75" i="35036"/>
  <c r="DT84" i="35036"/>
  <c r="DT45" i="35036"/>
  <c r="DT43" i="35036"/>
  <c r="DT83" i="35036"/>
  <c r="DT46" i="35036"/>
  <c r="DT57" i="35036"/>
  <c r="DT31" i="35036"/>
  <c r="DT44" i="35036"/>
  <c r="DT64" i="35036"/>
  <c r="DT63" i="35036"/>
  <c r="DT69" i="35036"/>
  <c r="DT27" i="35036"/>
  <c r="DT67" i="35036"/>
  <c r="R59" i="34987"/>
  <c r="R41" i="34987"/>
  <c r="R74" i="34987"/>
  <c r="R53" i="34987"/>
  <c r="R17" i="34987"/>
  <c r="R28" i="34987"/>
  <c r="R35" i="34987"/>
  <c r="R84" i="34987"/>
  <c r="R61" i="34987"/>
  <c r="DT76" i="35036"/>
  <c r="DT32" i="35036"/>
  <c r="DT16" i="35036"/>
  <c r="DT21" i="35036"/>
  <c r="DT23" i="35036"/>
  <c r="DT41" i="35036"/>
  <c r="R38" i="34987"/>
  <c r="R30" i="34987"/>
  <c r="R81" i="34987"/>
  <c r="DT22" i="35036"/>
  <c r="DT78" i="35036"/>
  <c r="DT14" i="35036"/>
  <c r="DT59" i="35036"/>
  <c r="DT56" i="35036"/>
  <c r="DT82" i="35036"/>
  <c r="R22" i="34987"/>
  <c r="R50" i="34987"/>
  <c r="R11" i="34987"/>
  <c r="R64" i="34987"/>
  <c r="R78" i="34987"/>
  <c r="DT55" i="35036"/>
  <c r="DT52" i="35036"/>
  <c r="DT34" i="35036"/>
  <c r="DT25" i="35036"/>
  <c r="DT26" i="35036"/>
  <c r="R51" i="34987"/>
  <c r="R33" i="34987"/>
  <c r="R26" i="34987"/>
  <c r="R42" i="34987"/>
  <c r="R45" i="34987"/>
  <c r="R79" i="34987"/>
  <c r="R49" i="34987"/>
  <c r="R21" i="34987"/>
  <c r="R72" i="34987"/>
  <c r="R48" i="34987"/>
  <c r="R77" i="34987"/>
  <c r="R43" i="34987"/>
  <c r="R25" i="34987"/>
  <c r="R14" i="34987"/>
  <c r="R62" i="34987"/>
  <c r="R69" i="34987"/>
  <c r="R23" i="34987"/>
  <c r="L91" i="35391"/>
  <c r="R20" i="34987"/>
  <c r="R52" i="34987"/>
  <c r="R34" i="34987"/>
  <c r="R76" i="34987"/>
  <c r="R82" i="34987"/>
  <c r="R56" i="34987"/>
  <c r="R83" i="34987"/>
  <c r="R13" i="34987"/>
  <c r="R15" i="34987"/>
  <c r="R66" i="34987"/>
  <c r="R75" i="34987"/>
  <c r="R47" i="34987"/>
  <c r="R65" i="34987"/>
  <c r="R19" i="34987"/>
  <c r="R24" i="34987"/>
  <c r="R68" i="34987"/>
  <c r="R39" i="34987"/>
  <c r="R12" i="34987"/>
  <c r="R32" i="34987"/>
  <c r="R60" i="34987"/>
  <c r="R10" i="34987"/>
  <c r="R18" i="34987"/>
  <c r="R71" i="34987"/>
  <c r="R73" i="34987"/>
  <c r="R31" i="34987"/>
  <c r="R55" i="34987"/>
  <c r="R54" i="34987"/>
  <c r="R36" i="34987"/>
  <c r="R46" i="34987"/>
  <c r="R40" i="34987"/>
  <c r="R27" i="34987"/>
  <c r="R57" i="34987"/>
  <c r="R16" i="34987"/>
  <c r="R70" i="34987"/>
  <c r="R37" i="34987"/>
  <c r="R67" i="34987"/>
  <c r="R58" i="34987"/>
  <c r="R63" i="34987"/>
  <c r="R29" i="34987"/>
  <c r="R44" i="34987"/>
  <c r="T54" i="34987"/>
  <c r="T40" i="34987"/>
  <c r="T63" i="34987"/>
  <c r="T11" i="34987"/>
  <c r="T64" i="34987"/>
  <c r="T68" i="34987"/>
  <c r="T33" i="34987"/>
  <c r="T26" i="34987"/>
  <c r="T61" i="34987"/>
  <c r="T21" i="34987"/>
  <c r="T23" i="34987"/>
  <c r="T13" i="34987"/>
  <c r="T73" i="34987"/>
  <c r="T34" i="34987"/>
  <c r="T43" i="34987"/>
  <c r="T67" i="34987"/>
  <c r="T46" i="34987"/>
  <c r="T15" i="34987"/>
  <c r="T66" i="34987"/>
  <c r="T25" i="34987"/>
  <c r="T28" i="34987"/>
  <c r="T22" i="34987"/>
  <c r="T72" i="34987"/>
  <c r="T60" i="34987"/>
  <c r="T19" i="34987"/>
  <c r="T84" i="34987"/>
  <c r="T58" i="34987"/>
  <c r="T48" i="34987"/>
  <c r="T49" i="34987"/>
  <c r="T51" i="34987"/>
  <c r="T56" i="34987"/>
  <c r="T50" i="34987"/>
  <c r="T10" i="34987"/>
  <c r="T52" i="34987"/>
  <c r="T77" i="34987"/>
  <c r="T75" i="34987"/>
  <c r="T47" i="34987"/>
  <c r="T30" i="34987"/>
  <c r="T32" i="34987"/>
  <c r="T12" i="34987"/>
  <c r="T44" i="34987"/>
  <c r="T36" i="34987"/>
  <c r="T29" i="34987"/>
  <c r="T80" i="34987"/>
  <c r="T62" i="34987"/>
  <c r="T41" i="34987"/>
  <c r="T17" i="34987"/>
  <c r="T83" i="34987"/>
  <c r="T14" i="34987"/>
  <c r="T81" i="34987"/>
  <c r="T20" i="34987"/>
  <c r="T79" i="34987"/>
  <c r="T69" i="34987"/>
  <c r="T35" i="34987"/>
  <c r="T82" i="34987"/>
  <c r="T45" i="34987"/>
  <c r="T38" i="34987"/>
  <c r="T39" i="34987"/>
  <c r="T16" i="34987"/>
  <c r="T57" i="34987"/>
  <c r="T53" i="34987"/>
  <c r="T70" i="34987"/>
  <c r="T65" i="34987"/>
  <c r="T31" i="34987"/>
  <c r="T37" i="34987"/>
  <c r="T24" i="34987"/>
  <c r="T18" i="34987"/>
  <c r="T42" i="34987"/>
  <c r="T74" i="34987"/>
  <c r="T78" i="34987"/>
  <c r="T27" i="34987"/>
  <c r="T55" i="34987"/>
  <c r="T71" i="34987"/>
  <c r="T59" i="34987"/>
  <c r="T76" i="34987"/>
  <c r="EF74" i="35036"/>
  <c r="EF21" i="35036"/>
  <c r="EF40" i="35036"/>
  <c r="EF37" i="35036"/>
  <c r="EF63" i="35036"/>
  <c r="EF75" i="35036"/>
  <c r="EF73" i="35036"/>
  <c r="EF72" i="35036"/>
  <c r="EF61" i="35036"/>
  <c r="EF54" i="35036"/>
  <c r="EF31" i="35036"/>
  <c r="EF51" i="35036"/>
  <c r="EF26" i="35036"/>
  <c r="EF13" i="35036"/>
  <c r="EF44" i="35036"/>
  <c r="EF30" i="35036"/>
  <c r="EF58" i="35036"/>
  <c r="EF81" i="35036"/>
  <c r="EF34" i="35036"/>
  <c r="EF24" i="35036"/>
  <c r="EF36" i="35036"/>
  <c r="EF80" i="35036"/>
  <c r="EF49" i="35036"/>
  <c r="EF35" i="35036"/>
  <c r="EF82" i="35036"/>
  <c r="EF65" i="35036"/>
  <c r="EF56" i="35036"/>
  <c r="EF50" i="35036"/>
  <c r="EF68" i="35036"/>
  <c r="EF12" i="35036"/>
  <c r="EF70" i="35036"/>
  <c r="EF14" i="35036"/>
  <c r="EF38" i="35036"/>
  <c r="EF41" i="35036"/>
  <c r="EF27" i="35036"/>
  <c r="EF55" i="35036"/>
  <c r="EF60" i="35036"/>
  <c r="EF64" i="35036"/>
  <c r="EF52" i="35036"/>
  <c r="EF66" i="35036"/>
  <c r="EF19" i="35036"/>
  <c r="EF62" i="35036"/>
  <c r="EF33" i="35036"/>
  <c r="EF76" i="35036"/>
  <c r="EF71" i="35036"/>
  <c r="EF53" i="35036"/>
  <c r="EF48" i="35036"/>
  <c r="EF77" i="35036"/>
  <c r="EF79" i="35036"/>
  <c r="EF78" i="35036"/>
  <c r="EF11" i="35036"/>
  <c r="EF47" i="35036"/>
  <c r="EF16" i="35036"/>
  <c r="EF46" i="35036"/>
  <c r="EF22" i="35036"/>
  <c r="EF57" i="35036"/>
  <c r="EF18" i="35036"/>
  <c r="EF83" i="35036"/>
  <c r="EF20" i="35036"/>
  <c r="EF25" i="35036"/>
  <c r="EF29" i="35036"/>
  <c r="EF32" i="35036"/>
  <c r="EF69" i="35036"/>
  <c r="EF28" i="35036"/>
  <c r="EF84" i="35036"/>
  <c r="EF43" i="35036"/>
  <c r="EF59" i="35036"/>
  <c r="EF39" i="35036"/>
  <c r="EF15" i="35036"/>
  <c r="EF42" i="35036"/>
  <c r="EF17" i="35036"/>
  <c r="EF45" i="35036"/>
  <c r="EF23" i="35036"/>
  <c r="EF67" i="35036"/>
  <c r="S25" i="34987"/>
  <c r="S78" i="34987"/>
  <c r="S38" i="34987"/>
  <c r="S66" i="34987"/>
  <c r="S81" i="34987"/>
  <c r="S83" i="34987"/>
  <c r="S28" i="34987"/>
  <c r="S29" i="34987"/>
  <c r="S75" i="34987"/>
  <c r="S41" i="34987"/>
  <c r="S63" i="34987"/>
  <c r="S21" i="34987"/>
  <c r="S53" i="34987"/>
  <c r="S73" i="34987"/>
  <c r="S32" i="34987"/>
  <c r="S42" i="34987"/>
  <c r="S60" i="34987"/>
  <c r="S26" i="34987"/>
  <c r="S64" i="34987"/>
  <c r="S46" i="34987"/>
  <c r="S39" i="34987"/>
  <c r="S44" i="34987"/>
  <c r="S71" i="34987"/>
  <c r="S57" i="34987"/>
  <c r="S12" i="34987"/>
  <c r="S51" i="34987"/>
  <c r="S14" i="34987"/>
  <c r="S67" i="34987"/>
  <c r="S20" i="34987"/>
  <c r="S35" i="34987"/>
  <c r="S16" i="34987"/>
  <c r="S58" i="34987"/>
  <c r="S69" i="34987"/>
  <c r="S23" i="34987"/>
  <c r="S37" i="34987"/>
  <c r="S62" i="34987"/>
  <c r="S49" i="34987"/>
  <c r="S59" i="34987"/>
  <c r="S17" i="34987"/>
  <c r="S13" i="34987"/>
  <c r="S61" i="34987"/>
  <c r="S54" i="34987"/>
  <c r="S15" i="34987"/>
  <c r="S45" i="34987"/>
  <c r="S72" i="34987"/>
  <c r="S10" i="34987"/>
  <c r="S31" i="34987"/>
  <c r="S19" i="34987"/>
  <c r="S77" i="34987"/>
  <c r="S68" i="34987"/>
  <c r="S74" i="34987"/>
  <c r="S79" i="34987"/>
  <c r="S48" i="34987"/>
  <c r="S30" i="34987"/>
  <c r="S43" i="34987"/>
  <c r="S22" i="34987"/>
  <c r="S70" i="34987"/>
  <c r="S36" i="34987"/>
  <c r="S76" i="34987"/>
  <c r="S52" i="34987"/>
  <c r="S80" i="34987"/>
  <c r="S24" i="34987"/>
  <c r="S84" i="34987"/>
  <c r="S82" i="34987"/>
  <c r="S56" i="34987"/>
  <c r="S11" i="34987"/>
  <c r="S33" i="34987"/>
  <c r="S34" i="34987"/>
  <c r="S47" i="34987"/>
  <c r="S27" i="34987"/>
  <c r="S50" i="34987"/>
  <c r="S65" i="34987"/>
  <c r="S18" i="34987"/>
  <c r="S40" i="34987"/>
  <c r="S55" i="34987"/>
  <c r="U30" i="34987"/>
  <c r="U62" i="34987"/>
  <c r="U41" i="34987"/>
  <c r="U66" i="34987"/>
  <c r="U72" i="34987"/>
  <c r="U60" i="34987"/>
  <c r="U43" i="34987"/>
  <c r="U68" i="34987"/>
  <c r="U12" i="34987"/>
  <c r="U39" i="34987"/>
  <c r="U49" i="34987"/>
  <c r="U32" i="34987"/>
  <c r="U74" i="34987"/>
  <c r="U44" i="34987"/>
  <c r="U24" i="34987"/>
  <c r="U10" i="34987"/>
  <c r="U36" i="34987"/>
  <c r="U13" i="34987"/>
  <c r="U57" i="34987"/>
  <c r="U73" i="34987"/>
  <c r="U29" i="34987"/>
  <c r="U83" i="34987"/>
  <c r="U64" i="34987"/>
  <c r="U78" i="34987"/>
  <c r="U48" i="34987"/>
  <c r="U54" i="34987"/>
  <c r="U76" i="34987"/>
  <c r="U21" i="34987"/>
  <c r="U82" i="34987"/>
  <c r="U53" i="34987"/>
  <c r="U19" i="34987"/>
  <c r="U18" i="34987"/>
  <c r="U33" i="34987"/>
  <c r="U70" i="34987"/>
  <c r="U15" i="34987"/>
  <c r="U67" i="34987"/>
  <c r="U16" i="34987"/>
  <c r="U77" i="34987"/>
  <c r="U28" i="34987"/>
  <c r="U37" i="34987"/>
  <c r="U61" i="34987"/>
  <c r="U31" i="34987"/>
  <c r="U34" i="34987"/>
  <c r="U22" i="34987"/>
  <c r="U71" i="34987"/>
  <c r="U65" i="34987"/>
  <c r="U47" i="34987"/>
  <c r="U80" i="34987"/>
  <c r="U55" i="34987"/>
  <c r="U79" i="34987"/>
  <c r="U75" i="34987"/>
  <c r="U26" i="34987"/>
  <c r="U69" i="34987"/>
  <c r="U51" i="34987"/>
  <c r="U56" i="34987"/>
  <c r="U23" i="34987"/>
  <c r="U45" i="34987"/>
  <c r="U52" i="34987"/>
  <c r="U42" i="34987"/>
  <c r="U27" i="34987"/>
  <c r="U38" i="34987"/>
  <c r="U35" i="34987"/>
  <c r="U20" i="34987"/>
  <c r="U50" i="34987"/>
  <c r="U11" i="34987"/>
  <c r="U58" i="34987"/>
  <c r="U40" i="34987"/>
  <c r="U63" i="34987"/>
  <c r="U84" i="34987"/>
  <c r="U46" i="34987"/>
  <c r="U59" i="34987"/>
  <c r="U14" i="34987"/>
  <c r="U17" i="34987"/>
  <c r="U81" i="34987"/>
  <c r="U25" i="34987"/>
  <c r="DH57" i="35036"/>
  <c r="DH18" i="35036"/>
  <c r="DH33" i="35036"/>
  <c r="DH34" i="35036"/>
  <c r="DH35" i="35036"/>
  <c r="DH53" i="35036"/>
  <c r="DH11" i="35036"/>
  <c r="DH77" i="35036"/>
  <c r="DH64" i="35036"/>
  <c r="DH69" i="35036"/>
  <c r="DH12" i="35036"/>
  <c r="DH28" i="35036"/>
  <c r="DH16" i="35036"/>
  <c r="DH42" i="35036"/>
  <c r="DH41" i="35036"/>
  <c r="DH83" i="35036"/>
  <c r="DH80" i="35036"/>
  <c r="DH61" i="35036"/>
  <c r="DH48" i="35036"/>
  <c r="DH39" i="35036"/>
  <c r="DH81" i="35036"/>
  <c r="DH62" i="35036"/>
  <c r="DH45" i="35036"/>
  <c r="DH76" i="35036"/>
  <c r="DH44" i="35036"/>
  <c r="DH68" i="35036"/>
  <c r="DH73" i="35036"/>
  <c r="DH50" i="35036"/>
  <c r="DH70" i="35036"/>
  <c r="DH84" i="35036"/>
  <c r="DH24" i="35036"/>
  <c r="DH26" i="35036"/>
  <c r="DH43" i="35036"/>
  <c r="DH27" i="35036"/>
  <c r="DH49" i="35036"/>
  <c r="DH21" i="35036"/>
  <c r="DH63" i="35036"/>
  <c r="DH52" i="35036"/>
  <c r="DH36" i="35036"/>
  <c r="DH17" i="35036"/>
  <c r="DH54" i="35036"/>
  <c r="DH59" i="35036"/>
  <c r="DH60" i="35036"/>
  <c r="DH22" i="35036"/>
  <c r="DH72" i="35036"/>
  <c r="DH32" i="35036"/>
  <c r="DH78" i="35036"/>
  <c r="DH31" i="35036"/>
  <c r="DH75" i="35036"/>
  <c r="DH29" i="35036"/>
  <c r="DH67" i="35036"/>
  <c r="DH15" i="35036"/>
  <c r="DH66" i="35036"/>
  <c r="DH23" i="35036"/>
  <c r="DH71" i="35036"/>
  <c r="DH65" i="35036"/>
  <c r="DH58" i="35036"/>
  <c r="DH82" i="35036"/>
  <c r="DH13" i="35036"/>
  <c r="DH19" i="35036"/>
  <c r="DH30" i="35036"/>
  <c r="DH47" i="35036"/>
  <c r="DH56" i="35036"/>
  <c r="DH25" i="35036"/>
  <c r="DH79" i="35036"/>
  <c r="DH51" i="35036"/>
  <c r="DH37" i="35036"/>
  <c r="DH38" i="35036"/>
  <c r="DH74" i="35036"/>
  <c r="DH46" i="35036"/>
  <c r="DH14" i="35036"/>
  <c r="DH20" i="35036"/>
  <c r="DH40" i="35036"/>
  <c r="DH55" i="35036"/>
  <c r="Q25" i="34987"/>
  <c r="Q56" i="34987"/>
  <c r="Q83" i="34987"/>
  <c r="Q16" i="34987"/>
  <c r="Q29" i="34987"/>
  <c r="Q69" i="34987"/>
  <c r="Q62" i="34987"/>
  <c r="Q77" i="34987"/>
  <c r="Q37" i="34987"/>
  <c r="Q49" i="34987"/>
  <c r="Q78" i="34987"/>
  <c r="Q33" i="34987"/>
  <c r="Q82" i="34987"/>
  <c r="Q64" i="34987"/>
  <c r="Q35" i="34987"/>
  <c r="Q34" i="34987"/>
  <c r="Q58" i="34987"/>
  <c r="Q40" i="34987"/>
  <c r="Q14" i="34987"/>
  <c r="Q46" i="34987"/>
  <c r="Q19" i="34987"/>
  <c r="Q11" i="34987"/>
  <c r="Q50" i="34987"/>
  <c r="Q81" i="34987"/>
  <c r="Q73" i="34987"/>
  <c r="Q20" i="34987"/>
  <c r="Q15" i="34987"/>
  <c r="Q48" i="34987"/>
  <c r="Q18" i="34987"/>
  <c r="Q28" i="34987"/>
  <c r="Q63" i="34987"/>
  <c r="Q52" i="34987"/>
  <c r="Q65" i="34987"/>
  <c r="Q74" i="34987"/>
  <c r="Q55" i="34987"/>
  <c r="Q36" i="34987"/>
  <c r="Q53" i="34987"/>
  <c r="Q43" i="34987"/>
  <c r="Q41" i="34987"/>
  <c r="Q79" i="34987"/>
  <c r="Q30" i="34987"/>
  <c r="Q21" i="34987"/>
  <c r="Q27" i="34987"/>
  <c r="Q71" i="34987"/>
  <c r="Q54" i="34987"/>
  <c r="Q51" i="34987"/>
  <c r="Q45" i="34987"/>
  <c r="Q68" i="34987"/>
  <c r="Q60" i="34987"/>
  <c r="Q26" i="34987"/>
  <c r="Q42" i="34987"/>
  <c r="Q61" i="34987"/>
  <c r="Q22" i="34987"/>
  <c r="Q24" i="34987"/>
  <c r="Q44" i="34987"/>
  <c r="Q32" i="34987"/>
  <c r="Q31" i="34987"/>
  <c r="Q23" i="34987"/>
  <c r="Q13" i="34987"/>
  <c r="Q17" i="34987"/>
  <c r="Q84" i="34987"/>
  <c r="Q80" i="34987"/>
  <c r="Q39" i="34987"/>
  <c r="Q76" i="34987"/>
  <c r="Q59" i="34987"/>
  <c r="Q57" i="34987"/>
  <c r="Q38" i="34987"/>
  <c r="Q67" i="34987"/>
  <c r="Q12" i="34987"/>
  <c r="Q66" i="34987"/>
  <c r="Q70" i="34987"/>
  <c r="Q72" i="34987"/>
  <c r="Q75" i="34987"/>
  <c r="Q47" i="34987"/>
  <c r="Q10" i="34987"/>
  <c r="H29" i="34968"/>
  <c r="H65" i="34968"/>
  <c r="H47" i="34968"/>
  <c r="H21" i="34968"/>
  <c r="H57" i="34968"/>
  <c r="H43" i="34968"/>
  <c r="H32" i="34968"/>
  <c r="H78" i="34968"/>
  <c r="H76" i="34968"/>
  <c r="H41" i="34968"/>
  <c r="H66" i="34968"/>
  <c r="H38" i="34968"/>
  <c r="H64" i="34968"/>
  <c r="H61" i="34968"/>
  <c r="H11" i="34968"/>
  <c r="H31" i="34968"/>
  <c r="H46" i="34968"/>
  <c r="H82" i="34968"/>
  <c r="H84" i="34968"/>
  <c r="H75" i="34968"/>
  <c r="H44" i="34968"/>
  <c r="H13" i="34968"/>
  <c r="H77" i="34968"/>
  <c r="H16" i="34968"/>
  <c r="H56" i="34968"/>
  <c r="H58" i="34968"/>
  <c r="H80" i="34968"/>
  <c r="H62" i="34968"/>
  <c r="H36" i="34968"/>
  <c r="H42" i="34968"/>
  <c r="H17" i="34968"/>
  <c r="H30" i="34968"/>
  <c r="H15" i="34968"/>
  <c r="H83" i="34968"/>
  <c r="H27" i="34968"/>
  <c r="H72" i="34968"/>
  <c r="H35" i="34968"/>
  <c r="H69" i="34968"/>
  <c r="H39" i="34968"/>
  <c r="H49" i="34968"/>
  <c r="H25" i="34968"/>
  <c r="H19" i="34968"/>
  <c r="H59" i="34968"/>
  <c r="H23" i="34968"/>
  <c r="H37" i="34968"/>
  <c r="H68" i="34968"/>
  <c r="H53" i="34968"/>
  <c r="H70" i="34968"/>
  <c r="H12" i="34968"/>
  <c r="H34" i="34968"/>
  <c r="H51" i="34968"/>
  <c r="H33" i="34968"/>
  <c r="H28" i="34968"/>
  <c r="H79" i="34968"/>
  <c r="H67" i="34968"/>
  <c r="H60" i="34968"/>
  <c r="H73" i="34968"/>
  <c r="H54" i="34968"/>
  <c r="H71" i="34968"/>
  <c r="H74" i="34968"/>
  <c r="H50" i="34968"/>
  <c r="H24" i="34968"/>
  <c r="H20" i="34968"/>
  <c r="H81" i="34968"/>
  <c r="H63" i="34968"/>
  <c r="H26" i="34968"/>
  <c r="H14" i="34968"/>
  <c r="H18" i="34968"/>
  <c r="H52" i="34968"/>
  <c r="H10" i="34968"/>
  <c r="H40" i="34968"/>
  <c r="H22" i="34968"/>
  <c r="H55" i="34968"/>
  <c r="H45" i="34968"/>
  <c r="H48" i="34968"/>
  <c r="ER33" i="35036"/>
  <c r="ER76" i="35036"/>
  <c r="ER84" i="35036"/>
  <c r="ER52" i="35036"/>
  <c r="ER83" i="35036"/>
  <c r="ER78" i="35036"/>
  <c r="ER77" i="35036"/>
  <c r="ER50" i="35036"/>
  <c r="ER67" i="35036"/>
  <c r="ER42" i="35036"/>
  <c r="ER26" i="35036"/>
  <c r="ER79" i="35036"/>
  <c r="ER45" i="35036"/>
  <c r="ER11" i="35036"/>
  <c r="ER66" i="35036"/>
  <c r="ER56" i="35036"/>
  <c r="ER54" i="35036"/>
  <c r="ER18" i="35036"/>
  <c r="ER61" i="35036"/>
  <c r="ER16" i="35036"/>
  <c r="ER73" i="35036"/>
  <c r="ER60" i="35036"/>
  <c r="ER19" i="35036"/>
  <c r="ER27" i="35036"/>
  <c r="ER35" i="35036"/>
  <c r="ER25" i="35036"/>
  <c r="ER82" i="35036"/>
  <c r="ER32" i="35036"/>
  <c r="ER37" i="35036"/>
  <c r="ER70" i="35036"/>
  <c r="ER46" i="35036"/>
  <c r="ER17" i="35036"/>
  <c r="ER21" i="35036"/>
  <c r="ER12" i="35036"/>
  <c r="ER40" i="35036"/>
  <c r="ER29" i="35036"/>
  <c r="ER28" i="35036"/>
  <c r="ER59" i="35036"/>
  <c r="ER39" i="35036"/>
  <c r="ER43" i="35036"/>
  <c r="ER72" i="35036"/>
  <c r="ER38" i="35036"/>
  <c r="ER65" i="35036"/>
  <c r="ER69" i="35036"/>
  <c r="ER51" i="35036"/>
  <c r="ER47" i="35036"/>
  <c r="ER13" i="35036"/>
  <c r="ER58" i="35036"/>
  <c r="ER44" i="35036"/>
  <c r="ER14" i="35036"/>
  <c r="ER41" i="35036"/>
  <c r="ER55" i="35036"/>
  <c r="ER24" i="35036"/>
  <c r="ER30" i="35036"/>
  <c r="ER71" i="35036"/>
  <c r="ER57" i="35036"/>
  <c r="ER63" i="35036"/>
  <c r="ER15" i="35036"/>
  <c r="ER23" i="35036"/>
  <c r="ER80" i="35036"/>
  <c r="ER22" i="35036"/>
  <c r="ER49" i="35036"/>
  <c r="ER48" i="35036"/>
  <c r="ER31" i="35036"/>
  <c r="ER62" i="35036"/>
  <c r="ER74" i="35036"/>
  <c r="ER34" i="35036"/>
  <c r="ER75" i="35036"/>
  <c r="ER68" i="35036"/>
  <c r="ER20" i="35036"/>
  <c r="ER81" i="35036"/>
  <c r="ER53" i="35036"/>
  <c r="ER64" i="35036"/>
  <c r="ER36" i="35036"/>
  <c r="FD48" i="35036"/>
  <c r="FD52" i="35036"/>
  <c r="FD82" i="35036"/>
  <c r="FD84" i="35036"/>
  <c r="FD42" i="35036"/>
  <c r="FD72" i="35036"/>
  <c r="FD45" i="35036"/>
  <c r="FD24" i="35036"/>
  <c r="FD30" i="35036"/>
  <c r="FD31" i="35036"/>
  <c r="FD28" i="35036"/>
  <c r="FD56" i="35036"/>
  <c r="FD15" i="35036"/>
  <c r="FD59" i="35036"/>
  <c r="FD21" i="35036"/>
  <c r="FD43" i="35036"/>
  <c r="FD68" i="35036"/>
  <c r="FD16" i="35036"/>
  <c r="FD60" i="35036"/>
  <c r="FD25" i="35036"/>
  <c r="FD27" i="35036"/>
  <c r="FD44" i="35036"/>
  <c r="FD34" i="35036"/>
  <c r="FD37" i="35036"/>
  <c r="FD64" i="35036"/>
  <c r="FD38" i="35036"/>
  <c r="FD55" i="35036"/>
  <c r="FD53" i="35036"/>
  <c r="FD14" i="35036"/>
  <c r="FD40" i="35036"/>
  <c r="FD17" i="35036"/>
  <c r="FD62" i="35036"/>
  <c r="FD26" i="35036"/>
  <c r="FD80" i="35036"/>
  <c r="FD54" i="35036"/>
  <c r="FD75" i="35036"/>
  <c r="FD12" i="35036"/>
  <c r="FD61" i="35036"/>
  <c r="FD36" i="35036"/>
  <c r="FD71" i="35036"/>
  <c r="FD83" i="35036"/>
  <c r="FD74" i="35036"/>
  <c r="FD58" i="35036"/>
  <c r="FD57" i="35036"/>
  <c r="FD13" i="35036"/>
  <c r="FD23" i="35036"/>
  <c r="FD19" i="35036"/>
  <c r="FD67" i="35036"/>
  <c r="FD79" i="35036"/>
  <c r="FD77" i="35036"/>
  <c r="FD47" i="35036"/>
  <c r="FD51" i="35036"/>
  <c r="FD63" i="35036"/>
  <c r="FD22" i="35036"/>
  <c r="FD78" i="35036"/>
  <c r="FD20" i="35036"/>
  <c r="FD65" i="35036"/>
  <c r="FD50" i="35036"/>
  <c r="FD69" i="35036"/>
  <c r="FD46" i="35036"/>
  <c r="FD73" i="35036"/>
  <c r="FD39" i="35036"/>
  <c r="FD11" i="35036"/>
  <c r="FD18" i="35036"/>
  <c r="FD81" i="35036"/>
  <c r="FD33" i="35036"/>
  <c r="FD32" i="35036"/>
  <c r="FD70" i="35036"/>
  <c r="FD41" i="35036"/>
  <c r="FD66" i="35036"/>
  <c r="FD76" i="35036"/>
  <c r="FD35" i="35036"/>
  <c r="FD29" i="35036"/>
  <c r="FD49" i="35036"/>
  <c r="DO11" i="35036" l="1" a="1"/>
  <c r="DO47" i="35036" s="1"/>
  <c r="F4" i="34968" a="1"/>
  <c r="F4" i="34968" s="1"/>
  <c r="C10" i="34985" a="1"/>
  <c r="EM11" i="35036" a="1"/>
  <c r="K30" i="34908" a="1"/>
  <c r="K30" i="34908" s="1"/>
  <c r="K32" i="34908" s="1"/>
  <c r="EY11" i="35036" a="1"/>
  <c r="DC11" i="35036" a="1"/>
  <c r="EA11" i="35036" a="1"/>
  <c r="DO74" i="35036" l="1"/>
  <c r="DO70" i="35036"/>
  <c r="DO45" i="35036"/>
  <c r="DO33" i="35036"/>
  <c r="DO36" i="35036"/>
  <c r="DO83" i="35036"/>
  <c r="DO60" i="35036"/>
  <c r="DO61" i="35036"/>
  <c r="DO13" i="35036"/>
  <c r="DO64" i="35036"/>
  <c r="DO57" i="35036"/>
  <c r="DO19" i="35036"/>
  <c r="DO17" i="35036"/>
  <c r="DO43" i="35036"/>
  <c r="DO48" i="35036"/>
  <c r="DO49" i="35036"/>
  <c r="DO40" i="35036"/>
  <c r="DO56" i="35036"/>
  <c r="DO29" i="35036"/>
  <c r="DO27" i="35036"/>
  <c r="DO42" i="35036"/>
  <c r="DO38" i="35036"/>
  <c r="DO16" i="35036"/>
  <c r="DO81" i="35036"/>
  <c r="DO50" i="35036"/>
  <c r="DO46" i="35036"/>
  <c r="DO52" i="35036"/>
  <c r="DO12" i="35036"/>
  <c r="DO23" i="35036"/>
  <c r="DO22" i="35036"/>
  <c r="DO62" i="35036"/>
  <c r="DO58" i="35036"/>
  <c r="DO59" i="35036"/>
  <c r="DO34" i="35036"/>
  <c r="DO53" i="35036"/>
  <c r="DO82" i="35036"/>
  <c r="DO44" i="35036"/>
  <c r="DO80" i="35036"/>
  <c r="DO76" i="35036"/>
  <c r="DO68" i="35036"/>
  <c r="DO32" i="35036"/>
  <c r="DO63" i="35036"/>
  <c r="DO20" i="35036"/>
  <c r="DO39" i="35036"/>
  <c r="DO77" i="35036"/>
  <c r="DO73" i="35036"/>
  <c r="DO78" i="35036"/>
  <c r="DO25" i="35036"/>
  <c r="DO72" i="35036"/>
  <c r="DO18" i="35036"/>
  <c r="DO28" i="35036"/>
  <c r="DO66" i="35036"/>
  <c r="DO79" i="35036"/>
  <c r="DO30" i="35036"/>
  <c r="DO35" i="35036"/>
  <c r="DO14" i="35036"/>
  <c r="DO31" i="35036"/>
  <c r="DO71" i="35036"/>
  <c r="DO21" i="35036"/>
  <c r="DO75" i="35036"/>
  <c r="DO15" i="35036"/>
  <c r="DO55" i="35036"/>
  <c r="DO37" i="35036"/>
  <c r="DO24" i="35036"/>
  <c r="DO67" i="35036"/>
  <c r="DO54" i="35036"/>
  <c r="DO65" i="35036"/>
  <c r="DO11" i="35036"/>
  <c r="DO69" i="35036"/>
  <c r="DO84" i="35036"/>
  <c r="DO26" i="35036"/>
  <c r="DO51" i="35036"/>
  <c r="DO41" i="35036"/>
  <c r="F30" i="34908"/>
  <c r="F4" i="35005"/>
  <c r="EY14" i="35036"/>
  <c r="EY74" i="35036"/>
  <c r="EY25" i="35036"/>
  <c r="EY33" i="35036"/>
  <c r="EY47" i="35036"/>
  <c r="EY63" i="35036"/>
  <c r="EY57" i="35036"/>
  <c r="EY38" i="35036"/>
  <c r="EY12" i="35036"/>
  <c r="EY54" i="35036"/>
  <c r="EY62" i="35036"/>
  <c r="EY26" i="35036"/>
  <c r="EY70" i="35036"/>
  <c r="EY41" i="35036"/>
  <c r="EY34" i="35036"/>
  <c r="EY30" i="35036"/>
  <c r="EY35" i="35036"/>
  <c r="EY65" i="35036"/>
  <c r="EY39" i="35036"/>
  <c r="EY20" i="35036"/>
  <c r="EY81" i="35036"/>
  <c r="EY53" i="35036"/>
  <c r="EY44" i="35036"/>
  <c r="EY60" i="35036"/>
  <c r="EY43" i="35036"/>
  <c r="EY37" i="35036"/>
  <c r="EY78" i="35036"/>
  <c r="EY40" i="35036"/>
  <c r="EY67" i="35036"/>
  <c r="EY18" i="35036"/>
  <c r="EY45" i="35036"/>
  <c r="EY28" i="35036"/>
  <c r="EY75" i="35036"/>
  <c r="EY84" i="35036"/>
  <c r="EY52" i="35036"/>
  <c r="EY51" i="35036"/>
  <c r="EY82" i="35036"/>
  <c r="EY22" i="35036"/>
  <c r="EY48" i="35036"/>
  <c r="EY17" i="35036"/>
  <c r="EY79" i="35036"/>
  <c r="EY66" i="35036"/>
  <c r="EY68" i="35036"/>
  <c r="EY76" i="35036"/>
  <c r="EY24" i="35036"/>
  <c r="EY27" i="35036"/>
  <c r="EY71" i="35036"/>
  <c r="EY58" i="35036"/>
  <c r="EY69" i="35036"/>
  <c r="EY83" i="35036"/>
  <c r="EY16" i="35036"/>
  <c r="EY59" i="35036"/>
  <c r="EY32" i="35036"/>
  <c r="EY64" i="35036"/>
  <c r="EY15" i="35036"/>
  <c r="EY42" i="35036"/>
  <c r="EY19" i="35036"/>
  <c r="EY21" i="35036"/>
  <c r="EY72" i="35036"/>
  <c r="EY23" i="35036"/>
  <c r="EY49" i="35036"/>
  <c r="EY11" i="35036"/>
  <c r="EY55" i="35036"/>
  <c r="EY56" i="35036"/>
  <c r="EY73" i="35036"/>
  <c r="EY61" i="35036"/>
  <c r="EY29" i="35036"/>
  <c r="EY31" i="35036"/>
  <c r="EY77" i="35036"/>
  <c r="EY46" i="35036"/>
  <c r="EY13" i="35036"/>
  <c r="EY50" i="35036"/>
  <c r="EY36" i="35036"/>
  <c r="EY80" i="35036"/>
  <c r="EA53" i="35036"/>
  <c r="EA19" i="35036"/>
  <c r="EA56" i="35036"/>
  <c r="EA80" i="35036"/>
  <c r="EA81" i="35036"/>
  <c r="EA13" i="35036"/>
  <c r="EA73" i="35036"/>
  <c r="EA70" i="35036"/>
  <c r="EA43" i="35036"/>
  <c r="EA12" i="35036"/>
  <c r="EA25" i="35036"/>
  <c r="EA59" i="35036"/>
  <c r="EA74" i="35036"/>
  <c r="EA61" i="35036"/>
  <c r="EA77" i="35036"/>
  <c r="EA41" i="35036"/>
  <c r="EA21" i="35036"/>
  <c r="EA66" i="35036"/>
  <c r="EA49" i="35036"/>
  <c r="EA79" i="35036"/>
  <c r="EA44" i="35036"/>
  <c r="EA84" i="35036"/>
  <c r="EA38" i="35036"/>
  <c r="EA52" i="35036"/>
  <c r="EA14" i="35036"/>
  <c r="EA27" i="35036"/>
  <c r="EA50" i="35036"/>
  <c r="EA71" i="35036"/>
  <c r="EA35" i="35036"/>
  <c r="EA15" i="35036"/>
  <c r="EA37" i="35036"/>
  <c r="EA32" i="35036"/>
  <c r="EA39" i="35036"/>
  <c r="EA20" i="35036"/>
  <c r="EA55" i="35036"/>
  <c r="EA67" i="35036"/>
  <c r="EA69" i="35036"/>
  <c r="EA36" i="35036"/>
  <c r="EA60" i="35036"/>
  <c r="EA57" i="35036"/>
  <c r="EA45" i="35036"/>
  <c r="EA22" i="35036"/>
  <c r="EA24" i="35036"/>
  <c r="EA23" i="35036"/>
  <c r="EA31" i="35036"/>
  <c r="EA34" i="35036"/>
  <c r="EA83" i="35036"/>
  <c r="EA42" i="35036"/>
  <c r="EA30" i="35036"/>
  <c r="EA64" i="35036"/>
  <c r="EA58" i="35036"/>
  <c r="EA18" i="35036"/>
  <c r="EA76" i="35036"/>
  <c r="EA16" i="35036"/>
  <c r="EA68" i="35036"/>
  <c r="EA26" i="35036"/>
  <c r="EA28" i="35036"/>
  <c r="EA78" i="35036"/>
  <c r="EA40" i="35036"/>
  <c r="EA75" i="35036"/>
  <c r="EA47" i="35036"/>
  <c r="EA65" i="35036"/>
  <c r="EA82" i="35036"/>
  <c r="EA54" i="35036"/>
  <c r="EA48" i="35036"/>
  <c r="EA46" i="35036"/>
  <c r="EA62" i="35036"/>
  <c r="EA11" i="35036"/>
  <c r="EA63" i="35036"/>
  <c r="EA33" i="35036"/>
  <c r="EA51" i="35036"/>
  <c r="EA29" i="35036"/>
  <c r="EA72" i="35036"/>
  <c r="EA17" i="35036"/>
  <c r="DC78" i="35036"/>
  <c r="DC55" i="35036"/>
  <c r="DC35" i="35036"/>
  <c r="DC48" i="35036"/>
  <c r="DC37" i="35036"/>
  <c r="DC63" i="35036"/>
  <c r="DC81" i="35036"/>
  <c r="DC80" i="35036"/>
  <c r="DC72" i="35036"/>
  <c r="DC17" i="35036"/>
  <c r="DC21" i="35036"/>
  <c r="DC67" i="35036"/>
  <c r="DC14" i="35036"/>
  <c r="DC40" i="35036"/>
  <c r="DC83" i="35036"/>
  <c r="DC45" i="35036"/>
  <c r="DC49" i="35036"/>
  <c r="DC30" i="35036"/>
  <c r="DC79" i="35036"/>
  <c r="DC56" i="35036"/>
  <c r="DC84" i="35036"/>
  <c r="DC32" i="35036"/>
  <c r="DC24" i="35036"/>
  <c r="DC27" i="35036"/>
  <c r="DC73" i="35036"/>
  <c r="DC53" i="35036"/>
  <c r="DC26" i="35036"/>
  <c r="DC82" i="35036"/>
  <c r="DC11" i="35036"/>
  <c r="DC16" i="35036"/>
  <c r="DC77" i="35036"/>
  <c r="DC28" i="35036"/>
  <c r="DC62" i="35036"/>
  <c r="DC57" i="35036"/>
  <c r="DC19" i="35036"/>
  <c r="DC36" i="35036"/>
  <c r="DC33" i="35036"/>
  <c r="DC61" i="35036"/>
  <c r="DC12" i="35036"/>
  <c r="DC70" i="35036"/>
  <c r="DC74" i="35036"/>
  <c r="DC44" i="35036"/>
  <c r="DC20" i="35036"/>
  <c r="DC31" i="35036"/>
  <c r="DC71" i="35036"/>
  <c r="DC69" i="35036"/>
  <c r="DC29" i="35036"/>
  <c r="DC51" i="35036"/>
  <c r="DC34" i="35036"/>
  <c r="DC65" i="35036"/>
  <c r="DC23" i="35036"/>
  <c r="DC75" i="35036"/>
  <c r="DC25" i="35036"/>
  <c r="DC46" i="35036"/>
  <c r="DC18" i="35036"/>
  <c r="DC50" i="35036"/>
  <c r="DC59" i="35036"/>
  <c r="DC60" i="35036"/>
  <c r="DC13" i="35036"/>
  <c r="DC42" i="35036"/>
  <c r="DC64" i="35036"/>
  <c r="DC66" i="35036"/>
  <c r="DC39" i="35036"/>
  <c r="DC76" i="35036"/>
  <c r="DC68" i="35036"/>
  <c r="DC58" i="35036"/>
  <c r="DC47" i="35036"/>
  <c r="DC43" i="35036"/>
  <c r="DC41" i="35036"/>
  <c r="DC22" i="35036"/>
  <c r="DC54" i="35036"/>
  <c r="DC52" i="35036"/>
  <c r="DC38" i="35036"/>
  <c r="DC15" i="35036"/>
  <c r="EM57" i="35036"/>
  <c r="EM65" i="35036"/>
  <c r="EM82" i="35036"/>
  <c r="EM30" i="35036"/>
  <c r="EM66" i="35036"/>
  <c r="EM18" i="35036"/>
  <c r="EM42" i="35036"/>
  <c r="EM24" i="35036"/>
  <c r="EM25" i="35036"/>
  <c r="EM29" i="35036"/>
  <c r="EM41" i="35036"/>
  <c r="EM59" i="35036"/>
  <c r="EM81" i="35036"/>
  <c r="EM68" i="35036"/>
  <c r="EM11" i="35036"/>
  <c r="EM84" i="35036"/>
  <c r="EM36" i="35036"/>
  <c r="EM21" i="35036"/>
  <c r="EM34" i="35036"/>
  <c r="EM14" i="35036"/>
  <c r="EM69" i="35036"/>
  <c r="EM38" i="35036"/>
  <c r="EM44" i="35036"/>
  <c r="EM22" i="35036"/>
  <c r="EM53" i="35036"/>
  <c r="EM67" i="35036"/>
  <c r="EM54" i="35036"/>
  <c r="EM35" i="35036"/>
  <c r="EM19" i="35036"/>
  <c r="EM20" i="35036"/>
  <c r="EM71" i="35036"/>
  <c r="EM49" i="35036"/>
  <c r="EM51" i="35036"/>
  <c r="EM17" i="35036"/>
  <c r="EM77" i="35036"/>
  <c r="EM55" i="35036"/>
  <c r="EM46" i="35036"/>
  <c r="EM72" i="35036"/>
  <c r="EM58" i="35036"/>
  <c r="EM73" i="35036"/>
  <c r="EM16" i="35036"/>
  <c r="EM56" i="35036"/>
  <c r="EM13" i="35036"/>
  <c r="EM61" i="35036"/>
  <c r="EM15" i="35036"/>
  <c r="EM32" i="35036"/>
  <c r="EM74" i="35036"/>
  <c r="EM78" i="35036"/>
  <c r="EM23" i="35036"/>
  <c r="EM40" i="35036"/>
  <c r="EM12" i="35036"/>
  <c r="EM52" i="35036"/>
  <c r="EM26" i="35036"/>
  <c r="EM79" i="35036"/>
  <c r="EM60" i="35036"/>
  <c r="EM27" i="35036"/>
  <c r="EM80" i="35036"/>
  <c r="EM37" i="35036"/>
  <c r="EM48" i="35036"/>
  <c r="EM62" i="35036"/>
  <c r="EM76" i="35036"/>
  <c r="EM39" i="35036"/>
  <c r="EM70" i="35036"/>
  <c r="EM47" i="35036"/>
  <c r="EM83" i="35036"/>
  <c r="EM50" i="35036"/>
  <c r="EM64" i="35036"/>
  <c r="EM33" i="35036"/>
  <c r="EM45" i="35036"/>
  <c r="EM75" i="35036"/>
  <c r="EM43" i="35036"/>
  <c r="EM28" i="35036"/>
  <c r="EM31" i="35036"/>
  <c r="EM63" i="35036"/>
  <c r="E10" i="34985"/>
  <c r="H10" i="34985"/>
  <c r="F10" i="34985"/>
  <c r="D10" i="34985"/>
  <c r="C10" i="34985"/>
  <c r="G10" i="34985"/>
  <c r="G11" i="34985" l="1"/>
  <c r="C11" i="34985"/>
  <c r="D11" i="34985"/>
  <c r="F11" i="34985"/>
  <c r="E11" i="34985"/>
  <c r="F12" i="34985" l="1"/>
  <c r="F13" i="34985" s="1"/>
  <c r="F14" i="34985" s="1"/>
  <c r="F15" i="34985" s="1"/>
  <c r="D12" i="34985"/>
  <c r="D13" i="34985" s="1"/>
  <c r="D14" i="34985" s="1"/>
  <c r="D15" i="34985" s="1"/>
  <c r="H11" i="34985"/>
  <c r="T11" i="35035" s="1"/>
  <c r="U11" i="35035" s="1"/>
  <c r="C12" i="34985"/>
  <c r="G12" i="34985"/>
  <c r="G13" i="34985" s="1"/>
  <c r="G14" i="34985" s="1"/>
  <c r="G15" i="34985" s="1"/>
  <c r="E12" i="34985"/>
  <c r="D16" i="34985" l="1"/>
  <c r="D17" i="34985" s="1"/>
  <c r="D18" i="34985" s="1"/>
  <c r="D19" i="34985" s="1"/>
  <c r="D20" i="34985" s="1"/>
  <c r="D21" i="34985" s="1"/>
  <c r="D22" i="34985" s="1"/>
  <c r="D23" i="34985" s="1"/>
  <c r="D24" i="34985" s="1"/>
  <c r="D25" i="34985" s="1"/>
  <c r="D26" i="34985" s="1"/>
  <c r="D27" i="34985" s="1"/>
  <c r="D28" i="34985" s="1"/>
  <c r="D29" i="34985" s="1"/>
  <c r="D30" i="34985" s="1"/>
  <c r="D31" i="34985" s="1"/>
  <c r="D32" i="34985" s="1"/>
  <c r="D33" i="34985" s="1"/>
  <c r="D34" i="34985" s="1"/>
  <c r="D35" i="34985" s="1"/>
  <c r="D36" i="34985" s="1"/>
  <c r="D37" i="34985" s="1"/>
  <c r="D38" i="34985" s="1"/>
  <c r="D39" i="34985" s="1"/>
  <c r="D40" i="34985" s="1"/>
  <c r="D41" i="34985" s="1"/>
  <c r="D42" i="34985" s="1"/>
  <c r="D43" i="34985" s="1"/>
  <c r="D44" i="34985" s="1"/>
  <c r="D45" i="34985" s="1"/>
  <c r="D46" i="34985" s="1"/>
  <c r="D47" i="34985" s="1"/>
  <c r="D48" i="34985" s="1"/>
  <c r="D49" i="34985" s="1"/>
  <c r="D50" i="34985" s="1"/>
  <c r="D51" i="34985" s="1"/>
  <c r="D52" i="34985" s="1"/>
  <c r="D53" i="34985" s="1"/>
  <c r="D54" i="34985" s="1"/>
  <c r="D55" i="34985" s="1"/>
  <c r="D56" i="34985" s="1"/>
  <c r="D57" i="34985" s="1"/>
  <c r="D58" i="34985" s="1"/>
  <c r="D59" i="34985" s="1"/>
  <c r="D60" i="34985" s="1"/>
  <c r="D61" i="34985" s="1"/>
  <c r="D62" i="34985" s="1"/>
  <c r="D63" i="34985" s="1"/>
  <c r="D64" i="34985" s="1"/>
  <c r="D65" i="34985" s="1"/>
  <c r="D66" i="34985" s="1"/>
  <c r="D67" i="34985" s="1"/>
  <c r="D68" i="34985" s="1"/>
  <c r="D69" i="34985" s="1"/>
  <c r="D70" i="34985" s="1"/>
  <c r="D71" i="34985" s="1"/>
  <c r="D72" i="34985" s="1"/>
  <c r="D73" i="34985" s="1"/>
  <c r="D74" i="34985" s="1"/>
  <c r="D75" i="34985" s="1"/>
  <c r="D76" i="34985" s="1"/>
  <c r="D77" i="34985" s="1"/>
  <c r="D78" i="34985" s="1"/>
  <c r="D79" i="34985" s="1"/>
  <c r="D80" i="34985" s="1"/>
  <c r="D81" i="34985" s="1"/>
  <c r="D82" i="34985" s="1"/>
  <c r="D83" i="34985" s="1"/>
  <c r="D84" i="34985" s="1"/>
  <c r="E13" i="34985"/>
  <c r="H12" i="34985"/>
  <c r="T12" i="35035" s="1"/>
  <c r="U12" i="35035" s="1"/>
  <c r="C13" i="34985"/>
  <c r="F16" i="34985"/>
  <c r="F17" i="34985" s="1"/>
  <c r="F18" i="34985" s="1"/>
  <c r="F19" i="34985" s="1"/>
  <c r="F20" i="34985" s="1"/>
  <c r="F21" i="34985" s="1"/>
  <c r="F22" i="34985" s="1"/>
  <c r="F23" i="34985" s="1"/>
  <c r="F24" i="34985" s="1"/>
  <c r="F25" i="34985" s="1"/>
  <c r="F26" i="34985" s="1"/>
  <c r="F27" i="34985" s="1"/>
  <c r="F28" i="34985" s="1"/>
  <c r="F29" i="34985" s="1"/>
  <c r="F30" i="34985" s="1"/>
  <c r="F31" i="34985" s="1"/>
  <c r="F32" i="34985" s="1"/>
  <c r="F33" i="34985" s="1"/>
  <c r="F34" i="34985" s="1"/>
  <c r="F35" i="34985" s="1"/>
  <c r="F36" i="34985" s="1"/>
  <c r="F37" i="34985" s="1"/>
  <c r="F38" i="34985" s="1"/>
  <c r="F39" i="34985" s="1"/>
  <c r="F40" i="34985" s="1"/>
  <c r="F41" i="34985" s="1"/>
  <c r="F42" i="34985" s="1"/>
  <c r="F43" i="34985" s="1"/>
  <c r="F44" i="34985" s="1"/>
  <c r="F45" i="34985" s="1"/>
  <c r="F46" i="34985" s="1"/>
  <c r="F47" i="34985" s="1"/>
  <c r="F48" i="34985" s="1"/>
  <c r="F49" i="34985" s="1"/>
  <c r="F50" i="34985" s="1"/>
  <c r="F51" i="34985" s="1"/>
  <c r="F52" i="34985" s="1"/>
  <c r="F53" i="34985" s="1"/>
  <c r="F54" i="34985" s="1"/>
  <c r="F55" i="34985" s="1"/>
  <c r="F56" i="34985" s="1"/>
  <c r="F57" i="34985" s="1"/>
  <c r="F58" i="34985" s="1"/>
  <c r="F59" i="34985" s="1"/>
  <c r="F60" i="34985" s="1"/>
  <c r="F61" i="34985" s="1"/>
  <c r="F62" i="34985" s="1"/>
  <c r="F63" i="34985" s="1"/>
  <c r="F64" i="34985" s="1"/>
  <c r="F65" i="34985" s="1"/>
  <c r="F66" i="34985" s="1"/>
  <c r="F67" i="34985" s="1"/>
  <c r="F68" i="34985" s="1"/>
  <c r="F69" i="34985" s="1"/>
  <c r="F70" i="34985" s="1"/>
  <c r="F71" i="34985" s="1"/>
  <c r="F72" i="34985" s="1"/>
  <c r="F73" i="34985" s="1"/>
  <c r="F74" i="34985" s="1"/>
  <c r="F75" i="34985" s="1"/>
  <c r="F76" i="34985" s="1"/>
  <c r="F77" i="34985" s="1"/>
  <c r="F78" i="34985" s="1"/>
  <c r="F79" i="34985" s="1"/>
  <c r="F80" i="34985" s="1"/>
  <c r="F81" i="34985" s="1"/>
  <c r="F82" i="34985" s="1"/>
  <c r="F83" i="34985" s="1"/>
  <c r="F84" i="34985" s="1"/>
  <c r="G16" i="34985"/>
  <c r="M89" i="35391" l="1" a="1"/>
  <c r="M89" i="35391" s="1"/>
  <c r="N89" i="35391" s="1"/>
  <c r="O89" i="35391" s="1"/>
  <c r="M87" i="35391" a="1"/>
  <c r="M87" i="35391" s="1"/>
  <c r="N87" i="35391" s="1"/>
  <c r="O87" i="35391" s="1"/>
  <c r="DN11" i="35036" a="1"/>
  <c r="DU11" i="35036" a="1"/>
  <c r="H13" i="34985"/>
  <c r="T13" i="35035" s="1"/>
  <c r="U13" i="35035" s="1"/>
  <c r="C14" i="34985"/>
  <c r="EU11" i="35036" a="1"/>
  <c r="EL11" i="35036" a="1"/>
  <c r="G17" i="34985"/>
  <c r="G18" i="34985" s="1"/>
  <c r="G19" i="34985" s="1"/>
  <c r="G20" i="34985" s="1"/>
  <c r="G21" i="34985" s="1"/>
  <c r="G22" i="34985" s="1"/>
  <c r="G23" i="34985" s="1"/>
  <c r="G24" i="34985" s="1"/>
  <c r="G25" i="34985" s="1"/>
  <c r="G26" i="34985" s="1"/>
  <c r="G27" i="34985" s="1"/>
  <c r="G28" i="34985" s="1"/>
  <c r="G29" i="34985" s="1"/>
  <c r="G30" i="34985" s="1"/>
  <c r="G31" i="34985" s="1"/>
  <c r="G32" i="34985" s="1"/>
  <c r="G33" i="34985" s="1"/>
  <c r="G34" i="34985" s="1"/>
  <c r="G35" i="34985" s="1"/>
  <c r="G36" i="34985" s="1"/>
  <c r="G37" i="34985" s="1"/>
  <c r="G38" i="34985" s="1"/>
  <c r="G39" i="34985" s="1"/>
  <c r="G40" i="34985" s="1"/>
  <c r="G41" i="34985" s="1"/>
  <c r="G42" i="34985" s="1"/>
  <c r="G43" i="34985" s="1"/>
  <c r="G44" i="34985" s="1"/>
  <c r="G45" i="34985" s="1"/>
  <c r="G46" i="34985" s="1"/>
  <c r="G47" i="34985" s="1"/>
  <c r="G48" i="34985" s="1"/>
  <c r="G49" i="34985" s="1"/>
  <c r="G50" i="34985" s="1"/>
  <c r="G51" i="34985" s="1"/>
  <c r="G52" i="34985" s="1"/>
  <c r="G53" i="34985" s="1"/>
  <c r="G54" i="34985" s="1"/>
  <c r="G55" i="34985" s="1"/>
  <c r="G56" i="34985" s="1"/>
  <c r="G57" i="34985" s="1"/>
  <c r="G58" i="34985" s="1"/>
  <c r="G59" i="34985" s="1"/>
  <c r="G60" i="34985" s="1"/>
  <c r="G61" i="34985" s="1"/>
  <c r="G62" i="34985" s="1"/>
  <c r="G63" i="34985" s="1"/>
  <c r="G64" i="34985" s="1"/>
  <c r="G65" i="34985" s="1"/>
  <c r="G66" i="34985" s="1"/>
  <c r="G67" i="34985" s="1"/>
  <c r="G68" i="34985" s="1"/>
  <c r="G69" i="34985" s="1"/>
  <c r="G70" i="34985" s="1"/>
  <c r="G71" i="34985" s="1"/>
  <c r="G72" i="34985" s="1"/>
  <c r="G73" i="34985" s="1"/>
  <c r="G74" i="34985" s="1"/>
  <c r="G75" i="34985" s="1"/>
  <c r="G76" i="34985" s="1"/>
  <c r="G77" i="34985" s="1"/>
  <c r="G78" i="34985" s="1"/>
  <c r="G79" i="34985" s="1"/>
  <c r="G80" i="34985" s="1"/>
  <c r="G81" i="34985" s="1"/>
  <c r="G82" i="34985" s="1"/>
  <c r="G83" i="34985" s="1"/>
  <c r="G84" i="34985" s="1"/>
  <c r="ES11" i="35036" a="1"/>
  <c r="E14" i="34985"/>
  <c r="DW11" i="35036" a="1"/>
  <c r="ET11" i="35036" a="1"/>
  <c r="DV11" i="35036" a="1"/>
  <c r="M90" i="35391" l="1" a="1"/>
  <c r="M90" i="35391" s="1"/>
  <c r="N90" i="35391" s="1"/>
  <c r="O90" i="35391" s="1"/>
  <c r="FG11" i="35036" a="1"/>
  <c r="FE11" i="35036" a="1"/>
  <c r="EL31" i="35036"/>
  <c r="EL84" i="35036"/>
  <c r="EL24" i="35036"/>
  <c r="EL81" i="35036"/>
  <c r="EL40" i="35036"/>
  <c r="EL77" i="35036"/>
  <c r="EL58" i="35036"/>
  <c r="EL64" i="35036"/>
  <c r="EL76" i="35036"/>
  <c r="EL53" i="35036"/>
  <c r="EL47" i="35036"/>
  <c r="EL68" i="35036"/>
  <c r="EL62" i="35036"/>
  <c r="EL70" i="35036"/>
  <c r="EL55" i="35036"/>
  <c r="EL51" i="35036"/>
  <c r="EL22" i="35036"/>
  <c r="EL33" i="35036"/>
  <c r="EL12" i="35036"/>
  <c r="EL72" i="35036"/>
  <c r="EL27" i="35036"/>
  <c r="EL63" i="35036"/>
  <c r="EL11" i="35036"/>
  <c r="EL39" i="35036"/>
  <c r="EL75" i="35036"/>
  <c r="EL50" i="35036"/>
  <c r="EL29" i="35036"/>
  <c r="EL48" i="35036"/>
  <c r="EL14" i="35036"/>
  <c r="EL69" i="35036"/>
  <c r="EL30" i="35036"/>
  <c r="EL78" i="35036"/>
  <c r="EL20" i="35036"/>
  <c r="EL65" i="35036"/>
  <c r="EL16" i="35036"/>
  <c r="EL74" i="35036"/>
  <c r="EL28" i="35036"/>
  <c r="EL25" i="35036"/>
  <c r="EL56" i="35036"/>
  <c r="EL82" i="35036"/>
  <c r="EL66" i="35036"/>
  <c r="EL43" i="35036"/>
  <c r="EL45" i="35036"/>
  <c r="EL52" i="35036"/>
  <c r="EL67" i="35036"/>
  <c r="EL23" i="35036"/>
  <c r="EL21" i="35036"/>
  <c r="EL46" i="35036"/>
  <c r="EL41" i="35036"/>
  <c r="EL44" i="35036"/>
  <c r="EL83" i="35036"/>
  <c r="EL15" i="35036"/>
  <c r="EL57" i="35036"/>
  <c r="EL61" i="35036"/>
  <c r="EL73" i="35036"/>
  <c r="EL13" i="35036"/>
  <c r="EL34" i="35036"/>
  <c r="EL71" i="35036"/>
  <c r="EL60" i="35036"/>
  <c r="EL49" i="35036"/>
  <c r="EL38" i="35036"/>
  <c r="EL79" i="35036"/>
  <c r="EL36" i="35036"/>
  <c r="EL35" i="35036"/>
  <c r="EL59" i="35036"/>
  <c r="EL80" i="35036"/>
  <c r="EL19" i="35036"/>
  <c r="EL54" i="35036"/>
  <c r="EL17" i="35036"/>
  <c r="EL26" i="35036"/>
  <c r="EL32" i="35036"/>
  <c r="EL37" i="35036"/>
  <c r="EL42" i="35036"/>
  <c r="EL18" i="35036"/>
  <c r="DV39" i="35036"/>
  <c r="DV21" i="35036"/>
  <c r="DV81" i="35036"/>
  <c r="DV18" i="35036"/>
  <c r="DV59" i="35036"/>
  <c r="DV50" i="35036"/>
  <c r="DV61" i="35036"/>
  <c r="DV38" i="35036"/>
  <c r="DV30" i="35036"/>
  <c r="DV27" i="35036"/>
  <c r="DV56" i="35036"/>
  <c r="DV49" i="35036"/>
  <c r="DV68" i="35036"/>
  <c r="DV65" i="35036"/>
  <c r="DV74" i="35036"/>
  <c r="DV43" i="35036"/>
  <c r="DV20" i="35036"/>
  <c r="DV11" i="35036"/>
  <c r="DV70" i="35036"/>
  <c r="DV53" i="35036"/>
  <c r="DV40" i="35036"/>
  <c r="DV67" i="35036"/>
  <c r="DV84" i="35036"/>
  <c r="DV23" i="35036"/>
  <c r="DV22" i="35036"/>
  <c r="DV13" i="35036"/>
  <c r="DV37" i="35036"/>
  <c r="DV64" i="35036"/>
  <c r="DV47" i="35036"/>
  <c r="DV73" i="35036"/>
  <c r="DV58" i="35036"/>
  <c r="DV57" i="35036"/>
  <c r="DV78" i="35036"/>
  <c r="DV33" i="35036"/>
  <c r="DV28" i="35036"/>
  <c r="DV15" i="35036"/>
  <c r="DV69" i="35036"/>
  <c r="DV44" i="35036"/>
  <c r="DV12" i="35036"/>
  <c r="DV31" i="35036"/>
  <c r="DV26" i="35036"/>
  <c r="DV19" i="35036"/>
  <c r="DV71" i="35036"/>
  <c r="DV52" i="35036"/>
  <c r="DV36" i="35036"/>
  <c r="DV72" i="35036"/>
  <c r="DV16" i="35036"/>
  <c r="DV60" i="35036"/>
  <c r="DV80" i="35036"/>
  <c r="DV62" i="35036"/>
  <c r="DV46" i="35036"/>
  <c r="DV54" i="35036"/>
  <c r="DV25" i="35036"/>
  <c r="DV83" i="35036"/>
  <c r="DV75" i="35036"/>
  <c r="DV63" i="35036"/>
  <c r="DV35" i="35036"/>
  <c r="DV17" i="35036"/>
  <c r="DV32" i="35036"/>
  <c r="DV34" i="35036"/>
  <c r="DV66" i="35036"/>
  <c r="DV41" i="35036"/>
  <c r="DV48" i="35036"/>
  <c r="DV42" i="35036"/>
  <c r="DV77" i="35036"/>
  <c r="DV24" i="35036"/>
  <c r="DV79" i="35036"/>
  <c r="DV51" i="35036"/>
  <c r="DV82" i="35036"/>
  <c r="DV55" i="35036"/>
  <c r="DV14" i="35036"/>
  <c r="DV76" i="35036"/>
  <c r="DV45" i="35036"/>
  <c r="DV29" i="35036"/>
  <c r="EU81" i="35036"/>
  <c r="EU77" i="35036"/>
  <c r="EU73" i="35036"/>
  <c r="EU78" i="35036"/>
  <c r="EU66" i="35036"/>
  <c r="EU51" i="35036"/>
  <c r="EU13" i="35036"/>
  <c r="EU48" i="35036"/>
  <c r="EU61" i="35036"/>
  <c r="EU45" i="35036"/>
  <c r="EU49" i="35036"/>
  <c r="EU44" i="35036"/>
  <c r="EU79" i="35036"/>
  <c r="EU60" i="35036"/>
  <c r="EU70" i="35036"/>
  <c r="EU67" i="35036"/>
  <c r="EU71" i="35036"/>
  <c r="EU39" i="35036"/>
  <c r="EU34" i="35036"/>
  <c r="EU27" i="35036"/>
  <c r="EU72" i="35036"/>
  <c r="EU35" i="35036"/>
  <c r="EU43" i="35036"/>
  <c r="EU84" i="35036"/>
  <c r="EU69" i="35036"/>
  <c r="EU30" i="35036"/>
  <c r="EU56" i="35036"/>
  <c r="EU74" i="35036"/>
  <c r="EU19" i="35036"/>
  <c r="EU59" i="35036"/>
  <c r="EU75" i="35036"/>
  <c r="EU31" i="35036"/>
  <c r="EU16" i="35036"/>
  <c r="EU29" i="35036"/>
  <c r="EU28" i="35036"/>
  <c r="EU37" i="35036"/>
  <c r="EU50" i="35036"/>
  <c r="EU17" i="35036"/>
  <c r="EU47" i="35036"/>
  <c r="EU26" i="35036"/>
  <c r="EU11" i="35036"/>
  <c r="EU82" i="35036"/>
  <c r="EU68" i="35036"/>
  <c r="EU21" i="35036"/>
  <c r="EU41" i="35036"/>
  <c r="EU33" i="35036"/>
  <c r="EU58" i="35036"/>
  <c r="EU22" i="35036"/>
  <c r="EU18" i="35036"/>
  <c r="EU40" i="35036"/>
  <c r="EU36" i="35036"/>
  <c r="EU57" i="35036"/>
  <c r="EU25" i="35036"/>
  <c r="EU54" i="35036"/>
  <c r="EU24" i="35036"/>
  <c r="EU42" i="35036"/>
  <c r="EU55" i="35036"/>
  <c r="EU32" i="35036"/>
  <c r="EU14" i="35036"/>
  <c r="EU23" i="35036"/>
  <c r="EU38" i="35036"/>
  <c r="EU12" i="35036"/>
  <c r="EU83" i="35036"/>
  <c r="EU65" i="35036"/>
  <c r="EU20" i="35036"/>
  <c r="EU15" i="35036"/>
  <c r="EU46" i="35036"/>
  <c r="EU80" i="35036"/>
  <c r="EU62" i="35036"/>
  <c r="EU64" i="35036"/>
  <c r="EU63" i="35036"/>
  <c r="EU53" i="35036"/>
  <c r="EU52" i="35036"/>
  <c r="EU76" i="35036"/>
  <c r="DW13" i="35036"/>
  <c r="DW73" i="35036"/>
  <c r="DW59" i="35036"/>
  <c r="DW27" i="35036"/>
  <c r="DW45" i="35036"/>
  <c r="DW16" i="35036"/>
  <c r="DW36" i="35036"/>
  <c r="DW76" i="35036"/>
  <c r="DW84" i="35036"/>
  <c r="DW38" i="35036"/>
  <c r="DW35" i="35036"/>
  <c r="DW71" i="35036"/>
  <c r="DW17" i="35036"/>
  <c r="DW82" i="35036"/>
  <c r="DW19" i="35036"/>
  <c r="DW37" i="35036"/>
  <c r="DW79" i="35036"/>
  <c r="DW81" i="35036"/>
  <c r="DW70" i="35036"/>
  <c r="DW26" i="35036"/>
  <c r="DW77" i="35036"/>
  <c r="DW65" i="35036"/>
  <c r="DW21" i="35036"/>
  <c r="DW43" i="35036"/>
  <c r="DW74" i="35036"/>
  <c r="DW61" i="35036"/>
  <c r="DW78" i="35036"/>
  <c r="DW66" i="35036"/>
  <c r="DW15" i="35036"/>
  <c r="DW20" i="35036"/>
  <c r="DW24" i="35036"/>
  <c r="DW54" i="35036"/>
  <c r="DW22" i="35036"/>
  <c r="DW46" i="35036"/>
  <c r="DW56" i="35036"/>
  <c r="DW63" i="35036"/>
  <c r="DW14" i="35036"/>
  <c r="DW68" i="35036"/>
  <c r="DW51" i="35036"/>
  <c r="DW34" i="35036"/>
  <c r="DW47" i="35036"/>
  <c r="DW53" i="35036"/>
  <c r="DW49" i="35036"/>
  <c r="DW28" i="35036"/>
  <c r="DW55" i="35036"/>
  <c r="DW39" i="35036"/>
  <c r="DW25" i="35036"/>
  <c r="DW72" i="35036"/>
  <c r="DW48" i="35036"/>
  <c r="DW30" i="35036"/>
  <c r="DW41" i="35036"/>
  <c r="DW12" i="35036"/>
  <c r="DW42" i="35036"/>
  <c r="DW50" i="35036"/>
  <c r="DW32" i="35036"/>
  <c r="DW29" i="35036"/>
  <c r="DW52" i="35036"/>
  <c r="DW33" i="35036"/>
  <c r="DW11" i="35036"/>
  <c r="DW57" i="35036"/>
  <c r="DW44" i="35036"/>
  <c r="DW67" i="35036"/>
  <c r="DW58" i="35036"/>
  <c r="DW80" i="35036"/>
  <c r="DW64" i="35036"/>
  <c r="DW18" i="35036"/>
  <c r="DW23" i="35036"/>
  <c r="DW60" i="35036"/>
  <c r="DW62" i="35036"/>
  <c r="DW69" i="35036"/>
  <c r="DW83" i="35036"/>
  <c r="DW40" i="35036"/>
  <c r="DW75" i="35036"/>
  <c r="DW31" i="35036"/>
  <c r="H14" i="34985"/>
  <c r="T14" i="35035" s="1"/>
  <c r="U14" i="35035" s="1"/>
  <c r="C15" i="34985"/>
  <c r="FF11" i="35036" a="1"/>
  <c r="DU56" i="35036"/>
  <c r="DU16" i="35036"/>
  <c r="DU41" i="35036"/>
  <c r="DU47" i="35036"/>
  <c r="DU32" i="35036"/>
  <c r="DU21" i="35036"/>
  <c r="DU67" i="35036"/>
  <c r="DU19" i="35036"/>
  <c r="DU29" i="35036"/>
  <c r="DU80" i="35036"/>
  <c r="DU54" i="35036"/>
  <c r="DU81" i="35036"/>
  <c r="DU70" i="35036"/>
  <c r="DU75" i="35036"/>
  <c r="DU20" i="35036"/>
  <c r="DU42" i="35036"/>
  <c r="DU55" i="35036"/>
  <c r="DU15" i="35036"/>
  <c r="DU59" i="35036"/>
  <c r="DU48" i="35036"/>
  <c r="DU60" i="35036"/>
  <c r="DU25" i="35036"/>
  <c r="DU40" i="35036"/>
  <c r="DU31" i="35036"/>
  <c r="DU82" i="35036"/>
  <c r="DU24" i="35036"/>
  <c r="DU45" i="35036"/>
  <c r="DU76" i="35036"/>
  <c r="DU51" i="35036"/>
  <c r="DU36" i="35036"/>
  <c r="DU37" i="35036"/>
  <c r="DU35" i="35036"/>
  <c r="DU64" i="35036"/>
  <c r="DU38" i="35036"/>
  <c r="DU84" i="35036"/>
  <c r="DU46" i="35036"/>
  <c r="DU14" i="35036"/>
  <c r="DU71" i="35036"/>
  <c r="DU68" i="35036"/>
  <c r="DU50" i="35036"/>
  <c r="DU83" i="35036"/>
  <c r="DU27" i="35036"/>
  <c r="DU12" i="35036"/>
  <c r="DU49" i="35036"/>
  <c r="DU22" i="35036"/>
  <c r="DU74" i="35036"/>
  <c r="DU18" i="35036"/>
  <c r="DU66" i="35036"/>
  <c r="DU30" i="35036"/>
  <c r="DU53" i="35036"/>
  <c r="DU33" i="35036"/>
  <c r="DU73" i="35036"/>
  <c r="DU57" i="35036"/>
  <c r="DU17" i="35036"/>
  <c r="DU39" i="35036"/>
  <c r="DU43" i="35036"/>
  <c r="DU63" i="35036"/>
  <c r="DU23" i="35036"/>
  <c r="DU34" i="35036"/>
  <c r="DU44" i="35036"/>
  <c r="DU69" i="35036"/>
  <c r="DU13" i="35036"/>
  <c r="DU72" i="35036"/>
  <c r="DU79" i="35036"/>
  <c r="DU77" i="35036"/>
  <c r="DU78" i="35036"/>
  <c r="DU61" i="35036"/>
  <c r="DU11" i="35036"/>
  <c r="DU65" i="35036"/>
  <c r="DU26" i="35036"/>
  <c r="DU28" i="35036"/>
  <c r="DU52" i="35036"/>
  <c r="DU58" i="35036"/>
  <c r="DU62" i="35036"/>
  <c r="ET19" i="35036"/>
  <c r="ET76" i="35036"/>
  <c r="ET61" i="35036"/>
  <c r="ET71" i="35036"/>
  <c r="ET22" i="35036"/>
  <c r="ET18" i="35036"/>
  <c r="ET69" i="35036"/>
  <c r="ET16" i="35036"/>
  <c r="ET27" i="35036"/>
  <c r="ET83" i="35036"/>
  <c r="ET64" i="35036"/>
  <c r="ET28" i="35036"/>
  <c r="ET47" i="35036"/>
  <c r="ET55" i="35036"/>
  <c r="ET42" i="35036"/>
  <c r="ET70" i="35036"/>
  <c r="ET45" i="35036"/>
  <c r="ET81" i="35036"/>
  <c r="ET44" i="35036"/>
  <c r="ET49" i="35036"/>
  <c r="ET48" i="35036"/>
  <c r="ET43" i="35036"/>
  <c r="ET66" i="35036"/>
  <c r="ET29" i="35036"/>
  <c r="ET13" i="35036"/>
  <c r="ET79" i="35036"/>
  <c r="ET17" i="35036"/>
  <c r="ET37" i="35036"/>
  <c r="ET80" i="35036"/>
  <c r="ET11" i="35036"/>
  <c r="ET65" i="35036"/>
  <c r="ET60" i="35036"/>
  <c r="ET62" i="35036"/>
  <c r="ET30" i="35036"/>
  <c r="ET39" i="35036"/>
  <c r="ET58" i="35036"/>
  <c r="ET59" i="35036"/>
  <c r="ET23" i="35036"/>
  <c r="ET24" i="35036"/>
  <c r="ET73" i="35036"/>
  <c r="ET32" i="35036"/>
  <c r="ET82" i="35036"/>
  <c r="ET40" i="35036"/>
  <c r="ET75" i="35036"/>
  <c r="ET74" i="35036"/>
  <c r="ET33" i="35036"/>
  <c r="ET21" i="35036"/>
  <c r="ET20" i="35036"/>
  <c r="ET63" i="35036"/>
  <c r="ET68" i="35036"/>
  <c r="ET57" i="35036"/>
  <c r="ET52" i="35036"/>
  <c r="ET53" i="35036"/>
  <c r="ET46" i="35036"/>
  <c r="ET31" i="35036"/>
  <c r="ET67" i="35036"/>
  <c r="ET14" i="35036"/>
  <c r="ET38" i="35036"/>
  <c r="ET50" i="35036"/>
  <c r="ET54" i="35036"/>
  <c r="ET84" i="35036"/>
  <c r="ET12" i="35036"/>
  <c r="ET56" i="35036"/>
  <c r="ET72" i="35036"/>
  <c r="ET15" i="35036"/>
  <c r="ET34" i="35036"/>
  <c r="ET26" i="35036"/>
  <c r="ET78" i="35036"/>
  <c r="ET51" i="35036"/>
  <c r="ET77" i="35036"/>
  <c r="ET41" i="35036"/>
  <c r="ET25" i="35036"/>
  <c r="ET36" i="35036"/>
  <c r="ET35" i="35036"/>
  <c r="E15" i="34985"/>
  <c r="DN80" i="35036"/>
  <c r="DN35" i="35036"/>
  <c r="DN25" i="35036"/>
  <c r="DN60" i="35036"/>
  <c r="DN57" i="35036"/>
  <c r="DN15" i="35036"/>
  <c r="DN45" i="35036"/>
  <c r="DN53" i="35036"/>
  <c r="DN62" i="35036"/>
  <c r="DN79" i="35036"/>
  <c r="DN70" i="35036"/>
  <c r="DN43" i="35036"/>
  <c r="DN22" i="35036"/>
  <c r="DN36" i="35036"/>
  <c r="DN56" i="35036"/>
  <c r="DN71" i="35036"/>
  <c r="DN39" i="35036"/>
  <c r="DN12" i="35036"/>
  <c r="DN77" i="35036"/>
  <c r="DN42" i="35036"/>
  <c r="DN66" i="35036"/>
  <c r="DN50" i="35036"/>
  <c r="DN17" i="35036"/>
  <c r="DN31" i="35036"/>
  <c r="DN69" i="35036"/>
  <c r="DN28" i="35036"/>
  <c r="DN83" i="35036"/>
  <c r="DN78" i="35036"/>
  <c r="DN19" i="35036"/>
  <c r="DN61" i="35036"/>
  <c r="DN75" i="35036"/>
  <c r="DN29" i="35036"/>
  <c r="DN51" i="35036"/>
  <c r="DN18" i="35036"/>
  <c r="DN73" i="35036"/>
  <c r="DN11" i="35036"/>
  <c r="DN63" i="35036"/>
  <c r="DN41" i="35036"/>
  <c r="DN54" i="35036"/>
  <c r="DN34" i="35036"/>
  <c r="DN47" i="35036"/>
  <c r="DN46" i="35036"/>
  <c r="DN13" i="35036"/>
  <c r="DN44" i="35036"/>
  <c r="DN40" i="35036"/>
  <c r="DN24" i="35036"/>
  <c r="DN64" i="35036"/>
  <c r="DN65" i="35036"/>
  <c r="DN74" i="35036"/>
  <c r="DN84" i="35036"/>
  <c r="DN49" i="35036"/>
  <c r="DN82" i="35036"/>
  <c r="DN38" i="35036"/>
  <c r="DN37" i="35036"/>
  <c r="DN76" i="35036"/>
  <c r="DN20" i="35036"/>
  <c r="DN68" i="35036"/>
  <c r="DN30" i="35036"/>
  <c r="DN67" i="35036"/>
  <c r="DN81" i="35036"/>
  <c r="DN14" i="35036"/>
  <c r="DN58" i="35036"/>
  <c r="DN32" i="35036"/>
  <c r="DN55" i="35036"/>
  <c r="DN16" i="35036"/>
  <c r="DN33" i="35036"/>
  <c r="DN52" i="35036"/>
  <c r="DN21" i="35036"/>
  <c r="DN48" i="35036"/>
  <c r="DN59" i="35036"/>
  <c r="DN26" i="35036"/>
  <c r="DN72" i="35036"/>
  <c r="DN27" i="35036"/>
  <c r="DN23" i="35036"/>
  <c r="ES36" i="35036"/>
  <c r="ES78" i="35036"/>
  <c r="ES75" i="35036"/>
  <c r="ES49" i="35036"/>
  <c r="ES71" i="35036"/>
  <c r="ES30" i="35036"/>
  <c r="ES28" i="35036"/>
  <c r="ES34" i="35036"/>
  <c r="ES79" i="35036"/>
  <c r="ES12" i="35036"/>
  <c r="ES45" i="35036"/>
  <c r="ES84" i="35036"/>
  <c r="ES52" i="35036"/>
  <c r="ES69" i="35036"/>
  <c r="ES70" i="35036"/>
  <c r="ES50" i="35036"/>
  <c r="ES74" i="35036"/>
  <c r="ES46" i="35036"/>
  <c r="ES11" i="35036"/>
  <c r="ES40" i="35036"/>
  <c r="ES65" i="35036"/>
  <c r="ES54" i="35036"/>
  <c r="ES63" i="35036"/>
  <c r="ES14" i="35036"/>
  <c r="ES13" i="35036"/>
  <c r="ES44" i="35036"/>
  <c r="ES73" i="35036"/>
  <c r="ES82" i="35036"/>
  <c r="ES17" i="35036"/>
  <c r="ES24" i="35036"/>
  <c r="ES25" i="35036"/>
  <c r="ES60" i="35036"/>
  <c r="ES51" i="35036"/>
  <c r="ES68" i="35036"/>
  <c r="ES61" i="35036"/>
  <c r="ES62" i="35036"/>
  <c r="ES58" i="35036"/>
  <c r="ES53" i="35036"/>
  <c r="ES27" i="35036"/>
  <c r="ES42" i="35036"/>
  <c r="ES56" i="35036"/>
  <c r="ES47" i="35036"/>
  <c r="ES15" i="35036"/>
  <c r="ES57" i="35036"/>
  <c r="ES66" i="35036"/>
  <c r="ES41" i="35036"/>
  <c r="ES37" i="35036"/>
  <c r="ES31" i="35036"/>
  <c r="ES19" i="35036"/>
  <c r="ES32" i="35036"/>
  <c r="ES23" i="35036"/>
  <c r="ES20" i="35036"/>
  <c r="ES48" i="35036"/>
  <c r="ES67" i="35036"/>
  <c r="ES16" i="35036"/>
  <c r="ES26" i="35036"/>
  <c r="ES18" i="35036"/>
  <c r="ES55" i="35036"/>
  <c r="ES22" i="35036"/>
  <c r="ES83" i="35036"/>
  <c r="ES35" i="35036"/>
  <c r="ES80" i="35036"/>
  <c r="ES81" i="35036"/>
  <c r="ES33" i="35036"/>
  <c r="ES64" i="35036"/>
  <c r="ES77" i="35036"/>
  <c r="ES21" i="35036"/>
  <c r="ES43" i="35036"/>
  <c r="ES39" i="35036"/>
  <c r="ES59" i="35036"/>
  <c r="ES72" i="35036"/>
  <c r="ES29" i="35036"/>
  <c r="ES38" i="35036"/>
  <c r="ES76" i="35036"/>
  <c r="EX11" i="35036" a="1"/>
  <c r="FF58" i="35036" l="1"/>
  <c r="FF32" i="35036"/>
  <c r="FF22" i="35036"/>
  <c r="FF11" i="35036"/>
  <c r="FF19" i="35036"/>
  <c r="FF72" i="35036"/>
  <c r="FF33" i="35036"/>
  <c r="FF36" i="35036"/>
  <c r="FF82" i="35036"/>
  <c r="FF48" i="35036"/>
  <c r="FF74" i="35036"/>
  <c r="FF25" i="35036"/>
  <c r="FF42" i="35036"/>
  <c r="FF47" i="35036"/>
  <c r="FF63" i="35036"/>
  <c r="FF66" i="35036"/>
  <c r="FF79" i="35036"/>
  <c r="FF21" i="35036"/>
  <c r="FF14" i="35036"/>
  <c r="FF49" i="35036"/>
  <c r="FF76" i="35036"/>
  <c r="FF64" i="35036"/>
  <c r="FF46" i="35036"/>
  <c r="FF57" i="35036"/>
  <c r="FF53" i="35036"/>
  <c r="FF26" i="35036"/>
  <c r="FF80" i="35036"/>
  <c r="FF68" i="35036"/>
  <c r="FF23" i="35036"/>
  <c r="FF71" i="35036"/>
  <c r="FF39" i="35036"/>
  <c r="FF13" i="35036"/>
  <c r="FF31" i="35036"/>
  <c r="FF60" i="35036"/>
  <c r="FF35" i="35036"/>
  <c r="FF30" i="35036"/>
  <c r="FF28" i="35036"/>
  <c r="FF84" i="35036"/>
  <c r="FF73" i="35036"/>
  <c r="FF40" i="35036"/>
  <c r="FF43" i="35036"/>
  <c r="FF62" i="35036"/>
  <c r="FF70" i="35036"/>
  <c r="FF81" i="35036"/>
  <c r="FF67" i="35036"/>
  <c r="FF54" i="35036"/>
  <c r="FF69" i="35036"/>
  <c r="FF18" i="35036"/>
  <c r="FF51" i="35036"/>
  <c r="FF37" i="35036"/>
  <c r="FF59" i="35036"/>
  <c r="FF75" i="35036"/>
  <c r="FF78" i="35036"/>
  <c r="FF34" i="35036"/>
  <c r="FF61" i="35036"/>
  <c r="FF17" i="35036"/>
  <c r="FF44" i="35036"/>
  <c r="FF24" i="35036"/>
  <c r="FF50" i="35036"/>
  <c r="FF41" i="35036"/>
  <c r="FF12" i="35036"/>
  <c r="FF56" i="35036"/>
  <c r="FF65" i="35036"/>
  <c r="FF15" i="35036"/>
  <c r="FF16" i="35036"/>
  <c r="FF38" i="35036"/>
  <c r="FF27" i="35036"/>
  <c r="FF52" i="35036"/>
  <c r="FF45" i="35036"/>
  <c r="FF20" i="35036"/>
  <c r="FF77" i="35036"/>
  <c r="FF83" i="35036"/>
  <c r="FF55" i="35036"/>
  <c r="FF29" i="35036"/>
  <c r="E16" i="34985"/>
  <c r="H15" i="34985"/>
  <c r="C16" i="34985"/>
  <c r="DP11" i="35036" a="1"/>
  <c r="EX74" i="35036"/>
  <c r="EX75" i="35036"/>
  <c r="EX84" i="35036"/>
  <c r="EX81" i="35036"/>
  <c r="EX19" i="35036"/>
  <c r="EX14" i="35036"/>
  <c r="EX80" i="35036"/>
  <c r="EX21" i="35036"/>
  <c r="EX64" i="35036"/>
  <c r="EX46" i="35036"/>
  <c r="EX69" i="35036"/>
  <c r="EX65" i="35036"/>
  <c r="EX27" i="35036"/>
  <c r="EX17" i="35036"/>
  <c r="EX34" i="35036"/>
  <c r="EX58" i="35036"/>
  <c r="EX66" i="35036"/>
  <c r="EX79" i="35036"/>
  <c r="EX54" i="35036"/>
  <c r="EX67" i="35036"/>
  <c r="EX49" i="35036"/>
  <c r="EX37" i="35036"/>
  <c r="EX61" i="35036"/>
  <c r="EX12" i="35036"/>
  <c r="EX73" i="35036"/>
  <c r="EX56" i="35036"/>
  <c r="EX59" i="35036"/>
  <c r="EX44" i="35036"/>
  <c r="EX39" i="35036"/>
  <c r="EX53" i="35036"/>
  <c r="EX38" i="35036"/>
  <c r="EX52" i="35036"/>
  <c r="EX11" i="35036"/>
  <c r="EX13" i="35036"/>
  <c r="EX76" i="35036"/>
  <c r="EX29" i="35036"/>
  <c r="EX22" i="35036"/>
  <c r="EX55" i="35036"/>
  <c r="EX57" i="35036"/>
  <c r="EX16" i="35036"/>
  <c r="EX23" i="35036"/>
  <c r="EX15" i="35036"/>
  <c r="EX63" i="35036"/>
  <c r="EX60" i="35036"/>
  <c r="EX33" i="35036"/>
  <c r="EX83" i="35036"/>
  <c r="EX77" i="35036"/>
  <c r="EX82" i="35036"/>
  <c r="EX18" i="35036"/>
  <c r="EX51" i="35036"/>
  <c r="EX45" i="35036"/>
  <c r="EX41" i="35036"/>
  <c r="EX40" i="35036"/>
  <c r="EX78" i="35036"/>
  <c r="EX36" i="35036"/>
  <c r="EX68" i="35036"/>
  <c r="EX71" i="35036"/>
  <c r="EX70" i="35036"/>
  <c r="EX43" i="35036"/>
  <c r="EX42" i="35036"/>
  <c r="EX35" i="35036"/>
  <c r="EX32" i="35036"/>
  <c r="EX24" i="35036"/>
  <c r="EX28" i="35036"/>
  <c r="EX25" i="35036"/>
  <c r="EX26" i="35036"/>
  <c r="EX30" i="35036"/>
  <c r="EX20" i="35036"/>
  <c r="EX47" i="35036"/>
  <c r="EX31" i="35036"/>
  <c r="EX48" i="35036"/>
  <c r="EX72" i="35036"/>
  <c r="EX50" i="35036"/>
  <c r="EX62" i="35036"/>
  <c r="FE27" i="35036"/>
  <c r="FE28" i="35036"/>
  <c r="FE37" i="35036"/>
  <c r="FE20" i="35036"/>
  <c r="FE67" i="35036"/>
  <c r="FE12" i="35036"/>
  <c r="FE83" i="35036"/>
  <c r="FE53" i="35036"/>
  <c r="FE42" i="35036"/>
  <c r="FE77" i="35036"/>
  <c r="FE74" i="35036"/>
  <c r="FE80" i="35036"/>
  <c r="FE79" i="35036"/>
  <c r="FE50" i="35036"/>
  <c r="FE48" i="35036"/>
  <c r="FE58" i="35036"/>
  <c r="FE49" i="35036"/>
  <c r="FE11" i="35036"/>
  <c r="FE64" i="35036"/>
  <c r="FE44" i="35036"/>
  <c r="FE47" i="35036"/>
  <c r="FE75" i="35036"/>
  <c r="FE17" i="35036"/>
  <c r="FE71" i="35036"/>
  <c r="FE36" i="35036"/>
  <c r="FE21" i="35036"/>
  <c r="FE33" i="35036"/>
  <c r="FE31" i="35036"/>
  <c r="FE43" i="35036"/>
  <c r="FE39" i="35036"/>
  <c r="FE40" i="35036"/>
  <c r="FE19" i="35036"/>
  <c r="FE60" i="35036"/>
  <c r="FE66" i="35036"/>
  <c r="FE55" i="35036"/>
  <c r="FE41" i="35036"/>
  <c r="FE73" i="35036"/>
  <c r="FE63" i="35036"/>
  <c r="FE15" i="35036"/>
  <c r="FE68" i="35036"/>
  <c r="FE69" i="35036"/>
  <c r="FE29" i="35036"/>
  <c r="FE51" i="35036"/>
  <c r="FE30" i="35036"/>
  <c r="FE65" i="35036"/>
  <c r="FE84" i="35036"/>
  <c r="FE46" i="35036"/>
  <c r="FE24" i="35036"/>
  <c r="FE52" i="35036"/>
  <c r="FE62" i="35036"/>
  <c r="FE82" i="35036"/>
  <c r="FE45" i="35036"/>
  <c r="FE61" i="35036"/>
  <c r="FE22" i="35036"/>
  <c r="FE14" i="35036"/>
  <c r="FE23" i="35036"/>
  <c r="FE34" i="35036"/>
  <c r="FE38" i="35036"/>
  <c r="FE25" i="35036"/>
  <c r="FE13" i="35036"/>
  <c r="FE59" i="35036"/>
  <c r="FE26" i="35036"/>
  <c r="FE56" i="35036"/>
  <c r="FE78" i="35036"/>
  <c r="FE81" i="35036"/>
  <c r="FE35" i="35036"/>
  <c r="FE76" i="35036"/>
  <c r="FE32" i="35036"/>
  <c r="FE54" i="35036"/>
  <c r="FE18" i="35036"/>
  <c r="FE70" i="35036"/>
  <c r="FE57" i="35036"/>
  <c r="FE16" i="35036"/>
  <c r="FE72" i="35036"/>
  <c r="FG77" i="35036"/>
  <c r="FG54" i="35036"/>
  <c r="FG37" i="35036"/>
  <c r="FG63" i="35036"/>
  <c r="FG61" i="35036"/>
  <c r="FG66" i="35036"/>
  <c r="FG14" i="35036"/>
  <c r="FG79" i="35036"/>
  <c r="FG18" i="35036"/>
  <c r="FG35" i="35036"/>
  <c r="FG49" i="35036"/>
  <c r="FG11" i="35036"/>
  <c r="FG38" i="35036"/>
  <c r="FG70" i="35036"/>
  <c r="FG64" i="35036"/>
  <c r="FG58" i="35036"/>
  <c r="FG22" i="35036"/>
  <c r="FG51" i="35036"/>
  <c r="FG72" i="35036"/>
  <c r="FG25" i="35036"/>
  <c r="FG68" i="35036"/>
  <c r="FG39" i="35036"/>
  <c r="FG19" i="35036"/>
  <c r="FG17" i="35036"/>
  <c r="FG44" i="35036"/>
  <c r="FG83" i="35036"/>
  <c r="FG16" i="35036"/>
  <c r="FG69" i="35036"/>
  <c r="FG36" i="35036"/>
  <c r="FG80" i="35036"/>
  <c r="FG43" i="35036"/>
  <c r="FG28" i="35036"/>
  <c r="FG50" i="35036"/>
  <c r="FG30" i="35036"/>
  <c r="FG29" i="35036"/>
  <c r="FG27" i="35036"/>
  <c r="FG71" i="35036"/>
  <c r="FG15" i="35036"/>
  <c r="FG81" i="35036"/>
  <c r="FG76" i="35036"/>
  <c r="FG33" i="35036"/>
  <c r="FG73" i="35036"/>
  <c r="FG65" i="35036"/>
  <c r="FG78" i="35036"/>
  <c r="FG84" i="35036"/>
  <c r="FG52" i="35036"/>
  <c r="FG47" i="35036"/>
  <c r="FG57" i="35036"/>
  <c r="FG55" i="35036"/>
  <c r="FG13" i="35036"/>
  <c r="FG41" i="35036"/>
  <c r="FG60" i="35036"/>
  <c r="FG56" i="35036"/>
  <c r="FG23" i="35036"/>
  <c r="FG40" i="35036"/>
  <c r="FG32" i="35036"/>
  <c r="FG75" i="35036"/>
  <c r="FG45" i="35036"/>
  <c r="FG34" i="35036"/>
  <c r="FG26" i="35036"/>
  <c r="FG46" i="35036"/>
  <c r="FG53" i="35036"/>
  <c r="FG21" i="35036"/>
  <c r="FG59" i="35036"/>
  <c r="FG24" i="35036"/>
  <c r="FG67" i="35036"/>
  <c r="FG42" i="35036"/>
  <c r="FG20" i="35036"/>
  <c r="FG12" i="35036"/>
  <c r="FG74" i="35036"/>
  <c r="FG48" i="35036"/>
  <c r="FG82" i="35036"/>
  <c r="FG62" i="35036"/>
  <c r="FG31" i="35036"/>
  <c r="EN11" i="35036" a="1"/>
  <c r="H16" i="34985" l="1"/>
  <c r="T16" i="35035" s="1"/>
  <c r="U16" i="35035" s="1"/>
  <c r="C17" i="34985"/>
  <c r="T15" i="35035"/>
  <c r="U15" i="35035" s="1"/>
  <c r="E17" i="34985"/>
  <c r="EZ11" i="35036" a="1"/>
  <c r="EN25" i="35036"/>
  <c r="EN32" i="35036"/>
  <c r="EN21" i="35036"/>
  <c r="EN24" i="35036"/>
  <c r="EN36" i="35036"/>
  <c r="EN57" i="35036"/>
  <c r="EN70" i="35036"/>
  <c r="EN59" i="35036"/>
  <c r="EN73" i="35036"/>
  <c r="EN83" i="35036"/>
  <c r="EN18" i="35036"/>
  <c r="EN82" i="35036"/>
  <c r="EN63" i="35036"/>
  <c r="EN60" i="35036"/>
  <c r="EN15" i="35036"/>
  <c r="EN38" i="35036"/>
  <c r="EN45" i="35036"/>
  <c r="EN62" i="35036"/>
  <c r="EN68" i="35036"/>
  <c r="EN42" i="35036"/>
  <c r="EN13" i="35036"/>
  <c r="EN37" i="35036"/>
  <c r="EN84" i="35036"/>
  <c r="EN23" i="35036"/>
  <c r="EN17" i="35036"/>
  <c r="EN67" i="35036"/>
  <c r="EN39" i="35036"/>
  <c r="EN31" i="35036"/>
  <c r="EN53" i="35036"/>
  <c r="EN65" i="35036"/>
  <c r="EN47" i="35036"/>
  <c r="EN44" i="35036"/>
  <c r="EN41" i="35036"/>
  <c r="EN27" i="35036"/>
  <c r="EN54" i="35036"/>
  <c r="EN43" i="35036"/>
  <c r="EN46" i="35036"/>
  <c r="EN34" i="35036"/>
  <c r="EN49" i="35036"/>
  <c r="EN72" i="35036"/>
  <c r="EN58" i="35036"/>
  <c r="EN71" i="35036"/>
  <c r="EN52" i="35036"/>
  <c r="EN33" i="35036"/>
  <c r="EN76" i="35036"/>
  <c r="EN28" i="35036"/>
  <c r="EN48" i="35036"/>
  <c r="EN30" i="35036"/>
  <c r="EN16" i="35036"/>
  <c r="EN66" i="35036"/>
  <c r="EN69" i="35036"/>
  <c r="EN35" i="35036"/>
  <c r="EN61" i="35036"/>
  <c r="EN78" i="35036"/>
  <c r="EN74" i="35036"/>
  <c r="EN29" i="35036"/>
  <c r="EN75" i="35036"/>
  <c r="EN14" i="35036"/>
  <c r="EN77" i="35036"/>
  <c r="EN56" i="35036"/>
  <c r="EN22" i="35036"/>
  <c r="EN80" i="35036"/>
  <c r="EN81" i="35036"/>
  <c r="EN40" i="35036"/>
  <c r="EN64" i="35036"/>
  <c r="EN50" i="35036"/>
  <c r="EN51" i="35036"/>
  <c r="EN79" i="35036"/>
  <c r="EN26" i="35036"/>
  <c r="EN55" i="35036"/>
  <c r="EN19" i="35036"/>
  <c r="EN11" i="35036"/>
  <c r="EN20" i="35036"/>
  <c r="EN12" i="35036"/>
  <c r="DP64" i="35036"/>
  <c r="DP69" i="35036"/>
  <c r="DP51" i="35036"/>
  <c r="DP29" i="35036"/>
  <c r="DP66" i="35036"/>
  <c r="DP77" i="35036"/>
  <c r="DP67" i="35036"/>
  <c r="DP18" i="35036"/>
  <c r="DP30" i="35036"/>
  <c r="DP27" i="35036"/>
  <c r="DP54" i="35036"/>
  <c r="DP50" i="35036"/>
  <c r="DP56" i="35036"/>
  <c r="DP65" i="35036"/>
  <c r="DP36" i="35036"/>
  <c r="DP26" i="35036"/>
  <c r="DP22" i="35036"/>
  <c r="DP42" i="35036"/>
  <c r="DP81" i="35036"/>
  <c r="DP41" i="35036"/>
  <c r="DP34" i="35036"/>
  <c r="DP58" i="35036"/>
  <c r="DP44" i="35036"/>
  <c r="DP63" i="35036"/>
  <c r="DP82" i="35036"/>
  <c r="DP17" i="35036"/>
  <c r="DP72" i="35036"/>
  <c r="DP32" i="35036"/>
  <c r="DP75" i="35036"/>
  <c r="DP38" i="35036"/>
  <c r="DP83" i="35036"/>
  <c r="DP13" i="35036"/>
  <c r="DP57" i="35036"/>
  <c r="DP19" i="35036"/>
  <c r="DP46" i="35036"/>
  <c r="DP24" i="35036"/>
  <c r="DP15" i="35036"/>
  <c r="DP59" i="35036"/>
  <c r="DP39" i="35036"/>
  <c r="DP53" i="35036"/>
  <c r="DP52" i="35036"/>
  <c r="DP74" i="35036"/>
  <c r="DP62" i="35036"/>
  <c r="DP47" i="35036"/>
  <c r="DP28" i="35036"/>
  <c r="DP20" i="35036"/>
  <c r="DP60" i="35036"/>
  <c r="DP73" i="35036"/>
  <c r="DP11" i="35036"/>
  <c r="DP25" i="35036"/>
  <c r="DP37" i="35036"/>
  <c r="DP12" i="35036"/>
  <c r="DP61" i="35036"/>
  <c r="DP71" i="35036"/>
  <c r="DP84" i="35036"/>
  <c r="DP78" i="35036"/>
  <c r="DP35" i="35036"/>
  <c r="DP31" i="35036"/>
  <c r="DP21" i="35036"/>
  <c r="DP76" i="35036"/>
  <c r="DP80" i="35036"/>
  <c r="DP43" i="35036"/>
  <c r="DP45" i="35036"/>
  <c r="DP79" i="35036"/>
  <c r="DP70" i="35036"/>
  <c r="DP40" i="35036"/>
  <c r="DP48" i="35036"/>
  <c r="DP14" i="35036"/>
  <c r="DP16" i="35036"/>
  <c r="DP23" i="35036"/>
  <c r="DP49" i="35036"/>
  <c r="DP55" i="35036"/>
  <c r="DP68" i="35036"/>
  <c r="DP33" i="35036"/>
  <c r="EZ54" i="35036" l="1"/>
  <c r="EZ35" i="35036"/>
  <c r="EZ37" i="35036"/>
  <c r="EZ75" i="35036"/>
  <c r="EZ36" i="35036"/>
  <c r="EZ60" i="35036"/>
  <c r="EZ67" i="35036"/>
  <c r="EZ68" i="35036"/>
  <c r="EZ13" i="35036"/>
  <c r="EZ25" i="35036"/>
  <c r="EZ29" i="35036"/>
  <c r="EZ30" i="35036"/>
  <c r="EZ69" i="35036"/>
  <c r="EZ77" i="35036"/>
  <c r="EZ55" i="35036"/>
  <c r="EZ80" i="35036"/>
  <c r="EZ44" i="35036"/>
  <c r="EZ39" i="35036"/>
  <c r="EZ14" i="35036"/>
  <c r="EZ18" i="35036"/>
  <c r="EZ83" i="35036"/>
  <c r="EZ40" i="35036"/>
  <c r="EZ17" i="35036"/>
  <c r="EZ84" i="35036"/>
  <c r="EZ26" i="35036"/>
  <c r="EZ11" i="35036"/>
  <c r="EZ33" i="35036"/>
  <c r="EZ50" i="35036"/>
  <c r="EZ49" i="35036"/>
  <c r="EZ70" i="35036"/>
  <c r="EZ52" i="35036"/>
  <c r="EZ71" i="35036"/>
  <c r="EZ45" i="35036"/>
  <c r="EZ63" i="35036"/>
  <c r="EZ72" i="35036"/>
  <c r="EZ16" i="35036"/>
  <c r="EZ58" i="35036"/>
  <c r="EZ28" i="35036"/>
  <c r="EZ22" i="35036"/>
  <c r="EZ81" i="35036"/>
  <c r="EZ42" i="35036"/>
  <c r="EZ64" i="35036"/>
  <c r="EZ79" i="35036"/>
  <c r="EZ21" i="35036"/>
  <c r="EZ74" i="35036"/>
  <c r="EZ43" i="35036"/>
  <c r="EZ66" i="35036"/>
  <c r="EZ12" i="35036"/>
  <c r="EZ76" i="35036"/>
  <c r="EZ46" i="35036"/>
  <c r="EZ62" i="35036"/>
  <c r="EZ34" i="35036"/>
  <c r="EZ48" i="35036"/>
  <c r="EZ51" i="35036"/>
  <c r="EZ78" i="35036"/>
  <c r="EZ56" i="35036"/>
  <c r="EZ41" i="35036"/>
  <c r="EZ61" i="35036"/>
  <c r="EZ31" i="35036"/>
  <c r="EZ32" i="35036"/>
  <c r="EZ57" i="35036"/>
  <c r="EZ24" i="35036"/>
  <c r="EZ23" i="35036"/>
  <c r="EZ59" i="35036"/>
  <c r="EZ15" i="35036"/>
  <c r="EZ38" i="35036"/>
  <c r="EZ73" i="35036"/>
  <c r="EZ20" i="35036"/>
  <c r="EZ53" i="35036"/>
  <c r="EZ19" i="35036"/>
  <c r="EZ65" i="35036"/>
  <c r="EZ27" i="35036"/>
  <c r="EZ82" i="35036"/>
  <c r="EZ47" i="35036"/>
  <c r="E18" i="34985"/>
  <c r="DS11" i="35036" a="1"/>
  <c r="DR11" i="35036" a="1"/>
  <c r="DQ11" i="35036" a="1"/>
  <c r="H17" i="34985"/>
  <c r="C18" i="34985"/>
  <c r="EQ11" i="35036" a="1"/>
  <c r="EP11" i="35036" a="1"/>
  <c r="EO11" i="35036" a="1"/>
  <c r="T17" i="35035" l="1"/>
  <c r="U17" i="35035" s="1"/>
  <c r="DQ56" i="35036"/>
  <c r="DQ81" i="35036"/>
  <c r="DQ59" i="35036"/>
  <c r="DQ80" i="35036"/>
  <c r="DQ37" i="35036"/>
  <c r="DQ54" i="35036"/>
  <c r="DQ68" i="35036"/>
  <c r="DQ45" i="35036"/>
  <c r="DQ17" i="35036"/>
  <c r="DQ75" i="35036"/>
  <c r="DQ76" i="35036"/>
  <c r="DQ38" i="35036"/>
  <c r="DQ42" i="35036"/>
  <c r="DQ55" i="35036"/>
  <c r="DQ15" i="35036"/>
  <c r="DQ14" i="35036"/>
  <c r="DQ29" i="35036"/>
  <c r="DQ49" i="35036"/>
  <c r="DQ46" i="35036"/>
  <c r="DQ57" i="35036"/>
  <c r="DQ33" i="35036"/>
  <c r="DQ79" i="35036"/>
  <c r="DQ77" i="35036"/>
  <c r="DQ51" i="35036"/>
  <c r="DQ25" i="35036"/>
  <c r="DQ84" i="35036"/>
  <c r="DQ31" i="35036"/>
  <c r="DQ11" i="35036"/>
  <c r="DQ30" i="35036"/>
  <c r="DQ19" i="35036"/>
  <c r="DQ72" i="35036"/>
  <c r="DQ44" i="35036"/>
  <c r="DQ65" i="35036"/>
  <c r="DQ43" i="35036"/>
  <c r="DQ73" i="35036"/>
  <c r="DQ70" i="35036"/>
  <c r="DQ82" i="35036"/>
  <c r="DQ66" i="35036"/>
  <c r="DQ32" i="35036"/>
  <c r="DQ63" i="35036"/>
  <c r="DQ58" i="35036"/>
  <c r="DQ28" i="35036"/>
  <c r="DQ24" i="35036"/>
  <c r="DQ64" i="35036"/>
  <c r="DQ23" i="35036"/>
  <c r="DQ50" i="35036"/>
  <c r="DQ35" i="35036"/>
  <c r="DQ69" i="35036"/>
  <c r="DQ67" i="35036"/>
  <c r="DQ18" i="35036"/>
  <c r="DQ71" i="35036"/>
  <c r="DQ48" i="35036"/>
  <c r="DQ62" i="35036"/>
  <c r="DQ52" i="35036"/>
  <c r="DQ20" i="35036"/>
  <c r="DQ47" i="35036"/>
  <c r="DQ61" i="35036"/>
  <c r="DQ16" i="35036"/>
  <c r="DQ26" i="35036"/>
  <c r="DQ36" i="35036"/>
  <c r="DQ60" i="35036"/>
  <c r="DQ83" i="35036"/>
  <c r="DQ40" i="35036"/>
  <c r="DQ27" i="35036"/>
  <c r="DQ39" i="35036"/>
  <c r="DQ12" i="35036"/>
  <c r="DQ74" i="35036"/>
  <c r="DQ13" i="35036"/>
  <c r="DQ34" i="35036"/>
  <c r="DQ21" i="35036"/>
  <c r="DQ78" i="35036"/>
  <c r="DQ22" i="35036"/>
  <c r="DQ53" i="35036"/>
  <c r="DQ41" i="35036"/>
  <c r="DR54" i="35036"/>
  <c r="DR69" i="35036"/>
  <c r="DR44" i="35036"/>
  <c r="DR45" i="35036"/>
  <c r="DR14" i="35036"/>
  <c r="DR24" i="35036"/>
  <c r="DR32" i="35036"/>
  <c r="DR53" i="35036"/>
  <c r="DR73" i="35036"/>
  <c r="DR18" i="35036"/>
  <c r="DR47" i="35036"/>
  <c r="DR42" i="35036"/>
  <c r="DR37" i="35036"/>
  <c r="DR59" i="35036"/>
  <c r="DR79" i="35036"/>
  <c r="DR33" i="35036"/>
  <c r="DR81" i="35036"/>
  <c r="DR15" i="35036"/>
  <c r="DR36" i="35036"/>
  <c r="DR21" i="35036"/>
  <c r="DR77" i="35036"/>
  <c r="DR13" i="35036"/>
  <c r="DR75" i="35036"/>
  <c r="DR34" i="35036"/>
  <c r="DR61" i="35036"/>
  <c r="DR57" i="35036"/>
  <c r="DR16" i="35036"/>
  <c r="DR80" i="35036"/>
  <c r="DR72" i="35036"/>
  <c r="DR66" i="35036"/>
  <c r="DR35" i="35036"/>
  <c r="DR50" i="35036"/>
  <c r="DR31" i="35036"/>
  <c r="DR52" i="35036"/>
  <c r="DR28" i="35036"/>
  <c r="DR70" i="35036"/>
  <c r="DR84" i="35036"/>
  <c r="DR48" i="35036"/>
  <c r="DR49" i="35036"/>
  <c r="DR63" i="35036"/>
  <c r="DR30" i="35036"/>
  <c r="DR62" i="35036"/>
  <c r="DR27" i="35036"/>
  <c r="DR41" i="35036"/>
  <c r="DR22" i="35036"/>
  <c r="DR25" i="35036"/>
  <c r="DR51" i="35036"/>
  <c r="DR23" i="35036"/>
  <c r="DR67" i="35036"/>
  <c r="DR11" i="35036"/>
  <c r="DR38" i="35036"/>
  <c r="DR68" i="35036"/>
  <c r="DR74" i="35036"/>
  <c r="DR83" i="35036"/>
  <c r="DR78" i="35036"/>
  <c r="DR12" i="35036"/>
  <c r="DR29" i="35036"/>
  <c r="DR82" i="35036"/>
  <c r="DR40" i="35036"/>
  <c r="DR64" i="35036"/>
  <c r="DR46" i="35036"/>
  <c r="DR76" i="35036"/>
  <c r="DR71" i="35036"/>
  <c r="DR60" i="35036"/>
  <c r="DR58" i="35036"/>
  <c r="DR39" i="35036"/>
  <c r="DR56" i="35036"/>
  <c r="DR19" i="35036"/>
  <c r="DR43" i="35036"/>
  <c r="DR65" i="35036"/>
  <c r="DR20" i="35036"/>
  <c r="DR17" i="35036"/>
  <c r="DR55" i="35036"/>
  <c r="DR26" i="35036"/>
  <c r="DS59" i="35036"/>
  <c r="DS32" i="35036"/>
  <c r="DS78" i="35036"/>
  <c r="DS39" i="35036"/>
  <c r="DS49" i="35036"/>
  <c r="DS65" i="35036"/>
  <c r="DS26" i="35036"/>
  <c r="DS68" i="35036"/>
  <c r="DS37" i="35036"/>
  <c r="DS47" i="35036"/>
  <c r="DS41" i="35036"/>
  <c r="DS34" i="35036"/>
  <c r="DS57" i="35036"/>
  <c r="DS38" i="35036"/>
  <c r="DS61" i="35036"/>
  <c r="DS14" i="35036"/>
  <c r="DS11" i="35036"/>
  <c r="DS35" i="35036"/>
  <c r="DS15" i="35036"/>
  <c r="DS79" i="35036"/>
  <c r="DS22" i="35036"/>
  <c r="DS28" i="35036"/>
  <c r="DS74" i="35036"/>
  <c r="DS23" i="35036"/>
  <c r="DS55" i="35036"/>
  <c r="DS62" i="35036"/>
  <c r="DS12" i="35036"/>
  <c r="DS56" i="35036"/>
  <c r="DS51" i="35036"/>
  <c r="DS40" i="35036"/>
  <c r="DS73" i="35036"/>
  <c r="DS33" i="35036"/>
  <c r="DS75" i="35036"/>
  <c r="DS48" i="35036"/>
  <c r="DS82" i="35036"/>
  <c r="DS70" i="35036"/>
  <c r="DS64" i="35036"/>
  <c r="DS53" i="35036"/>
  <c r="DS25" i="35036"/>
  <c r="DS13" i="35036"/>
  <c r="DS31" i="35036"/>
  <c r="DS36" i="35036"/>
  <c r="DS83" i="35036"/>
  <c r="DS77" i="35036"/>
  <c r="DS43" i="35036"/>
  <c r="DS21" i="35036"/>
  <c r="DS44" i="35036"/>
  <c r="DS67" i="35036"/>
  <c r="DS72" i="35036"/>
  <c r="DS17" i="35036"/>
  <c r="DS30" i="35036"/>
  <c r="DS69" i="35036"/>
  <c r="DS58" i="35036"/>
  <c r="DS80" i="35036"/>
  <c r="DS52" i="35036"/>
  <c r="DS81" i="35036"/>
  <c r="DS19" i="35036"/>
  <c r="DS76" i="35036"/>
  <c r="DS66" i="35036"/>
  <c r="DS16" i="35036"/>
  <c r="DS42" i="35036"/>
  <c r="DS46" i="35036"/>
  <c r="DS29" i="35036"/>
  <c r="DS18" i="35036"/>
  <c r="DS71" i="35036"/>
  <c r="DS50" i="35036"/>
  <c r="DS24" i="35036"/>
  <c r="DS20" i="35036"/>
  <c r="DS45" i="35036"/>
  <c r="DS84" i="35036"/>
  <c r="DS60" i="35036"/>
  <c r="DS54" i="35036"/>
  <c r="DS27" i="35036"/>
  <c r="DS63" i="35036"/>
  <c r="H18" i="34985"/>
  <c r="T18" i="35035" s="1"/>
  <c r="U18" i="35035" s="1"/>
  <c r="C19" i="34985"/>
  <c r="EO51" i="35036"/>
  <c r="EO33" i="35036"/>
  <c r="EO42" i="35036"/>
  <c r="EO16" i="35036"/>
  <c r="EO78" i="35036"/>
  <c r="EO60" i="35036"/>
  <c r="EO36" i="35036"/>
  <c r="EO54" i="35036"/>
  <c r="EO38" i="35036"/>
  <c r="EO55" i="35036"/>
  <c r="EO59" i="35036"/>
  <c r="EO43" i="35036"/>
  <c r="EO77" i="35036"/>
  <c r="EO28" i="35036"/>
  <c r="EO69" i="35036"/>
  <c r="EO48" i="35036"/>
  <c r="EO44" i="35036"/>
  <c r="EO47" i="35036"/>
  <c r="EO41" i="35036"/>
  <c r="EO53" i="35036"/>
  <c r="EO40" i="35036"/>
  <c r="EO67" i="35036"/>
  <c r="EO76" i="35036"/>
  <c r="EO70" i="35036"/>
  <c r="EO81" i="35036"/>
  <c r="EO66" i="35036"/>
  <c r="EO21" i="35036"/>
  <c r="EO72" i="35036"/>
  <c r="EO49" i="35036"/>
  <c r="EO58" i="35036"/>
  <c r="EO11" i="35036"/>
  <c r="EO68" i="35036"/>
  <c r="EO61" i="35036"/>
  <c r="EO30" i="35036"/>
  <c r="EO74" i="35036"/>
  <c r="EO64" i="35036"/>
  <c r="EO31" i="35036"/>
  <c r="EO29" i="35036"/>
  <c r="EO12" i="35036"/>
  <c r="EO56" i="35036"/>
  <c r="EO84" i="35036"/>
  <c r="EO57" i="35036"/>
  <c r="EO82" i="35036"/>
  <c r="EO27" i="35036"/>
  <c r="EO52" i="35036"/>
  <c r="EO24" i="35036"/>
  <c r="EO15" i="35036"/>
  <c r="EO23" i="35036"/>
  <c r="EO13" i="35036"/>
  <c r="EO22" i="35036"/>
  <c r="EO79" i="35036"/>
  <c r="EO71" i="35036"/>
  <c r="EO63" i="35036"/>
  <c r="EO50" i="35036"/>
  <c r="EO46" i="35036"/>
  <c r="EO65" i="35036"/>
  <c r="EO17" i="35036"/>
  <c r="EO37" i="35036"/>
  <c r="EO25" i="35036"/>
  <c r="EO26" i="35036"/>
  <c r="EO34" i="35036"/>
  <c r="EO18" i="35036"/>
  <c r="EO20" i="35036"/>
  <c r="EO14" i="35036"/>
  <c r="EO39" i="35036"/>
  <c r="EO73" i="35036"/>
  <c r="EO19" i="35036"/>
  <c r="EO45" i="35036"/>
  <c r="EO80" i="35036"/>
  <c r="EO32" i="35036"/>
  <c r="EO35" i="35036"/>
  <c r="EO62" i="35036"/>
  <c r="EO83" i="35036"/>
  <c r="EO75" i="35036"/>
  <c r="E19" i="34985"/>
  <c r="E20" i="34985" s="1"/>
  <c r="E21" i="34985" s="1"/>
  <c r="E22" i="34985" s="1"/>
  <c r="E23" i="34985" s="1"/>
  <c r="E24" i="34985" s="1"/>
  <c r="E25" i="34985" s="1"/>
  <c r="E26" i="34985" s="1"/>
  <c r="E27" i="34985" s="1"/>
  <c r="E28" i="34985" s="1"/>
  <c r="E29" i="34985" s="1"/>
  <c r="E30" i="34985" s="1"/>
  <c r="E31" i="34985" s="1"/>
  <c r="E32" i="34985" s="1"/>
  <c r="E33" i="34985" s="1"/>
  <c r="E34" i="34985" s="1"/>
  <c r="E35" i="34985" s="1"/>
  <c r="E36" i="34985" s="1"/>
  <c r="E37" i="34985" s="1"/>
  <c r="E38" i="34985" s="1"/>
  <c r="E39" i="34985" s="1"/>
  <c r="E40" i="34985" s="1"/>
  <c r="E41" i="34985" s="1"/>
  <c r="E42" i="34985" s="1"/>
  <c r="E43" i="34985" s="1"/>
  <c r="E44" i="34985" s="1"/>
  <c r="E45" i="34985" s="1"/>
  <c r="E46" i="34985" s="1"/>
  <c r="E47" i="34985" s="1"/>
  <c r="E48" i="34985" s="1"/>
  <c r="E49" i="34985" s="1"/>
  <c r="E50" i="34985" s="1"/>
  <c r="E51" i="34985" s="1"/>
  <c r="E52" i="34985" s="1"/>
  <c r="E53" i="34985" s="1"/>
  <c r="E54" i="34985" s="1"/>
  <c r="E55" i="34985" s="1"/>
  <c r="E56" i="34985" s="1"/>
  <c r="E57" i="34985" s="1"/>
  <c r="E58" i="34985" s="1"/>
  <c r="E59" i="34985" s="1"/>
  <c r="E60" i="34985" s="1"/>
  <c r="E61" i="34985" s="1"/>
  <c r="E62" i="34985" s="1"/>
  <c r="E63" i="34985" s="1"/>
  <c r="E64" i="34985" s="1"/>
  <c r="E65" i="34985" s="1"/>
  <c r="E66" i="34985" s="1"/>
  <c r="E67" i="34985" s="1"/>
  <c r="E68" i="34985" s="1"/>
  <c r="E69" i="34985" s="1"/>
  <c r="E70" i="34985" s="1"/>
  <c r="E71" i="34985" s="1"/>
  <c r="E72" i="34985" s="1"/>
  <c r="E73" i="34985" s="1"/>
  <c r="E74" i="34985" s="1"/>
  <c r="E75" i="34985" s="1"/>
  <c r="E76" i="34985" s="1"/>
  <c r="E77" i="34985" s="1"/>
  <c r="E78" i="34985" s="1"/>
  <c r="E79" i="34985" s="1"/>
  <c r="E80" i="34985" s="1"/>
  <c r="E81" i="34985" s="1"/>
  <c r="E82" i="34985" s="1"/>
  <c r="E83" i="34985" s="1"/>
  <c r="EP76" i="35036"/>
  <c r="EP60" i="35036"/>
  <c r="EP75" i="35036"/>
  <c r="EP57" i="35036"/>
  <c r="EP61" i="35036"/>
  <c r="EP66" i="35036"/>
  <c r="EP30" i="35036"/>
  <c r="EP21" i="35036"/>
  <c r="EP51" i="35036"/>
  <c r="EP79" i="35036"/>
  <c r="EP77" i="35036"/>
  <c r="EP73" i="35036"/>
  <c r="EP62" i="35036"/>
  <c r="EP40" i="35036"/>
  <c r="EP17" i="35036"/>
  <c r="EP16" i="35036"/>
  <c r="EP15" i="35036"/>
  <c r="EP52" i="35036"/>
  <c r="EP53" i="35036"/>
  <c r="EP35" i="35036"/>
  <c r="EP33" i="35036"/>
  <c r="EP36" i="35036"/>
  <c r="EP13" i="35036"/>
  <c r="EP23" i="35036"/>
  <c r="EP27" i="35036"/>
  <c r="EP80" i="35036"/>
  <c r="EP68" i="35036"/>
  <c r="EP70" i="35036"/>
  <c r="EP11" i="35036"/>
  <c r="EP19" i="35036"/>
  <c r="EP72" i="35036"/>
  <c r="EP56" i="35036"/>
  <c r="EP45" i="35036"/>
  <c r="EP41" i="35036"/>
  <c r="EP14" i="35036"/>
  <c r="EP81" i="35036"/>
  <c r="EP48" i="35036"/>
  <c r="EP28" i="35036"/>
  <c r="EP26" i="35036"/>
  <c r="EP59" i="35036"/>
  <c r="EP69" i="35036"/>
  <c r="EP84" i="35036"/>
  <c r="EP67" i="35036"/>
  <c r="EP49" i="35036"/>
  <c r="EP82" i="35036"/>
  <c r="EP42" i="35036"/>
  <c r="EP71" i="35036"/>
  <c r="EP18" i="35036"/>
  <c r="EP25" i="35036"/>
  <c r="EP12" i="35036"/>
  <c r="EP29" i="35036"/>
  <c r="EP83" i="35036"/>
  <c r="EP20" i="35036"/>
  <c r="EP22" i="35036"/>
  <c r="EP43" i="35036"/>
  <c r="EP64" i="35036"/>
  <c r="EP24" i="35036"/>
  <c r="EP74" i="35036"/>
  <c r="EP63" i="35036"/>
  <c r="EP31" i="35036"/>
  <c r="EP37" i="35036"/>
  <c r="EP55" i="35036"/>
  <c r="EP58" i="35036"/>
  <c r="EP38" i="35036"/>
  <c r="EP32" i="35036"/>
  <c r="EP78" i="35036"/>
  <c r="EP54" i="35036"/>
  <c r="EP39" i="35036"/>
  <c r="EP44" i="35036"/>
  <c r="EP47" i="35036"/>
  <c r="EP46" i="35036"/>
  <c r="EP65" i="35036"/>
  <c r="EP50" i="35036"/>
  <c r="EP34" i="35036"/>
  <c r="FC11" i="35036" a="1"/>
  <c r="FB11" i="35036" a="1"/>
  <c r="FA11" i="35036" a="1"/>
  <c r="EQ37" i="35036"/>
  <c r="EQ83" i="35036"/>
  <c r="EQ19" i="35036"/>
  <c r="EQ47" i="35036"/>
  <c r="EQ34" i="35036"/>
  <c r="EQ30" i="35036"/>
  <c r="EQ18" i="35036"/>
  <c r="EQ21" i="35036"/>
  <c r="EQ24" i="35036"/>
  <c r="EQ58" i="35036"/>
  <c r="EQ72" i="35036"/>
  <c r="EQ39" i="35036"/>
  <c r="EQ48" i="35036"/>
  <c r="EQ33" i="35036"/>
  <c r="EQ17" i="35036"/>
  <c r="EQ20" i="35036"/>
  <c r="EQ55" i="35036"/>
  <c r="EQ13" i="35036"/>
  <c r="EQ31" i="35036"/>
  <c r="EQ26" i="35036"/>
  <c r="EQ77" i="35036"/>
  <c r="EQ68" i="35036"/>
  <c r="EQ62" i="35036"/>
  <c r="EQ78" i="35036"/>
  <c r="EQ41" i="35036"/>
  <c r="EQ32" i="35036"/>
  <c r="EQ71" i="35036"/>
  <c r="EQ11" i="35036"/>
  <c r="EQ52" i="35036"/>
  <c r="EQ35" i="35036"/>
  <c r="EQ28" i="35036"/>
  <c r="EQ65" i="35036"/>
  <c r="EQ43" i="35036"/>
  <c r="EQ54" i="35036"/>
  <c r="EQ49" i="35036"/>
  <c r="EQ12" i="35036"/>
  <c r="EQ64" i="35036"/>
  <c r="EQ45" i="35036"/>
  <c r="EQ36" i="35036"/>
  <c r="EQ38" i="35036"/>
  <c r="EQ59" i="35036"/>
  <c r="EQ27" i="35036"/>
  <c r="EQ57" i="35036"/>
  <c r="EQ67" i="35036"/>
  <c r="EQ66" i="35036"/>
  <c r="EQ15" i="35036"/>
  <c r="EQ44" i="35036"/>
  <c r="EQ29" i="35036"/>
  <c r="EQ76" i="35036"/>
  <c r="EQ81" i="35036"/>
  <c r="EQ16" i="35036"/>
  <c r="EQ75" i="35036"/>
  <c r="EQ84" i="35036"/>
  <c r="EQ61" i="35036"/>
  <c r="EQ22" i="35036"/>
  <c r="EQ53" i="35036"/>
  <c r="EQ46" i="35036"/>
  <c r="EQ73" i="35036"/>
  <c r="EQ25" i="35036"/>
  <c r="EQ23" i="35036"/>
  <c r="EQ82" i="35036"/>
  <c r="EQ69" i="35036"/>
  <c r="EQ74" i="35036"/>
  <c r="EQ60" i="35036"/>
  <c r="EQ80" i="35036"/>
  <c r="EQ42" i="35036"/>
  <c r="EQ79" i="35036"/>
  <c r="EQ70" i="35036"/>
  <c r="EQ40" i="35036"/>
  <c r="EQ56" i="35036"/>
  <c r="EQ14" i="35036"/>
  <c r="EQ50" i="35036"/>
  <c r="EQ63" i="35036"/>
  <c r="EQ51" i="35036"/>
  <c r="H19" i="34985" l="1"/>
  <c r="T19" i="35035" s="1"/>
  <c r="U19" i="35035" s="1"/>
  <c r="C20" i="34985"/>
  <c r="FB12" i="35036"/>
  <c r="FB64" i="35036"/>
  <c r="FB18" i="35036"/>
  <c r="FB25" i="35036"/>
  <c r="FB21" i="35036"/>
  <c r="FB19" i="35036"/>
  <c r="FB37" i="35036"/>
  <c r="FB73" i="35036"/>
  <c r="FB50" i="35036"/>
  <c r="FB15" i="35036"/>
  <c r="FB77" i="35036"/>
  <c r="FB52" i="35036"/>
  <c r="FB57" i="35036"/>
  <c r="FB13" i="35036"/>
  <c r="FB31" i="35036"/>
  <c r="FB29" i="35036"/>
  <c r="FB55" i="35036"/>
  <c r="FB61" i="35036"/>
  <c r="FB33" i="35036"/>
  <c r="FB68" i="35036"/>
  <c r="FB20" i="35036"/>
  <c r="FB23" i="35036"/>
  <c r="FB56" i="35036"/>
  <c r="FB53" i="35036"/>
  <c r="FB40" i="35036"/>
  <c r="FB42" i="35036"/>
  <c r="FB54" i="35036"/>
  <c r="FB11" i="35036"/>
  <c r="FB46" i="35036"/>
  <c r="FB32" i="35036"/>
  <c r="FB43" i="35036"/>
  <c r="FB81" i="35036"/>
  <c r="FB30" i="35036"/>
  <c r="FB66" i="35036"/>
  <c r="FB58" i="35036"/>
  <c r="FB35" i="35036"/>
  <c r="FB78" i="35036"/>
  <c r="FB80" i="35036"/>
  <c r="FB51" i="35036"/>
  <c r="FB26" i="35036"/>
  <c r="FB34" i="35036"/>
  <c r="FB36" i="35036"/>
  <c r="FB44" i="35036"/>
  <c r="FB83" i="35036"/>
  <c r="FB71" i="35036"/>
  <c r="FB38" i="35036"/>
  <c r="FB47" i="35036"/>
  <c r="FB49" i="35036"/>
  <c r="FB63" i="35036"/>
  <c r="FB48" i="35036"/>
  <c r="FB62" i="35036"/>
  <c r="FB17" i="35036"/>
  <c r="FB82" i="35036"/>
  <c r="FB45" i="35036"/>
  <c r="FB79" i="35036"/>
  <c r="FB70" i="35036"/>
  <c r="FB24" i="35036"/>
  <c r="FB14" i="35036"/>
  <c r="FB60" i="35036"/>
  <c r="FB69" i="35036"/>
  <c r="FB65" i="35036"/>
  <c r="FB74" i="35036"/>
  <c r="FB39" i="35036"/>
  <c r="FB22" i="35036"/>
  <c r="FB75" i="35036"/>
  <c r="FB72" i="35036"/>
  <c r="FB76" i="35036"/>
  <c r="FB28" i="35036"/>
  <c r="FB27" i="35036"/>
  <c r="FB59" i="35036"/>
  <c r="FB41" i="35036"/>
  <c r="FB16" i="35036"/>
  <c r="FB84" i="35036"/>
  <c r="FB67" i="35036"/>
  <c r="FC41" i="35036"/>
  <c r="FC27" i="35036"/>
  <c r="FC26" i="35036"/>
  <c r="FC81" i="35036"/>
  <c r="FC32" i="35036"/>
  <c r="FC55" i="35036"/>
  <c r="FC73" i="35036"/>
  <c r="FC49" i="35036"/>
  <c r="FC60" i="35036"/>
  <c r="FC45" i="35036"/>
  <c r="FC31" i="35036"/>
  <c r="FC70" i="35036"/>
  <c r="FC75" i="35036"/>
  <c r="FC53" i="35036"/>
  <c r="FC21" i="35036"/>
  <c r="FC52" i="35036"/>
  <c r="FC16" i="35036"/>
  <c r="FC17" i="35036"/>
  <c r="FC29" i="35036"/>
  <c r="FC69" i="35036"/>
  <c r="FC35" i="35036"/>
  <c r="FC84" i="35036"/>
  <c r="FC82" i="35036"/>
  <c r="FC20" i="35036"/>
  <c r="FC56" i="35036"/>
  <c r="FC83" i="35036"/>
  <c r="FC22" i="35036"/>
  <c r="FC39" i="35036"/>
  <c r="FC79" i="35036"/>
  <c r="FC40" i="35036"/>
  <c r="FC76" i="35036"/>
  <c r="FC18" i="35036"/>
  <c r="FC68" i="35036"/>
  <c r="FC80" i="35036"/>
  <c r="FC24" i="35036"/>
  <c r="FC37" i="35036"/>
  <c r="FC43" i="35036"/>
  <c r="FC12" i="35036"/>
  <c r="FC54" i="35036"/>
  <c r="FC62" i="35036"/>
  <c r="FC61" i="35036"/>
  <c r="FC36" i="35036"/>
  <c r="FC50" i="35036"/>
  <c r="FC65" i="35036"/>
  <c r="FC46" i="35036"/>
  <c r="FC44" i="35036"/>
  <c r="FC14" i="35036"/>
  <c r="FC28" i="35036"/>
  <c r="FC74" i="35036"/>
  <c r="FC64" i="35036"/>
  <c r="FC19" i="35036"/>
  <c r="FC33" i="35036"/>
  <c r="FC72" i="35036"/>
  <c r="FC71" i="35036"/>
  <c r="FC67" i="35036"/>
  <c r="FC47" i="35036"/>
  <c r="FC23" i="35036"/>
  <c r="FC66" i="35036"/>
  <c r="FC48" i="35036"/>
  <c r="FC57" i="35036"/>
  <c r="FC13" i="35036"/>
  <c r="FC51" i="35036"/>
  <c r="FC38" i="35036"/>
  <c r="FC78" i="35036"/>
  <c r="FC59" i="35036"/>
  <c r="FC42" i="35036"/>
  <c r="FC77" i="35036"/>
  <c r="FC34" i="35036"/>
  <c r="FC11" i="35036"/>
  <c r="FC15" i="35036"/>
  <c r="FC25" i="35036"/>
  <c r="FC63" i="35036"/>
  <c r="FC58" i="35036"/>
  <c r="FC30" i="35036"/>
  <c r="EV11" i="35036" a="1"/>
  <c r="EW11" i="35036" a="1"/>
  <c r="DX11" i="35036" a="1"/>
  <c r="DY11" i="35036" a="1"/>
  <c r="FA20" i="35036"/>
  <c r="FA69" i="35036"/>
  <c r="FA76" i="35036"/>
  <c r="FA42" i="35036"/>
  <c r="FA67" i="35036"/>
  <c r="FA18" i="35036"/>
  <c r="FA15" i="35036"/>
  <c r="FA74" i="35036"/>
  <c r="FA35" i="35036"/>
  <c r="FA21" i="35036"/>
  <c r="FA71" i="35036"/>
  <c r="FA81" i="35036"/>
  <c r="FA65" i="35036"/>
  <c r="FA53" i="35036"/>
  <c r="FA19" i="35036"/>
  <c r="FA32" i="35036"/>
  <c r="FA64" i="35036"/>
  <c r="FA22" i="35036"/>
  <c r="FA73" i="35036"/>
  <c r="FA40" i="35036"/>
  <c r="FA12" i="35036"/>
  <c r="FA24" i="35036"/>
  <c r="FA36" i="35036"/>
  <c r="FA78" i="35036"/>
  <c r="FA47" i="35036"/>
  <c r="FA48" i="35036"/>
  <c r="FA30" i="35036"/>
  <c r="FA14" i="35036"/>
  <c r="FA31" i="35036"/>
  <c r="FA52" i="35036"/>
  <c r="FA83" i="35036"/>
  <c r="FA34" i="35036"/>
  <c r="FA72" i="35036"/>
  <c r="FA77" i="35036"/>
  <c r="FA41" i="35036"/>
  <c r="FA57" i="35036"/>
  <c r="FA39" i="35036"/>
  <c r="FA58" i="35036"/>
  <c r="FA66" i="35036"/>
  <c r="FA70" i="35036"/>
  <c r="FA79" i="35036"/>
  <c r="FA75" i="35036"/>
  <c r="FA16" i="35036"/>
  <c r="FA27" i="35036"/>
  <c r="FA38" i="35036"/>
  <c r="FA46" i="35036"/>
  <c r="FA49" i="35036"/>
  <c r="FA82" i="35036"/>
  <c r="FA63" i="35036"/>
  <c r="FA60" i="35036"/>
  <c r="FA33" i="35036"/>
  <c r="FA43" i="35036"/>
  <c r="FA37" i="35036"/>
  <c r="FA55" i="35036"/>
  <c r="FA84" i="35036"/>
  <c r="FA68" i="35036"/>
  <c r="FA26" i="35036"/>
  <c r="FA62" i="35036"/>
  <c r="FA17" i="35036"/>
  <c r="FA80" i="35036"/>
  <c r="FA54" i="35036"/>
  <c r="FA29" i="35036"/>
  <c r="FA45" i="35036"/>
  <c r="FA11" i="35036"/>
  <c r="FA28" i="35036"/>
  <c r="FA61" i="35036"/>
  <c r="FA44" i="35036"/>
  <c r="FA56" i="35036"/>
  <c r="FA13" i="35036"/>
  <c r="FA50" i="35036"/>
  <c r="FA23" i="35036"/>
  <c r="FA59" i="35036"/>
  <c r="FA25" i="35036"/>
  <c r="FA51" i="35036"/>
  <c r="E84" i="34985"/>
  <c r="EH11" i="35036" s="1" a="1"/>
  <c r="DZ11" i="35036" a="1"/>
  <c r="M88" i="35391" l="1" a="1"/>
  <c r="M88" i="35391" s="1"/>
  <c r="N88" i="35391" s="1"/>
  <c r="O88" i="35391" s="1"/>
  <c r="DY28" i="35036"/>
  <c r="DY11" i="35036"/>
  <c r="DY15" i="35036"/>
  <c r="DY65" i="35036"/>
  <c r="DY20" i="35036"/>
  <c r="DY72" i="35036"/>
  <c r="DY80" i="35036"/>
  <c r="DY47" i="35036"/>
  <c r="DY43" i="35036"/>
  <c r="DY69" i="35036"/>
  <c r="DY29" i="35036"/>
  <c r="DY79" i="35036"/>
  <c r="DY59" i="35036"/>
  <c r="DY75" i="35036"/>
  <c r="DY78" i="35036"/>
  <c r="DY46" i="35036"/>
  <c r="DY82" i="35036"/>
  <c r="DY21" i="35036"/>
  <c r="DY53" i="35036"/>
  <c r="DY18" i="35036"/>
  <c r="DY50" i="35036"/>
  <c r="DY40" i="35036"/>
  <c r="DY57" i="35036"/>
  <c r="DY61" i="35036"/>
  <c r="DY70" i="35036"/>
  <c r="DY16" i="35036"/>
  <c r="DY76" i="35036"/>
  <c r="DY54" i="35036"/>
  <c r="DY81" i="35036"/>
  <c r="DY31" i="35036"/>
  <c r="DY37" i="35036"/>
  <c r="DY24" i="35036"/>
  <c r="DY62" i="35036"/>
  <c r="DY17" i="35036"/>
  <c r="DY66" i="35036"/>
  <c r="DY23" i="35036"/>
  <c r="DY68" i="35036"/>
  <c r="DY67" i="35036"/>
  <c r="DY58" i="35036"/>
  <c r="DY60" i="35036"/>
  <c r="DY45" i="35036"/>
  <c r="DY26" i="35036"/>
  <c r="DY84" i="35036"/>
  <c r="DY25" i="35036"/>
  <c r="DY38" i="35036"/>
  <c r="DY51" i="35036"/>
  <c r="DY52" i="35036"/>
  <c r="DY42" i="35036"/>
  <c r="DY44" i="35036"/>
  <c r="DY14" i="35036"/>
  <c r="DY34" i="35036"/>
  <c r="DY35" i="35036"/>
  <c r="DY12" i="35036"/>
  <c r="DY41" i="35036"/>
  <c r="DY49" i="35036"/>
  <c r="DY48" i="35036"/>
  <c r="DY33" i="35036"/>
  <c r="DY83" i="35036"/>
  <c r="DY63" i="35036"/>
  <c r="DY74" i="35036"/>
  <c r="DY77" i="35036"/>
  <c r="DY19" i="35036"/>
  <c r="DY73" i="35036"/>
  <c r="DY64" i="35036"/>
  <c r="DY22" i="35036"/>
  <c r="DY56" i="35036"/>
  <c r="DY39" i="35036"/>
  <c r="DY36" i="35036"/>
  <c r="DY71" i="35036"/>
  <c r="DY32" i="35036"/>
  <c r="DY27" i="35036"/>
  <c r="DY55" i="35036"/>
  <c r="DY13" i="35036"/>
  <c r="DY30" i="35036"/>
  <c r="EW82" i="35036"/>
  <c r="EW44" i="35036"/>
  <c r="EW59" i="35036"/>
  <c r="EW80" i="35036"/>
  <c r="EW38" i="35036"/>
  <c r="EW45" i="35036"/>
  <c r="EW26" i="35036"/>
  <c r="EW75" i="35036"/>
  <c r="EW18" i="35036"/>
  <c r="EW24" i="35036"/>
  <c r="EW64" i="35036"/>
  <c r="EW19" i="35036"/>
  <c r="EW41" i="35036"/>
  <c r="EW58" i="35036"/>
  <c r="EW21" i="35036"/>
  <c r="EW12" i="35036"/>
  <c r="EW28" i="35036"/>
  <c r="EW57" i="35036"/>
  <c r="EW62" i="35036"/>
  <c r="EW15" i="35036"/>
  <c r="EW65" i="35036"/>
  <c r="EW22" i="35036"/>
  <c r="EW29" i="35036"/>
  <c r="EW71" i="35036"/>
  <c r="EW35" i="35036"/>
  <c r="EW14" i="35036"/>
  <c r="EW39" i="35036"/>
  <c r="EW56" i="35036"/>
  <c r="EW30" i="35036"/>
  <c r="EW50" i="35036"/>
  <c r="EW25" i="35036"/>
  <c r="EW76" i="35036"/>
  <c r="EW47" i="35036"/>
  <c r="EW61" i="35036"/>
  <c r="EW79" i="35036"/>
  <c r="EW13" i="35036"/>
  <c r="EW49" i="35036"/>
  <c r="EW84" i="35036"/>
  <c r="EW37" i="35036"/>
  <c r="EW42" i="35036"/>
  <c r="EW69" i="35036"/>
  <c r="EW32" i="35036"/>
  <c r="EW23" i="35036"/>
  <c r="EW40" i="35036"/>
  <c r="EW73" i="35036"/>
  <c r="EW27" i="35036"/>
  <c r="EW55" i="35036"/>
  <c r="EW67" i="35036"/>
  <c r="EW54" i="35036"/>
  <c r="EW72" i="35036"/>
  <c r="EW83" i="35036"/>
  <c r="EW63" i="35036"/>
  <c r="EW36" i="35036"/>
  <c r="EW43" i="35036"/>
  <c r="EW74" i="35036"/>
  <c r="EW33" i="35036"/>
  <c r="EW77" i="35036"/>
  <c r="EW66" i="35036"/>
  <c r="EW51" i="35036"/>
  <c r="EW17" i="35036"/>
  <c r="EW31" i="35036"/>
  <c r="EW52" i="35036"/>
  <c r="EW34" i="35036"/>
  <c r="EW11" i="35036"/>
  <c r="EW60" i="35036"/>
  <c r="EW78" i="35036"/>
  <c r="EW16" i="35036"/>
  <c r="EW20" i="35036"/>
  <c r="EW46" i="35036"/>
  <c r="EW81" i="35036"/>
  <c r="EW70" i="35036"/>
  <c r="EW48" i="35036"/>
  <c r="EW53" i="35036"/>
  <c r="EW68" i="35036"/>
  <c r="EV84" i="35036"/>
  <c r="EV32" i="35036"/>
  <c r="EV65" i="35036"/>
  <c r="EV78" i="35036"/>
  <c r="EV68" i="35036"/>
  <c r="EV47" i="35036"/>
  <c r="EV34" i="35036"/>
  <c r="EV82" i="35036"/>
  <c r="EV52" i="35036"/>
  <c r="EV44" i="35036"/>
  <c r="EV11" i="35036"/>
  <c r="EV24" i="35036"/>
  <c r="EV29" i="35036"/>
  <c r="EV71" i="35036"/>
  <c r="EV61" i="35036"/>
  <c r="EV42" i="35036"/>
  <c r="EV77" i="35036"/>
  <c r="EV49" i="35036"/>
  <c r="EV58" i="35036"/>
  <c r="EV35" i="35036"/>
  <c r="EV38" i="35036"/>
  <c r="EV28" i="35036"/>
  <c r="EV20" i="35036"/>
  <c r="EV37" i="35036"/>
  <c r="EV19" i="35036"/>
  <c r="EV43" i="35036"/>
  <c r="EV33" i="35036"/>
  <c r="EV62" i="35036"/>
  <c r="EV57" i="35036"/>
  <c r="EV73" i="35036"/>
  <c r="EV79" i="35036"/>
  <c r="EV25" i="35036"/>
  <c r="EV59" i="35036"/>
  <c r="EV48" i="35036"/>
  <c r="EV74" i="35036"/>
  <c r="EV63" i="35036"/>
  <c r="EV36" i="35036"/>
  <c r="EV55" i="35036"/>
  <c r="EV17" i="35036"/>
  <c r="EV15" i="35036"/>
  <c r="EV16" i="35036"/>
  <c r="EV50" i="35036"/>
  <c r="EV81" i="35036"/>
  <c r="EV39" i="35036"/>
  <c r="EV18" i="35036"/>
  <c r="EV70" i="35036"/>
  <c r="EV64" i="35036"/>
  <c r="EV60" i="35036"/>
  <c r="EV56" i="35036"/>
  <c r="EV12" i="35036"/>
  <c r="EV69" i="35036"/>
  <c r="EV54" i="35036"/>
  <c r="EV83" i="35036"/>
  <c r="EV46" i="35036"/>
  <c r="EV27" i="35036"/>
  <c r="EV45" i="35036"/>
  <c r="EV26" i="35036"/>
  <c r="EV75" i="35036"/>
  <c r="EV21" i="35036"/>
  <c r="EV72" i="35036"/>
  <c r="EV67" i="35036"/>
  <c r="EV66" i="35036"/>
  <c r="EV30" i="35036"/>
  <c r="EV40" i="35036"/>
  <c r="EV41" i="35036"/>
  <c r="EV80" i="35036"/>
  <c r="EV22" i="35036"/>
  <c r="EV13" i="35036"/>
  <c r="EV31" i="35036"/>
  <c r="EV76" i="35036"/>
  <c r="EV14" i="35036"/>
  <c r="EV53" i="35036"/>
  <c r="EV51" i="35036"/>
  <c r="EV23" i="35036"/>
  <c r="EG11" i="35036" a="1"/>
  <c r="DZ59" i="35036"/>
  <c r="DZ70" i="35036"/>
  <c r="DZ27" i="35036"/>
  <c r="DZ46" i="35036"/>
  <c r="DZ73" i="35036"/>
  <c r="DZ60" i="35036"/>
  <c r="DZ23" i="35036"/>
  <c r="DZ13" i="35036"/>
  <c r="DZ20" i="35036"/>
  <c r="DZ80" i="35036"/>
  <c r="DZ77" i="35036"/>
  <c r="DZ54" i="35036"/>
  <c r="DZ14" i="35036"/>
  <c r="DZ25" i="35036"/>
  <c r="DZ50" i="35036"/>
  <c r="DZ30" i="35036"/>
  <c r="DZ58" i="35036"/>
  <c r="DZ79" i="35036"/>
  <c r="DZ51" i="35036"/>
  <c r="DZ52" i="35036"/>
  <c r="DZ26" i="35036"/>
  <c r="DZ66" i="35036"/>
  <c r="DZ24" i="35036"/>
  <c r="DZ36" i="35036"/>
  <c r="DZ57" i="35036"/>
  <c r="DZ68" i="35036"/>
  <c r="DZ55" i="35036"/>
  <c r="DZ82" i="35036"/>
  <c r="DZ83" i="35036"/>
  <c r="DZ63" i="35036"/>
  <c r="DZ21" i="35036"/>
  <c r="DZ11" i="35036"/>
  <c r="DZ48" i="35036"/>
  <c r="DZ33" i="35036"/>
  <c r="DZ37" i="35036"/>
  <c r="DZ19" i="35036"/>
  <c r="DZ71" i="35036"/>
  <c r="DZ40" i="35036"/>
  <c r="DZ17" i="35036"/>
  <c r="DZ62" i="35036"/>
  <c r="DZ74" i="35036"/>
  <c r="DZ44" i="35036"/>
  <c r="DZ41" i="35036"/>
  <c r="DZ18" i="35036"/>
  <c r="DZ45" i="35036"/>
  <c r="DZ16" i="35036"/>
  <c r="DZ12" i="35036"/>
  <c r="DZ38" i="35036"/>
  <c r="DZ15" i="35036"/>
  <c r="DZ78" i="35036"/>
  <c r="DZ75" i="35036"/>
  <c r="DZ69" i="35036"/>
  <c r="DZ65" i="35036"/>
  <c r="DZ76" i="35036"/>
  <c r="DZ84" i="35036"/>
  <c r="DZ35" i="35036"/>
  <c r="DZ72" i="35036"/>
  <c r="DZ22" i="35036"/>
  <c r="DZ56" i="35036"/>
  <c r="DZ53" i="35036"/>
  <c r="DZ29" i="35036"/>
  <c r="DZ67" i="35036"/>
  <c r="DZ32" i="35036"/>
  <c r="DZ47" i="35036"/>
  <c r="DZ39" i="35036"/>
  <c r="DZ64" i="35036"/>
  <c r="DZ61" i="35036"/>
  <c r="DZ34" i="35036"/>
  <c r="DZ31" i="35036"/>
  <c r="DZ43" i="35036"/>
  <c r="DZ42" i="35036"/>
  <c r="DZ81" i="35036"/>
  <c r="DZ49" i="35036"/>
  <c r="DZ28" i="35036"/>
  <c r="DX65" i="35036"/>
  <c r="DX73" i="35036"/>
  <c r="DX51" i="35036"/>
  <c r="DX69" i="35036"/>
  <c r="DX35" i="35036"/>
  <c r="DX82" i="35036"/>
  <c r="DX28" i="35036"/>
  <c r="DX34" i="35036"/>
  <c r="DX83" i="35036"/>
  <c r="DX40" i="35036"/>
  <c r="DX16" i="35036"/>
  <c r="DX13" i="35036"/>
  <c r="DX18" i="35036"/>
  <c r="DX24" i="35036"/>
  <c r="DX80" i="35036"/>
  <c r="DX84" i="35036"/>
  <c r="DX21" i="35036"/>
  <c r="DX47" i="35036"/>
  <c r="DX67" i="35036"/>
  <c r="DX60" i="35036"/>
  <c r="DX72" i="35036"/>
  <c r="DX66" i="35036"/>
  <c r="DX36" i="35036"/>
  <c r="DX44" i="35036"/>
  <c r="DX30" i="35036"/>
  <c r="DX19" i="35036"/>
  <c r="DX39" i="35036"/>
  <c r="DX75" i="35036"/>
  <c r="DX63" i="35036"/>
  <c r="DX79" i="35036"/>
  <c r="DX31" i="35036"/>
  <c r="DX15" i="35036"/>
  <c r="DX54" i="35036"/>
  <c r="DX56" i="35036"/>
  <c r="DX71" i="35036"/>
  <c r="DX23" i="35036"/>
  <c r="DX29" i="35036"/>
  <c r="DX38" i="35036"/>
  <c r="DX43" i="35036"/>
  <c r="DX55" i="35036"/>
  <c r="DX14" i="35036"/>
  <c r="DX49" i="35036"/>
  <c r="DX68" i="35036"/>
  <c r="DX78" i="35036"/>
  <c r="DX41" i="35036"/>
  <c r="DX76" i="35036"/>
  <c r="DX20" i="35036"/>
  <c r="DX74" i="35036"/>
  <c r="DX77" i="35036"/>
  <c r="DX48" i="35036"/>
  <c r="DX59" i="35036"/>
  <c r="DX11" i="35036"/>
  <c r="DX27" i="35036"/>
  <c r="DX64" i="35036"/>
  <c r="DX50" i="35036"/>
  <c r="DX81" i="35036"/>
  <c r="DX33" i="35036"/>
  <c r="DX42" i="35036"/>
  <c r="DX26" i="35036"/>
  <c r="DX53" i="35036"/>
  <c r="DX45" i="35036"/>
  <c r="DX17" i="35036"/>
  <c r="DX62" i="35036"/>
  <c r="DX70" i="35036"/>
  <c r="DX58" i="35036"/>
  <c r="DX37" i="35036"/>
  <c r="DX57" i="35036"/>
  <c r="DX46" i="35036"/>
  <c r="DX22" i="35036"/>
  <c r="DX25" i="35036"/>
  <c r="DX52" i="35036"/>
  <c r="DX61" i="35036"/>
  <c r="DX12" i="35036"/>
  <c r="DX32" i="35036"/>
  <c r="EI11" i="35036" a="1"/>
  <c r="H20" i="34985"/>
  <c r="T20" i="35035" s="1"/>
  <c r="U20" i="35035" s="1"/>
  <c r="C21" i="34985"/>
  <c r="EH24" i="35036"/>
  <c r="EH35" i="35036"/>
  <c r="EH54" i="35036"/>
  <c r="EH33" i="35036"/>
  <c r="EH21" i="35036"/>
  <c r="EH64" i="35036"/>
  <c r="EH71" i="35036"/>
  <c r="EH19" i="35036"/>
  <c r="EH31" i="35036"/>
  <c r="EH26" i="35036"/>
  <c r="EH76" i="35036"/>
  <c r="EH11" i="35036"/>
  <c r="EH23" i="35036"/>
  <c r="EH13" i="35036"/>
  <c r="EH59" i="35036"/>
  <c r="EH44" i="35036"/>
  <c r="EH60" i="35036"/>
  <c r="EH14" i="35036"/>
  <c r="EH81" i="35036"/>
  <c r="EH52" i="35036"/>
  <c r="EH61" i="35036"/>
  <c r="EH69" i="35036"/>
  <c r="EH53" i="35036"/>
  <c r="EH77" i="35036"/>
  <c r="EH42" i="35036"/>
  <c r="EH20" i="35036"/>
  <c r="EH29" i="35036"/>
  <c r="EH12" i="35036"/>
  <c r="EH43" i="35036"/>
  <c r="EH73" i="35036"/>
  <c r="EH22" i="35036"/>
  <c r="EH75" i="35036"/>
  <c r="EH46" i="35036"/>
  <c r="EH32" i="35036"/>
  <c r="EH37" i="35036"/>
  <c r="EH30" i="35036"/>
  <c r="EH47" i="35036"/>
  <c r="EH41" i="35036"/>
  <c r="EH55" i="35036"/>
  <c r="EH83" i="35036"/>
  <c r="EH40" i="35036"/>
  <c r="EH50" i="35036"/>
  <c r="EH45" i="35036"/>
  <c r="EH79" i="35036"/>
  <c r="EH27" i="35036"/>
  <c r="EH72" i="35036"/>
  <c r="EH38" i="35036"/>
  <c r="EH66" i="35036"/>
  <c r="EH74" i="35036"/>
  <c r="EH67" i="35036"/>
  <c r="EH36" i="35036"/>
  <c r="EH57" i="35036"/>
  <c r="EH84" i="35036"/>
  <c r="EH63" i="35036"/>
  <c r="EH39" i="35036"/>
  <c r="EH25" i="35036"/>
  <c r="EH17" i="35036"/>
  <c r="EH80" i="35036"/>
  <c r="EH18" i="35036"/>
  <c r="EH82" i="35036"/>
  <c r="EH62" i="35036"/>
  <c r="EH78" i="35036"/>
  <c r="EH58" i="35036"/>
  <c r="EH51" i="35036"/>
  <c r="EH15" i="35036"/>
  <c r="EH49" i="35036"/>
  <c r="EH34" i="35036"/>
  <c r="EH70" i="35036"/>
  <c r="EH56" i="35036"/>
  <c r="EH65" i="35036"/>
  <c r="EH28" i="35036"/>
  <c r="EH68" i="35036"/>
  <c r="EH16" i="35036"/>
  <c r="EH48" i="35036"/>
  <c r="FH11" i="35036" a="1"/>
  <c r="FI11" i="35036" a="1"/>
  <c r="EI19" i="35036" l="1"/>
  <c r="EI62" i="35036"/>
  <c r="EI37" i="35036"/>
  <c r="EI16" i="35036"/>
  <c r="EI31" i="35036"/>
  <c r="EI46" i="35036"/>
  <c r="EI21" i="35036"/>
  <c r="EI66" i="35036"/>
  <c r="EI41" i="35036"/>
  <c r="EI23" i="35036"/>
  <c r="EI58" i="35036"/>
  <c r="EI50" i="35036"/>
  <c r="EI25" i="35036"/>
  <c r="EI67" i="35036"/>
  <c r="EI48" i="35036"/>
  <c r="EI75" i="35036"/>
  <c r="EI35" i="35036"/>
  <c r="EI79" i="35036"/>
  <c r="EI52" i="35036"/>
  <c r="EI60" i="35036"/>
  <c r="EI63" i="35036"/>
  <c r="EI18" i="35036"/>
  <c r="EI44" i="35036"/>
  <c r="EI54" i="35036"/>
  <c r="EI69" i="35036"/>
  <c r="EI27" i="35036"/>
  <c r="EI56" i="35036"/>
  <c r="EI15" i="35036"/>
  <c r="EI33" i="35036"/>
  <c r="EI20" i="35036"/>
  <c r="EI38" i="35036"/>
  <c r="EI11" i="35036"/>
  <c r="EI22" i="35036"/>
  <c r="EI71" i="35036"/>
  <c r="EI81" i="35036"/>
  <c r="EI73" i="35036"/>
  <c r="EI77" i="35036"/>
  <c r="EI12" i="35036"/>
  <c r="EI83" i="35036"/>
  <c r="EI42" i="35036"/>
  <c r="EI29" i="35036"/>
  <c r="EI61" i="35036"/>
  <c r="EI40" i="35036"/>
  <c r="EI26" i="35036"/>
  <c r="EI68" i="35036"/>
  <c r="EI32" i="35036"/>
  <c r="EI78" i="35036"/>
  <c r="EI43" i="35036"/>
  <c r="EI13" i="35036"/>
  <c r="EI65" i="35036"/>
  <c r="EI80" i="35036"/>
  <c r="EI55" i="35036"/>
  <c r="EI70" i="35036"/>
  <c r="EI28" i="35036"/>
  <c r="EI64" i="35036"/>
  <c r="EI53" i="35036"/>
  <c r="EI30" i="35036"/>
  <c r="EI45" i="35036"/>
  <c r="EI17" i="35036"/>
  <c r="EI72" i="35036"/>
  <c r="EI34" i="35036"/>
  <c r="EI82" i="35036"/>
  <c r="EI74" i="35036"/>
  <c r="EI14" i="35036"/>
  <c r="EI76" i="35036"/>
  <c r="EI39" i="35036"/>
  <c r="EI36" i="35036"/>
  <c r="EI57" i="35036"/>
  <c r="EI49" i="35036"/>
  <c r="EI24" i="35036"/>
  <c r="EI51" i="35036"/>
  <c r="EI84" i="35036"/>
  <c r="EI59" i="35036"/>
  <c r="EI47" i="35036"/>
  <c r="EG38" i="35036"/>
  <c r="EG26" i="35036"/>
  <c r="EG74" i="35036"/>
  <c r="EG47" i="35036"/>
  <c r="EG16" i="35036"/>
  <c r="EG68" i="35036"/>
  <c r="EG17" i="35036"/>
  <c r="EG79" i="35036"/>
  <c r="EG49" i="35036"/>
  <c r="EG81" i="35036"/>
  <c r="EG28" i="35036"/>
  <c r="EG44" i="35036"/>
  <c r="EG20" i="35036"/>
  <c r="EG45" i="35036"/>
  <c r="EG24" i="35036"/>
  <c r="EG48" i="35036"/>
  <c r="EG42" i="35036"/>
  <c r="EG11" i="35036"/>
  <c r="EG62" i="35036"/>
  <c r="EG57" i="35036"/>
  <c r="EG12" i="35036"/>
  <c r="EG73" i="35036"/>
  <c r="EG77" i="35036"/>
  <c r="EG84" i="35036"/>
  <c r="EG67" i="35036"/>
  <c r="EG72" i="35036"/>
  <c r="EG36" i="35036"/>
  <c r="EG22" i="35036"/>
  <c r="EG43" i="35036"/>
  <c r="EG14" i="35036"/>
  <c r="EG34" i="35036"/>
  <c r="EG29" i="35036"/>
  <c r="EG15" i="35036"/>
  <c r="EG19" i="35036"/>
  <c r="EG32" i="35036"/>
  <c r="EG75" i="35036"/>
  <c r="EG41" i="35036"/>
  <c r="EG54" i="35036"/>
  <c r="EG18" i="35036"/>
  <c r="EG63" i="35036"/>
  <c r="EG76" i="35036"/>
  <c r="EG30" i="35036"/>
  <c r="EG37" i="35036"/>
  <c r="EG69" i="35036"/>
  <c r="EG70" i="35036"/>
  <c r="EG39" i="35036"/>
  <c r="EG83" i="35036"/>
  <c r="EG56" i="35036"/>
  <c r="EG55" i="35036"/>
  <c r="EG25" i="35036"/>
  <c r="EG66" i="35036"/>
  <c r="EG58" i="35036"/>
  <c r="EG80" i="35036"/>
  <c r="EG65" i="35036"/>
  <c r="EG60" i="35036"/>
  <c r="EG50" i="35036"/>
  <c r="EG35" i="35036"/>
  <c r="EG71" i="35036"/>
  <c r="EG78" i="35036"/>
  <c r="EG33" i="35036"/>
  <c r="EG59" i="35036"/>
  <c r="EG61" i="35036"/>
  <c r="EG46" i="35036"/>
  <c r="EG82" i="35036"/>
  <c r="EG23" i="35036"/>
  <c r="EG13" i="35036"/>
  <c r="EG64" i="35036"/>
  <c r="EG31" i="35036"/>
  <c r="EG51" i="35036"/>
  <c r="EG53" i="35036"/>
  <c r="EG40" i="35036"/>
  <c r="EG21" i="35036"/>
  <c r="EG52" i="35036"/>
  <c r="EG27" i="35036"/>
  <c r="FI81" i="35036"/>
  <c r="FI59" i="35036"/>
  <c r="FI49" i="35036"/>
  <c r="FI29" i="35036"/>
  <c r="FI21" i="35036"/>
  <c r="FI23" i="35036"/>
  <c r="FI31" i="35036"/>
  <c r="FI22" i="35036"/>
  <c r="FI19" i="35036"/>
  <c r="FI48" i="35036"/>
  <c r="FI61" i="35036"/>
  <c r="FI16" i="35036"/>
  <c r="FI63" i="35036"/>
  <c r="FI33" i="35036"/>
  <c r="FI54" i="35036"/>
  <c r="FI26" i="35036"/>
  <c r="FI78" i="35036"/>
  <c r="FI25" i="35036"/>
  <c r="FI69" i="35036"/>
  <c r="FI44" i="35036"/>
  <c r="FI73" i="35036"/>
  <c r="FI84" i="35036"/>
  <c r="FI30" i="35036"/>
  <c r="FI13" i="35036"/>
  <c r="FI52" i="35036"/>
  <c r="FI32" i="35036"/>
  <c r="FI20" i="35036"/>
  <c r="FI24" i="35036"/>
  <c r="FI35" i="35036"/>
  <c r="FI37" i="35036"/>
  <c r="FI50" i="35036"/>
  <c r="FI27" i="35036"/>
  <c r="FI51" i="35036"/>
  <c r="FI67" i="35036"/>
  <c r="FI70" i="35036"/>
  <c r="FI14" i="35036"/>
  <c r="FI80" i="35036"/>
  <c r="FI74" i="35036"/>
  <c r="FI75" i="35036"/>
  <c r="FI82" i="35036"/>
  <c r="FI62" i="35036"/>
  <c r="FI56" i="35036"/>
  <c r="FI71" i="35036"/>
  <c r="FI38" i="35036"/>
  <c r="FI76" i="35036"/>
  <c r="FI68" i="35036"/>
  <c r="FI66" i="35036"/>
  <c r="FI42" i="35036"/>
  <c r="FI83" i="35036"/>
  <c r="FI11" i="35036"/>
  <c r="FI15" i="35036"/>
  <c r="FI12" i="35036"/>
  <c r="FI36" i="35036"/>
  <c r="FI58" i="35036"/>
  <c r="FI43" i="35036"/>
  <c r="FI65" i="35036"/>
  <c r="FI41" i="35036"/>
  <c r="FI45" i="35036"/>
  <c r="FI60" i="35036"/>
  <c r="FI28" i="35036"/>
  <c r="FI64" i="35036"/>
  <c r="FI79" i="35036"/>
  <c r="FI47" i="35036"/>
  <c r="FI77" i="35036"/>
  <c r="FI34" i="35036"/>
  <c r="FI57" i="35036"/>
  <c r="FI40" i="35036"/>
  <c r="FI17" i="35036"/>
  <c r="FI53" i="35036"/>
  <c r="FI18" i="35036"/>
  <c r="FI55" i="35036"/>
  <c r="FI39" i="35036"/>
  <c r="FI46" i="35036"/>
  <c r="FI72" i="35036"/>
  <c r="FH44" i="35036"/>
  <c r="FH42" i="35036"/>
  <c r="FH58" i="35036"/>
  <c r="FH24" i="35036"/>
  <c r="FH13" i="35036"/>
  <c r="FH56" i="35036"/>
  <c r="FH17" i="35036"/>
  <c r="FH75" i="35036"/>
  <c r="FH21" i="35036"/>
  <c r="FH68" i="35036"/>
  <c r="FH72" i="35036"/>
  <c r="FH11" i="35036"/>
  <c r="FH66" i="35036"/>
  <c r="FH76" i="35036"/>
  <c r="FH65" i="35036"/>
  <c r="FH39" i="35036"/>
  <c r="FH22" i="35036"/>
  <c r="FH28" i="35036"/>
  <c r="FH84" i="35036"/>
  <c r="FH16" i="35036"/>
  <c r="FH46" i="35036"/>
  <c r="FH51" i="35036"/>
  <c r="FH73" i="35036"/>
  <c r="FH25" i="35036"/>
  <c r="FH81" i="35036"/>
  <c r="FH53" i="35036"/>
  <c r="FH80" i="35036"/>
  <c r="FH54" i="35036"/>
  <c r="FH48" i="35036"/>
  <c r="FH23" i="35036"/>
  <c r="FH79" i="35036"/>
  <c r="FH70" i="35036"/>
  <c r="FH40" i="35036"/>
  <c r="FH18" i="35036"/>
  <c r="FH32" i="35036"/>
  <c r="FH49" i="35036"/>
  <c r="FH61" i="35036"/>
  <c r="FH63" i="35036"/>
  <c r="FH55" i="35036"/>
  <c r="FH43" i="35036"/>
  <c r="FH83" i="35036"/>
  <c r="FH15" i="35036"/>
  <c r="FH82" i="35036"/>
  <c r="FH57" i="35036"/>
  <c r="FH27" i="35036"/>
  <c r="FH59" i="35036"/>
  <c r="FH69" i="35036"/>
  <c r="FH14" i="35036"/>
  <c r="FH45" i="35036"/>
  <c r="FH52" i="35036"/>
  <c r="FH62" i="35036"/>
  <c r="FH34" i="35036"/>
  <c r="FH37" i="35036"/>
  <c r="FH36" i="35036"/>
  <c r="FH35" i="35036"/>
  <c r="FH50" i="35036"/>
  <c r="FH20" i="35036"/>
  <c r="FH77" i="35036"/>
  <c r="FH30" i="35036"/>
  <c r="FH60" i="35036"/>
  <c r="FH33" i="35036"/>
  <c r="FH47" i="35036"/>
  <c r="FH74" i="35036"/>
  <c r="FH67" i="35036"/>
  <c r="FH78" i="35036"/>
  <c r="FH71" i="35036"/>
  <c r="FH12" i="35036"/>
  <c r="FH29" i="35036"/>
  <c r="FH19" i="35036"/>
  <c r="FH26" i="35036"/>
  <c r="FH64" i="35036"/>
  <c r="FH41" i="35036"/>
  <c r="FH31" i="35036"/>
  <c r="FH38" i="35036"/>
  <c r="EB11" i="35036" a="1"/>
  <c r="H21" i="34985"/>
  <c r="T21" i="35035" s="1"/>
  <c r="U21" i="35035" s="1"/>
  <c r="C22" i="34985"/>
  <c r="H22" i="34985" l="1"/>
  <c r="T22" i="35035" s="1"/>
  <c r="U22" i="35035" s="1"/>
  <c r="C23" i="34985"/>
  <c r="EB62" i="35036"/>
  <c r="EB12" i="35036"/>
  <c r="EB24" i="35036"/>
  <c r="EB77" i="35036"/>
  <c r="EB46" i="35036"/>
  <c r="EB57" i="35036"/>
  <c r="EB31" i="35036"/>
  <c r="EB44" i="35036"/>
  <c r="EB30" i="35036"/>
  <c r="EB17" i="35036"/>
  <c r="EB76" i="35036"/>
  <c r="EB39" i="35036"/>
  <c r="EB67" i="35036"/>
  <c r="EB22" i="35036"/>
  <c r="EB64" i="35036"/>
  <c r="EB38" i="35036"/>
  <c r="EB84" i="35036"/>
  <c r="EB14" i="35036"/>
  <c r="EB35" i="35036"/>
  <c r="EB78" i="35036"/>
  <c r="EB73" i="35036"/>
  <c r="EB63" i="35036"/>
  <c r="EB48" i="35036"/>
  <c r="EB60" i="35036"/>
  <c r="EB36" i="35036"/>
  <c r="EB41" i="35036"/>
  <c r="EB20" i="35036"/>
  <c r="EB49" i="35036"/>
  <c r="EB50" i="35036"/>
  <c r="EB53" i="35036"/>
  <c r="EB52" i="35036"/>
  <c r="EB75" i="35036"/>
  <c r="EB27" i="35036"/>
  <c r="EB13" i="35036"/>
  <c r="EB70" i="35036"/>
  <c r="EB69" i="35036"/>
  <c r="EB61" i="35036"/>
  <c r="EB51" i="35036"/>
  <c r="EB54" i="35036"/>
  <c r="EB21" i="35036"/>
  <c r="EB79" i="35036"/>
  <c r="EB29" i="35036"/>
  <c r="EB80" i="35036"/>
  <c r="EB16" i="35036"/>
  <c r="EB81" i="35036"/>
  <c r="EB59" i="35036"/>
  <c r="EB18" i="35036"/>
  <c r="EB28" i="35036"/>
  <c r="EB19" i="35036"/>
  <c r="EB37" i="35036"/>
  <c r="EB25" i="35036"/>
  <c r="EB68" i="35036"/>
  <c r="EB32" i="35036"/>
  <c r="EB74" i="35036"/>
  <c r="EB33" i="35036"/>
  <c r="EB83" i="35036"/>
  <c r="EB65" i="35036"/>
  <c r="EB11" i="35036"/>
  <c r="EB40" i="35036"/>
  <c r="EB71" i="35036"/>
  <c r="EB55" i="35036"/>
  <c r="EB42" i="35036"/>
  <c r="EB47" i="35036"/>
  <c r="EB56" i="35036"/>
  <c r="EB72" i="35036"/>
  <c r="EB34" i="35036"/>
  <c r="EB58" i="35036"/>
  <c r="EB43" i="35036"/>
  <c r="EB15" i="35036"/>
  <c r="EB82" i="35036"/>
  <c r="EB26" i="35036"/>
  <c r="EB66" i="35036"/>
  <c r="EB23" i="35036"/>
  <c r="EB45" i="35036"/>
  <c r="H23" i="34985" l="1"/>
  <c r="T23" i="35035" s="1"/>
  <c r="U23" i="35035" s="1"/>
  <c r="C24" i="34985"/>
  <c r="EE11" i="35036" a="1"/>
  <c r="ED11" i="35036" a="1"/>
  <c r="EC11" i="35036" a="1"/>
  <c r="EC49" i="35036" l="1"/>
  <c r="EC74" i="35036"/>
  <c r="EC16" i="35036"/>
  <c r="EC43" i="35036"/>
  <c r="EC22" i="35036"/>
  <c r="EC61" i="35036"/>
  <c r="EC84" i="35036"/>
  <c r="EC21" i="35036"/>
  <c r="EC31" i="35036"/>
  <c r="EC72" i="35036"/>
  <c r="EC60" i="35036"/>
  <c r="EC53" i="35036"/>
  <c r="EC36" i="35036"/>
  <c r="EC81" i="35036"/>
  <c r="EC71" i="35036"/>
  <c r="EC42" i="35036"/>
  <c r="EC69" i="35036"/>
  <c r="EC33" i="35036"/>
  <c r="EC73" i="35036"/>
  <c r="EC15" i="35036"/>
  <c r="EC54" i="35036"/>
  <c r="EC75" i="35036"/>
  <c r="EC80" i="35036"/>
  <c r="EC63" i="35036"/>
  <c r="EC62" i="35036"/>
  <c r="EC56" i="35036"/>
  <c r="EC76" i="35036"/>
  <c r="EC27" i="35036"/>
  <c r="EC50" i="35036"/>
  <c r="EC52" i="35036"/>
  <c r="EC35" i="35036"/>
  <c r="EC13" i="35036"/>
  <c r="EC30" i="35036"/>
  <c r="EC28" i="35036"/>
  <c r="EC40" i="35036"/>
  <c r="EC19" i="35036"/>
  <c r="EC18" i="35036"/>
  <c r="EC38" i="35036"/>
  <c r="EC26" i="35036"/>
  <c r="EC25" i="35036"/>
  <c r="EC67" i="35036"/>
  <c r="EC70" i="35036"/>
  <c r="EC58" i="35036"/>
  <c r="EC37" i="35036"/>
  <c r="EC32" i="35036"/>
  <c r="EC55" i="35036"/>
  <c r="EC34" i="35036"/>
  <c r="EC83" i="35036"/>
  <c r="EC66" i="35036"/>
  <c r="EC44" i="35036"/>
  <c r="EC47" i="35036"/>
  <c r="EC82" i="35036"/>
  <c r="EC57" i="35036"/>
  <c r="EC23" i="35036"/>
  <c r="EC17" i="35036"/>
  <c r="EC45" i="35036"/>
  <c r="EC48" i="35036"/>
  <c r="EC64" i="35036"/>
  <c r="EC59" i="35036"/>
  <c r="EC24" i="35036"/>
  <c r="EC51" i="35036"/>
  <c r="EC39" i="35036"/>
  <c r="EC20" i="35036"/>
  <c r="EC12" i="35036"/>
  <c r="EC14" i="35036"/>
  <c r="EC68" i="35036"/>
  <c r="EC11" i="35036"/>
  <c r="EC79" i="35036"/>
  <c r="EC78" i="35036"/>
  <c r="EC46" i="35036"/>
  <c r="EC41" i="35036"/>
  <c r="EC65" i="35036"/>
  <c r="EC29" i="35036"/>
  <c r="EC77" i="35036"/>
  <c r="ED12" i="35036"/>
  <c r="ED21" i="35036"/>
  <c r="ED69" i="35036"/>
  <c r="ED46" i="35036"/>
  <c r="ED50" i="35036"/>
  <c r="ED77" i="35036"/>
  <c r="ED38" i="35036"/>
  <c r="ED35" i="35036"/>
  <c r="ED43" i="35036"/>
  <c r="ED13" i="35036"/>
  <c r="ED24" i="35036"/>
  <c r="ED20" i="35036"/>
  <c r="ED80" i="35036"/>
  <c r="ED22" i="35036"/>
  <c r="ED19" i="35036"/>
  <c r="ED33" i="35036"/>
  <c r="ED25" i="35036"/>
  <c r="ED40" i="35036"/>
  <c r="ED44" i="35036"/>
  <c r="ED34" i="35036"/>
  <c r="ED64" i="35036"/>
  <c r="ED15" i="35036"/>
  <c r="ED70" i="35036"/>
  <c r="ED62" i="35036"/>
  <c r="ED56" i="35036"/>
  <c r="ED57" i="35036"/>
  <c r="ED30" i="35036"/>
  <c r="ED47" i="35036"/>
  <c r="ED79" i="35036"/>
  <c r="ED75" i="35036"/>
  <c r="ED82" i="35036"/>
  <c r="ED23" i="35036"/>
  <c r="ED17" i="35036"/>
  <c r="ED53" i="35036"/>
  <c r="ED14" i="35036"/>
  <c r="ED76" i="35036"/>
  <c r="ED60" i="35036"/>
  <c r="ED16" i="35036"/>
  <c r="ED45" i="35036"/>
  <c r="ED42" i="35036"/>
  <c r="ED63" i="35036"/>
  <c r="ED59" i="35036"/>
  <c r="ED11" i="35036"/>
  <c r="ED66" i="35036"/>
  <c r="ED28" i="35036"/>
  <c r="ED68" i="35036"/>
  <c r="ED72" i="35036"/>
  <c r="ED58" i="35036"/>
  <c r="ED81" i="35036"/>
  <c r="ED37" i="35036"/>
  <c r="ED41" i="35036"/>
  <c r="ED36" i="35036"/>
  <c r="ED49" i="35036"/>
  <c r="ED27" i="35036"/>
  <c r="ED74" i="35036"/>
  <c r="ED52" i="35036"/>
  <c r="ED29" i="35036"/>
  <c r="ED61" i="35036"/>
  <c r="ED31" i="35036"/>
  <c r="ED78" i="35036"/>
  <c r="ED51" i="35036"/>
  <c r="ED83" i="35036"/>
  <c r="ED18" i="35036"/>
  <c r="ED65" i="35036"/>
  <c r="ED67" i="35036"/>
  <c r="ED84" i="35036"/>
  <c r="ED48" i="35036"/>
  <c r="ED54" i="35036"/>
  <c r="ED71" i="35036"/>
  <c r="ED55" i="35036"/>
  <c r="ED26" i="35036"/>
  <c r="ED39" i="35036"/>
  <c r="ED32" i="35036"/>
  <c r="ED73" i="35036"/>
  <c r="EE70" i="35036"/>
  <c r="EE65" i="35036"/>
  <c r="EE43" i="35036"/>
  <c r="EE63" i="35036"/>
  <c r="EE21" i="35036"/>
  <c r="EE49" i="35036"/>
  <c r="EE31" i="35036"/>
  <c r="EE69" i="35036"/>
  <c r="EE61" i="35036"/>
  <c r="EE79" i="35036"/>
  <c r="EE84" i="35036"/>
  <c r="EE53" i="35036"/>
  <c r="EE30" i="35036"/>
  <c r="EE81" i="35036"/>
  <c r="EE51" i="35036"/>
  <c r="EE16" i="35036"/>
  <c r="EE78" i="35036"/>
  <c r="EE57" i="35036"/>
  <c r="EE38" i="35036"/>
  <c r="EE54" i="35036"/>
  <c r="EE60" i="35036"/>
  <c r="EE76" i="35036"/>
  <c r="EE36" i="35036"/>
  <c r="EE17" i="35036"/>
  <c r="EE83" i="35036"/>
  <c r="EE66" i="35036"/>
  <c r="EE68" i="35036"/>
  <c r="EE82" i="35036"/>
  <c r="EE20" i="35036"/>
  <c r="EE26" i="35036"/>
  <c r="EE39" i="35036"/>
  <c r="EE48" i="35036"/>
  <c r="EE28" i="35036"/>
  <c r="EE13" i="35036"/>
  <c r="EE44" i="35036"/>
  <c r="EE46" i="35036"/>
  <c r="EE73" i="35036"/>
  <c r="EE52" i="35036"/>
  <c r="EE22" i="35036"/>
  <c r="EE47" i="35036"/>
  <c r="EE24" i="35036"/>
  <c r="EE59" i="35036"/>
  <c r="EE15" i="35036"/>
  <c r="EE50" i="35036"/>
  <c r="EE74" i="35036"/>
  <c r="EE29" i="35036"/>
  <c r="EE12" i="35036"/>
  <c r="EE80" i="35036"/>
  <c r="EE23" i="35036"/>
  <c r="EE45" i="35036"/>
  <c r="EE75" i="35036"/>
  <c r="EE33" i="35036"/>
  <c r="EE64" i="35036"/>
  <c r="EE55" i="35036"/>
  <c r="EE18" i="35036"/>
  <c r="EE27" i="35036"/>
  <c r="EE11" i="35036"/>
  <c r="EE19" i="35036"/>
  <c r="EE71" i="35036"/>
  <c r="EE14" i="35036"/>
  <c r="EE56" i="35036"/>
  <c r="EE25" i="35036"/>
  <c r="EE67" i="35036"/>
  <c r="EE40" i="35036"/>
  <c r="EE32" i="35036"/>
  <c r="EE34" i="35036"/>
  <c r="EE41" i="35036"/>
  <c r="EE37" i="35036"/>
  <c r="EE62" i="35036"/>
  <c r="EE35" i="35036"/>
  <c r="EE72" i="35036"/>
  <c r="EE42" i="35036"/>
  <c r="EE58" i="35036"/>
  <c r="EE77" i="35036"/>
  <c r="H24" i="34985"/>
  <c r="T24" i="35035" s="1"/>
  <c r="U24" i="35035" s="1"/>
  <c r="C25" i="34985"/>
  <c r="H25" i="34985" l="1"/>
  <c r="T25" i="35035" s="1"/>
  <c r="U25" i="35035" s="1"/>
  <c r="C26" i="34985"/>
  <c r="EJ11" i="35036" a="1"/>
  <c r="EK11" i="35036" a="1"/>
  <c r="EK65" i="35036" l="1"/>
  <c r="EK50" i="35036"/>
  <c r="EK26" i="35036"/>
  <c r="EK21" i="35036"/>
  <c r="EK64" i="35036"/>
  <c r="EK72" i="35036"/>
  <c r="EK61" i="35036"/>
  <c r="EK20" i="35036"/>
  <c r="EK15" i="35036"/>
  <c r="EK42" i="35036"/>
  <c r="EK63" i="35036"/>
  <c r="EK43" i="35036"/>
  <c r="EK44" i="35036"/>
  <c r="EK57" i="35036"/>
  <c r="EK35" i="35036"/>
  <c r="EK39" i="35036"/>
  <c r="EK41" i="35036"/>
  <c r="EK76" i="35036"/>
  <c r="EK33" i="35036"/>
  <c r="EK84" i="35036"/>
  <c r="EK67" i="35036"/>
  <c r="EK81" i="35036"/>
  <c r="EK29" i="35036"/>
  <c r="EK16" i="35036"/>
  <c r="EK38" i="35036"/>
  <c r="EK27" i="35036"/>
  <c r="EK30" i="35036"/>
  <c r="EK83" i="35036"/>
  <c r="EK66" i="35036"/>
  <c r="EK47" i="35036"/>
  <c r="EK17" i="35036"/>
  <c r="EK32" i="35036"/>
  <c r="EK68" i="35036"/>
  <c r="EK75" i="35036"/>
  <c r="EK36" i="35036"/>
  <c r="EK11" i="35036"/>
  <c r="EK25" i="35036"/>
  <c r="EK52" i="35036"/>
  <c r="EK13" i="35036"/>
  <c r="EK62" i="35036"/>
  <c r="EK24" i="35036"/>
  <c r="EK48" i="35036"/>
  <c r="EK54" i="35036"/>
  <c r="EK59" i="35036"/>
  <c r="EK74" i="35036"/>
  <c r="EK79" i="35036"/>
  <c r="EK49" i="35036"/>
  <c r="EK46" i="35036"/>
  <c r="EK14" i="35036"/>
  <c r="EK78" i="35036"/>
  <c r="EK60" i="35036"/>
  <c r="EK55" i="35036"/>
  <c r="EK51" i="35036"/>
  <c r="EK19" i="35036"/>
  <c r="EK71" i="35036"/>
  <c r="EK18" i="35036"/>
  <c r="EK31" i="35036"/>
  <c r="EK80" i="35036"/>
  <c r="EK45" i="35036"/>
  <c r="EK23" i="35036"/>
  <c r="EK70" i="35036"/>
  <c r="EK58" i="35036"/>
  <c r="EK69" i="35036"/>
  <c r="EK40" i="35036"/>
  <c r="EK12" i="35036"/>
  <c r="EK37" i="35036"/>
  <c r="EK34" i="35036"/>
  <c r="EK56" i="35036"/>
  <c r="EK28" i="35036"/>
  <c r="EK22" i="35036"/>
  <c r="EK53" i="35036"/>
  <c r="EK82" i="35036"/>
  <c r="EK77" i="35036"/>
  <c r="EK73" i="35036"/>
  <c r="EJ77" i="35036"/>
  <c r="EJ13" i="35036"/>
  <c r="EJ40" i="35036"/>
  <c r="EJ49" i="35036"/>
  <c r="EJ67" i="35036"/>
  <c r="EJ72" i="35036"/>
  <c r="EJ38" i="35036"/>
  <c r="EJ23" i="35036"/>
  <c r="EJ71" i="35036"/>
  <c r="EJ70" i="35036"/>
  <c r="EJ29" i="35036"/>
  <c r="EJ11" i="35036"/>
  <c r="EJ14" i="35036"/>
  <c r="EJ48" i="35036"/>
  <c r="EJ68" i="35036"/>
  <c r="EJ54" i="35036"/>
  <c r="EJ44" i="35036"/>
  <c r="EJ28" i="35036"/>
  <c r="EJ55" i="35036"/>
  <c r="EJ30" i="35036"/>
  <c r="EJ61" i="35036"/>
  <c r="EJ56" i="35036"/>
  <c r="EJ37" i="35036"/>
  <c r="EJ74" i="35036"/>
  <c r="EJ18" i="35036"/>
  <c r="EJ36" i="35036"/>
  <c r="EJ46" i="35036"/>
  <c r="EJ24" i="35036"/>
  <c r="EJ57" i="35036"/>
  <c r="EJ52" i="35036"/>
  <c r="EJ65" i="35036"/>
  <c r="EJ41" i="35036"/>
  <c r="EJ35" i="35036"/>
  <c r="EJ19" i="35036"/>
  <c r="EJ21" i="35036"/>
  <c r="EJ58" i="35036"/>
  <c r="EJ33" i="35036"/>
  <c r="EJ43" i="35036"/>
  <c r="EJ20" i="35036"/>
  <c r="EJ69" i="35036"/>
  <c r="EJ53" i="35036"/>
  <c r="EJ22" i="35036"/>
  <c r="EJ59" i="35036"/>
  <c r="EJ83" i="35036"/>
  <c r="EJ27" i="35036"/>
  <c r="EJ66" i="35036"/>
  <c r="EJ64" i="35036"/>
  <c r="EJ81" i="35036"/>
  <c r="EJ34" i="35036"/>
  <c r="EJ84" i="35036"/>
  <c r="EJ42" i="35036"/>
  <c r="EJ15" i="35036"/>
  <c r="EJ79" i="35036"/>
  <c r="EJ31" i="35036"/>
  <c r="EJ39" i="35036"/>
  <c r="EJ62" i="35036"/>
  <c r="EJ63" i="35036"/>
  <c r="EJ73" i="35036"/>
  <c r="EJ76" i="35036"/>
  <c r="EJ16" i="35036"/>
  <c r="EJ78" i="35036"/>
  <c r="EJ17" i="35036"/>
  <c r="EJ80" i="35036"/>
  <c r="EJ47" i="35036"/>
  <c r="EJ82" i="35036"/>
  <c r="EJ51" i="35036"/>
  <c r="EJ32" i="35036"/>
  <c r="EJ50" i="35036"/>
  <c r="EJ25" i="35036"/>
  <c r="EJ45" i="35036"/>
  <c r="EJ60" i="35036"/>
  <c r="EJ75" i="35036"/>
  <c r="EJ12" i="35036"/>
  <c r="EJ26" i="35036"/>
  <c r="H26" i="34985"/>
  <c r="T26" i="35035" s="1"/>
  <c r="U26" i="35035" s="1"/>
  <c r="C27" i="34985"/>
  <c r="H27" i="34985" l="1"/>
  <c r="T27" i="35035" s="1"/>
  <c r="U27" i="35035" s="1"/>
  <c r="C28" i="34985"/>
  <c r="H28" i="34985" l="1"/>
  <c r="T28" i="35035" s="1"/>
  <c r="U28" i="35035" s="1"/>
  <c r="C29" i="34985"/>
  <c r="H29" i="34985" l="1"/>
  <c r="T29" i="35035" s="1"/>
  <c r="U29" i="35035" s="1"/>
  <c r="C30" i="34985"/>
  <c r="H30" i="34985" l="1"/>
  <c r="T30" i="35035" s="1"/>
  <c r="U30" i="35035" s="1"/>
  <c r="C31" i="34985"/>
  <c r="H31" i="34985" l="1"/>
  <c r="T31" i="35035" s="1"/>
  <c r="U31" i="35035" s="1"/>
  <c r="C32" i="34985"/>
  <c r="H32" i="34985" l="1"/>
  <c r="T32" i="35035" s="1"/>
  <c r="U32" i="35035" s="1"/>
  <c r="C33" i="34985"/>
  <c r="H33" i="34985" l="1"/>
  <c r="T33" i="35035" s="1"/>
  <c r="U33" i="35035" s="1"/>
  <c r="C34" i="34985"/>
  <c r="H34" i="34985" l="1"/>
  <c r="T34" i="35035" s="1"/>
  <c r="U34" i="35035" s="1"/>
  <c r="C35" i="34985"/>
  <c r="H35" i="34985" l="1"/>
  <c r="T35" i="35035" s="1"/>
  <c r="U35" i="35035" s="1"/>
  <c r="C36" i="34985"/>
  <c r="H36" i="34985" l="1"/>
  <c r="T36" i="35035" s="1"/>
  <c r="U36" i="35035" s="1"/>
  <c r="C37" i="34985"/>
  <c r="H37" i="34985" l="1"/>
  <c r="T37" i="35035" s="1"/>
  <c r="U37" i="35035" s="1"/>
  <c r="C38" i="34985"/>
  <c r="H38" i="34985" l="1"/>
  <c r="T38" i="35035" s="1"/>
  <c r="U38" i="35035" s="1"/>
  <c r="C39" i="34985"/>
  <c r="H39" i="34985" l="1"/>
  <c r="T39" i="35035" s="1"/>
  <c r="U39" i="35035" s="1"/>
  <c r="C40" i="34985"/>
  <c r="H40" i="34985" l="1"/>
  <c r="T40" i="35035" s="1"/>
  <c r="U40" i="35035" s="1"/>
  <c r="C41" i="34985"/>
  <c r="H41" i="34985" l="1"/>
  <c r="T41" i="35035" s="1"/>
  <c r="U41" i="35035" s="1"/>
  <c r="C42" i="34985"/>
  <c r="H42" i="34985" l="1"/>
  <c r="T42" i="35035" s="1"/>
  <c r="U42" i="35035" s="1"/>
  <c r="C43" i="34985"/>
  <c r="H43" i="34985" l="1"/>
  <c r="T43" i="35035" s="1"/>
  <c r="U43" i="35035" s="1"/>
  <c r="C44" i="34985"/>
  <c r="H44" i="34985" l="1"/>
  <c r="T44" i="35035" s="1"/>
  <c r="U44" i="35035" s="1"/>
  <c r="C45" i="34985"/>
  <c r="H45" i="34985" l="1"/>
  <c r="T45" i="35035" s="1"/>
  <c r="U45" i="35035" s="1"/>
  <c r="C46" i="34985"/>
  <c r="H46" i="34985" l="1"/>
  <c r="T46" i="35035" s="1"/>
  <c r="U46" i="35035" s="1"/>
  <c r="C47" i="34985"/>
  <c r="H47" i="34985" l="1"/>
  <c r="T47" i="35035" s="1"/>
  <c r="U47" i="35035" s="1"/>
  <c r="C48" i="34985"/>
  <c r="H48" i="34985" l="1"/>
  <c r="T48" i="35035" s="1"/>
  <c r="U48" i="35035" s="1"/>
  <c r="C49" i="34985"/>
  <c r="H49" i="34985" l="1"/>
  <c r="T49" i="35035" s="1"/>
  <c r="U49" i="35035" s="1"/>
  <c r="C50" i="34985"/>
  <c r="H50" i="34985" l="1"/>
  <c r="T50" i="35035" s="1"/>
  <c r="U50" i="35035" s="1"/>
  <c r="C51" i="34985"/>
  <c r="H51" i="34985" l="1"/>
  <c r="T51" i="35035" s="1"/>
  <c r="U51" i="35035" s="1"/>
  <c r="C52" i="34985"/>
  <c r="H52" i="34985" l="1"/>
  <c r="T52" i="35035" s="1"/>
  <c r="U52" i="35035" s="1"/>
  <c r="C53" i="34985"/>
  <c r="H53" i="34985" l="1"/>
  <c r="T53" i="35035" s="1"/>
  <c r="U53" i="35035" s="1"/>
  <c r="C54" i="34985"/>
  <c r="H54" i="34985" l="1"/>
  <c r="T54" i="35035" s="1"/>
  <c r="U54" i="35035" s="1"/>
  <c r="C55" i="34985"/>
  <c r="H55" i="34985" l="1"/>
  <c r="T55" i="35035" s="1"/>
  <c r="U55" i="35035" s="1"/>
  <c r="C56" i="34985"/>
  <c r="H56" i="34985" l="1"/>
  <c r="T56" i="35035" s="1"/>
  <c r="U56" i="35035" s="1"/>
  <c r="C57" i="34985"/>
  <c r="H57" i="34985" l="1"/>
  <c r="T57" i="35035" s="1"/>
  <c r="U57" i="35035" s="1"/>
  <c r="C58" i="34985"/>
  <c r="H58" i="34985" l="1"/>
  <c r="T58" i="35035" s="1"/>
  <c r="U58" i="35035" s="1"/>
  <c r="C59" i="34985"/>
  <c r="H59" i="34985" l="1"/>
  <c r="T59" i="35035" s="1"/>
  <c r="U59" i="35035" s="1"/>
  <c r="C60" i="34985"/>
  <c r="H60" i="34985" l="1"/>
  <c r="T60" i="35035" s="1"/>
  <c r="U60" i="35035" s="1"/>
  <c r="C61" i="34985"/>
  <c r="H61" i="34985" l="1"/>
  <c r="T61" i="35035" s="1"/>
  <c r="U61" i="35035" s="1"/>
  <c r="C62" i="34985"/>
  <c r="H62" i="34985" l="1"/>
  <c r="T62" i="35035" s="1"/>
  <c r="U62" i="35035" s="1"/>
  <c r="C63" i="34985"/>
  <c r="H63" i="34985" l="1"/>
  <c r="T63" i="35035" s="1"/>
  <c r="U63" i="35035" s="1"/>
  <c r="C64" i="34985"/>
  <c r="H64" i="34985" l="1"/>
  <c r="T64" i="35035" s="1"/>
  <c r="U64" i="35035" s="1"/>
  <c r="C65" i="34985"/>
  <c r="H65" i="34985" l="1"/>
  <c r="T65" i="35035" s="1"/>
  <c r="U65" i="35035" s="1"/>
  <c r="C66" i="34985"/>
  <c r="H66" i="34985" l="1"/>
  <c r="T66" i="35035" s="1"/>
  <c r="U66" i="35035" s="1"/>
  <c r="C67" i="34985"/>
  <c r="H67" i="34985" l="1"/>
  <c r="T67" i="35035" s="1"/>
  <c r="U67" i="35035" s="1"/>
  <c r="C68" i="34985"/>
  <c r="H68" i="34985" l="1"/>
  <c r="T68" i="35035" s="1"/>
  <c r="U68" i="35035" s="1"/>
  <c r="C69" i="34985"/>
  <c r="H69" i="34985" l="1"/>
  <c r="T69" i="35035" s="1"/>
  <c r="U69" i="35035" s="1"/>
  <c r="C70" i="34985"/>
  <c r="H70" i="34985" l="1"/>
  <c r="T70" i="35035" s="1"/>
  <c r="U70" i="35035" s="1"/>
  <c r="C71" i="34985"/>
  <c r="H71" i="34985" l="1"/>
  <c r="T71" i="35035" s="1"/>
  <c r="U71" i="35035" s="1"/>
  <c r="C72" i="34985"/>
  <c r="H72" i="34985" l="1"/>
  <c r="T72" i="35035" s="1"/>
  <c r="U72" i="35035" s="1"/>
  <c r="C73" i="34985"/>
  <c r="H73" i="34985" l="1"/>
  <c r="T73" i="35035" s="1"/>
  <c r="U73" i="35035" s="1"/>
  <c r="C74" i="34985"/>
  <c r="H74" i="34985" l="1"/>
  <c r="T74" i="35035" s="1"/>
  <c r="U74" i="35035" s="1"/>
  <c r="C75" i="34985"/>
  <c r="H75" i="34985" l="1"/>
  <c r="T75" i="35035" s="1"/>
  <c r="U75" i="35035" s="1"/>
  <c r="C76" i="34985"/>
  <c r="H76" i="34985" l="1"/>
  <c r="T76" i="35035" s="1"/>
  <c r="U76" i="35035" s="1"/>
  <c r="C77" i="34985"/>
  <c r="H77" i="34985" l="1"/>
  <c r="T77" i="35035" s="1"/>
  <c r="U77" i="35035" s="1"/>
  <c r="C78" i="34985"/>
  <c r="H78" i="34985" l="1"/>
  <c r="T78" i="35035" s="1"/>
  <c r="U78" i="35035" s="1"/>
  <c r="C79" i="34985"/>
  <c r="H79" i="34985" l="1"/>
  <c r="T79" i="35035" s="1"/>
  <c r="U79" i="35035" s="1"/>
  <c r="C80" i="34985"/>
  <c r="H80" i="34985" l="1"/>
  <c r="T80" i="35035" s="1"/>
  <c r="U80" i="35035" s="1"/>
  <c r="C81" i="34985"/>
  <c r="H81" i="34985" l="1"/>
  <c r="T81" i="35035" s="1"/>
  <c r="U81" i="35035" s="1"/>
  <c r="C82" i="34985"/>
  <c r="H82" i="34985" l="1"/>
  <c r="T82" i="35035" s="1"/>
  <c r="U82" i="35035" s="1"/>
  <c r="C83" i="34985"/>
  <c r="H83" i="34985" l="1"/>
  <c r="T83" i="35035" s="1"/>
  <c r="U83" i="35035" s="1"/>
  <c r="C84" i="34985"/>
  <c r="DI11" i="35036" s="1" a="1"/>
  <c r="DB11" i="35036" a="1"/>
  <c r="M86" i="35391" l="1" a="1"/>
  <c r="M86" i="35391" s="1"/>
  <c r="DI58" i="35036"/>
  <c r="DI57" i="35036"/>
  <c r="DI27" i="35036"/>
  <c r="DI42" i="35036"/>
  <c r="DI26" i="35036"/>
  <c r="DI65" i="35036"/>
  <c r="DI19" i="35036"/>
  <c r="DI82" i="35036"/>
  <c r="DI18" i="35036"/>
  <c r="DI80" i="35036"/>
  <c r="DI51" i="35036"/>
  <c r="DI73" i="35036"/>
  <c r="DI31" i="35036"/>
  <c r="DI70" i="35036"/>
  <c r="DI79" i="35036"/>
  <c r="DI78" i="35036"/>
  <c r="DI61" i="35036"/>
  <c r="DI67" i="35036"/>
  <c r="DI54" i="35036"/>
  <c r="DI62" i="35036"/>
  <c r="DI12" i="35036"/>
  <c r="DI43" i="35036"/>
  <c r="DI83" i="35036"/>
  <c r="DI68" i="35036"/>
  <c r="DI25" i="35036"/>
  <c r="DI72" i="35036"/>
  <c r="DI56" i="35036"/>
  <c r="DI63" i="35036"/>
  <c r="DI47" i="35036"/>
  <c r="DI53" i="35036"/>
  <c r="DI74" i="35036"/>
  <c r="DI16" i="35036"/>
  <c r="DI13" i="35036"/>
  <c r="DI52" i="35036"/>
  <c r="DI77" i="35036"/>
  <c r="DI44" i="35036"/>
  <c r="DI76" i="35036"/>
  <c r="DI23" i="35036"/>
  <c r="DI60" i="35036"/>
  <c r="DI64" i="35036"/>
  <c r="DI81" i="35036"/>
  <c r="DI75" i="35036"/>
  <c r="DI15" i="35036"/>
  <c r="DI66" i="35036"/>
  <c r="DI22" i="35036"/>
  <c r="DI21" i="35036"/>
  <c r="DI36" i="35036"/>
  <c r="DI50" i="35036"/>
  <c r="DI24" i="35036"/>
  <c r="DI59" i="35036"/>
  <c r="DI41" i="35036"/>
  <c r="DI49" i="35036"/>
  <c r="DI17" i="35036"/>
  <c r="DI14" i="35036"/>
  <c r="DI28" i="35036"/>
  <c r="DI34" i="35036"/>
  <c r="DI35" i="35036"/>
  <c r="DI55" i="35036"/>
  <c r="DI32" i="35036"/>
  <c r="DI40" i="35036"/>
  <c r="DI39" i="35036"/>
  <c r="DI46" i="35036"/>
  <c r="DI37" i="35036"/>
  <c r="DI38" i="35036"/>
  <c r="DI29" i="35036"/>
  <c r="DI84" i="35036"/>
  <c r="DI30" i="35036"/>
  <c r="DI45" i="35036"/>
  <c r="DI33" i="35036"/>
  <c r="DI11" i="35036"/>
  <c r="DI71" i="35036"/>
  <c r="DI48" i="35036"/>
  <c r="DI20" i="35036"/>
  <c r="DI69" i="35036"/>
  <c r="DB55" i="35036"/>
  <c r="DB32" i="35036"/>
  <c r="DB29" i="35036"/>
  <c r="DB82" i="35036"/>
  <c r="DB47" i="35036"/>
  <c r="DB31" i="35036"/>
  <c r="DB65" i="35036"/>
  <c r="DB24" i="35036"/>
  <c r="DB59" i="35036"/>
  <c r="DB50" i="35036"/>
  <c r="DB78" i="35036"/>
  <c r="DB14" i="35036"/>
  <c r="DB81" i="35036"/>
  <c r="DB20" i="35036"/>
  <c r="DB35" i="35036"/>
  <c r="DB42" i="35036"/>
  <c r="DB17" i="35036"/>
  <c r="DB63" i="35036"/>
  <c r="DB80" i="35036"/>
  <c r="DB23" i="35036"/>
  <c r="DB46" i="35036"/>
  <c r="DB53" i="35036"/>
  <c r="DB67" i="35036"/>
  <c r="DB70" i="35036"/>
  <c r="DB18" i="35036"/>
  <c r="DB28" i="35036"/>
  <c r="DB56" i="35036"/>
  <c r="DB27" i="35036"/>
  <c r="DB12" i="35036"/>
  <c r="DB52" i="35036"/>
  <c r="DB40" i="35036"/>
  <c r="DB19" i="35036"/>
  <c r="DB39" i="35036"/>
  <c r="DB64" i="35036"/>
  <c r="DB44" i="35036"/>
  <c r="DB48" i="35036"/>
  <c r="DB34" i="35036"/>
  <c r="DB73" i="35036"/>
  <c r="DB54" i="35036"/>
  <c r="DB62" i="35036"/>
  <c r="DB51" i="35036"/>
  <c r="DB71" i="35036"/>
  <c r="DB38" i="35036"/>
  <c r="DB60" i="35036"/>
  <c r="DB25" i="35036"/>
  <c r="DB37" i="35036"/>
  <c r="DB72" i="35036"/>
  <c r="DB45" i="35036"/>
  <c r="DB77" i="35036"/>
  <c r="DB16" i="35036"/>
  <c r="DB21" i="35036"/>
  <c r="DB30" i="35036"/>
  <c r="DB13" i="35036"/>
  <c r="DB74" i="35036"/>
  <c r="DB79" i="35036"/>
  <c r="DB68" i="35036"/>
  <c r="DB22" i="35036"/>
  <c r="DB66" i="35036"/>
  <c r="DB69" i="35036"/>
  <c r="DB11" i="35036"/>
  <c r="DB76" i="35036"/>
  <c r="DB26" i="35036"/>
  <c r="DB83" i="35036"/>
  <c r="DB75" i="35036"/>
  <c r="DB57" i="35036"/>
  <c r="DB33" i="35036"/>
  <c r="DB84" i="35036"/>
  <c r="DB49" i="35036"/>
  <c r="DB36" i="35036"/>
  <c r="DB58" i="35036"/>
  <c r="DB15" i="35036"/>
  <c r="DB43" i="35036"/>
  <c r="DB41" i="35036"/>
  <c r="DB61" i="35036"/>
  <c r="H84" i="34985"/>
  <c r="T84" i="35035" s="1"/>
  <c r="U84" i="35035" s="1"/>
  <c r="DJ11" i="35036" a="1"/>
  <c r="DK11" i="35036" a="1"/>
  <c r="L30" i="34908" l="1" a="1"/>
  <c r="L30" i="34908" s="1"/>
  <c r="L32" i="34908" s="1"/>
  <c r="M32" i="34908" s="1"/>
  <c r="N32" i="34908" s="1"/>
  <c r="N86" i="35391"/>
  <c r="O86" i="35391" s="1"/>
  <c r="M91" i="35391"/>
  <c r="DK53" i="35036"/>
  <c r="DK18" i="35036"/>
  <c r="DK43" i="35036"/>
  <c r="DK16" i="35036"/>
  <c r="DK54" i="35036"/>
  <c r="DK20" i="35036"/>
  <c r="DK83" i="35036"/>
  <c r="DK60" i="35036"/>
  <c r="DK38" i="35036"/>
  <c r="DK33" i="35036"/>
  <c r="DK42" i="35036"/>
  <c r="DK62" i="35036"/>
  <c r="DK31" i="35036"/>
  <c r="DK71" i="35036"/>
  <c r="DK21" i="35036"/>
  <c r="DK65" i="35036"/>
  <c r="DK46" i="35036"/>
  <c r="DK80" i="35036"/>
  <c r="DK66" i="35036"/>
  <c r="DK79" i="35036"/>
  <c r="DK25" i="35036"/>
  <c r="DK84" i="35036"/>
  <c r="DK56" i="35036"/>
  <c r="DK37" i="35036"/>
  <c r="DK35" i="35036"/>
  <c r="DK76" i="35036"/>
  <c r="DK30" i="35036"/>
  <c r="DK27" i="35036"/>
  <c r="DK72" i="35036"/>
  <c r="DK36" i="35036"/>
  <c r="DK40" i="35036"/>
  <c r="DK14" i="35036"/>
  <c r="DK34" i="35036"/>
  <c r="DK49" i="35036"/>
  <c r="DK78" i="35036"/>
  <c r="DK68" i="35036"/>
  <c r="DK47" i="35036"/>
  <c r="DK28" i="35036"/>
  <c r="DK13" i="35036"/>
  <c r="DK19" i="35036"/>
  <c r="DK81" i="35036"/>
  <c r="DK61" i="35036"/>
  <c r="DK73" i="35036"/>
  <c r="DK45" i="35036"/>
  <c r="DK11" i="35036"/>
  <c r="DK57" i="35036"/>
  <c r="DK70" i="35036"/>
  <c r="DK26" i="35036"/>
  <c r="DK63" i="35036"/>
  <c r="DK23" i="35036"/>
  <c r="DK29" i="35036"/>
  <c r="DK75" i="35036"/>
  <c r="DK82" i="35036"/>
  <c r="DK67" i="35036"/>
  <c r="DK77" i="35036"/>
  <c r="DK17" i="35036"/>
  <c r="DK58" i="35036"/>
  <c r="DK15" i="35036"/>
  <c r="DK69" i="35036"/>
  <c r="DK59" i="35036"/>
  <c r="DK50" i="35036"/>
  <c r="DK44" i="35036"/>
  <c r="DK41" i="35036"/>
  <c r="DK24" i="35036"/>
  <c r="DK32" i="35036"/>
  <c r="DK74" i="35036"/>
  <c r="DK12" i="35036"/>
  <c r="DK48" i="35036"/>
  <c r="DK55" i="35036"/>
  <c r="DK22" i="35036"/>
  <c r="DK52" i="35036"/>
  <c r="DK51" i="35036"/>
  <c r="DK39" i="35036"/>
  <c r="DK64" i="35036"/>
  <c r="DJ35" i="35036"/>
  <c r="DJ74" i="35036"/>
  <c r="DJ64" i="35036"/>
  <c r="DJ42" i="35036"/>
  <c r="DJ23" i="35036"/>
  <c r="DJ54" i="35036"/>
  <c r="DJ26" i="35036"/>
  <c r="DJ45" i="35036"/>
  <c r="DJ48" i="35036"/>
  <c r="DJ41" i="35036"/>
  <c r="DJ49" i="35036"/>
  <c r="DJ28" i="35036"/>
  <c r="DJ20" i="35036"/>
  <c r="DJ22" i="35036"/>
  <c r="DJ55" i="35036"/>
  <c r="DJ29" i="35036"/>
  <c r="DJ19" i="35036"/>
  <c r="DJ84" i="35036"/>
  <c r="DJ57" i="35036"/>
  <c r="DJ34" i="35036"/>
  <c r="DJ50" i="35036"/>
  <c r="DJ13" i="35036"/>
  <c r="DJ15" i="35036"/>
  <c r="DJ38" i="35036"/>
  <c r="DJ27" i="35036"/>
  <c r="DJ40" i="35036"/>
  <c r="DJ56" i="35036"/>
  <c r="DJ63" i="35036"/>
  <c r="DJ79" i="35036"/>
  <c r="DJ14" i="35036"/>
  <c r="DJ44" i="35036"/>
  <c r="DJ52" i="35036"/>
  <c r="DJ21" i="35036"/>
  <c r="DJ31" i="35036"/>
  <c r="DJ73" i="35036"/>
  <c r="DJ43" i="35036"/>
  <c r="DJ25" i="35036"/>
  <c r="DJ16" i="35036"/>
  <c r="DJ68" i="35036"/>
  <c r="DJ77" i="35036"/>
  <c r="DJ62" i="35036"/>
  <c r="DJ53" i="35036"/>
  <c r="DJ59" i="35036"/>
  <c r="DJ33" i="35036"/>
  <c r="DJ24" i="35036"/>
  <c r="DJ70" i="35036"/>
  <c r="DJ66" i="35036"/>
  <c r="DJ69" i="35036"/>
  <c r="DJ32" i="35036"/>
  <c r="DJ60" i="35036"/>
  <c r="DJ71" i="35036"/>
  <c r="DJ39" i="35036"/>
  <c r="DJ11" i="35036"/>
  <c r="DJ72" i="35036"/>
  <c r="DJ82" i="35036"/>
  <c r="DJ46" i="35036"/>
  <c r="DJ78" i="35036"/>
  <c r="DJ17" i="35036"/>
  <c r="DJ83" i="35036"/>
  <c r="DJ76" i="35036"/>
  <c r="DJ37" i="35036"/>
  <c r="DJ30" i="35036"/>
  <c r="DJ80" i="35036"/>
  <c r="DJ47" i="35036"/>
  <c r="DJ18" i="35036"/>
  <c r="DJ12" i="35036"/>
  <c r="DJ65" i="35036"/>
  <c r="DJ36" i="35036"/>
  <c r="DJ61" i="35036"/>
  <c r="DJ58" i="35036"/>
  <c r="DJ51" i="35036"/>
  <c r="DJ81" i="35036"/>
  <c r="DJ75" i="35036"/>
  <c r="DJ67" i="35036"/>
  <c r="DD11" i="35036" a="1"/>
  <c r="M30" i="34908" l="1"/>
  <c r="N30" i="34908" s="1"/>
  <c r="N91" i="35391"/>
  <c r="O91" i="35391" s="1"/>
  <c r="R43" i="35391"/>
  <c r="DD22" i="35036"/>
  <c r="DD54" i="35036"/>
  <c r="DD77" i="35036"/>
  <c r="DD15" i="35036"/>
  <c r="DD18" i="35036"/>
  <c r="DD75" i="35036"/>
  <c r="DD25" i="35036"/>
  <c r="DD20" i="35036"/>
  <c r="DD83" i="35036"/>
  <c r="DD27" i="35036"/>
  <c r="DD32" i="35036"/>
  <c r="DD34" i="35036"/>
  <c r="DD58" i="35036"/>
  <c r="DD39" i="35036"/>
  <c r="DD63" i="35036"/>
  <c r="DD28" i="35036"/>
  <c r="DD49" i="35036"/>
  <c r="DD65" i="35036"/>
  <c r="DD38" i="35036"/>
  <c r="DD14" i="35036"/>
  <c r="DD66" i="35036"/>
  <c r="DD16" i="35036"/>
  <c r="DD57" i="35036"/>
  <c r="DD73" i="35036"/>
  <c r="DD50" i="35036"/>
  <c r="DD69" i="35036"/>
  <c r="DD56" i="35036"/>
  <c r="DD53" i="35036"/>
  <c r="DD21" i="35036"/>
  <c r="DD26" i="35036"/>
  <c r="DD62" i="35036"/>
  <c r="DD36" i="35036"/>
  <c r="DD64" i="35036"/>
  <c r="DD37" i="35036"/>
  <c r="DD29" i="35036"/>
  <c r="DD31" i="35036"/>
  <c r="DD23" i="35036"/>
  <c r="DD51" i="35036"/>
  <c r="DD76" i="35036"/>
  <c r="DD71" i="35036"/>
  <c r="DD78" i="35036"/>
  <c r="DD74" i="35036"/>
  <c r="DD55" i="35036"/>
  <c r="DD45" i="35036"/>
  <c r="DD35" i="35036"/>
  <c r="DD24" i="35036"/>
  <c r="DD19" i="35036"/>
  <c r="DD11" i="35036"/>
  <c r="DD42" i="35036"/>
  <c r="DD84" i="35036"/>
  <c r="DD79" i="35036"/>
  <c r="DD70" i="35036"/>
  <c r="DD72" i="35036"/>
  <c r="DD61" i="35036"/>
  <c r="DD44" i="35036"/>
  <c r="DD68" i="35036"/>
  <c r="DD82" i="35036"/>
  <c r="DD40" i="35036"/>
  <c r="DD41" i="35036"/>
  <c r="DD47" i="35036"/>
  <c r="DD12" i="35036"/>
  <c r="DD43" i="35036"/>
  <c r="DD33" i="35036"/>
  <c r="DD46" i="35036"/>
  <c r="DD67" i="35036"/>
  <c r="DD60" i="35036"/>
  <c r="DD80" i="35036"/>
  <c r="DD59" i="35036"/>
  <c r="DD17" i="35036"/>
  <c r="DD48" i="35036"/>
  <c r="DD30" i="35036"/>
  <c r="DD13" i="35036"/>
  <c r="DD81" i="35036"/>
  <c r="DD52" i="35036"/>
  <c r="T43" i="35391" l="1"/>
  <c r="R39" i="35391"/>
  <c r="T39" i="35391" s="1"/>
  <c r="DG11" i="35036" a="1"/>
  <c r="DF11" i="35036" a="1"/>
  <c r="DE11" i="35036" a="1"/>
  <c r="DE84" i="35036" l="1"/>
  <c r="DE22" i="35036"/>
  <c r="DE39" i="35036"/>
  <c r="DE18" i="35036"/>
  <c r="DE26" i="35036"/>
  <c r="DE68" i="35036"/>
  <c r="DE51" i="35036"/>
  <c r="DE25" i="35036"/>
  <c r="DE59" i="35036"/>
  <c r="DE64" i="35036"/>
  <c r="DE16" i="35036"/>
  <c r="DE32" i="35036"/>
  <c r="DE50" i="35036"/>
  <c r="DE71" i="35036"/>
  <c r="DE43" i="35036"/>
  <c r="DE81" i="35036"/>
  <c r="DE67" i="35036"/>
  <c r="DE35" i="35036"/>
  <c r="DE70" i="35036"/>
  <c r="DE33" i="35036"/>
  <c r="DE79" i="35036"/>
  <c r="DE23" i="35036"/>
  <c r="DE60" i="35036"/>
  <c r="DE38" i="35036"/>
  <c r="DE19" i="35036"/>
  <c r="DE83" i="35036"/>
  <c r="DE75" i="35036"/>
  <c r="DE30" i="35036"/>
  <c r="DE66" i="35036"/>
  <c r="DE76" i="35036"/>
  <c r="DE53" i="35036"/>
  <c r="DE31" i="35036"/>
  <c r="DE72" i="35036"/>
  <c r="DE69" i="35036"/>
  <c r="DE37" i="35036"/>
  <c r="DE21" i="35036"/>
  <c r="DE42" i="35036"/>
  <c r="DE28" i="35036"/>
  <c r="DE65" i="35036"/>
  <c r="DE77" i="35036"/>
  <c r="DE55" i="35036"/>
  <c r="DE58" i="35036"/>
  <c r="DE80" i="35036"/>
  <c r="DE73" i="35036"/>
  <c r="DE36" i="35036"/>
  <c r="DE24" i="35036"/>
  <c r="DE74" i="35036"/>
  <c r="DE63" i="35036"/>
  <c r="DE41" i="35036"/>
  <c r="DE48" i="35036"/>
  <c r="DE44" i="35036"/>
  <c r="DE52" i="35036"/>
  <c r="DE46" i="35036"/>
  <c r="DE13" i="35036"/>
  <c r="DE57" i="35036"/>
  <c r="DE29" i="35036"/>
  <c r="DE12" i="35036"/>
  <c r="DE11" i="35036"/>
  <c r="DE14" i="35036"/>
  <c r="DE17" i="35036"/>
  <c r="DE82" i="35036"/>
  <c r="DE56" i="35036"/>
  <c r="DE34" i="35036"/>
  <c r="DE62" i="35036"/>
  <c r="DE15" i="35036"/>
  <c r="DE27" i="35036"/>
  <c r="DE47" i="35036"/>
  <c r="DE40" i="35036"/>
  <c r="DE78" i="35036"/>
  <c r="DE61" i="35036"/>
  <c r="DE45" i="35036"/>
  <c r="DE49" i="35036"/>
  <c r="DE20" i="35036"/>
  <c r="DE54" i="35036"/>
  <c r="DF62" i="35036"/>
  <c r="DF19" i="35036"/>
  <c r="DF60" i="35036"/>
  <c r="DF68" i="35036"/>
  <c r="DF15" i="35036"/>
  <c r="DF44" i="35036"/>
  <c r="DF57" i="35036"/>
  <c r="DF71" i="35036"/>
  <c r="DF20" i="35036"/>
  <c r="DF39" i="35036"/>
  <c r="DF35" i="35036"/>
  <c r="DF40" i="35036"/>
  <c r="DF16" i="35036"/>
  <c r="DF84" i="35036"/>
  <c r="DF53" i="35036"/>
  <c r="DF81" i="35036"/>
  <c r="DF58" i="35036"/>
  <c r="DF49" i="35036"/>
  <c r="DF25" i="35036"/>
  <c r="DF34" i="35036"/>
  <c r="DF76" i="35036"/>
  <c r="DF48" i="35036"/>
  <c r="DF79" i="35036"/>
  <c r="DF12" i="35036"/>
  <c r="DF69" i="35036"/>
  <c r="DF24" i="35036"/>
  <c r="DF29" i="35036"/>
  <c r="DF21" i="35036"/>
  <c r="DF46" i="35036"/>
  <c r="DF37" i="35036"/>
  <c r="DF47" i="35036"/>
  <c r="DF27" i="35036"/>
  <c r="DF17" i="35036"/>
  <c r="DF55" i="35036"/>
  <c r="DF64" i="35036"/>
  <c r="DF70" i="35036"/>
  <c r="DF54" i="35036"/>
  <c r="DF66" i="35036"/>
  <c r="DF75" i="35036"/>
  <c r="DF14" i="35036"/>
  <c r="DF78" i="35036"/>
  <c r="DF51" i="35036"/>
  <c r="DF41" i="35036"/>
  <c r="DF30" i="35036"/>
  <c r="DF18" i="35036"/>
  <c r="DF83" i="35036"/>
  <c r="DF72" i="35036"/>
  <c r="DF45" i="35036"/>
  <c r="DF56" i="35036"/>
  <c r="DF23" i="35036"/>
  <c r="DF26" i="35036"/>
  <c r="DF42" i="35036"/>
  <c r="DF38" i="35036"/>
  <c r="DF80" i="35036"/>
  <c r="DF59" i="35036"/>
  <c r="DF36" i="35036"/>
  <c r="DF22" i="35036"/>
  <c r="DF61" i="35036"/>
  <c r="DF50" i="35036"/>
  <c r="DF33" i="35036"/>
  <c r="DF65" i="35036"/>
  <c r="DF82" i="35036"/>
  <c r="DF28" i="35036"/>
  <c r="DF73" i="35036"/>
  <c r="DF13" i="35036"/>
  <c r="DF11" i="35036"/>
  <c r="DF67" i="35036"/>
  <c r="DF74" i="35036"/>
  <c r="DF52" i="35036"/>
  <c r="DF77" i="35036"/>
  <c r="DF32" i="35036"/>
  <c r="DF43" i="35036"/>
  <c r="DF63" i="35036"/>
  <c r="DF31" i="35036"/>
  <c r="DG73" i="35036"/>
  <c r="DG70" i="35036"/>
  <c r="DG52" i="35036"/>
  <c r="DG21" i="35036"/>
  <c r="DG74" i="35036"/>
  <c r="DG58" i="35036"/>
  <c r="DG41" i="35036"/>
  <c r="DG53" i="35036"/>
  <c r="DG35" i="35036"/>
  <c r="DG19" i="35036"/>
  <c r="DG37" i="35036"/>
  <c r="DG30" i="35036"/>
  <c r="DG80" i="35036"/>
  <c r="DG76" i="35036"/>
  <c r="DG13" i="35036"/>
  <c r="DG44" i="35036"/>
  <c r="DG69" i="35036"/>
  <c r="DG51" i="35036"/>
  <c r="DG50" i="35036"/>
  <c r="DG79" i="35036"/>
  <c r="DG56" i="35036"/>
  <c r="DG49" i="35036"/>
  <c r="DG42" i="35036"/>
  <c r="DG18" i="35036"/>
  <c r="DG32" i="35036"/>
  <c r="DG39" i="35036"/>
  <c r="DG75" i="35036"/>
  <c r="DG12" i="35036"/>
  <c r="DG64" i="35036"/>
  <c r="DG81" i="35036"/>
  <c r="DG40" i="35036"/>
  <c r="DG66" i="35036"/>
  <c r="DG31" i="35036"/>
  <c r="DG65" i="35036"/>
  <c r="DG22" i="35036"/>
  <c r="DG62" i="35036"/>
  <c r="DG63" i="35036"/>
  <c r="DG48" i="35036"/>
  <c r="DG47" i="35036"/>
  <c r="DG29" i="35036"/>
  <c r="DG27" i="35036"/>
  <c r="DG15" i="35036"/>
  <c r="DG25" i="35036"/>
  <c r="DG78" i="35036"/>
  <c r="DG11" i="35036"/>
  <c r="DG72" i="35036"/>
  <c r="DG57" i="35036"/>
  <c r="DG59" i="35036"/>
  <c r="DG20" i="35036"/>
  <c r="DG61" i="35036"/>
  <c r="DG26" i="35036"/>
  <c r="DG77" i="35036"/>
  <c r="DG55" i="35036"/>
  <c r="DG23" i="35036"/>
  <c r="DG60" i="35036"/>
  <c r="DG54" i="35036"/>
  <c r="DG67" i="35036"/>
  <c r="DG28" i="35036"/>
  <c r="DG33" i="35036"/>
  <c r="DG82" i="35036"/>
  <c r="DG17" i="35036"/>
  <c r="DG83" i="35036"/>
  <c r="DG38" i="35036"/>
  <c r="DG36" i="35036"/>
  <c r="DG84" i="35036"/>
  <c r="DG43" i="35036"/>
  <c r="DG24" i="35036"/>
  <c r="DG14" i="35036"/>
  <c r="DG34" i="35036"/>
  <c r="DG45" i="35036"/>
  <c r="DG46" i="35036"/>
  <c r="DG16" i="35036"/>
  <c r="DG68" i="35036"/>
  <c r="DG71" i="35036"/>
  <c r="DL11" i="35036" l="1" a="1"/>
  <c r="DM11" i="35036" a="1"/>
  <c r="DM26" i="35036" l="1"/>
  <c r="FK26" i="35036" s="1"/>
  <c r="DM36" i="35036"/>
  <c r="FK36" i="35036" s="1"/>
  <c r="DM37" i="35036"/>
  <c r="FK37" i="35036" s="1"/>
  <c r="DM35" i="35036"/>
  <c r="FK35" i="35036" s="1"/>
  <c r="DM11" i="35036"/>
  <c r="FK11" i="35036" s="1"/>
  <c r="DM46" i="35036"/>
  <c r="FK46" i="35036" s="1"/>
  <c r="DM38" i="35036"/>
  <c r="FK38" i="35036" s="1"/>
  <c r="DM63" i="35036"/>
  <c r="FK63" i="35036" s="1"/>
  <c r="DM29" i="35036"/>
  <c r="FK29" i="35036" s="1"/>
  <c r="DM25" i="35036"/>
  <c r="FK25" i="35036" s="1"/>
  <c r="DM19" i="35036"/>
  <c r="FK19" i="35036" s="1"/>
  <c r="DM17" i="35036"/>
  <c r="FK17" i="35036" s="1"/>
  <c r="DM22" i="35036"/>
  <c r="FK22" i="35036" s="1"/>
  <c r="DM58" i="35036"/>
  <c r="FK58" i="35036" s="1"/>
  <c r="DM39" i="35036"/>
  <c r="FK39" i="35036" s="1"/>
  <c r="DM83" i="35036"/>
  <c r="FK83" i="35036" s="1"/>
  <c r="DM16" i="35036"/>
  <c r="FK16" i="35036" s="1"/>
  <c r="DM78" i="35036"/>
  <c r="FK78" i="35036" s="1"/>
  <c r="DM60" i="35036"/>
  <c r="FK60" i="35036" s="1"/>
  <c r="DM21" i="35036"/>
  <c r="FK21" i="35036" s="1"/>
  <c r="DM61" i="35036"/>
  <c r="FK61" i="35036" s="1"/>
  <c r="DM48" i="35036"/>
  <c r="FK48" i="35036" s="1"/>
  <c r="DM12" i="35036"/>
  <c r="FK12" i="35036" s="1"/>
  <c r="DM43" i="35036"/>
  <c r="FK43" i="35036" s="1"/>
  <c r="DM20" i="35036"/>
  <c r="FK20" i="35036" s="1"/>
  <c r="DM40" i="35036"/>
  <c r="FK40" i="35036" s="1"/>
  <c r="DM27" i="35036"/>
  <c r="FK27" i="35036" s="1"/>
  <c r="DM32" i="35036"/>
  <c r="FK32" i="35036" s="1"/>
  <c r="DM13" i="35036"/>
  <c r="FK13" i="35036" s="1"/>
  <c r="DM62" i="35036"/>
  <c r="FK62" i="35036" s="1"/>
  <c r="DM49" i="35036"/>
  <c r="FK49" i="35036" s="1"/>
  <c r="DM76" i="35036"/>
  <c r="FK76" i="35036" s="1"/>
  <c r="DM45" i="35036"/>
  <c r="FK45" i="35036" s="1"/>
  <c r="DM28" i="35036"/>
  <c r="FK28" i="35036" s="1"/>
  <c r="DM47" i="35036"/>
  <c r="FK47" i="35036" s="1"/>
  <c r="DM34" i="35036"/>
  <c r="FK34" i="35036" s="1"/>
  <c r="DM80" i="35036"/>
  <c r="FK80" i="35036" s="1"/>
  <c r="DM73" i="35036"/>
  <c r="FK73" i="35036" s="1"/>
  <c r="DM71" i="35036"/>
  <c r="FK71" i="35036" s="1"/>
  <c r="DM77" i="35036"/>
  <c r="FK77" i="35036" s="1"/>
  <c r="DM15" i="35036"/>
  <c r="FK15" i="35036" s="1"/>
  <c r="DM64" i="35036"/>
  <c r="FK64" i="35036" s="1"/>
  <c r="DM41" i="35036"/>
  <c r="FK41" i="35036" s="1"/>
  <c r="DM31" i="35036"/>
  <c r="FK31" i="35036" s="1"/>
  <c r="DM81" i="35036"/>
  <c r="FK81" i="35036" s="1"/>
  <c r="DM68" i="35036"/>
  <c r="FK68" i="35036" s="1"/>
  <c r="DM33" i="35036"/>
  <c r="FK33" i="35036" s="1"/>
  <c r="DM72" i="35036"/>
  <c r="FK72" i="35036" s="1"/>
  <c r="DM67" i="35036"/>
  <c r="FK67" i="35036" s="1"/>
  <c r="DM50" i="35036"/>
  <c r="FK50" i="35036" s="1"/>
  <c r="DM14" i="35036"/>
  <c r="FK14" i="35036" s="1"/>
  <c r="DM54" i="35036"/>
  <c r="FK54" i="35036" s="1"/>
  <c r="DM51" i="35036"/>
  <c r="FK51" i="35036" s="1"/>
  <c r="DM55" i="35036"/>
  <c r="FK55" i="35036" s="1"/>
  <c r="DM44" i="35036"/>
  <c r="FK44" i="35036" s="1"/>
  <c r="DM56" i="35036"/>
  <c r="FK56" i="35036" s="1"/>
  <c r="DM57" i="35036"/>
  <c r="FK57" i="35036" s="1"/>
  <c r="DM24" i="35036"/>
  <c r="FK24" i="35036" s="1"/>
  <c r="DM66" i="35036"/>
  <c r="FK66" i="35036" s="1"/>
  <c r="DM23" i="35036"/>
  <c r="FK23" i="35036" s="1"/>
  <c r="DM69" i="35036"/>
  <c r="FK69" i="35036" s="1"/>
  <c r="DM30" i="35036"/>
  <c r="FK30" i="35036" s="1"/>
  <c r="DM53" i="35036"/>
  <c r="FK53" i="35036" s="1"/>
  <c r="DM42" i="35036"/>
  <c r="FK42" i="35036" s="1"/>
  <c r="DM59" i="35036"/>
  <c r="FK59" i="35036" s="1"/>
  <c r="DM79" i="35036"/>
  <c r="FK79" i="35036" s="1"/>
  <c r="DM70" i="35036"/>
  <c r="FK70" i="35036" s="1"/>
  <c r="DM82" i="35036"/>
  <c r="FK82" i="35036" s="1"/>
  <c r="DM75" i="35036"/>
  <c r="FK75" i="35036" s="1"/>
  <c r="DM52" i="35036"/>
  <c r="FK52" i="35036" s="1"/>
  <c r="DM84" i="35036"/>
  <c r="FK84" i="35036" s="1"/>
  <c r="DM74" i="35036"/>
  <c r="FK74" i="35036" s="1"/>
  <c r="DM18" i="35036"/>
  <c r="FK18" i="35036" s="1"/>
  <c r="DM65" i="35036"/>
  <c r="FK65" i="35036" s="1"/>
  <c r="DL46" i="35036"/>
  <c r="FJ46" i="35036" s="1"/>
  <c r="D47" i="35036" s="1"/>
  <c r="DL75" i="35036"/>
  <c r="FJ75" i="35036" s="1"/>
  <c r="D76" i="35036" s="1"/>
  <c r="DL76" i="35036"/>
  <c r="FJ76" i="35036" s="1"/>
  <c r="D77" i="35036" s="1"/>
  <c r="DL18" i="35036"/>
  <c r="FJ18" i="35036" s="1"/>
  <c r="D19" i="35036" s="1"/>
  <c r="DL35" i="35036"/>
  <c r="FJ35" i="35036" s="1"/>
  <c r="D36" i="35036" s="1"/>
  <c r="DL81" i="35036"/>
  <c r="FJ81" i="35036" s="1"/>
  <c r="D82" i="35036" s="1"/>
  <c r="DL41" i="35036"/>
  <c r="FJ41" i="35036" s="1"/>
  <c r="D42" i="35036" s="1"/>
  <c r="DL33" i="35036"/>
  <c r="FJ33" i="35036" s="1"/>
  <c r="D34" i="35036" s="1"/>
  <c r="DL23" i="35036"/>
  <c r="FJ23" i="35036" s="1"/>
  <c r="D24" i="35036" s="1"/>
  <c r="DL51" i="35036"/>
  <c r="FJ51" i="35036" s="1"/>
  <c r="D52" i="35036" s="1"/>
  <c r="DL48" i="35036"/>
  <c r="FJ48" i="35036" s="1"/>
  <c r="D49" i="35036" s="1"/>
  <c r="DL79" i="35036"/>
  <c r="FJ79" i="35036" s="1"/>
  <c r="D80" i="35036" s="1"/>
  <c r="DL68" i="35036"/>
  <c r="FJ68" i="35036" s="1"/>
  <c r="D69" i="35036" s="1"/>
  <c r="DL49" i="35036"/>
  <c r="FJ49" i="35036" s="1"/>
  <c r="D50" i="35036" s="1"/>
  <c r="DL12" i="35036"/>
  <c r="FJ12" i="35036" s="1"/>
  <c r="D13" i="35036" s="1"/>
  <c r="DL80" i="35036"/>
  <c r="FJ80" i="35036" s="1"/>
  <c r="D81" i="35036" s="1"/>
  <c r="DL84" i="35036"/>
  <c r="FJ84" i="35036" s="1"/>
  <c r="DL57" i="35036"/>
  <c r="FJ57" i="35036" s="1"/>
  <c r="D58" i="35036" s="1"/>
  <c r="DL63" i="35036"/>
  <c r="FJ63" i="35036" s="1"/>
  <c r="D64" i="35036" s="1"/>
  <c r="DL64" i="35036"/>
  <c r="FJ64" i="35036" s="1"/>
  <c r="D65" i="35036" s="1"/>
  <c r="DL74" i="35036"/>
  <c r="FJ74" i="35036" s="1"/>
  <c r="D75" i="35036" s="1"/>
  <c r="DL24" i="35036"/>
  <c r="FJ24" i="35036" s="1"/>
  <c r="D25" i="35036" s="1"/>
  <c r="DL26" i="35036"/>
  <c r="FJ26" i="35036" s="1"/>
  <c r="D27" i="35036" s="1"/>
  <c r="DL54" i="35036"/>
  <c r="FJ54" i="35036" s="1"/>
  <c r="D55" i="35036" s="1"/>
  <c r="DL22" i="35036"/>
  <c r="FJ22" i="35036" s="1"/>
  <c r="D23" i="35036" s="1"/>
  <c r="DL37" i="35036"/>
  <c r="FJ37" i="35036" s="1"/>
  <c r="D38" i="35036" s="1"/>
  <c r="DL17" i="35036"/>
  <c r="FJ17" i="35036" s="1"/>
  <c r="D18" i="35036" s="1"/>
  <c r="DL40" i="35036"/>
  <c r="FJ40" i="35036" s="1"/>
  <c r="D41" i="35036" s="1"/>
  <c r="DL25" i="35036"/>
  <c r="FJ25" i="35036" s="1"/>
  <c r="D26" i="35036" s="1"/>
  <c r="DL70" i="35036"/>
  <c r="FJ70" i="35036" s="1"/>
  <c r="D71" i="35036" s="1"/>
  <c r="DL61" i="35036"/>
  <c r="FJ61" i="35036" s="1"/>
  <c r="D62" i="35036" s="1"/>
  <c r="DL67" i="35036"/>
  <c r="FJ67" i="35036" s="1"/>
  <c r="D68" i="35036" s="1"/>
  <c r="DL58" i="35036"/>
  <c r="FJ58" i="35036" s="1"/>
  <c r="D59" i="35036" s="1"/>
  <c r="DL71" i="35036"/>
  <c r="FJ71" i="35036" s="1"/>
  <c r="D72" i="35036" s="1"/>
  <c r="DL16" i="35036"/>
  <c r="FJ16" i="35036" s="1"/>
  <c r="D17" i="35036" s="1"/>
  <c r="DL69" i="35036"/>
  <c r="FJ69" i="35036" s="1"/>
  <c r="D70" i="35036" s="1"/>
  <c r="DL13" i="35036"/>
  <c r="FJ13" i="35036" s="1"/>
  <c r="D14" i="35036" s="1"/>
  <c r="DL72" i="35036"/>
  <c r="FJ72" i="35036" s="1"/>
  <c r="D73" i="35036" s="1"/>
  <c r="DL59" i="35036"/>
  <c r="FJ59" i="35036" s="1"/>
  <c r="D60" i="35036" s="1"/>
  <c r="DL78" i="35036"/>
  <c r="FJ78" i="35036" s="1"/>
  <c r="D79" i="35036" s="1"/>
  <c r="DL11" i="35036"/>
  <c r="FJ11" i="35036" s="1"/>
  <c r="D12" i="35036" s="1"/>
  <c r="DL43" i="35036"/>
  <c r="FJ43" i="35036" s="1"/>
  <c r="D44" i="35036" s="1"/>
  <c r="DL39" i="35036"/>
  <c r="FJ39" i="35036" s="1"/>
  <c r="D40" i="35036" s="1"/>
  <c r="DL32" i="35036"/>
  <c r="FJ32" i="35036" s="1"/>
  <c r="D33" i="35036" s="1"/>
  <c r="DL21" i="35036"/>
  <c r="FJ21" i="35036" s="1"/>
  <c r="D22" i="35036" s="1"/>
  <c r="DL73" i="35036"/>
  <c r="FJ73" i="35036" s="1"/>
  <c r="D74" i="35036" s="1"/>
  <c r="DL42" i="35036"/>
  <c r="FJ42" i="35036" s="1"/>
  <c r="D43" i="35036" s="1"/>
  <c r="DL14" i="35036"/>
  <c r="FJ14" i="35036" s="1"/>
  <c r="D15" i="35036" s="1"/>
  <c r="DL38" i="35036"/>
  <c r="FJ38" i="35036" s="1"/>
  <c r="D39" i="35036" s="1"/>
  <c r="DL65" i="35036"/>
  <c r="FJ65" i="35036" s="1"/>
  <c r="D66" i="35036" s="1"/>
  <c r="DL52" i="35036"/>
  <c r="FJ52" i="35036" s="1"/>
  <c r="D53" i="35036" s="1"/>
  <c r="DL62" i="35036"/>
  <c r="FJ62" i="35036" s="1"/>
  <c r="D63" i="35036" s="1"/>
  <c r="DL15" i="35036"/>
  <c r="FJ15" i="35036" s="1"/>
  <c r="D16" i="35036" s="1"/>
  <c r="DL77" i="35036"/>
  <c r="FJ77" i="35036" s="1"/>
  <c r="D78" i="35036" s="1"/>
  <c r="DL29" i="35036"/>
  <c r="FJ29" i="35036" s="1"/>
  <c r="D30" i="35036" s="1"/>
  <c r="DL55" i="35036"/>
  <c r="FJ55" i="35036" s="1"/>
  <c r="D56" i="35036" s="1"/>
  <c r="DL19" i="35036"/>
  <c r="FJ19" i="35036" s="1"/>
  <c r="D20" i="35036" s="1"/>
  <c r="DL31" i="35036"/>
  <c r="FJ31" i="35036" s="1"/>
  <c r="D32" i="35036" s="1"/>
  <c r="DL82" i="35036"/>
  <c r="FJ82" i="35036" s="1"/>
  <c r="D83" i="35036" s="1"/>
  <c r="DL27" i="35036"/>
  <c r="FJ27" i="35036" s="1"/>
  <c r="D28" i="35036" s="1"/>
  <c r="DL60" i="35036"/>
  <c r="FJ60" i="35036" s="1"/>
  <c r="D61" i="35036" s="1"/>
  <c r="DL36" i="35036"/>
  <c r="FJ36" i="35036" s="1"/>
  <c r="D37" i="35036" s="1"/>
  <c r="DL34" i="35036"/>
  <c r="FJ34" i="35036" s="1"/>
  <c r="D35" i="35036" s="1"/>
  <c r="DL47" i="35036"/>
  <c r="FJ47" i="35036" s="1"/>
  <c r="D48" i="35036" s="1"/>
  <c r="DL83" i="35036"/>
  <c r="FJ83" i="35036" s="1"/>
  <c r="D84" i="35036" s="1"/>
  <c r="DL56" i="35036"/>
  <c r="FJ56" i="35036" s="1"/>
  <c r="D57" i="35036" s="1"/>
  <c r="DL28" i="35036"/>
  <c r="FJ28" i="35036" s="1"/>
  <c r="D29" i="35036" s="1"/>
  <c r="DL53" i="35036"/>
  <c r="FJ53" i="35036" s="1"/>
  <c r="D54" i="35036" s="1"/>
  <c r="DL45" i="35036"/>
  <c r="FJ45" i="35036" s="1"/>
  <c r="D46" i="35036" s="1"/>
  <c r="DL50" i="35036"/>
  <c r="FJ50" i="35036" s="1"/>
  <c r="D51" i="35036" s="1"/>
  <c r="DL20" i="35036"/>
  <c r="FJ20" i="35036" s="1"/>
  <c r="D21" i="35036" s="1"/>
  <c r="DL66" i="35036"/>
  <c r="FJ66" i="35036" s="1"/>
  <c r="D67" i="35036" s="1"/>
  <c r="DL44" i="35036"/>
  <c r="FJ44" i="35036" s="1"/>
  <c r="D45" i="35036" s="1"/>
  <c r="DL30" i="35036"/>
  <c r="FJ30" i="35036" s="1"/>
  <c r="D31" i="35036" s="1"/>
  <c r="F61" i="35391" l="1" a="1"/>
  <c r="F101" i="35391" l="1"/>
  <c r="F62" i="35391"/>
  <c r="F129" i="35391"/>
  <c r="F68" i="35391"/>
  <c r="F122" i="35391"/>
  <c r="F75" i="35391"/>
  <c r="F118" i="35391"/>
  <c r="F96" i="35391"/>
  <c r="F117" i="35391"/>
  <c r="F123" i="35391"/>
  <c r="F88" i="35391"/>
  <c r="F97" i="35391"/>
  <c r="F116" i="35391"/>
  <c r="F131" i="35391"/>
  <c r="F98" i="35391"/>
  <c r="F135" i="35391"/>
  <c r="F73" i="35391"/>
  <c r="F106" i="35391"/>
  <c r="F112" i="35391"/>
  <c r="F80" i="35391"/>
  <c r="F110" i="35391"/>
  <c r="F72" i="35391"/>
  <c r="F69" i="35391"/>
  <c r="F78" i="35391"/>
  <c r="F90" i="35391"/>
  <c r="F87" i="35391"/>
  <c r="F93" i="35391"/>
  <c r="F104" i="35391"/>
  <c r="F134" i="35391"/>
  <c r="F67" i="35391"/>
  <c r="F109" i="35391"/>
  <c r="F71" i="35391"/>
  <c r="F120" i="35391"/>
  <c r="F85" i="35391"/>
  <c r="F70" i="35391"/>
  <c r="F121" i="35391"/>
  <c r="F92" i="35391"/>
  <c r="F81" i="35391"/>
  <c r="F111" i="35391"/>
  <c r="F113" i="35391"/>
  <c r="F63" i="35391"/>
  <c r="F76" i="35391"/>
  <c r="F66" i="35391"/>
  <c r="F130" i="35391"/>
  <c r="F79" i="35391"/>
  <c r="F108" i="35391"/>
  <c r="F99" i="35391"/>
  <c r="F124" i="35391"/>
  <c r="F83" i="35391"/>
  <c r="F84" i="35391"/>
  <c r="F61" i="35391"/>
  <c r="F107" i="35391"/>
  <c r="F103" i="35391"/>
  <c r="F74" i="35391"/>
  <c r="F132" i="35391"/>
  <c r="F102" i="35391"/>
  <c r="F126" i="35391"/>
  <c r="F119" i="35391"/>
  <c r="F82" i="35391"/>
  <c r="F133" i="35391"/>
  <c r="F94" i="35391"/>
  <c r="F128" i="35391"/>
  <c r="F114" i="35391"/>
  <c r="F77" i="35391"/>
  <c r="F89" i="35391"/>
  <c r="F95" i="35391"/>
  <c r="F100" i="35391"/>
  <c r="F105" i="35391"/>
  <c r="F115" i="35391"/>
  <c r="F86" i="35391"/>
  <c r="F64" i="35391"/>
  <c r="F125" i="35391"/>
  <c r="F65" i="35391"/>
  <c r="F127" i="35391"/>
  <c r="F91" i="35391"/>
  <c r="F38" i="35391" l="1" a="1"/>
  <c r="F38" i="35391" s="1"/>
  <c r="F26" i="35391" s="1" a="1"/>
  <c r="F26" i="35391" s="1"/>
  <c r="F39" i="35391" a="1"/>
  <c r="F39" i="35391" s="1"/>
  <c r="F23" i="35391" l="1" a="1"/>
  <c r="F23" i="35391" s="1"/>
  <c r="F27" i="35391" a="1"/>
  <c r="F27" i="35391" s="1"/>
  <c r="F17" i="35391" a="1"/>
  <c r="F17" i="35391" s="1"/>
  <c r="F14" i="35391" a="1"/>
  <c r="F14" i="35391" s="1"/>
  <c r="F19" i="35391" a="1"/>
  <c r="F19" i="35391" s="1"/>
  <c r="F12" i="35391" a="1"/>
  <c r="F12" i="35391" s="1"/>
  <c r="F35" i="35391" a="1"/>
  <c r="F35" i="35391" s="1"/>
  <c r="F36" i="35391" a="1"/>
  <c r="F36" i="35391" s="1"/>
  <c r="F25" i="35391" a="1"/>
  <c r="F25" i="35391" s="1"/>
  <c r="F37" i="35391" a="1"/>
  <c r="F37" i="35391" s="1"/>
  <c r="F13" i="35391" a="1"/>
  <c r="F13" i="35391" s="1"/>
  <c r="F18" i="35391" a="1"/>
  <c r="F18" i="35391" s="1"/>
  <c r="F32" i="35391" a="1"/>
  <c r="F32" i="35391" s="1"/>
  <c r="F20" i="35391" a="1"/>
  <c r="F20" i="35391" s="1"/>
  <c r="F30" i="35391" a="1"/>
  <c r="F30" i="35391" s="1"/>
  <c r="F15" i="35391" a="1"/>
  <c r="F15" i="35391" s="1"/>
  <c r="F28" i="35391" a="1"/>
  <c r="F28" i="35391" s="1"/>
  <c r="F24" i="35391" a="1"/>
  <c r="F24" i="35391" s="1"/>
  <c r="F33" i="35391" a="1"/>
  <c r="F33" i="35391" s="1"/>
  <c r="F34" i="35391" a="1"/>
  <c r="F34" i="35391" s="1"/>
  <c r="F22" i="35391" a="1"/>
  <c r="F22" i="35391" s="1"/>
  <c r="F21" i="35391" a="1"/>
  <c r="F21" i="35391" s="1"/>
  <c r="F16" i="35391" a="1"/>
  <c r="F16" i="35391" s="1"/>
  <c r="F29" i="35391" a="1"/>
  <c r="F29" i="35391" s="1"/>
  <c r="F31" i="35391" a="1"/>
  <c r="F31" i="35391" s="1"/>
  <c r="F44" i="35391"/>
  <c r="K40" i="34908"/>
  <c r="M40" i="34908" s="1"/>
  <c r="BA11" i="35036" a="1"/>
  <c r="BA54" i="35036"/>
  <c r="AO11" i="35036" a="1"/>
  <c r="AO54" i="35036"/>
  <c r="AC11" i="35036" a="1"/>
  <c r="AC54" i="35036"/>
  <c r="Q11" i="35036" a="1"/>
  <c r="Q54" i="35036"/>
  <c r="BA63" i="35036"/>
  <c r="AO63" i="35036"/>
  <c r="AC63" i="35036"/>
  <c r="Q63" i="35036"/>
  <c r="BA55" i="35036"/>
  <c r="AO55" i="35036"/>
  <c r="AC55" i="35036"/>
  <c r="Q55" i="35036"/>
  <c r="BA70" i="35036"/>
  <c r="AO70" i="35036"/>
  <c r="AC70" i="35036"/>
  <c r="Q70" i="35036"/>
  <c r="BA33" i="35036"/>
  <c r="AO33" i="35036"/>
  <c r="AC33" i="35036"/>
  <c r="Q33" i="35036"/>
  <c r="BA74" i="35036"/>
  <c r="AO74" i="35036"/>
  <c r="AC74" i="35036"/>
  <c r="Q74" i="35036"/>
  <c r="BA82" i="35036"/>
  <c r="AO82" i="35036"/>
  <c r="AC82" i="35036"/>
  <c r="Q82" i="35036"/>
  <c r="BA79" i="35036"/>
  <c r="AO79" i="35036"/>
  <c r="AC79" i="35036"/>
  <c r="Q79" i="35036"/>
  <c r="BA72" i="35036"/>
  <c r="AO72" i="35036"/>
  <c r="AC72" i="35036"/>
  <c r="Q72" i="35036"/>
  <c r="BA64" i="35036"/>
  <c r="AO64" i="35036"/>
  <c r="AC64" i="35036"/>
  <c r="Q64" i="35036"/>
  <c r="BA80" i="35036"/>
  <c r="AO80" i="35036"/>
  <c r="AC80" i="35036"/>
  <c r="Q80" i="35036"/>
  <c r="BA83" i="35036"/>
  <c r="AO83" i="35036"/>
  <c r="AC83" i="35036"/>
  <c r="Q83" i="35036"/>
  <c r="BA81" i="35036"/>
  <c r="AO81" i="35036"/>
  <c r="AC81" i="35036"/>
  <c r="Q81" i="35036"/>
  <c r="BA35" i="35036"/>
  <c r="AO35" i="35036"/>
  <c r="AC35" i="35036"/>
  <c r="Q35" i="35036"/>
  <c r="BA56" i="35036"/>
  <c r="AO56" i="35036"/>
  <c r="AC56" i="35036"/>
  <c r="Q56" i="35036"/>
  <c r="BA36" i="35036"/>
  <c r="AO36" i="35036"/>
  <c r="AC36" i="35036"/>
  <c r="Q36" i="35036"/>
  <c r="BA52" i="35036"/>
  <c r="AO52" i="35036"/>
  <c r="AC52" i="35036"/>
  <c r="Q52" i="35036"/>
  <c r="BA45" i="35036"/>
  <c r="AO45" i="35036"/>
  <c r="AC45" i="35036"/>
  <c r="Q45" i="35036"/>
  <c r="BA65" i="35036"/>
  <c r="AO65" i="35036"/>
  <c r="AC65" i="35036"/>
  <c r="Q65" i="35036"/>
  <c r="BA75" i="35036"/>
  <c r="AO75" i="35036"/>
  <c r="AC75" i="35036"/>
  <c r="Q75" i="35036"/>
  <c r="BA48" i="35036"/>
  <c r="AO48" i="35036"/>
  <c r="AC48" i="35036"/>
  <c r="Q48" i="35036"/>
  <c r="BA57" i="35036"/>
  <c r="AO57" i="35036"/>
  <c r="AC57" i="35036"/>
  <c r="Q57" i="35036"/>
  <c r="BA40" i="35036"/>
  <c r="AO40" i="35036"/>
  <c r="AC40" i="35036"/>
  <c r="Q40" i="35036"/>
  <c r="BA76" i="35036"/>
  <c r="AO76" i="35036"/>
  <c r="AC76" i="35036"/>
  <c r="Q76" i="35036"/>
  <c r="BA34" i="35036"/>
  <c r="AO34" i="35036"/>
  <c r="AC34" i="35036"/>
  <c r="Q34" i="35036"/>
  <c r="BA61" i="35036"/>
  <c r="AO61" i="35036"/>
  <c r="AC61" i="35036"/>
  <c r="Q61" i="35036"/>
  <c r="BA39" i="35036"/>
  <c r="AO39" i="35036"/>
  <c r="AC39" i="35036"/>
  <c r="Q39" i="35036"/>
  <c r="BA62" i="35036"/>
  <c r="AO62" i="35036"/>
  <c r="AC62" i="35036"/>
  <c r="Q62" i="35036"/>
  <c r="BA44" i="35036"/>
  <c r="AO44" i="35036"/>
  <c r="AC44" i="35036"/>
  <c r="Q44" i="35036"/>
  <c r="BA37" i="35036"/>
  <c r="AO37" i="35036"/>
  <c r="AC37" i="35036"/>
  <c r="Q37" i="35036"/>
  <c r="BA68" i="35036"/>
  <c r="AO68" i="35036"/>
  <c r="AC68" i="35036"/>
  <c r="Q68" i="35036"/>
  <c r="BA50" i="35036"/>
  <c r="AO50" i="35036"/>
  <c r="AC50" i="35036"/>
  <c r="Q50" i="35036"/>
  <c r="BA43" i="35036"/>
  <c r="AO43" i="35036"/>
  <c r="AC43" i="35036"/>
  <c r="Q43" i="35036"/>
  <c r="BA60" i="35036"/>
  <c r="AO60" i="35036"/>
  <c r="AC60" i="35036"/>
  <c r="Q60" i="35036"/>
  <c r="BA51" i="35036"/>
  <c r="AO51" i="35036"/>
  <c r="AC51" i="35036"/>
  <c r="Q51" i="35036"/>
  <c r="BA69" i="35036"/>
  <c r="AO69" i="35036"/>
  <c r="AC69" i="35036"/>
  <c r="Q69" i="35036"/>
  <c r="BA46" i="35036"/>
  <c r="AO46" i="35036"/>
  <c r="AC46" i="35036"/>
  <c r="Q46" i="35036"/>
  <c r="BA47" i="35036"/>
  <c r="AO47" i="35036"/>
  <c r="AC47" i="35036"/>
  <c r="Q47" i="35036"/>
  <c r="BA11" i="35036"/>
  <c r="AO11" i="35036"/>
  <c r="AC11" i="35036"/>
  <c r="Q11" i="35036"/>
  <c r="BA58" i="35036"/>
  <c r="AO58" i="35036"/>
  <c r="AC58" i="35036"/>
  <c r="Q58" i="35036"/>
  <c r="BA12" i="35036"/>
  <c r="AO12" i="35036"/>
  <c r="AC12" i="35036"/>
  <c r="Q12" i="35036"/>
  <c r="BA67" i="35036"/>
  <c r="AO67" i="35036"/>
  <c r="AC67" i="35036"/>
  <c r="Q67" i="35036"/>
  <c r="BA78" i="35036"/>
  <c r="AO78" i="35036"/>
  <c r="AC78" i="35036"/>
  <c r="Q78" i="35036"/>
  <c r="BA53" i="35036"/>
  <c r="AO53" i="35036"/>
  <c r="AC53" i="35036"/>
  <c r="Q53" i="35036"/>
  <c r="BA41" i="35036"/>
  <c r="AO41" i="35036"/>
  <c r="AC41" i="35036"/>
  <c r="Q41" i="35036"/>
  <c r="BA38" i="35036"/>
  <c r="AO38" i="35036"/>
  <c r="AC38" i="35036"/>
  <c r="Q38" i="35036"/>
  <c r="BA71" i="35036"/>
  <c r="AO71" i="35036"/>
  <c r="AC71" i="35036"/>
  <c r="Q71" i="35036"/>
  <c r="BA59" i="35036"/>
  <c r="AO59" i="35036"/>
  <c r="AC59" i="35036"/>
  <c r="Q59" i="35036"/>
  <c r="BA42" i="35036"/>
  <c r="AO42" i="35036"/>
  <c r="AC42" i="35036"/>
  <c r="Q42" i="35036"/>
  <c r="BA66" i="35036"/>
  <c r="AO66" i="35036"/>
  <c r="AC66" i="35036"/>
  <c r="Q66" i="35036"/>
  <c r="BA13" i="35036"/>
  <c r="AO13" i="35036"/>
  <c r="AC13" i="35036"/>
  <c r="Q13" i="35036"/>
  <c r="BA49" i="35036"/>
  <c r="AO49" i="35036"/>
  <c r="AC49" i="35036"/>
  <c r="Q49" i="35036"/>
  <c r="BA73" i="35036"/>
  <c r="AO73" i="35036"/>
  <c r="AC73" i="35036"/>
  <c r="Q73" i="35036"/>
  <c r="BA77" i="35036"/>
  <c r="AO77" i="35036"/>
  <c r="AC77" i="35036"/>
  <c r="Q77" i="35036"/>
  <c r="I10" i="34993" a="1"/>
  <c r="M6" i="35062" a="1"/>
  <c r="M77" i="35062"/>
  <c r="L77" i="35062" s="1"/>
  <c r="M78" i="35062"/>
  <c r="L78" i="35062" s="1"/>
  <c r="S6" i="35062" a="1"/>
  <c r="S78" i="35062"/>
  <c r="S77" i="35062"/>
  <c r="T6" i="35062" a="1"/>
  <c r="T78" i="35062"/>
  <c r="T77" i="35062"/>
  <c r="R6" i="35062" a="1"/>
  <c r="R78" i="35062"/>
  <c r="R77" i="35062"/>
  <c r="I12" i="34993"/>
  <c r="I11" i="34993"/>
  <c r="I11" i="35015" s="1"/>
  <c r="I10" i="34993"/>
  <c r="BA84" i="35036"/>
  <c r="AO84" i="35036"/>
  <c r="AC84" i="35036"/>
  <c r="Q84" i="35036"/>
  <c r="J10" i="34993" a="1"/>
  <c r="J12" i="34993"/>
  <c r="J11" i="34993"/>
  <c r="J11" i="35015" s="1"/>
  <c r="J10" i="34993"/>
  <c r="K11" i="35015" a="1"/>
  <c r="M11" i="35035" a="1"/>
  <c r="J15" i="34993"/>
  <c r="Q17" i="34999"/>
  <c r="R17" i="34999" s="1"/>
  <c r="I17" i="34999" s="1"/>
  <c r="J17" i="34993"/>
  <c r="Q18" i="34999"/>
  <c r="R18" i="34999" s="1"/>
  <c r="I18" i="34999" s="1"/>
  <c r="J18" i="34993"/>
  <c r="Q19" i="34999"/>
  <c r="R19" i="34999" s="1"/>
  <c r="I19" i="34999" s="1"/>
  <c r="J19" i="34993"/>
  <c r="Q20" i="34999"/>
  <c r="R20" i="34999" s="1"/>
  <c r="I20" i="34999" s="1"/>
  <c r="J20" i="34993"/>
  <c r="Q21" i="34999"/>
  <c r="R21" i="34999" s="1"/>
  <c r="I21" i="34999" s="1"/>
  <c r="J21" i="34993"/>
  <c r="Q22" i="34999"/>
  <c r="R22" i="34999" s="1"/>
  <c r="I22" i="34999" s="1"/>
  <c r="J22" i="34993"/>
  <c r="Q23" i="34999"/>
  <c r="R23" i="34999" s="1"/>
  <c r="I23" i="34999" s="1"/>
  <c r="J23" i="34993"/>
  <c r="Q24" i="34999"/>
  <c r="R24" i="34999" s="1"/>
  <c r="I24" i="34999" s="1"/>
  <c r="J24" i="34993"/>
  <c r="Q25" i="34999"/>
  <c r="R25" i="34999"/>
  <c r="I25" i="34999" s="1"/>
  <c r="J25" i="34993"/>
  <c r="Q26" i="34999"/>
  <c r="R26" i="34999" s="1"/>
  <c r="I26" i="34999" s="1"/>
  <c r="K26" i="34999" s="1"/>
  <c r="J26" i="34993"/>
  <c r="Q27" i="34999"/>
  <c r="R27" i="34999"/>
  <c r="I27" i="34999" s="1"/>
  <c r="J27" i="34993"/>
  <c r="Q28" i="34999"/>
  <c r="R28" i="34999" s="1"/>
  <c r="I28" i="34999" s="1"/>
  <c r="J28" i="34993"/>
  <c r="Q29" i="34999"/>
  <c r="R29" i="34999" s="1"/>
  <c r="I29" i="34999" s="1"/>
  <c r="K29" i="34999" s="1"/>
  <c r="J29" i="34993"/>
  <c r="Q30" i="34999"/>
  <c r="R30" i="34999" s="1"/>
  <c r="I30" i="34999" s="1"/>
  <c r="J30" i="34993"/>
  <c r="Q31" i="34999"/>
  <c r="R31" i="34999"/>
  <c r="I31" i="34999" s="1"/>
  <c r="J31" i="34993"/>
  <c r="J32" i="34993"/>
  <c r="J33" i="34993"/>
  <c r="J34" i="34993"/>
  <c r="J35" i="34993"/>
  <c r="J36" i="34993"/>
  <c r="J37" i="34993"/>
  <c r="J38" i="34993"/>
  <c r="J39" i="34993"/>
  <c r="J40" i="34993"/>
  <c r="J41" i="34993"/>
  <c r="Q16" i="34999"/>
  <c r="R16" i="34999"/>
  <c r="I16" i="34999" s="1"/>
  <c r="J16" i="34993"/>
  <c r="Q13" i="34999"/>
  <c r="R13" i="34999"/>
  <c r="I13" i="34999" s="1"/>
  <c r="J13" i="34993"/>
  <c r="Q14" i="34999"/>
  <c r="R14" i="34999" s="1"/>
  <c r="I14" i="34999" s="1"/>
  <c r="J14" i="34993"/>
  <c r="Q42" i="34999"/>
  <c r="Q15" i="34999"/>
  <c r="R15" i="34999" s="1"/>
  <c r="I15" i="34999" s="1"/>
  <c r="L21" i="35391" a="1"/>
  <c r="L21" i="35391" s="1"/>
  <c r="Q33" i="34999"/>
  <c r="R33" i="34999"/>
  <c r="I33" i="34999" s="1"/>
  <c r="Q34" i="34999"/>
  <c r="R34" i="34999"/>
  <c r="I34" i="34999" s="1"/>
  <c r="Q35" i="34999"/>
  <c r="R35" i="34999" s="1"/>
  <c r="I35" i="34999" s="1"/>
  <c r="Q36" i="34999"/>
  <c r="R36" i="34999" s="1"/>
  <c r="I36" i="34999" s="1"/>
  <c r="Q37" i="34999"/>
  <c r="R37" i="34999"/>
  <c r="I37" i="34999" s="1"/>
  <c r="Q38" i="34999"/>
  <c r="R38" i="34999"/>
  <c r="I38" i="34999" s="1"/>
  <c r="Q39" i="34999"/>
  <c r="R39" i="34999" s="1"/>
  <c r="I39" i="34999" s="1"/>
  <c r="Q32" i="34999"/>
  <c r="R32" i="34999" s="1"/>
  <c r="I32" i="34999" s="1"/>
  <c r="Q40" i="34999"/>
  <c r="R40" i="34999"/>
  <c r="I40" i="34999" s="1"/>
  <c r="Q41" i="34999"/>
  <c r="R41" i="34999" s="1"/>
  <c r="I41" i="34999" s="1"/>
  <c r="I42" i="34999" s="1"/>
  <c r="I43" i="34999" s="1"/>
  <c r="I44" i="34999" s="1"/>
  <c r="I45" i="34999" s="1"/>
  <c r="I46" i="34999" s="1"/>
  <c r="I47" i="34999" s="1"/>
  <c r="I48" i="34999" s="1"/>
  <c r="I49" i="34999" s="1"/>
  <c r="I50" i="34999" s="1"/>
  <c r="I51" i="34999" s="1"/>
  <c r="I52" i="34999" s="1"/>
  <c r="I53" i="34999" s="1"/>
  <c r="I54" i="34999" s="1"/>
  <c r="I55" i="34999" s="1"/>
  <c r="I56" i="34999" s="1"/>
  <c r="I57" i="34999" s="1"/>
  <c r="I58" i="34999" s="1"/>
  <c r="I59" i="34999" s="1"/>
  <c r="I60" i="34999" s="1"/>
  <c r="I61" i="34999" s="1"/>
  <c r="I62" i="34999" s="1"/>
  <c r="I63" i="34999" s="1"/>
  <c r="I64" i="34999" s="1"/>
  <c r="I65" i="34999" s="1"/>
  <c r="I66" i="34999" s="1"/>
  <c r="I67" i="34999" s="1"/>
  <c r="I68" i="34999" s="1"/>
  <c r="I69" i="34999" s="1"/>
  <c r="I70" i="34999" s="1"/>
  <c r="I71" i="34999" s="1"/>
  <c r="I72" i="34999" s="1"/>
  <c r="I73" i="34999" s="1"/>
  <c r="I74" i="34999" s="1"/>
  <c r="I75" i="34999" s="1"/>
  <c r="I76" i="34999" s="1"/>
  <c r="I77" i="34999" s="1"/>
  <c r="I78" i="34999" s="1"/>
  <c r="I79" i="34999" s="1"/>
  <c r="I80" i="34999" s="1"/>
  <c r="I81" i="34999" s="1"/>
  <c r="I82" i="34999" s="1"/>
  <c r="I83" i="34999" s="1"/>
  <c r="I84" i="34999" s="1"/>
  <c r="BC65" i="35036" l="1"/>
  <c r="E66" i="35036" s="1"/>
  <c r="J12" i="35015"/>
  <c r="J13" i="35015" s="1"/>
  <c r="J14" i="35015" s="1"/>
  <c r="J15" i="35015" s="1"/>
  <c r="BC56" i="35036"/>
  <c r="E57" i="35036" s="1"/>
  <c r="BC79" i="35036"/>
  <c r="E80" i="35036" s="1"/>
  <c r="BC70" i="35036"/>
  <c r="E71" i="35036" s="1"/>
  <c r="BC59" i="35036"/>
  <c r="E60" i="35036" s="1"/>
  <c r="BC71" i="35036"/>
  <c r="E72" i="35036" s="1"/>
  <c r="BC11" i="35036"/>
  <c r="E12" i="35036" s="1"/>
  <c r="BC38" i="35036"/>
  <c r="E39" i="35036" s="1"/>
  <c r="BC75" i="35036"/>
  <c r="E76" i="35036" s="1"/>
  <c r="BC13" i="35036"/>
  <c r="E14" i="35036" s="1"/>
  <c r="BC45" i="35036"/>
  <c r="E46" i="35036" s="1"/>
  <c r="BC78" i="35036"/>
  <c r="E79" i="35036" s="1"/>
  <c r="BC68" i="35036"/>
  <c r="E69" i="35036" s="1"/>
  <c r="BC51" i="35036"/>
  <c r="E52" i="35036" s="1"/>
  <c r="BC43" i="35036"/>
  <c r="E44" i="35036" s="1"/>
  <c r="BC39" i="35036"/>
  <c r="E40" i="35036" s="1"/>
  <c r="BC40" i="35036"/>
  <c r="E41" i="35036" s="1"/>
  <c r="BC80" i="35036"/>
  <c r="E81" i="35036" s="1"/>
  <c r="BC84" i="35036"/>
  <c r="BC77" i="35036"/>
  <c r="E78" i="35036" s="1"/>
  <c r="BC12" i="35036"/>
  <c r="E13" i="35036" s="1"/>
  <c r="BC76" i="35036"/>
  <c r="E77" i="35036" s="1"/>
  <c r="BC57" i="35036"/>
  <c r="E58" i="35036" s="1"/>
  <c r="BC36" i="35036"/>
  <c r="E37" i="35036" s="1"/>
  <c r="BC72" i="35036"/>
  <c r="E73" i="35036" s="1"/>
  <c r="BC33" i="35036"/>
  <c r="E34" i="35036" s="1"/>
  <c r="K11" i="35015"/>
  <c r="M11" i="35035" s="1"/>
  <c r="O11" i="35035" s="1"/>
  <c r="Y11" i="35035" s="1"/>
  <c r="BC49" i="35036"/>
  <c r="E50" i="35036" s="1"/>
  <c r="BC46" i="35036"/>
  <c r="E47" i="35036" s="1"/>
  <c r="BC83" i="35036"/>
  <c r="E84" i="35036" s="1"/>
  <c r="BC53" i="35036"/>
  <c r="E54" i="35036" s="1"/>
  <c r="BC44" i="35036"/>
  <c r="E45" i="35036" s="1"/>
  <c r="BC54" i="35036"/>
  <c r="E55" i="35036" s="1"/>
  <c r="BC58" i="35036"/>
  <c r="E59" i="35036" s="1"/>
  <c r="BC47" i="35036"/>
  <c r="E48" i="35036" s="1"/>
  <c r="BC34" i="35036"/>
  <c r="E35" i="35036" s="1"/>
  <c r="BC74" i="35036"/>
  <c r="E75" i="35036" s="1"/>
  <c r="BC63" i="35036"/>
  <c r="E64" i="35036" s="1"/>
  <c r="BC73" i="35036"/>
  <c r="E74" i="35036" s="1"/>
  <c r="BC69" i="35036"/>
  <c r="E70" i="35036" s="1"/>
  <c r="BC48" i="35036"/>
  <c r="E49" i="35036" s="1"/>
  <c r="J42" i="34993"/>
  <c r="BC42" i="35036"/>
  <c r="E43" i="35036" s="1"/>
  <c r="BC50" i="35036"/>
  <c r="E51" i="35036" s="1"/>
  <c r="BC37" i="35036"/>
  <c r="E38" i="35036" s="1"/>
  <c r="BC52" i="35036"/>
  <c r="E53" i="35036" s="1"/>
  <c r="BC82" i="35036"/>
  <c r="E83" i="35036" s="1"/>
  <c r="BC55" i="35036"/>
  <c r="E56" i="35036" s="1"/>
  <c r="BC41" i="35036"/>
  <c r="E42" i="35036" s="1"/>
  <c r="BC62" i="35036"/>
  <c r="E63" i="35036" s="1"/>
  <c r="BC81" i="35036"/>
  <c r="E82" i="35036" s="1"/>
  <c r="I15" i="34993"/>
  <c r="K15" i="34999"/>
  <c r="L20" i="35391" a="1"/>
  <c r="L20" i="35391" s="1"/>
  <c r="L11" i="35391" s="1"/>
  <c r="L22" i="35391" s="1" a="1"/>
  <c r="L22" i="35391" s="1"/>
  <c r="I31" i="34993"/>
  <c r="K31" i="34999"/>
  <c r="I20" i="34993"/>
  <c r="K20" i="34999"/>
  <c r="I28" i="34993"/>
  <c r="K28" i="34999"/>
  <c r="K17" i="34999"/>
  <c r="I17" i="34993"/>
  <c r="I13" i="34993"/>
  <c r="K13" i="34999"/>
  <c r="I23" i="34993"/>
  <c r="K23" i="34999"/>
  <c r="I39" i="34993"/>
  <c r="K39" i="34999"/>
  <c r="I25" i="34993"/>
  <c r="K25" i="34999"/>
  <c r="I22" i="34993"/>
  <c r="K22" i="34999"/>
  <c r="I19" i="34993"/>
  <c r="K19" i="34999"/>
  <c r="I32" i="34993"/>
  <c r="K32" i="34999"/>
  <c r="I38" i="34993"/>
  <c r="K38" i="34999"/>
  <c r="I34" i="34993"/>
  <c r="K34" i="34999"/>
  <c r="I30" i="34993"/>
  <c r="K30" i="34999"/>
  <c r="I27" i="34993"/>
  <c r="K27" i="34999"/>
  <c r="BA27" i="35036"/>
  <c r="AO27" i="35036"/>
  <c r="AC27" i="35036"/>
  <c r="Q27" i="35036"/>
  <c r="I35" i="34993"/>
  <c r="K35" i="34999"/>
  <c r="I41" i="34993"/>
  <c r="K41" i="34999"/>
  <c r="I14" i="34993"/>
  <c r="K14" i="34999"/>
  <c r="I36" i="34993"/>
  <c r="K36" i="34999"/>
  <c r="I40" i="34993"/>
  <c r="K40" i="34999"/>
  <c r="I37" i="34993"/>
  <c r="K37" i="34999"/>
  <c r="I33" i="34993"/>
  <c r="K33" i="34999"/>
  <c r="BA30" i="35036"/>
  <c r="Q30" i="35036"/>
  <c r="AC30" i="35036"/>
  <c r="AO30" i="35036"/>
  <c r="I24" i="34993"/>
  <c r="K24" i="34999"/>
  <c r="I18" i="34993"/>
  <c r="I16" i="34993"/>
  <c r="I26" i="34993"/>
  <c r="I29" i="34993"/>
  <c r="I21" i="34993"/>
  <c r="K16" i="34999"/>
  <c r="K18" i="34999"/>
  <c r="K21" i="34999"/>
  <c r="BC66" i="35036"/>
  <c r="E67" i="35036" s="1"/>
  <c r="I12" i="35015"/>
  <c r="BC67" i="35036"/>
  <c r="E68" i="35036" s="1"/>
  <c r="BC35" i="35036"/>
  <c r="E36" i="35036" s="1"/>
  <c r="BC64" i="35036"/>
  <c r="E65" i="35036" s="1"/>
  <c r="BC60" i="35036"/>
  <c r="E61" i="35036" s="1"/>
  <c r="BC61" i="35036"/>
  <c r="E62" i="35036" s="1"/>
  <c r="K12" i="35015" l="1"/>
  <c r="M12" i="35035" s="1"/>
  <c r="O12" i="35035" s="1"/>
  <c r="Y12" i="35035" s="1"/>
  <c r="BC27" i="35036"/>
  <c r="E28" i="35036" s="1"/>
  <c r="BA20" i="35036"/>
  <c r="AO20" i="35036"/>
  <c r="Q20" i="35036"/>
  <c r="AC20" i="35036"/>
  <c r="BA18" i="35036"/>
  <c r="AO18" i="35036"/>
  <c r="Q18" i="35036"/>
  <c r="AC18" i="35036"/>
  <c r="BA32" i="35036"/>
  <c r="Q32" i="35036"/>
  <c r="AO32" i="35036"/>
  <c r="AC32" i="35036"/>
  <c r="J43" i="34993"/>
  <c r="Q43" i="34999"/>
  <c r="I42" i="34993"/>
  <c r="K42" i="34999"/>
  <c r="BA19" i="35036"/>
  <c r="Q19" i="35036"/>
  <c r="AO19" i="35036"/>
  <c r="AC19" i="35036"/>
  <c r="Q25" i="35036"/>
  <c r="AC25" i="35036"/>
  <c r="BA25" i="35036"/>
  <c r="AO25" i="35036"/>
  <c r="T11" i="34999"/>
  <c r="BA24" i="35036"/>
  <c r="Q24" i="35036"/>
  <c r="AC24" i="35036"/>
  <c r="AO24" i="35036"/>
  <c r="BA29" i="35036"/>
  <c r="Q29" i="35036"/>
  <c r="AO29" i="35036"/>
  <c r="AC29" i="35036"/>
  <c r="BC30" i="35036"/>
  <c r="E31" i="35036" s="1"/>
  <c r="BA15" i="35036"/>
  <c r="Q15" i="35036"/>
  <c r="AC15" i="35036"/>
  <c r="AO15" i="35036"/>
  <c r="J16" i="35015"/>
  <c r="J17" i="35015" s="1"/>
  <c r="J18" i="35015" s="1"/>
  <c r="J19" i="35015" s="1"/>
  <c r="J20" i="35015" s="1"/>
  <c r="J21" i="35015" s="1"/>
  <c r="J22" i="35015" s="1"/>
  <c r="J23" i="35015" s="1"/>
  <c r="J24" i="35015" s="1"/>
  <c r="J25" i="35015" s="1"/>
  <c r="J26" i="35015" s="1"/>
  <c r="J27" i="35015" s="1"/>
  <c r="J28" i="35015" s="1"/>
  <c r="J29" i="35015" s="1"/>
  <c r="J30" i="35015" s="1"/>
  <c r="J31" i="35015" s="1"/>
  <c r="J32" i="35015" s="1"/>
  <c r="J33" i="35015" s="1"/>
  <c r="J34" i="35015" s="1"/>
  <c r="J35" i="35015" s="1"/>
  <c r="J36" i="35015" s="1"/>
  <c r="J37" i="35015" s="1"/>
  <c r="J38" i="35015" s="1"/>
  <c r="J39" i="35015" s="1"/>
  <c r="J40" i="35015" s="1"/>
  <c r="J41" i="35015" s="1"/>
  <c r="J42" i="35015" s="1"/>
  <c r="BA22" i="35036"/>
  <c r="Q22" i="35036"/>
  <c r="AO22" i="35036"/>
  <c r="AC22" i="35036"/>
  <c r="BA17" i="35036"/>
  <c r="Q17" i="35036"/>
  <c r="AO17" i="35036"/>
  <c r="AC17" i="35036"/>
  <c r="BA28" i="35036"/>
  <c r="Q28" i="35036"/>
  <c r="AO28" i="35036"/>
  <c r="AC28" i="35036"/>
  <c r="BA23" i="35036"/>
  <c r="Q23" i="35036"/>
  <c r="AO23" i="35036"/>
  <c r="AC23" i="35036"/>
  <c r="BA16" i="35036"/>
  <c r="Q16" i="35036"/>
  <c r="AO16" i="35036"/>
  <c r="K11" i="34908" a="1"/>
  <c r="K11" i="34908" s="1"/>
  <c r="AC16" i="35036"/>
  <c r="AO14" i="35036"/>
  <c r="BA14" i="35036"/>
  <c r="AC14" i="35036"/>
  <c r="Q14" i="35036"/>
  <c r="BA31" i="35036"/>
  <c r="AO31" i="35036"/>
  <c r="Q31" i="35036"/>
  <c r="AC31" i="35036"/>
  <c r="Q26" i="35036"/>
  <c r="BA26" i="35036"/>
  <c r="AO26" i="35036"/>
  <c r="AC26" i="35036"/>
  <c r="I13" i="35015"/>
  <c r="K13" i="35015" s="1"/>
  <c r="M13" i="35035" s="1"/>
  <c r="O13" i="35035" s="1"/>
  <c r="Y13" i="35035" s="1"/>
  <c r="BA21" i="35036"/>
  <c r="Q21" i="35036"/>
  <c r="AO21" i="35036"/>
  <c r="AC21" i="35036"/>
  <c r="BC16" i="35036" l="1"/>
  <c r="E17" i="35036" s="1"/>
  <c r="I14" i="35015"/>
  <c r="K14" i="35015" s="1"/>
  <c r="M14" i="35035" s="1"/>
  <c r="O14" i="35035" s="1"/>
  <c r="Y14" i="35035" s="1"/>
  <c r="BC24" i="35036"/>
  <c r="E25" i="35036" s="1"/>
  <c r="BC26" i="35036"/>
  <c r="E27" i="35036" s="1"/>
  <c r="BC17" i="35036"/>
  <c r="E18" i="35036" s="1"/>
  <c r="J43" i="35015"/>
  <c r="BC18" i="35036"/>
  <c r="E19" i="35036" s="1"/>
  <c r="J44" i="34993"/>
  <c r="Q44" i="34999"/>
  <c r="BC28" i="35036"/>
  <c r="E29" i="35036" s="1"/>
  <c r="BC19" i="35036"/>
  <c r="E20" i="35036" s="1"/>
  <c r="K12" i="34908"/>
  <c r="K16" i="34908"/>
  <c r="BC29" i="35036"/>
  <c r="E30" i="35036" s="1"/>
  <c r="BC25" i="35036"/>
  <c r="E26" i="35036" s="1"/>
  <c r="K43" i="34999"/>
  <c r="I43" i="34993"/>
  <c r="BC21" i="35036"/>
  <c r="E22" i="35036" s="1"/>
  <c r="BC14" i="35036"/>
  <c r="E15" i="35036" s="1"/>
  <c r="BC23" i="35036"/>
  <c r="E24" i="35036" s="1"/>
  <c r="BC32" i="35036"/>
  <c r="E33" i="35036" s="1"/>
  <c r="BC31" i="35036"/>
  <c r="E32" i="35036" s="1"/>
  <c r="BC22" i="35036"/>
  <c r="E23" i="35036" s="1"/>
  <c r="BC15" i="35036"/>
  <c r="BC20" i="35036"/>
  <c r="E21" i="35036" s="1"/>
  <c r="I15" i="35015" l="1"/>
  <c r="K15" i="35015" s="1"/>
  <c r="J44" i="35015"/>
  <c r="D61" i="35391" a="1"/>
  <c r="E16" i="35036"/>
  <c r="K44" i="34999"/>
  <c r="I44" i="34993"/>
  <c r="Q45" i="34999"/>
  <c r="J45" i="34993"/>
  <c r="J45" i="35015" l="1"/>
  <c r="I16" i="35015"/>
  <c r="I17" i="35015" s="1"/>
  <c r="M15" i="35035"/>
  <c r="O15" i="35035" s="1"/>
  <c r="Y15" i="35035" s="1"/>
  <c r="I45" i="34993"/>
  <c r="K45" i="34999"/>
  <c r="Q46" i="34999"/>
  <c r="J46" i="34993"/>
  <c r="D64" i="35391"/>
  <c r="H64" i="35391" s="1"/>
  <c r="D85" i="35391"/>
  <c r="H85" i="35391" s="1"/>
  <c r="D63" i="35391"/>
  <c r="H63" i="35391" s="1"/>
  <c r="D79" i="35391"/>
  <c r="H79" i="35391" s="1"/>
  <c r="D114" i="35391"/>
  <c r="H114" i="35391" s="1"/>
  <c r="D130" i="35391"/>
  <c r="H130" i="35391" s="1"/>
  <c r="D89" i="35391"/>
  <c r="H89" i="35391" s="1"/>
  <c r="D135" i="35391"/>
  <c r="H135" i="35391" s="1"/>
  <c r="D107" i="35391"/>
  <c r="H107" i="35391" s="1"/>
  <c r="D76" i="35391"/>
  <c r="H76" i="35391" s="1"/>
  <c r="D131" i="35391"/>
  <c r="H131" i="35391" s="1"/>
  <c r="D124" i="35391"/>
  <c r="H124" i="35391" s="1"/>
  <c r="D129" i="35391"/>
  <c r="H129" i="35391" s="1"/>
  <c r="D128" i="35391"/>
  <c r="H128" i="35391" s="1"/>
  <c r="D98" i="35391"/>
  <c r="H98" i="35391" s="1"/>
  <c r="D86" i="35391"/>
  <c r="H86" i="35391" s="1"/>
  <c r="D66" i="35391"/>
  <c r="H66" i="35391" s="1"/>
  <c r="D74" i="35391"/>
  <c r="H74" i="35391" s="1"/>
  <c r="D103" i="35391"/>
  <c r="H103" i="35391" s="1"/>
  <c r="D99" i="35391"/>
  <c r="H99" i="35391" s="1"/>
  <c r="D104" i="35391"/>
  <c r="H104" i="35391" s="1"/>
  <c r="D123" i="35391"/>
  <c r="H123" i="35391" s="1"/>
  <c r="D91" i="35391"/>
  <c r="H91" i="35391" s="1"/>
  <c r="D106" i="35391"/>
  <c r="H106" i="35391" s="1"/>
  <c r="D77" i="35391"/>
  <c r="H77" i="35391" s="1"/>
  <c r="D127" i="35391"/>
  <c r="H127" i="35391" s="1"/>
  <c r="D100" i="35391"/>
  <c r="H100" i="35391" s="1"/>
  <c r="D75" i="35391"/>
  <c r="H75" i="35391" s="1"/>
  <c r="D125" i="35391"/>
  <c r="H125" i="35391" s="1"/>
  <c r="D116" i="35391"/>
  <c r="H116" i="35391" s="1"/>
  <c r="D71" i="35391"/>
  <c r="H71" i="35391" s="1"/>
  <c r="D69" i="35391"/>
  <c r="H69" i="35391" s="1"/>
  <c r="D90" i="35391"/>
  <c r="H90" i="35391" s="1"/>
  <c r="D111" i="35391"/>
  <c r="H111" i="35391" s="1"/>
  <c r="D96" i="35391"/>
  <c r="H96" i="35391" s="1"/>
  <c r="D62" i="35391"/>
  <c r="H62" i="35391" s="1"/>
  <c r="D115" i="35391"/>
  <c r="H115" i="35391" s="1"/>
  <c r="D81" i="35391"/>
  <c r="H81" i="35391" s="1"/>
  <c r="D93" i="35391"/>
  <c r="H93" i="35391" s="1"/>
  <c r="D88" i="35391"/>
  <c r="H88" i="35391" s="1"/>
  <c r="D80" i="35391"/>
  <c r="H80" i="35391" s="1"/>
  <c r="D126" i="35391"/>
  <c r="H126" i="35391" s="1"/>
  <c r="D95" i="35391"/>
  <c r="H95" i="35391" s="1"/>
  <c r="D105" i="35391"/>
  <c r="H105" i="35391" s="1"/>
  <c r="D101" i="35391"/>
  <c r="H101" i="35391" s="1"/>
  <c r="D72" i="35391"/>
  <c r="H72" i="35391" s="1"/>
  <c r="D109" i="35391"/>
  <c r="H109" i="35391" s="1"/>
  <c r="D112" i="35391"/>
  <c r="H112" i="35391" s="1"/>
  <c r="D65" i="35391"/>
  <c r="H65" i="35391" s="1"/>
  <c r="D70" i="35391"/>
  <c r="H70" i="35391" s="1"/>
  <c r="D87" i="35391"/>
  <c r="H87" i="35391" s="1"/>
  <c r="D110" i="35391"/>
  <c r="H110" i="35391" s="1"/>
  <c r="D133" i="35391"/>
  <c r="H133" i="35391" s="1"/>
  <c r="D120" i="35391"/>
  <c r="H120" i="35391" s="1"/>
  <c r="D84" i="35391"/>
  <c r="H84" i="35391" s="1"/>
  <c r="D117" i="35391"/>
  <c r="H117" i="35391" s="1"/>
  <c r="D108" i="35391"/>
  <c r="H108" i="35391" s="1"/>
  <c r="D73" i="35391"/>
  <c r="H73" i="35391" s="1"/>
  <c r="D113" i="35391"/>
  <c r="H113" i="35391" s="1"/>
  <c r="D132" i="35391"/>
  <c r="H132" i="35391" s="1"/>
  <c r="D83" i="35391"/>
  <c r="H83" i="35391" s="1"/>
  <c r="D97" i="35391"/>
  <c r="H97" i="35391" s="1"/>
  <c r="D82" i="35391"/>
  <c r="H82" i="35391" s="1"/>
  <c r="D67" i="35391"/>
  <c r="H67" i="35391" s="1"/>
  <c r="D61" i="35391"/>
  <c r="D119" i="35391"/>
  <c r="H119" i="35391" s="1"/>
  <c r="D122" i="35391"/>
  <c r="H122" i="35391" s="1"/>
  <c r="D78" i="35391"/>
  <c r="H78" i="35391" s="1"/>
  <c r="D118" i="35391"/>
  <c r="H118" i="35391" s="1"/>
  <c r="D121" i="35391"/>
  <c r="H121" i="35391" s="1"/>
  <c r="D94" i="35391"/>
  <c r="H94" i="35391" s="1"/>
  <c r="D68" i="35391"/>
  <c r="H68" i="35391" s="1"/>
  <c r="D92" i="35391"/>
  <c r="H92" i="35391" s="1"/>
  <c r="D134" i="35391"/>
  <c r="H134" i="35391" s="1"/>
  <c r="D102" i="35391"/>
  <c r="H102" i="35391" s="1"/>
  <c r="K16" i="35015" l="1"/>
  <c r="M16" i="35035" s="1"/>
  <c r="O16" i="35035" s="1"/>
  <c r="Y16" i="35035" s="1"/>
  <c r="J46" i="35015"/>
  <c r="Q47" i="34999"/>
  <c r="J47" i="34993"/>
  <c r="I46" i="34993"/>
  <c r="K46" i="34999"/>
  <c r="H61" i="35391"/>
  <c r="D38" i="35391" a="1"/>
  <c r="D38" i="35391" s="1"/>
  <c r="D33" i="35391" s="1" a="1"/>
  <c r="D33" i="35391" s="1"/>
  <c r="H33" i="35391" s="1"/>
  <c r="D39" i="35391" a="1"/>
  <c r="D39" i="35391" s="1"/>
  <c r="K17" i="35015"/>
  <c r="I18" i="35015"/>
  <c r="R6" i="35062" l="1"/>
  <c r="T6" i="35062"/>
  <c r="S6" i="35062"/>
  <c r="M6" i="35062"/>
  <c r="L6" i="35062" s="1"/>
  <c r="J47" i="35015"/>
  <c r="D26" i="35391" a="1"/>
  <c r="D26" i="35391" s="1"/>
  <c r="H26" i="35391" s="1"/>
  <c r="D23" i="35391" a="1"/>
  <c r="D23" i="35391" s="1"/>
  <c r="H23" i="35391" s="1"/>
  <c r="D24" i="35391" a="1"/>
  <c r="D24" i="35391" s="1"/>
  <c r="H24" i="35391" s="1"/>
  <c r="D18" i="35391" a="1"/>
  <c r="D18" i="35391" s="1"/>
  <c r="H18" i="35391" s="1"/>
  <c r="D29" i="35391" a="1"/>
  <c r="D29" i="35391" s="1"/>
  <c r="H29" i="35391" s="1"/>
  <c r="D12" i="35391" a="1"/>
  <c r="D12" i="35391" s="1"/>
  <c r="H12" i="35391" s="1"/>
  <c r="D32" i="35391" a="1"/>
  <c r="D32" i="35391" s="1"/>
  <c r="H32" i="35391" s="1"/>
  <c r="D15" i="35391" a="1"/>
  <c r="D15" i="35391" s="1"/>
  <c r="H15" i="35391" s="1"/>
  <c r="D14" i="35391" a="1"/>
  <c r="D14" i="35391" s="1"/>
  <c r="H14" i="35391" s="1"/>
  <c r="D13" i="35391" a="1"/>
  <c r="D13" i="35391" s="1"/>
  <c r="H13" i="35391" s="1"/>
  <c r="D37" i="35391" a="1"/>
  <c r="D37" i="35391" s="1"/>
  <c r="H37" i="35391" s="1"/>
  <c r="D20" i="35391" a="1"/>
  <c r="D20" i="35391" s="1"/>
  <c r="H20" i="35391" s="1"/>
  <c r="D16" i="35391" a="1"/>
  <c r="D16" i="35391" s="1"/>
  <c r="H16" i="35391" s="1"/>
  <c r="D27" i="35391" a="1"/>
  <c r="D27" i="35391" s="1"/>
  <c r="H27" i="35391" s="1"/>
  <c r="H39" i="35391"/>
  <c r="K38" i="34908"/>
  <c r="M38" i="34908" s="1"/>
  <c r="D44" i="35391"/>
  <c r="K18" i="35015"/>
  <c r="I19" i="35015"/>
  <c r="D34" i="35391" a="1"/>
  <c r="D34" i="35391" s="1"/>
  <c r="H34" i="35391" s="1"/>
  <c r="D28" i="35391" a="1"/>
  <c r="D28" i="35391" s="1"/>
  <c r="H28" i="35391" s="1"/>
  <c r="D25" i="35391" a="1"/>
  <c r="D25" i="35391" s="1"/>
  <c r="H25" i="35391" s="1"/>
  <c r="J48" i="34993"/>
  <c r="Q48" i="34999"/>
  <c r="D31" i="35391" a="1"/>
  <c r="D31" i="35391" s="1"/>
  <c r="H31" i="35391" s="1"/>
  <c r="D30" i="35391" a="1"/>
  <c r="D30" i="35391" s="1"/>
  <c r="H30" i="35391" s="1"/>
  <c r="D19" i="35391" a="1"/>
  <c r="D19" i="35391" s="1"/>
  <c r="H19" i="35391" s="1"/>
  <c r="D21" i="35391" a="1"/>
  <c r="D21" i="35391" s="1"/>
  <c r="H21" i="35391" s="1"/>
  <c r="I47" i="34993"/>
  <c r="K47" i="34999"/>
  <c r="D36" i="35391" a="1"/>
  <c r="D36" i="35391" s="1"/>
  <c r="H36" i="35391" s="1"/>
  <c r="D35" i="35391" a="1"/>
  <c r="D35" i="35391" s="1"/>
  <c r="H35" i="35391" s="1"/>
  <c r="M17" i="35035"/>
  <c r="O17" i="35035" s="1"/>
  <c r="Y17" i="35035" s="1"/>
  <c r="D22" i="35391" a="1"/>
  <c r="D22" i="35391" s="1"/>
  <c r="H22" i="35391" s="1"/>
  <c r="D17" i="35391" a="1"/>
  <c r="D17" i="35391" s="1"/>
  <c r="H17" i="35391" s="1"/>
  <c r="J48" i="35015" l="1"/>
  <c r="M7" i="35062"/>
  <c r="L7" i="35062" s="1"/>
  <c r="T7" i="35062"/>
  <c r="S7" i="35062"/>
  <c r="R7" i="35062"/>
  <c r="Q49" i="34999"/>
  <c r="J49" i="34993"/>
  <c r="K42" i="34908"/>
  <c r="M42" i="34908" s="1"/>
  <c r="H44" i="35391"/>
  <c r="I48" i="34993"/>
  <c r="K48" i="34999"/>
  <c r="M18" i="35035"/>
  <c r="O18" i="35035" s="1"/>
  <c r="Y18" i="35035" s="1"/>
  <c r="K19" i="35015"/>
  <c r="I20" i="35015"/>
  <c r="J49" i="35015" l="1"/>
  <c r="T8" i="35062"/>
  <c r="M8" i="35062"/>
  <c r="L8" i="35062" s="1"/>
  <c r="R8" i="35062"/>
  <c r="S8" i="35062"/>
  <c r="M19" i="35035"/>
  <c r="O19" i="35035" s="1"/>
  <c r="Y19" i="35035" s="1"/>
  <c r="I49" i="34993"/>
  <c r="K49" i="34999"/>
  <c r="Q50" i="34999"/>
  <c r="J50" i="34993"/>
  <c r="K20" i="35015"/>
  <c r="I21" i="35015"/>
  <c r="J50" i="35015" l="1"/>
  <c r="T9" i="35062"/>
  <c r="S9" i="35062"/>
  <c r="M9" i="35062"/>
  <c r="L9" i="35062" s="1"/>
  <c r="R9" i="35062"/>
  <c r="I50" i="34993"/>
  <c r="K50" i="34999"/>
  <c r="K21" i="35015"/>
  <c r="I22" i="35015"/>
  <c r="M20" i="35035"/>
  <c r="O20" i="35035" s="1"/>
  <c r="Y20" i="35035" s="1"/>
  <c r="J51" i="34993"/>
  <c r="Q51" i="34999"/>
  <c r="J51" i="35015" l="1"/>
  <c r="M10" i="35062"/>
  <c r="L10" i="35062" s="1"/>
  <c r="R10" i="35062"/>
  <c r="S10" i="35062"/>
  <c r="T10" i="35062"/>
  <c r="Q52" i="34999"/>
  <c r="J52" i="34993"/>
  <c r="K22" i="35015"/>
  <c r="I23" i="35015"/>
  <c r="M21" i="35035"/>
  <c r="O21" i="35035" s="1"/>
  <c r="Y21" i="35035" s="1"/>
  <c r="I51" i="34993"/>
  <c r="K51" i="34999"/>
  <c r="J52" i="35015" l="1"/>
  <c r="M11" i="35062"/>
  <c r="L11" i="35062" s="1"/>
  <c r="S11" i="35062"/>
  <c r="T11" i="35062"/>
  <c r="R11" i="35062"/>
  <c r="K23" i="35015"/>
  <c r="I24" i="35015"/>
  <c r="I52" i="34993"/>
  <c r="K52" i="34999"/>
  <c r="M22" i="35035"/>
  <c r="O22" i="35035" s="1"/>
  <c r="Y22" i="35035" s="1"/>
  <c r="J53" i="34993"/>
  <c r="Q53" i="34999"/>
  <c r="J53" i="35015" l="1"/>
  <c r="T12" i="35062"/>
  <c r="R12" i="35062"/>
  <c r="M12" i="35062"/>
  <c r="L12" i="35062" s="1"/>
  <c r="S12" i="35062"/>
  <c r="I53" i="34993"/>
  <c r="K53" i="34999"/>
  <c r="J54" i="34993"/>
  <c r="Q54" i="34999"/>
  <c r="K24" i="35015"/>
  <c r="I25" i="35015"/>
  <c r="M23" i="35035"/>
  <c r="O23" i="35035" s="1"/>
  <c r="Y23" i="35035" s="1"/>
  <c r="J54" i="35015" l="1"/>
  <c r="R13" i="35062"/>
  <c r="M13" i="35062"/>
  <c r="L13" i="35062" s="1"/>
  <c r="S13" i="35062"/>
  <c r="T13" i="35062"/>
  <c r="M24" i="35035"/>
  <c r="O24" i="35035" s="1"/>
  <c r="Y24" i="35035" s="1"/>
  <c r="Q55" i="34999"/>
  <c r="J55" i="34993"/>
  <c r="I54" i="34993"/>
  <c r="K54" i="34999"/>
  <c r="K25" i="35015"/>
  <c r="I26" i="35015"/>
  <c r="J55" i="35015" l="1"/>
  <c r="T14" i="35062"/>
  <c r="R14" i="35062"/>
  <c r="S14" i="35062"/>
  <c r="M14" i="35062"/>
  <c r="L14" i="35062" s="1"/>
  <c r="K26" i="35015"/>
  <c r="I27" i="35015"/>
  <c r="Q56" i="34999"/>
  <c r="J56" i="34993"/>
  <c r="I55" i="34993"/>
  <c r="K55" i="34999"/>
  <c r="M25" i="35035"/>
  <c r="O25" i="35035" s="1"/>
  <c r="Y25" i="35035" s="1"/>
  <c r="J56" i="35015" l="1"/>
  <c r="M15" i="35062"/>
  <c r="L15" i="35062" s="1"/>
  <c r="R15" i="35062"/>
  <c r="S15" i="35062"/>
  <c r="T15" i="35062"/>
  <c r="I56" i="34993"/>
  <c r="K56" i="34999"/>
  <c r="Q57" i="34999"/>
  <c r="J57" i="34993"/>
  <c r="K27" i="35015"/>
  <c r="I28" i="35015"/>
  <c r="M26" i="35035"/>
  <c r="O26" i="35035" s="1"/>
  <c r="Y26" i="35035" s="1"/>
  <c r="J57" i="35015" l="1"/>
  <c r="T16" i="35062"/>
  <c r="R16" i="35062"/>
  <c r="M16" i="35062"/>
  <c r="L16" i="35062" s="1"/>
  <c r="S16" i="35062"/>
  <c r="Q58" i="34999"/>
  <c r="J58" i="34993"/>
  <c r="M27" i="35035"/>
  <c r="O27" i="35035" s="1"/>
  <c r="Y27" i="35035" s="1"/>
  <c r="K28" i="35015"/>
  <c r="I29" i="35015"/>
  <c r="I57" i="34993"/>
  <c r="K57" i="34999"/>
  <c r="J58" i="35015" l="1"/>
  <c r="R17" i="35062"/>
  <c r="T17" i="35062"/>
  <c r="M17" i="35062"/>
  <c r="L17" i="35062" s="1"/>
  <c r="S17" i="35062"/>
  <c r="I58" i="34993"/>
  <c r="K58" i="34999"/>
  <c r="K29" i="35015"/>
  <c r="I30" i="35015"/>
  <c r="M28" i="35035"/>
  <c r="O28" i="35035" s="1"/>
  <c r="Y28" i="35035" s="1"/>
  <c r="J59" i="34993"/>
  <c r="Q59" i="34999"/>
  <c r="J59" i="35015" l="1"/>
  <c r="T18" i="35062"/>
  <c r="S18" i="35062"/>
  <c r="M18" i="35062"/>
  <c r="L18" i="35062" s="1"/>
  <c r="R18" i="35062"/>
  <c r="Q60" i="34999"/>
  <c r="J60" i="34993"/>
  <c r="K30" i="35015"/>
  <c r="I31" i="35015"/>
  <c r="M29" i="35035"/>
  <c r="O29" i="35035" s="1"/>
  <c r="Y29" i="35035" s="1"/>
  <c r="I59" i="34993"/>
  <c r="K59" i="34999"/>
  <c r="J60" i="35015" l="1"/>
  <c r="R19" i="35062"/>
  <c r="M19" i="35062"/>
  <c r="L19" i="35062" s="1"/>
  <c r="S19" i="35062"/>
  <c r="T19" i="35062"/>
  <c r="K31" i="35015"/>
  <c r="I32" i="35015"/>
  <c r="I60" i="34993"/>
  <c r="K60" i="34999"/>
  <c r="M30" i="35035"/>
  <c r="O30" i="35035" s="1"/>
  <c r="Y30" i="35035" s="1"/>
  <c r="Q61" i="34999"/>
  <c r="J61" i="34993"/>
  <c r="J61" i="35015" l="1"/>
  <c r="M20" i="35062"/>
  <c r="L20" i="35062" s="1"/>
  <c r="S20" i="35062"/>
  <c r="T20" i="35062"/>
  <c r="R20" i="35062"/>
  <c r="J62" i="34993"/>
  <c r="Q62" i="34999"/>
  <c r="I61" i="34993"/>
  <c r="K61" i="34999"/>
  <c r="K32" i="35015"/>
  <c r="I33" i="35015"/>
  <c r="M31" i="35035"/>
  <c r="O31" i="35035" s="1"/>
  <c r="Y31" i="35035" s="1"/>
  <c r="J62" i="35015" l="1"/>
  <c r="S21" i="35062"/>
  <c r="M21" i="35062"/>
  <c r="L21" i="35062" s="1"/>
  <c r="T21" i="35062"/>
  <c r="R21" i="35062"/>
  <c r="M32" i="35035"/>
  <c r="O32" i="35035" s="1"/>
  <c r="Y32" i="35035" s="1"/>
  <c r="K62" i="34999"/>
  <c r="I62" i="34993"/>
  <c r="K33" i="35015"/>
  <c r="I34" i="35015"/>
  <c r="J63" i="34993"/>
  <c r="Q63" i="34999"/>
  <c r="J63" i="35015" l="1"/>
  <c r="S22" i="35062"/>
  <c r="T22" i="35062"/>
  <c r="R22" i="35062"/>
  <c r="M22" i="35062"/>
  <c r="L22" i="35062" s="1"/>
  <c r="K34" i="35015"/>
  <c r="I35" i="35015"/>
  <c r="J64" i="34993"/>
  <c r="Q64" i="34999"/>
  <c r="M33" i="35035"/>
  <c r="O33" i="35035" s="1"/>
  <c r="Y33" i="35035" s="1"/>
  <c r="I63" i="34993"/>
  <c r="K63" i="34999"/>
  <c r="J64" i="35015" l="1"/>
  <c r="T23" i="35062"/>
  <c r="S23" i="35062"/>
  <c r="R23" i="35062"/>
  <c r="M23" i="35062"/>
  <c r="L23" i="35062" s="1"/>
  <c r="M34" i="35035"/>
  <c r="O34" i="35035" s="1"/>
  <c r="Y34" i="35035" s="1"/>
  <c r="I64" i="34993"/>
  <c r="K64" i="34999"/>
  <c r="K35" i="35015"/>
  <c r="I36" i="35015"/>
  <c r="J65" i="34993"/>
  <c r="Q65" i="34999"/>
  <c r="J65" i="35015" l="1"/>
  <c r="M24" i="35062"/>
  <c r="L24" i="35062" s="1"/>
  <c r="S24" i="35062"/>
  <c r="R24" i="35062"/>
  <c r="T24" i="35062"/>
  <c r="J66" i="34993"/>
  <c r="Q66" i="34999"/>
  <c r="I65" i="34993"/>
  <c r="K65" i="34999"/>
  <c r="M35" i="35035"/>
  <c r="O35" i="35035" s="1"/>
  <c r="Y35" i="35035" s="1"/>
  <c r="K36" i="35015"/>
  <c r="I37" i="35015"/>
  <c r="J66" i="35015" l="1"/>
  <c r="M25" i="35062"/>
  <c r="L25" i="35062" s="1"/>
  <c r="T25" i="35062"/>
  <c r="S25" i="35062"/>
  <c r="R25" i="35062"/>
  <c r="K37" i="35015"/>
  <c r="I38" i="35015"/>
  <c r="M36" i="35035"/>
  <c r="O36" i="35035" s="1"/>
  <c r="Y36" i="35035" s="1"/>
  <c r="I66" i="34993"/>
  <c r="K66" i="34999"/>
  <c r="J67" i="34993"/>
  <c r="Q67" i="34999"/>
  <c r="J67" i="35015" l="1"/>
  <c r="T26" i="35062"/>
  <c r="S26" i="35062"/>
  <c r="R26" i="35062"/>
  <c r="M26" i="35062"/>
  <c r="L26" i="35062" s="1"/>
  <c r="K38" i="35015"/>
  <c r="I39" i="35015"/>
  <c r="M37" i="35035"/>
  <c r="O37" i="35035" s="1"/>
  <c r="Y37" i="35035" s="1"/>
  <c r="K67" i="34999"/>
  <c r="I67" i="34993"/>
  <c r="J68" i="34993"/>
  <c r="Q68" i="34999"/>
  <c r="J68" i="35015" l="1"/>
  <c r="R27" i="35062"/>
  <c r="S27" i="35062"/>
  <c r="M27" i="35062"/>
  <c r="L27" i="35062" s="1"/>
  <c r="T27" i="35062"/>
  <c r="Q69" i="34999"/>
  <c r="J69" i="34993"/>
  <c r="I68" i="34993"/>
  <c r="K68" i="34999"/>
  <c r="K39" i="35015"/>
  <c r="I40" i="35015"/>
  <c r="M38" i="35035"/>
  <c r="O38" i="35035" s="1"/>
  <c r="Y38" i="35035" s="1"/>
  <c r="J69" i="35015" l="1"/>
  <c r="S28" i="35062"/>
  <c r="M28" i="35062"/>
  <c r="L28" i="35062" s="1"/>
  <c r="T28" i="35062"/>
  <c r="R28" i="35062"/>
  <c r="K40" i="35015"/>
  <c r="I41" i="35015"/>
  <c r="M39" i="35035"/>
  <c r="O39" i="35035" s="1"/>
  <c r="Y39" i="35035" s="1"/>
  <c r="Q70" i="34999"/>
  <c r="J70" i="34993"/>
  <c r="I69" i="34993"/>
  <c r="K69" i="34999"/>
  <c r="J70" i="35015" l="1"/>
  <c r="R29" i="35062"/>
  <c r="T29" i="35062"/>
  <c r="M29" i="35062"/>
  <c r="L29" i="35062" s="1"/>
  <c r="S29" i="35062"/>
  <c r="I70" i="34993"/>
  <c r="K70" i="34999"/>
  <c r="K41" i="35015"/>
  <c r="I42" i="35015"/>
  <c r="J71" i="34993"/>
  <c r="Q71" i="34999"/>
  <c r="M40" i="35035"/>
  <c r="O40" i="35035" s="1"/>
  <c r="Y40" i="35035" s="1"/>
  <c r="J71" i="35015" l="1"/>
  <c r="S30" i="35062"/>
  <c r="R30" i="35062"/>
  <c r="T30" i="35062"/>
  <c r="M30" i="35062"/>
  <c r="L30" i="35062" s="1"/>
  <c r="K42" i="35015"/>
  <c r="I43" i="35015"/>
  <c r="M41" i="35035"/>
  <c r="O41" i="35035" s="1"/>
  <c r="Y41" i="35035" s="1"/>
  <c r="Q72" i="34999"/>
  <c r="J72" i="34993"/>
  <c r="I71" i="34993"/>
  <c r="K71" i="34999"/>
  <c r="J72" i="35015" l="1"/>
  <c r="M31" i="35062"/>
  <c r="L31" i="35062" s="1"/>
  <c r="R31" i="35062"/>
  <c r="S31" i="35062"/>
  <c r="T31" i="35062"/>
  <c r="K72" i="34999"/>
  <c r="I72" i="34993"/>
  <c r="Q73" i="34999"/>
  <c r="J73" i="34993"/>
  <c r="K43" i="35015"/>
  <c r="I44" i="35015"/>
  <c r="M42" i="35035"/>
  <c r="O42" i="35035" s="1"/>
  <c r="Y42" i="35035" s="1"/>
  <c r="J73" i="35015" l="1"/>
  <c r="M32" i="35062"/>
  <c r="L32" i="35062" s="1"/>
  <c r="S32" i="35062"/>
  <c r="T32" i="35062"/>
  <c r="R32" i="35062"/>
  <c r="I73" i="34993"/>
  <c r="K73" i="34999"/>
  <c r="K44" i="35015"/>
  <c r="I45" i="35015"/>
  <c r="M43" i="35035"/>
  <c r="O43" i="35035" s="1"/>
  <c r="Y43" i="35035" s="1"/>
  <c r="Q74" i="34999"/>
  <c r="J74" i="34993"/>
  <c r="J74" i="35015" l="1"/>
  <c r="S33" i="35062"/>
  <c r="M33" i="35062"/>
  <c r="L33" i="35062" s="1"/>
  <c r="R33" i="35062"/>
  <c r="T33" i="35062"/>
  <c r="J75" i="34993"/>
  <c r="Q75" i="34999"/>
  <c r="K45" i="35015"/>
  <c r="I46" i="35015"/>
  <c r="M44" i="35035"/>
  <c r="O44" i="35035" s="1"/>
  <c r="Y44" i="35035" s="1"/>
  <c r="I74" i="34993"/>
  <c r="K74" i="34999"/>
  <c r="J75" i="35015" l="1"/>
  <c r="T34" i="35062"/>
  <c r="S34" i="35062"/>
  <c r="M34" i="35062"/>
  <c r="L34" i="35062" s="1"/>
  <c r="R34" i="35062"/>
  <c r="K46" i="35015"/>
  <c r="I47" i="35015"/>
  <c r="I75" i="34993"/>
  <c r="K75" i="34999"/>
  <c r="M45" i="35035"/>
  <c r="O45" i="35035" s="1"/>
  <c r="Y45" i="35035" s="1"/>
  <c r="J76" i="34993"/>
  <c r="Q76" i="34999"/>
  <c r="J76" i="35015" l="1"/>
  <c r="R35" i="35062"/>
  <c r="S35" i="35062"/>
  <c r="M35" i="35062"/>
  <c r="L35" i="35062" s="1"/>
  <c r="T35" i="35062"/>
  <c r="J77" i="34993"/>
  <c r="Q77" i="34999"/>
  <c r="K76" i="34999"/>
  <c r="I76" i="34993"/>
  <c r="K47" i="35015"/>
  <c r="I48" i="35015"/>
  <c r="M46" i="35035"/>
  <c r="O46" i="35035" s="1"/>
  <c r="Y46" i="35035" s="1"/>
  <c r="J77" i="35015" l="1"/>
  <c r="S36" i="35062"/>
  <c r="T36" i="35062"/>
  <c r="M36" i="35062"/>
  <c r="L36" i="35062" s="1"/>
  <c r="R36" i="35062"/>
  <c r="M47" i="35035"/>
  <c r="O47" i="35035" s="1"/>
  <c r="Y47" i="35035" s="1"/>
  <c r="I77" i="34993"/>
  <c r="K77" i="34999"/>
  <c r="Q78" i="34999"/>
  <c r="J78" i="34993"/>
  <c r="K48" i="35015"/>
  <c r="I49" i="35015"/>
  <c r="J78" i="35015" l="1"/>
  <c r="R37" i="35062"/>
  <c r="S37" i="35062"/>
  <c r="T37" i="35062"/>
  <c r="M37" i="35062"/>
  <c r="L37" i="35062" s="1"/>
  <c r="I78" i="34993"/>
  <c r="K78" i="34999"/>
  <c r="K49" i="35015"/>
  <c r="I50" i="35015"/>
  <c r="M48" i="35035"/>
  <c r="O48" i="35035" s="1"/>
  <c r="Y48" i="35035" s="1"/>
  <c r="J79" i="34993"/>
  <c r="Q79" i="34999"/>
  <c r="J79" i="35015" l="1"/>
  <c r="T38" i="35062"/>
  <c r="R38" i="35062"/>
  <c r="M38" i="35062"/>
  <c r="L38" i="35062" s="1"/>
  <c r="S38" i="35062"/>
  <c r="K50" i="35015"/>
  <c r="I51" i="35015"/>
  <c r="Q80" i="34999"/>
  <c r="J80" i="34993"/>
  <c r="M49" i="35035"/>
  <c r="O49" i="35035" s="1"/>
  <c r="Y49" i="35035" s="1"/>
  <c r="I79" i="34993"/>
  <c r="K79" i="34999"/>
  <c r="J80" i="35015" l="1"/>
  <c r="R39" i="35062"/>
  <c r="S39" i="35062"/>
  <c r="M39" i="35062"/>
  <c r="L39" i="35062" s="1"/>
  <c r="T39" i="35062"/>
  <c r="Q81" i="34999"/>
  <c r="J81" i="34993"/>
  <c r="I80" i="34993"/>
  <c r="K80" i="34999"/>
  <c r="K51" i="35015"/>
  <c r="I52" i="35015"/>
  <c r="M50" i="35035"/>
  <c r="O50" i="35035" s="1"/>
  <c r="Y50" i="35035" s="1"/>
  <c r="J81" i="35015" l="1"/>
  <c r="R40" i="35062"/>
  <c r="M40" i="35062"/>
  <c r="L40" i="35062" s="1"/>
  <c r="T40" i="35062"/>
  <c r="S40" i="35062"/>
  <c r="M51" i="35035"/>
  <c r="O51" i="35035" s="1"/>
  <c r="Y51" i="35035" s="1"/>
  <c r="I81" i="34993"/>
  <c r="K81" i="34999"/>
  <c r="K52" i="35015"/>
  <c r="I53" i="35015"/>
  <c r="Q82" i="34999"/>
  <c r="J82" i="34993"/>
  <c r="J82" i="35015" l="1"/>
  <c r="T41" i="35062"/>
  <c r="M41" i="35062"/>
  <c r="L41" i="35062" s="1"/>
  <c r="S41" i="35062"/>
  <c r="R41" i="35062"/>
  <c r="M52" i="35035"/>
  <c r="O52" i="35035" s="1"/>
  <c r="Y52" i="35035" s="1"/>
  <c r="I82" i="34993"/>
  <c r="K82" i="34999"/>
  <c r="J83" i="34993"/>
  <c r="Q83" i="34999"/>
  <c r="K53" i="35015"/>
  <c r="I54" i="35015"/>
  <c r="J83" i="35015" l="1"/>
  <c r="M42" i="35062"/>
  <c r="L42" i="35062" s="1"/>
  <c r="T42" i="35062"/>
  <c r="R42" i="35062"/>
  <c r="S42" i="35062"/>
  <c r="M53" i="35035"/>
  <c r="O53" i="35035" s="1"/>
  <c r="Y53" i="35035" s="1"/>
  <c r="K54" i="35015"/>
  <c r="I55" i="35015"/>
  <c r="I83" i="34993"/>
  <c r="K83" i="34999"/>
  <c r="Q84" i="34999"/>
  <c r="J84" i="34993"/>
  <c r="J84" i="35015" l="1"/>
  <c r="M21" i="35391" s="1" a="1"/>
  <c r="M21" i="35391" s="1"/>
  <c r="N21" i="35391" s="1"/>
  <c r="O21" i="35391" s="1"/>
  <c r="T43" i="35062"/>
  <c r="M43" i="35062"/>
  <c r="L43" i="35062" s="1"/>
  <c r="S43" i="35062"/>
  <c r="R43" i="35062"/>
  <c r="M54" i="35035"/>
  <c r="O54" i="35035" s="1"/>
  <c r="Y54" i="35035" s="1"/>
  <c r="K55" i="35015"/>
  <c r="I56" i="35015"/>
  <c r="K84" i="34999"/>
  <c r="I84" i="34993"/>
  <c r="S44" i="35062" l="1"/>
  <c r="M44" i="35062"/>
  <c r="L44" i="35062" s="1"/>
  <c r="R44" i="35062"/>
  <c r="T44" i="35062"/>
  <c r="K56" i="35015"/>
  <c r="I57" i="35015"/>
  <c r="M55" i="35035"/>
  <c r="O55" i="35035" s="1"/>
  <c r="Y55" i="35035" s="1"/>
  <c r="M45" i="35062" l="1"/>
  <c r="L45" i="35062" s="1"/>
  <c r="S45" i="35062"/>
  <c r="T45" i="35062"/>
  <c r="R45" i="35062"/>
  <c r="K57" i="35015"/>
  <c r="I58" i="35015"/>
  <c r="M56" i="35035"/>
  <c r="O56" i="35035" s="1"/>
  <c r="Y56" i="35035" s="1"/>
  <c r="M46" i="35062" l="1"/>
  <c r="L46" i="35062" s="1"/>
  <c r="T46" i="35062"/>
  <c r="R46" i="35062"/>
  <c r="S46" i="35062"/>
  <c r="K58" i="35015"/>
  <c r="I59" i="35015"/>
  <c r="M57" i="35035"/>
  <c r="O57" i="35035" s="1"/>
  <c r="Y57" i="35035" s="1"/>
  <c r="M47" i="35062" l="1"/>
  <c r="L47" i="35062" s="1"/>
  <c r="T47" i="35062"/>
  <c r="S47" i="35062"/>
  <c r="R47" i="35062"/>
  <c r="K59" i="35015"/>
  <c r="I60" i="35015"/>
  <c r="M58" i="35035"/>
  <c r="O58" i="35035" s="1"/>
  <c r="Y58" i="35035" s="1"/>
  <c r="S48" i="35062" l="1"/>
  <c r="R48" i="35062"/>
  <c r="M48" i="35062"/>
  <c r="L48" i="35062" s="1"/>
  <c r="T48" i="35062"/>
  <c r="K60" i="35015"/>
  <c r="I61" i="35015"/>
  <c r="M59" i="35035"/>
  <c r="O59" i="35035" s="1"/>
  <c r="Y59" i="35035" s="1"/>
  <c r="S49" i="35062" l="1"/>
  <c r="M49" i="35062"/>
  <c r="L49" i="35062" s="1"/>
  <c r="T49" i="35062"/>
  <c r="R49" i="35062"/>
  <c r="K61" i="35015"/>
  <c r="I62" i="35015"/>
  <c r="M60" i="35035"/>
  <c r="O60" i="35035" s="1"/>
  <c r="Y60" i="35035" s="1"/>
  <c r="M50" i="35062" l="1"/>
  <c r="L50" i="35062" s="1"/>
  <c r="S50" i="35062"/>
  <c r="R50" i="35062"/>
  <c r="T50" i="35062"/>
  <c r="K62" i="35015"/>
  <c r="I63" i="35015"/>
  <c r="M61" i="35035"/>
  <c r="O61" i="35035" s="1"/>
  <c r="Y61" i="35035" s="1"/>
  <c r="T51" i="35062" l="1"/>
  <c r="M51" i="35062"/>
  <c r="L51" i="35062" s="1"/>
  <c r="S51" i="35062"/>
  <c r="R51" i="35062"/>
  <c r="K63" i="35015"/>
  <c r="I64" i="35015"/>
  <c r="M62" i="35035"/>
  <c r="O62" i="35035" s="1"/>
  <c r="Y62" i="35035" s="1"/>
  <c r="T52" i="35062" l="1"/>
  <c r="M52" i="35062"/>
  <c r="L52" i="35062" s="1"/>
  <c r="S52" i="35062"/>
  <c r="R52" i="35062"/>
  <c r="K64" i="35015"/>
  <c r="I65" i="35015"/>
  <c r="M63" i="35035"/>
  <c r="O63" i="35035" s="1"/>
  <c r="Y63" i="35035" s="1"/>
  <c r="M53" i="35062" l="1"/>
  <c r="L53" i="35062" s="1"/>
  <c r="S53" i="35062"/>
  <c r="R53" i="35062"/>
  <c r="T53" i="35062"/>
  <c r="K65" i="35015"/>
  <c r="I66" i="35015"/>
  <c r="M64" i="35035"/>
  <c r="O64" i="35035" s="1"/>
  <c r="Y64" i="35035" s="1"/>
  <c r="R54" i="35062" l="1"/>
  <c r="M54" i="35062"/>
  <c r="L54" i="35062" s="1"/>
  <c r="S54" i="35062"/>
  <c r="T54" i="35062"/>
  <c r="K66" i="35015"/>
  <c r="I67" i="35015"/>
  <c r="M65" i="35035"/>
  <c r="O65" i="35035" s="1"/>
  <c r="Y65" i="35035" s="1"/>
  <c r="S55" i="35062" l="1"/>
  <c r="T55" i="35062"/>
  <c r="M55" i="35062"/>
  <c r="L55" i="35062" s="1"/>
  <c r="R55" i="35062"/>
  <c r="K67" i="35015"/>
  <c r="I68" i="35015"/>
  <c r="M66" i="35035"/>
  <c r="O66" i="35035" s="1"/>
  <c r="Y66" i="35035" s="1"/>
  <c r="S56" i="35062" l="1"/>
  <c r="M56" i="35062"/>
  <c r="L56" i="35062" s="1"/>
  <c r="R56" i="35062"/>
  <c r="T56" i="35062"/>
  <c r="M67" i="35035"/>
  <c r="O67" i="35035" s="1"/>
  <c r="Y67" i="35035" s="1"/>
  <c r="K68" i="35015"/>
  <c r="I69" i="35015"/>
  <c r="S57" i="35062" l="1"/>
  <c r="T57" i="35062"/>
  <c r="M57" i="35062"/>
  <c r="L57" i="35062" s="1"/>
  <c r="R57" i="35062"/>
  <c r="K69" i="35015"/>
  <c r="I70" i="35015"/>
  <c r="M68" i="35035"/>
  <c r="O68" i="35035" s="1"/>
  <c r="Y68" i="35035" s="1"/>
  <c r="M58" i="35062" l="1"/>
  <c r="L58" i="35062" s="1"/>
  <c r="R58" i="35062"/>
  <c r="T58" i="35062"/>
  <c r="S58" i="35062"/>
  <c r="K70" i="35015"/>
  <c r="I71" i="35015"/>
  <c r="M69" i="35035"/>
  <c r="O69" i="35035" s="1"/>
  <c r="Y69" i="35035" s="1"/>
  <c r="S59" i="35062" l="1"/>
  <c r="M59" i="35062"/>
  <c r="L59" i="35062" s="1"/>
  <c r="T59" i="35062"/>
  <c r="R59" i="35062"/>
  <c r="K71" i="35015"/>
  <c r="I72" i="35015"/>
  <c r="M70" i="35035"/>
  <c r="O70" i="35035" s="1"/>
  <c r="Y70" i="35035" s="1"/>
  <c r="M60" i="35062" l="1"/>
  <c r="L60" i="35062" s="1"/>
  <c r="T60" i="35062"/>
  <c r="R60" i="35062"/>
  <c r="S60" i="35062"/>
  <c r="K72" i="35015"/>
  <c r="I73" i="35015"/>
  <c r="M71" i="35035"/>
  <c r="O71" i="35035" s="1"/>
  <c r="Y71" i="35035" s="1"/>
  <c r="M61" i="35062" l="1"/>
  <c r="L61" i="35062" s="1"/>
  <c r="S61" i="35062"/>
  <c r="R61" i="35062"/>
  <c r="T61" i="35062"/>
  <c r="K73" i="35015"/>
  <c r="I74" i="35015"/>
  <c r="M72" i="35035"/>
  <c r="O72" i="35035" s="1"/>
  <c r="Y72" i="35035" s="1"/>
  <c r="S62" i="35062" l="1"/>
  <c r="M62" i="35062"/>
  <c r="L62" i="35062" s="1"/>
  <c r="T62" i="35062"/>
  <c r="R62" i="35062"/>
  <c r="K74" i="35015"/>
  <c r="I75" i="35015"/>
  <c r="M73" i="35035"/>
  <c r="O73" i="35035" s="1"/>
  <c r="Y73" i="35035" s="1"/>
  <c r="M63" i="35062" l="1"/>
  <c r="L63" i="35062" s="1"/>
  <c r="R63" i="35062"/>
  <c r="T63" i="35062"/>
  <c r="S63" i="35062"/>
  <c r="K75" i="35015"/>
  <c r="I76" i="35015"/>
  <c r="M74" i="35035"/>
  <c r="O74" i="35035" s="1"/>
  <c r="Y74" i="35035" s="1"/>
  <c r="M64" i="35062" l="1"/>
  <c r="L64" i="35062" s="1"/>
  <c r="S64" i="35062"/>
  <c r="T64" i="35062"/>
  <c r="R64" i="35062"/>
  <c r="K76" i="35015"/>
  <c r="I77" i="35015"/>
  <c r="M75" i="35035"/>
  <c r="O75" i="35035" s="1"/>
  <c r="Y75" i="35035" s="1"/>
  <c r="M65" i="35062" l="1"/>
  <c r="L65" i="35062" s="1"/>
  <c r="R65" i="35062"/>
  <c r="S65" i="35062"/>
  <c r="T65" i="35062"/>
  <c r="K77" i="35015"/>
  <c r="I78" i="35015"/>
  <c r="M76" i="35035"/>
  <c r="O76" i="35035" s="1"/>
  <c r="Y76" i="35035" s="1"/>
  <c r="M66" i="35062" l="1"/>
  <c r="L66" i="35062" s="1"/>
  <c r="S66" i="35062"/>
  <c r="T66" i="35062"/>
  <c r="R66" i="35062"/>
  <c r="K78" i="35015"/>
  <c r="I79" i="35015"/>
  <c r="M77" i="35035"/>
  <c r="O77" i="35035" s="1"/>
  <c r="Y77" i="35035" s="1"/>
  <c r="R67" i="35062" l="1"/>
  <c r="S67" i="35062"/>
  <c r="M67" i="35062"/>
  <c r="L67" i="35062" s="1"/>
  <c r="T67" i="35062"/>
  <c r="K79" i="35015"/>
  <c r="I80" i="35015"/>
  <c r="M78" i="35035"/>
  <c r="O78" i="35035" s="1"/>
  <c r="Y78" i="35035" s="1"/>
  <c r="T68" i="35062" l="1"/>
  <c r="M68" i="35062"/>
  <c r="L68" i="35062" s="1"/>
  <c r="S68" i="35062"/>
  <c r="R68" i="35062"/>
  <c r="K80" i="35015"/>
  <c r="I81" i="35015"/>
  <c r="M79" i="35035"/>
  <c r="O79" i="35035" s="1"/>
  <c r="Y79" i="35035" s="1"/>
  <c r="M69" i="35062" l="1"/>
  <c r="L69" i="35062" s="1"/>
  <c r="S69" i="35062"/>
  <c r="T69" i="35062"/>
  <c r="R69" i="35062"/>
  <c r="K81" i="35015"/>
  <c r="I82" i="35015"/>
  <c r="M80" i="35035"/>
  <c r="O80" i="35035" s="1"/>
  <c r="Y80" i="35035" s="1"/>
  <c r="M70" i="35062" l="1"/>
  <c r="L70" i="35062" s="1"/>
  <c r="T70" i="35062"/>
  <c r="S70" i="35062"/>
  <c r="R70" i="35062"/>
  <c r="K82" i="35015"/>
  <c r="I83" i="35015"/>
  <c r="M81" i="35035"/>
  <c r="O81" i="35035" s="1"/>
  <c r="Y81" i="35035" s="1"/>
  <c r="S71" i="35062" l="1"/>
  <c r="M71" i="35062"/>
  <c r="L71" i="35062" s="1"/>
  <c r="T71" i="35062"/>
  <c r="R71" i="35062"/>
  <c r="K83" i="35015"/>
  <c r="I84" i="35015"/>
  <c r="M82" i="35035"/>
  <c r="O82" i="35035" s="1"/>
  <c r="Y82" i="35035" s="1"/>
  <c r="K84" i="35015" l="1"/>
  <c r="R73" i="35062" s="1"/>
  <c r="M20" i="35391" a="1"/>
  <c r="M20" i="35391" s="1"/>
  <c r="M72" i="35062"/>
  <c r="L72" i="35062" s="1"/>
  <c r="S72" i="35062"/>
  <c r="T72" i="35062"/>
  <c r="R72" i="35062"/>
  <c r="T76" i="35062"/>
  <c r="S76" i="35062"/>
  <c r="M76" i="35062"/>
  <c r="L76" i="35062" s="1"/>
  <c r="R76" i="35062"/>
  <c r="T75" i="35062"/>
  <c r="R75" i="35062"/>
  <c r="S75" i="35062"/>
  <c r="M75" i="35062"/>
  <c r="L75" i="35062" s="1"/>
  <c r="M83" i="35035"/>
  <c r="O83" i="35035" s="1"/>
  <c r="Y83" i="35035" s="1"/>
  <c r="M74" i="35062"/>
  <c r="L74" i="35062" s="1"/>
  <c r="S74" i="35062"/>
  <c r="T74" i="35062"/>
  <c r="R74" i="35062"/>
  <c r="M84" i="35035" l="1"/>
  <c r="O84" i="35035" s="1"/>
  <c r="Y84" i="35035" s="1"/>
  <c r="F42" i="34908" s="1"/>
  <c r="M11" i="35391"/>
  <c r="N20" i="35391"/>
  <c r="S73" i="35062"/>
  <c r="T73" i="35062"/>
  <c r="M73" i="35062"/>
  <c r="L73" i="35062" s="1"/>
  <c r="L11" i="34908" a="1"/>
  <c r="L11" i="34908" s="1"/>
  <c r="M11" i="34908" l="1"/>
  <c r="N11" i="34908" s="1"/>
  <c r="L12" i="34908"/>
  <c r="M12" i="34908" s="1"/>
  <c r="N12" i="34908" s="1"/>
  <c r="L16" i="34908"/>
  <c r="M16" i="34908" s="1"/>
  <c r="N16" i="34908" s="1"/>
  <c r="R26" i="35391"/>
  <c r="O20" i="35391"/>
  <c r="M22" i="35391" a="1"/>
  <c r="M22" i="35391" s="1"/>
  <c r="N11" i="35391"/>
  <c r="O11" i="35391" s="1"/>
  <c r="C9" i="35399" l="1"/>
  <c r="C11" i="35399" s="1"/>
  <c r="V16" i="35391" s="1"/>
  <c r="V17" i="35391" s="1"/>
  <c r="N22" i="35391"/>
  <c r="R24" i="35391"/>
  <c r="T26" i="35391"/>
  <c r="T24" i="35391" l="1"/>
  <c r="R22" i="35391"/>
  <c r="O22" i="35391"/>
  <c r="T22" i="35391" l="1"/>
  <c r="R21" i="35391"/>
  <c r="T21" i="35391" l="1"/>
  <c r="R44" i="35391"/>
  <c r="T44" i="35391" s="1"/>
  <c r="S22" i="35391" s="1"/>
  <c r="S36" i="35391" l="1"/>
  <c r="S19" i="35391"/>
  <c r="S15" i="35391"/>
  <c r="S38" i="35391"/>
  <c r="S33" i="35391"/>
  <c r="S34" i="35391"/>
  <c r="S20" i="35391"/>
  <c r="S43" i="35391"/>
  <c r="S28" i="35391"/>
  <c r="S37" i="35391"/>
  <c r="S25" i="35391"/>
  <c r="S29" i="35391"/>
  <c r="S35" i="35391"/>
  <c r="S27" i="35391"/>
  <c r="S17" i="35391"/>
  <c r="S30" i="35391"/>
  <c r="S41" i="35391"/>
  <c r="S16" i="35391"/>
  <c r="S32" i="35391"/>
  <c r="S40" i="35391"/>
  <c r="S39" i="35391"/>
  <c r="S18" i="35391"/>
  <c r="S42" i="35391"/>
  <c r="S23" i="35391"/>
  <c r="S31" i="35391"/>
  <c r="S26" i="35391"/>
  <c r="S24" i="35391"/>
  <c r="S21" i="35391"/>
  <c r="S44" i="3539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<sst xmlns="http://schemas.openxmlformats.org/spreadsheetml/2006/main" count="6726" uniqueCount="922">
  <si>
    <t xml:space="preserve"> </t>
  </si>
  <si>
    <t>MARKETSIM TABLE OF CONTENTS</t>
  </si>
  <si>
    <t>Click an underlined heading below to view the associated tab</t>
  </si>
  <si>
    <t>MODEL RUN INTERFACE</t>
  </si>
  <si>
    <t>Detailed Results</t>
  </si>
  <si>
    <t>E&amp;D SCENARIO INPUT: OIL</t>
  </si>
  <si>
    <t>AEO BASELINE PROJECTIONS</t>
  </si>
  <si>
    <t>E&amp;D SCENARIO INPUT: GAS</t>
  </si>
  <si>
    <t>Supply</t>
  </si>
  <si>
    <t>Demand</t>
  </si>
  <si>
    <t>BOE Percentage by Planning Area</t>
  </si>
  <si>
    <t>Oil</t>
  </si>
  <si>
    <t>Gas</t>
  </si>
  <si>
    <t>SIMULATION QUANTITIES</t>
  </si>
  <si>
    <t>Electricity</t>
  </si>
  <si>
    <t>Coal</t>
  </si>
  <si>
    <t>PARAMETER CALCULATIONS</t>
  </si>
  <si>
    <t>ELASTICITY &amp; ADJUSTMENT</t>
  </si>
  <si>
    <t>AEO Baseline Prices &amp;
 MarketSim Simulated Prices</t>
  </si>
  <si>
    <t>Change in Consumer Surplus</t>
  </si>
  <si>
    <t>Adjustment Rates</t>
  </si>
  <si>
    <t>CALCULATIONS FOR ESTIMATION 
OF OCS EXPORTS</t>
  </si>
  <si>
    <t>DATA SUPPORTING CALCULATION OF OCS EXPORTS</t>
  </si>
  <si>
    <t>Calculaton of OCS 
Crude Oil Exports</t>
  </si>
  <si>
    <t>API Gravity of U.S. Crude Production and Imports</t>
  </si>
  <si>
    <t>Calculation of OCS-Derived 
Refined Product Exports</t>
  </si>
  <si>
    <t>API Gravity of OCS Crude</t>
  </si>
  <si>
    <t>Return to Table of Contents</t>
  </si>
  <si>
    <t>DIRECTIONS FOR UPDATING</t>
  </si>
  <si>
    <r>
      <t xml:space="preserve">Updates to MarketSim may involve: (1) updates to baseline supply and demand projections, (2) updates to elasticity values or adjustment rates, or (3) updates to the inflation forecast.
</t>
    </r>
    <r>
      <rPr>
        <b/>
        <sz val="16"/>
        <color indexed="8"/>
        <rFont val="Trebuchet MS"/>
        <family val="2"/>
      </rPr>
      <t>Baseline</t>
    </r>
    <r>
      <rPr>
        <b/>
        <sz val="12"/>
        <color indexed="8"/>
        <rFont val="Trebuchet MS"/>
        <family val="2"/>
      </rPr>
      <t xml:space="preserve"> </t>
    </r>
    <r>
      <rPr>
        <b/>
        <sz val="16"/>
        <color indexed="8"/>
        <rFont val="Trebuchet MS"/>
        <family val="2"/>
      </rPr>
      <t>Supply and Demand Projections</t>
    </r>
    <r>
      <rPr>
        <sz val="12"/>
        <color indexed="8"/>
        <rFont val="Trebuchet MS"/>
        <family val="2"/>
      </rPr>
      <t xml:space="preserve">
In Item 1 below, the existing baseline data may be cleared from MarketSim.  It is recommended that users do this rather than copy over the existing data.
In Item 2 the user enters the first year and last year to be reflected in the AEO baseline data to be incorporated into MarketSim.
Items 3 through 10 below will direct the user to the specific worksheets where the baseline supply and demand projections may be updated using data from EIA's NEMS model.  Where necessary, special instructions are included with each of these items to address potential imbalances between supply and demand in the NEMS forecast.
The bottom of each column in each worksheet includes detailed information on the AEO tables and rown numbers where baseline data are avaialble.  However, because EIA changes these tables periodically, model users may need re-examine the structure of the EIA data and identify the correct tables/rows where the required baseline data are located.
</t>
    </r>
    <r>
      <rPr>
        <b/>
        <sz val="16"/>
        <color indexed="8"/>
        <rFont val="Trebuchet MS"/>
        <family val="2"/>
      </rPr>
      <t/>
    </r>
  </si>
  <si>
    <r>
      <rPr>
        <b/>
        <sz val="16"/>
        <color indexed="8"/>
        <rFont val="Trebuchet MS"/>
        <family val="2"/>
      </rPr>
      <t>Energy Price Projections</t>
    </r>
    <r>
      <rPr>
        <sz val="12"/>
        <color indexed="8"/>
        <rFont val="Trebuchet MS"/>
        <family val="2"/>
      </rPr>
      <t xml:space="preserve">
Item 11 below directs users to where they can update the baseline energy price projections.
</t>
    </r>
    <r>
      <rPr>
        <b/>
        <sz val="16"/>
        <color indexed="8"/>
        <rFont val="Trebuchet MS"/>
        <family val="2"/>
      </rPr>
      <t>Extrapolation Beyond AEO Data</t>
    </r>
    <r>
      <rPr>
        <sz val="12"/>
        <color indexed="8"/>
        <rFont val="Trebuchet MS"/>
        <family val="2"/>
      </rPr>
      <t xml:space="preserve">
Item 12 below is where model users must prompt MarketSim to extrapolate beyond the baseline NEMS data.  
</t>
    </r>
    <r>
      <rPr>
        <b/>
        <sz val="16"/>
        <color indexed="8"/>
        <rFont val="Trebuchet MS"/>
        <family val="2"/>
      </rPr>
      <t>Default Elasticity Values and Adjustment Rates</t>
    </r>
    <r>
      <rPr>
        <sz val="12"/>
        <color indexed="8"/>
        <rFont val="Trebuchet MS"/>
        <family val="2"/>
      </rPr>
      <t xml:space="preserve">
Item 13 below provides directions on how to update elasticity values and adjustment rates in the model.
</t>
    </r>
    <r>
      <rPr>
        <b/>
        <sz val="16"/>
        <color indexed="8"/>
        <rFont val="Trebuchet MS"/>
        <family val="2"/>
      </rPr>
      <t>Inflation Indices</t>
    </r>
    <r>
      <rPr>
        <sz val="12"/>
        <color indexed="8"/>
        <rFont val="Trebuchet MS"/>
        <family val="2"/>
      </rPr>
      <t xml:space="preserve">
Item 14 below includes directions on how to update the inflation indices in the model.
</t>
    </r>
  </si>
  <si>
    <t>1.</t>
  </si>
  <si>
    <t>CLEAR EXISTING BASELINE DATA IN MODEL</t>
  </si>
  <si>
    <t>It is recommended that users clear the existing baseline data using the button at right rather than copying over existing baseline data.</t>
  </si>
  <si>
    <t>2.</t>
  </si>
  <si>
    <t>UPDATE FIRST AND LAST YEARS REPRESENTED IN BASELINE SUPPLY AND DEMAND DATA</t>
  </si>
  <si>
    <t xml:space="preserve">Enter the first year represented by the baseline data in MarketSim: </t>
  </si>
  <si>
    <t>Enter the last year covered by the AEO baseline projection:</t>
  </si>
  <si>
    <t>Projections last updated on 11/2/2023 10:19:47 AM</t>
  </si>
  <si>
    <t>3.</t>
  </si>
  <si>
    <t>UPDATE OIL SUPPLY PROJECTION</t>
  </si>
  <si>
    <t>Oil Supply</t>
  </si>
  <si>
    <t xml:space="preserve">Columns C through G, I, K, and O require updating.  All other columns update automatically.  Based on past experience, supply and demand in the NEMS oil market data may be imbalanced.  To generate a balanced forecast, this worksheet is set up to calculate the difference between total supply and total demand and adjust "Other" domestic supply to force supply and demand to balance.  </t>
  </si>
  <si>
    <t>4.</t>
  </si>
  <si>
    <t>UPDATE GAS SUPPLY PROJECTION</t>
  </si>
  <si>
    <t>Gas Supply</t>
  </si>
  <si>
    <t>Columns C through J require updating.</t>
  </si>
  <si>
    <t>5.</t>
  </si>
  <si>
    <t>UPDATE ELECTRICITY SUPPLY PROJECTION</t>
  </si>
  <si>
    <t>Electricity Supply</t>
  </si>
  <si>
    <t>Columns C through L require updating.</t>
  </si>
  <si>
    <t>6.</t>
  </si>
  <si>
    <t>UPDATE COAL SUPPLY PROJECTION</t>
  </si>
  <si>
    <t>Coal Supply</t>
  </si>
  <si>
    <t>Columns C and D require updating.</t>
  </si>
  <si>
    <t>7.</t>
  </si>
  <si>
    <t>UPDATE OIL DEMAND PROJECTION</t>
  </si>
  <si>
    <t>Oil Demand</t>
  </si>
  <si>
    <t>Columns C though J require updating.  All other columns update automatically.</t>
  </si>
  <si>
    <t>8.</t>
  </si>
  <si>
    <t>UPDATE GAS DEMAND PROJECTION</t>
  </si>
  <si>
    <t>Gas Demand</t>
  </si>
  <si>
    <t>Columns C through H require updating.</t>
  </si>
  <si>
    <t>9.</t>
  </si>
  <si>
    <t>UPDATE ELECTRICITY DEMAND PROJECTION</t>
  </si>
  <si>
    <t>Electricity Demand</t>
  </si>
  <si>
    <t>Columns L through P require updating.  If the note at the top of the worksheet indicates that supply and demand are not in equilibrium, click on the "Equilibrate Electricity" button.</t>
  </si>
  <si>
    <t>10.</t>
  </si>
  <si>
    <t>UPDATE COAL DEMAND PROJECTION</t>
  </si>
  <si>
    <t>Coal Demand</t>
  </si>
  <si>
    <t>Columns C through F require updating.</t>
  </si>
  <si>
    <t>11.</t>
  </si>
  <si>
    <t>UPDATE ENERGY PRICE PROJECTIONS</t>
  </si>
  <si>
    <t>Prices</t>
  </si>
  <si>
    <t>The baseline price projection in columns C through F require updating.</t>
  </si>
  <si>
    <t>12.</t>
  </si>
  <si>
    <t>EXTRAPOLATE BEYOND AEO DATA</t>
  </si>
  <si>
    <t>Press the button at right to prompt MarketSim to extrapolate to years after the AEO forecast horizon.</t>
  </si>
  <si>
    <t>Projections last updated on 2020/08/13 4:53 PM</t>
  </si>
  <si>
    <t>13.</t>
  </si>
  <si>
    <t>UPDATE DEFAULTS (IF UPDATING ELASTICITIES OR ADJUSTMENT RATES)</t>
  </si>
  <si>
    <t>Defaults</t>
  </si>
  <si>
    <t>The default values for supply and demand elasticities and adjustment rates are included in this worksheet.  As new estimates for these values become available, model users can change the values on this worksheet to make these updated values the model defaults.  After entering these new values, users are also encouraged to enter the corresponding source information.
Once the new default values and the corresponding source information have been entered, go to any of the following worksheets and press "Restore THIS TAB's default elasticities" OR "Restore ALL default elasticities": Oil demand elasticities, Gas demand elasticities, Electricity demand elasticities, Coal demand elasticities, Oil supply elasticities, Gas supply elasticities, Electricity supply elasticities, Coal supply elasticities.</t>
  </si>
  <si>
    <t>14.</t>
  </si>
  <si>
    <t>UPDATE INFLATION</t>
  </si>
  <si>
    <t>Inflation</t>
  </si>
  <si>
    <t>Columns C through E require updating.</t>
  </si>
  <si>
    <t>SUMMARY RESULTS</t>
  </si>
  <si>
    <t>INPUT E&amp;D SCENARIO</t>
  </si>
  <si>
    <t>Jump to E&amp;D scenario sheets to input OCS production schedules manually or import OECM scenario automatically.</t>
  </si>
  <si>
    <t>CHANGE IN PRODUCTION AND CONSUMPTION</t>
  </si>
  <si>
    <t>Baseline</t>
  </si>
  <si>
    <t>Simulation</t>
  </si>
  <si>
    <t>Change In Sector</t>
  </si>
  <si>
    <t>% Change In Sector</t>
  </si>
  <si>
    <t>OIL (million barrels)</t>
  </si>
  <si>
    <t>U.S. Consumption</t>
  </si>
  <si>
    <t>U.S. Production</t>
  </si>
  <si>
    <t>DEFINE SCENARIO PARAMETERS</t>
  </si>
  <si>
    <t xml:space="preserve">   Lower 48 onshore, biofuels, other</t>
  </si>
  <si>
    <t>Edit the scenario name and calculation parameters.</t>
  </si>
  <si>
    <t xml:space="preserve">   Lower 48 offshore</t>
  </si>
  <si>
    <t xml:space="preserve">   Alaska onshore</t>
  </si>
  <si>
    <t>Scenario name:</t>
  </si>
  <si>
    <t>GenericE&amp;DtemplateCIandGOA</t>
  </si>
  <si>
    <t xml:space="preserve">   Alaska offshore</t>
  </si>
  <si>
    <t>Scenario begin year:</t>
  </si>
  <si>
    <t>Net Imports</t>
  </si>
  <si>
    <t>Scenario end year:</t>
  </si>
  <si>
    <t>GAS (trillion cubic feet)</t>
  </si>
  <si>
    <t>Scenario length (years):</t>
  </si>
  <si>
    <t xml:space="preserve">NPV base year: </t>
  </si>
  <si>
    <t>Discount rate:</t>
  </si>
  <si>
    <t xml:space="preserve">   Lower 48 onshore and other</t>
  </si>
  <si>
    <t>Baseline prices in constant dollars of year:</t>
  </si>
  <si>
    <t>Inflation index:</t>
  </si>
  <si>
    <t>GDP Chain-type Price Index</t>
  </si>
  <si>
    <t>Display dollars in constant dollars of year:</t>
  </si>
  <si>
    <t>Natural gas barrel of oil equiv. in cubic ft.:</t>
  </si>
  <si>
    <t>COAL (million short tons)</t>
  </si>
  <si>
    <t>EQUILIBRATE ELECTRICITY MARKET</t>
  </si>
  <si>
    <t>Confirm that the AEO baseline electricity markets are in equilibrium.  Jump to electricity demand tab to solve imbalance.</t>
  </si>
  <si>
    <t>Net Exports</t>
  </si>
  <si>
    <t>ELECTRICITY (billion kilowatt hours)</t>
  </si>
  <si>
    <t>Baseline electricity markets are:</t>
  </si>
  <si>
    <t>AEO BASELINE ELECTRICITY DEMAND</t>
  </si>
  <si>
    <t>* AEO projections do not differentiate offshore and onshore gas production for Alaska.</t>
  </si>
  <si>
    <t>RUN MARKET SIMULATION</t>
  </si>
  <si>
    <t>Once all parameters and scenarios are entered, run market simulation to find fuel prices that clear all markets.</t>
  </si>
  <si>
    <t>Fuel</t>
  </si>
  <si>
    <t>ΔCS
($ million)</t>
  </si>
  <si>
    <t>OCS Oil &amp; Gas Prod. (MMBOE)</t>
  </si>
  <si>
    <t>ΔCS per
BOE</t>
  </si>
  <si>
    <t>OIL</t>
  </si>
  <si>
    <t>GAS</t>
  </si>
  <si>
    <t>ELECTRICITY</t>
  </si>
  <si>
    <t>COAL</t>
  </si>
  <si>
    <t>Scenario markets are:</t>
  </si>
  <si>
    <t>TOTAL</t>
  </si>
  <si>
    <t>DETAILED SIMULATION RESULTS</t>
  </si>
  <si>
    <t>Jump to Alaska Offshore Correction and Conversions →</t>
  </si>
  <si>
    <t>Production  Effects</t>
  </si>
  <si>
    <t>Substitution Effects</t>
  </si>
  <si>
    <t>Petroleum Export Details</t>
  </si>
  <si>
    <t>OCS Region</t>
  </si>
  <si>
    <t xml:space="preserve">Electricity </t>
  </si>
  <si>
    <t>Foregone offshore oil production (mmbbl)</t>
  </si>
  <si>
    <t>Export Category</t>
  </si>
  <si>
    <t>Exports
(millions of barrels)</t>
  </si>
  <si>
    <t>Foregone offshore gas (mmBOE)</t>
  </si>
  <si>
    <t>OIL (millions of barrels)</t>
  </si>
  <si>
    <t>Total foregone production (mmBOE)</t>
  </si>
  <si>
    <t>Change in Crude Oil Exports</t>
  </si>
  <si>
    <t>Conversion Factors</t>
  </si>
  <si>
    <t>Planning Area</t>
  </si>
  <si>
    <t>$ million</t>
  </si>
  <si>
    <t>OCS Oil (low and high estimates, respectively)</t>
  </si>
  <si>
    <t>ATL</t>
  </si>
  <si>
    <t>North Atlantic</t>
  </si>
  <si>
    <t>U.S. Onshore</t>
  </si>
  <si>
    <t>Change in Sector (mmBOE)</t>
  </si>
  <si>
    <t>Change as % of Foregone</t>
  </si>
  <si>
    <t>Non-OCS Oil (high and low estimates, respectively)</t>
  </si>
  <si>
    <t>Calculation</t>
  </si>
  <si>
    <t>Conversion Factor</t>
  </si>
  <si>
    <t>Source</t>
  </si>
  <si>
    <t>Mid-Atlantic</t>
  </si>
  <si>
    <t>Lower 48 Onshore (Tight)</t>
  </si>
  <si>
    <t>Convert Million Tons to Tons</t>
  </si>
  <si>
    <t>*</t>
  </si>
  <si>
    <t xml:space="preserve">http://www.eia.gov/forecasts/aeo/er/early_production.cfm </t>
  </si>
  <si>
    <t>South Atlantic</t>
  </si>
  <si>
    <t>Lower 48 Onshore (Conventional)</t>
  </si>
  <si>
    <t>Straits of Florida</t>
  </si>
  <si>
    <t>Alaska Onshore</t>
  </si>
  <si>
    <t>ONSHORE PRODUCTION</t>
  </si>
  <si>
    <t>Change in Refined Product Exports</t>
  </si>
  <si>
    <t>Convert Short Tons to BTU</t>
  </si>
  <si>
    <t>Whitney, G. , C.E. Behrens, and C. Glover, “U.S. Fossil Fuel Resources: Terminology, Reporting, and Summary,” CRS Report for Congress, R40872, Table 5 (Washington, DC: Congressional Research Service, Library of Congress, 30 October 2009), 17.</t>
  </si>
  <si>
    <t>GoM</t>
  </si>
  <si>
    <t>Eastern Gulf</t>
  </si>
  <si>
    <t>U.S. Offshore</t>
  </si>
  <si>
    <t xml:space="preserve">     Oil</t>
  </si>
  <si>
    <t xml:space="preserve">Derived from OCS Oil </t>
  </si>
  <si>
    <t>Convert BTU to BOE</t>
  </si>
  <si>
    <t>/</t>
  </si>
  <si>
    <t>Central Gulf</t>
  </si>
  <si>
    <t>Lower 48 Offshore</t>
  </si>
  <si>
    <t xml:space="preserve">     Natural Gas</t>
  </si>
  <si>
    <t>Derived from Non-OCS Oil</t>
  </si>
  <si>
    <t>Convert BOE to million BOE</t>
  </si>
  <si>
    <t>Western Gulf</t>
  </si>
  <si>
    <t>Alaska Offshore</t>
  </si>
  <si>
    <t>EXISTING OFFSHORE PRODUCTION</t>
  </si>
  <si>
    <t>Coal Conversion Factor</t>
  </si>
  <si>
    <t>Million BOE / Million Metric Tons</t>
  </si>
  <si>
    <t>PAC</t>
  </si>
  <si>
    <t>Southern California</t>
  </si>
  <si>
    <t>Biofuels</t>
  </si>
  <si>
    <t>Central California</t>
  </si>
  <si>
    <t>Other</t>
  </si>
  <si>
    <t>Northern California</t>
  </si>
  <si>
    <t>Rest of World</t>
  </si>
  <si>
    <t>IMPORTS</t>
  </si>
  <si>
    <t>Washington/Oregon</t>
  </si>
  <si>
    <t>Convert billion kWh to single units</t>
  </si>
  <si>
    <t>www.extension.iastate.edu/agdm/wholefarm/pdf/c6-86.pdf</t>
  </si>
  <si>
    <t>A L A S K A</t>
  </si>
  <si>
    <t>Gulf of Alaska</t>
  </si>
  <si>
    <t>Alaska Total (reflected in categories above)</t>
  </si>
  <si>
    <t>Convert kilowatt hour to BTU</t>
  </si>
  <si>
    <t>Cook Inlet</t>
  </si>
  <si>
    <t>OTHER</t>
  </si>
  <si>
    <t>Kodiak</t>
  </si>
  <si>
    <t xml:space="preserve">     Biofuels</t>
  </si>
  <si>
    <t>Shumagin</t>
  </si>
  <si>
    <t xml:space="preserve">     Other Oil</t>
  </si>
  <si>
    <t>Electricity Conversion Factor</t>
  </si>
  <si>
    <t>Million BOE / Billion kWh</t>
  </si>
  <si>
    <t>North Aleutian Basin</t>
  </si>
  <si>
    <t>Lower 48 Onshore</t>
  </si>
  <si>
    <t xml:space="preserve">     Other Natural Gas</t>
  </si>
  <si>
    <t>Aleutian Arc</t>
  </si>
  <si>
    <t>Conventional</t>
  </si>
  <si>
    <t>St. George Basin</t>
  </si>
  <si>
    <t>Unconventional</t>
  </si>
  <si>
    <t xml:space="preserve">     Domestic</t>
  </si>
  <si>
    <t>Sources</t>
  </si>
  <si>
    <t>St. Matthew Hall</t>
  </si>
  <si>
    <t xml:space="preserve">     Imported</t>
  </si>
  <si>
    <t>EIA. January 2012. AEO 2012 Early Release Overview. Accessed online March 2012 at &lt;http://www.eia.gov/forecasts/aeo/er/early_production.cfm&gt;.</t>
  </si>
  <si>
    <t>Bowers Basin</t>
  </si>
  <si>
    <t>Aleutian Basin</t>
  </si>
  <si>
    <t xml:space="preserve">     Nuclear</t>
  </si>
  <si>
    <t>Hofstrand, D. October 2008. Energy Measurements and Conversions. Iowa State University - University Extension. Accessed online March 2012 at &lt;www.extension.iastate.edu/agdm/wholefarm/pdf/c6-86.pdf&gt;.</t>
  </si>
  <si>
    <t>Navarin Basin</t>
  </si>
  <si>
    <t xml:space="preserve">     Hydro</t>
  </si>
  <si>
    <t>Norton Basin</t>
  </si>
  <si>
    <t xml:space="preserve">     Solar</t>
  </si>
  <si>
    <t>Hope Basin</t>
  </si>
  <si>
    <t>Total Imports</t>
  </si>
  <si>
    <t xml:space="preserve">     Wind Onshore</t>
  </si>
  <si>
    <t>Chukchi Sea</t>
  </si>
  <si>
    <t>Imports Pipeline</t>
  </si>
  <si>
    <t xml:space="preserve">     Wind Offshore</t>
  </si>
  <si>
    <t>Beaufort Sea</t>
  </si>
  <si>
    <t>Imports LNG</t>
  </si>
  <si>
    <t xml:space="preserve">     Other Electric</t>
  </si>
  <si>
    <t>TOTAL BENEFITS ($ million)</t>
  </si>
  <si>
    <t xml:space="preserve">     Imports</t>
  </si>
  <si>
    <t>REDUCED DEMAND</t>
  </si>
  <si>
    <t>OCS scenario total million barrels of oil equivalent</t>
  </si>
  <si>
    <t xml:space="preserve">     Coal</t>
  </si>
  <si>
    <t>Consumer Surplus Benefits per barrel of oil equivalent</t>
  </si>
  <si>
    <t xml:space="preserve">     Electricity</t>
  </si>
  <si>
    <t>Total Substitution</t>
  </si>
  <si>
    <t>Natural Gas</t>
  </si>
  <si>
    <t>Note: Coal, gas, and oil-fired electricity generation are not included as sub-categories under electricity because electricity produced from these fuels is reflected in the results reported for these fuels themselves.</t>
  </si>
  <si>
    <t>Discounted</t>
  </si>
  <si>
    <t>Net PS</t>
  </si>
  <si>
    <t>Nuclear</t>
  </si>
  <si>
    <t>Hydro</t>
  </si>
  <si>
    <t>Solar</t>
  </si>
  <si>
    <t>Wind Onshore</t>
  </si>
  <si>
    <t>Wind Offshore</t>
  </si>
  <si>
    <t>Other Electric</t>
  </si>
  <si>
    <t>Consumer Surplus Change from OCS Production by Year and Fuel</t>
  </si>
  <si>
    <t>Consumption Effects</t>
  </si>
  <si>
    <t>Year</t>
  </si>
  <si>
    <t xml:space="preserve">    Residential</t>
  </si>
  <si>
    <t xml:space="preserve">    Commercial</t>
  </si>
  <si>
    <t xml:space="preserve">    Industrial</t>
  </si>
  <si>
    <t xml:space="preserve">    Transport</t>
  </si>
  <si>
    <t xml:space="preserve">    Electric</t>
  </si>
  <si>
    <t>Total U.S. Demand</t>
  </si>
  <si>
    <t>Rest of World Demand</t>
  </si>
  <si>
    <t>U.S. Crude Oil</t>
  </si>
  <si>
    <t>U.S. Refined Petroleum Products</t>
  </si>
  <si>
    <t>Non-U.S. sources</t>
  </si>
  <si>
    <t>Exports</t>
  </si>
  <si>
    <t xml:space="preserve">    Other</t>
  </si>
  <si>
    <t>Residential</t>
  </si>
  <si>
    <t>Commercial</t>
  </si>
  <si>
    <t>Industrial</t>
  </si>
  <si>
    <t>Transport</t>
  </si>
  <si>
    <t>INFLATION INDICES</t>
  </si>
  <si>
    <t>Series</t>
  </si>
  <si>
    <t>CPI All-urban</t>
  </si>
  <si>
    <t>CPI Energy Commodities and Services</t>
  </si>
  <si>
    <t>User defined</t>
  </si>
  <si>
    <t>= 1.000</t>
  </si>
  <si>
    <t>1982-84</t>
  </si>
  <si>
    <t>Scenario</t>
  </si>
  <si>
    <t>AEO 2020-Special NEMS run</t>
  </si>
  <si>
    <t>Datekey</t>
  </si>
  <si>
    <t>BOEM_REF.0714b</t>
  </si>
  <si>
    <t>Release</t>
  </si>
  <si>
    <t>June 2020</t>
  </si>
  <si>
    <t>Table</t>
  </si>
  <si>
    <t>Summary Table 18 - 18. Macroeconomic Indicators</t>
  </si>
  <si>
    <t>Line</t>
  </si>
  <si>
    <t>Row Info.</t>
  </si>
  <si>
    <t>Consumer Price Index - All-urban</t>
  </si>
  <si>
    <t>Consumer Price Index - Energy Commodities and Services</t>
  </si>
  <si>
    <t>AEO BASELINE OIL SUPPLY PROJECTION</t>
  </si>
  <si>
    <t>Lower 48 Onshore (tight)</t>
  </si>
  <si>
    <t>Lower 48 Onshore (conventional)</t>
  </si>
  <si>
    <t>Total Supply</t>
  </si>
  <si>
    <t>Pipeline Share of Imports</t>
  </si>
  <si>
    <t>Alaska Total</t>
  </si>
  <si>
    <t>Other
(No adjustment)</t>
  </si>
  <si>
    <t>Total Supply
(No adjustment)</t>
  </si>
  <si>
    <t>Adjustment</t>
  </si>
  <si>
    <t>Forecast Supply</t>
  </si>
  <si>
    <r>
      <t>10</t>
    </r>
    <r>
      <rPr>
        <vertAlign val="superscript"/>
        <sz val="10"/>
        <color indexed="18"/>
        <rFont val="Trebuchet MS"/>
        <family val="2"/>
      </rPr>
      <t>6</t>
    </r>
    <r>
      <rPr>
        <sz val="10"/>
        <color indexed="18"/>
        <rFont val="Trebuchet MS"/>
        <family val="2"/>
      </rPr>
      <t xml:space="preserve"> barrels per day</t>
    </r>
  </si>
  <si>
    <t>%</t>
  </si>
  <si>
    <t>AEO 2023-Special NEMS run</t>
  </si>
  <si>
    <t>Row Sum</t>
  </si>
  <si>
    <t>Based on AEO 2023 Special NEMS Run and ratio derived from historical pipeline share of imports</t>
  </si>
  <si>
    <t>BOEM_REF2023.d032923b</t>
  </si>
  <si>
    <t>Reference Case</t>
  </si>
  <si>
    <t>April 2023</t>
  </si>
  <si>
    <t>May 2023</t>
  </si>
  <si>
    <t>Summary Table 14 - Oil and Gas Supply</t>
  </si>
  <si>
    <t>Summary Table 11 - Petroleum and Other Liquids Supply and Disposition</t>
  </si>
  <si>
    <t>Updated Col P Instead</t>
  </si>
  <si>
    <t>Summary Table 19 - 19. International Petroleum and Other Liquids Supply, Disposition, and Prices</t>
  </si>
  <si>
    <t>Table 11 and Special worksheet.  See notes below.</t>
  </si>
  <si>
    <t>table = sum, no update</t>
  </si>
  <si>
    <t>2114+2115</t>
  </si>
  <si>
    <t>2121+2122</t>
  </si>
  <si>
    <t>1650+1652+1654+1656+1658+1660</t>
  </si>
  <si>
    <t>As per update directions</t>
  </si>
  <si>
    <t>2665 - 2647</t>
  </si>
  <si>
    <t>1635 and other worksheets</t>
  </si>
  <si>
    <t>Annual sum of cells in Columns E and F</t>
  </si>
  <si>
    <t>1637+1645+1646+1647+1662+1663</t>
  </si>
  <si>
    <t>Lower 48 Onshore: Tight Oil</t>
  </si>
  <si>
    <t>Lower 48 Onshore (Non-tight): Lower 48 Onshore Total - Lower 48 Onshore: Tight Oil</t>
  </si>
  <si>
    <t>Alaska: Onshore</t>
  </si>
  <si>
    <t>Alaska: State Offshore + Federal Offshore</t>
  </si>
  <si>
    <t>Domestic Production (Ethanol) + Domestic Production (Biodiesel) + Domestic Production (Other Biomass-derived liquids) + Stock Withdrawal</t>
  </si>
  <si>
    <t>Total Petroleum Production - United States (50 states)</t>
  </si>
  <si>
    <t>Gross Imports * Ratio</t>
  </si>
  <si>
    <t>Alaska Onshore + Alaska Offshore</t>
  </si>
  <si>
    <t>Other Crude Supply + Refinery Processing Gain + Product Stock Withdrawal +  Natural Gas Plant Liquids + Liquids from Coal + Other</t>
  </si>
  <si>
    <t>Notes:  See file "2020 Pipeline Share of Imports Calculations" for data sources and methodology. File located at: J:\offhqshare\Econ Modeling\Env.Social Costs&amp;MktSim\2020 MarketSim Update_Internal\Pipeline Share of Imports files</t>
  </si>
  <si>
    <t>AEO BASELINE NATURAL GAS SUPPLY PROJECTION</t>
  </si>
  <si>
    <t>Lower 48
Conventional</t>
  </si>
  <si>
    <t>Lower 48
Unconventional</t>
  </si>
  <si>
    <t>Lower 48
Offshore</t>
  </si>
  <si>
    <t>Alaska
Onshore</t>
  </si>
  <si>
    <t>Alaska
Offshore</t>
  </si>
  <si>
    <t>Imports
Pipeline</t>
  </si>
  <si>
    <t>Imports
LNG</t>
  </si>
  <si>
    <r>
      <t>10</t>
    </r>
    <r>
      <rPr>
        <vertAlign val="superscript"/>
        <sz val="10"/>
        <color indexed="18"/>
        <rFont val="Trebuchet MS"/>
        <family val="2"/>
      </rPr>
      <t>12</t>
    </r>
    <r>
      <rPr>
        <sz val="10"/>
        <color indexed="18"/>
        <rFont val="Trebuchet MS"/>
        <family val="2"/>
      </rPr>
      <t xml:space="preserve"> cubic feet</t>
    </r>
  </si>
  <si>
    <t>No update (not in table)</t>
  </si>
  <si>
    <t>Summary Table 14</t>
  </si>
  <si>
    <t>Summary Table 76 - 76. Natural Gas Imports and Exports</t>
  </si>
  <si>
    <t>2139+2140+2141</t>
  </si>
  <si>
    <t>3982+3983</t>
  </si>
  <si>
    <t>3992+3988</t>
  </si>
  <si>
    <t>Lower 48 Onshore // Other</t>
  </si>
  <si>
    <t>Lower 48 Onshore: Tight Gas + Shale Gas and Tight Oil Plays + Coalbed Methane</t>
  </si>
  <si>
    <t>Alaska</t>
  </si>
  <si>
    <t>Supplemental Gas Supplies (tcf)</t>
  </si>
  <si>
    <t>Pipeline Imports from Canada + Pipeline Imports from Mexico</t>
  </si>
  <si>
    <t>Liquefied Natural Gas Imports</t>
  </si>
  <si>
    <t>No longer broken out into offshore and onshore.  There is a single row for Alaska (row 2146). Current methodology is to assume 100% onshore - placing 100% of EIA's reported Natural Gas supply for Alaska in the onshore column.</t>
  </si>
  <si>
    <t>AEO baseline electricity supply and demand are:</t>
  </si>
  <si>
    <t>AEO BASELINE ELECTRICITY SUPPLY PROJECTION</t>
  </si>
  <si>
    <t>Wind
Onshore</t>
  </si>
  <si>
    <t>Wind
Offshore</t>
  </si>
  <si>
    <t>Net imports</t>
  </si>
  <si>
    <r>
      <t>10</t>
    </r>
    <r>
      <rPr>
        <b/>
        <vertAlign val="superscript"/>
        <sz val="10"/>
        <color rgb="FF003366"/>
        <rFont val="Arial"/>
        <family val="2"/>
      </rPr>
      <t>9</t>
    </r>
    <r>
      <rPr>
        <b/>
        <sz val="10"/>
        <color rgb="FF003366"/>
        <rFont val="Arial"/>
        <family val="2"/>
      </rPr>
      <t xml:space="preserve"> </t>
    </r>
    <r>
      <rPr>
        <sz val="10"/>
        <color rgb="FF003366"/>
        <rFont val="Arial"/>
        <family val="2"/>
      </rPr>
      <t>kW h</t>
    </r>
  </si>
  <si>
    <t>Summary Table 8 - 8. Electricity Supply, Disposition, Prices, and Emissions</t>
  </si>
  <si>
    <t>Summary Table 16 - 16. Renewable Energy Generating Capacity and Generation</t>
  </si>
  <si>
    <t>Summary Table 8 - Summary Table 16</t>
  </si>
  <si>
    <t>1310+1319</t>
  </si>
  <si>
    <t>1311+1320</t>
  </si>
  <si>
    <t>1309+1318</t>
  </si>
  <si>
    <t>2374+2375</t>
  </si>
  <si>
    <t>(1313+1314+1315+1321)-(2368+2374+2375+2376+2377)</t>
  </si>
  <si>
    <t>Electric Power Sector: Power Only (Petroleum) + Combined Heat and Power (Petroleum)</t>
  </si>
  <si>
    <t>Electric Power Sector: Power Only (Natural Gas) + Combined Heat and Power (Natural Gas)</t>
  </si>
  <si>
    <t>Electric Power Sector: Power Only (Coal) + Combined Heat and Power (Coal)</t>
  </si>
  <si>
    <t>Electric Power Sector: Power Only (Nuclear)</t>
  </si>
  <si>
    <t>Electric Power Sector / Generation / Conventional Hydroelectric Power</t>
  </si>
  <si>
    <t>Electric Power Sector / Generation / Solar Thermal + Electric Power Sector / Generation / Solar Photovoltaic</t>
  </si>
  <si>
    <t>Electric Power Sector / Generation / Wind</t>
  </si>
  <si>
    <t>Electric Power Sector / Generation / Offshore Wind</t>
  </si>
  <si>
    <t>Sum of table 8 leftovers (Pumped Storage/Renewable/Distrbuted Generation/Renewable Sources) less sum of table 16</t>
  </si>
  <si>
    <t>AEO BASELINE COAL SUPPLY PROJECTION</t>
  </si>
  <si>
    <t>Domestic</t>
  </si>
  <si>
    <t>Imports</t>
  </si>
  <si>
    <r>
      <t>10</t>
    </r>
    <r>
      <rPr>
        <vertAlign val="superscript"/>
        <sz val="10"/>
        <color indexed="18"/>
        <rFont val="Trebuchet MS"/>
        <family val="2"/>
      </rPr>
      <t>6</t>
    </r>
    <r>
      <rPr>
        <sz val="10"/>
        <color indexed="18"/>
        <rFont val="Trebuchet MS"/>
        <family val="2"/>
      </rPr>
      <t xml:space="preserve"> short tons</t>
    </r>
  </si>
  <si>
    <t>Summary Table 15</t>
  </si>
  <si>
    <t>2262+2264</t>
  </si>
  <si>
    <t>Production 1/ Total + Waste Coal Supplied 2/</t>
  </si>
  <si>
    <t>Imports 3/</t>
  </si>
  <si>
    <t>AEO BASELINE OIL DEMAND PROJECTION</t>
  </si>
  <si>
    <t>Electric</t>
  </si>
  <si>
    <t>Rest of World
(U.S. Crude Oil)</t>
  </si>
  <si>
    <t>Rest of World
(U.S. Refined Products)</t>
  </si>
  <si>
    <t>Rest of World
(non-U.S. Sources)</t>
  </si>
  <si>
    <t>Total Demand</t>
  </si>
  <si>
    <t>Rest of World
(Total)</t>
  </si>
  <si>
    <t>Sum of ROW components</t>
  </si>
  <si>
    <t>Summary Table 11 (Summary Table 2)</t>
  </si>
  <si>
    <t>Summary Table 11</t>
  </si>
  <si>
    <t>Summary Tables 11 and 19</t>
  </si>
  <si>
    <t>1679 Multiplied by Ratio of 183 (Residential) :: 197 (Commercial), aka 1679 * (183/(183+197))</t>
  </si>
  <si>
    <t>1679 Multiplied by Ratio of 183 (Residential) :: 197 (Commercial), aka 1679 * (197/(183+197))</t>
  </si>
  <si>
    <t>1680</t>
  </si>
  <si>
    <t>1681</t>
  </si>
  <si>
    <t>1682</t>
  </si>
  <si>
    <t>1636</t>
  </si>
  <si>
    <t>1644</t>
  </si>
  <si>
    <t>(2636-2615-2616)-1636-1644</t>
  </si>
  <si>
    <t>Residential and Commercial (Petroleum and Other Liquids Subtotal)</t>
  </si>
  <si>
    <t>Industrial 14/</t>
  </si>
  <si>
    <t>Transportation</t>
  </si>
  <si>
    <t>Electric Power 15/</t>
  </si>
  <si>
    <t>Crude Oil // Exports</t>
  </si>
  <si>
    <t>Net Product Imports // Exports</t>
  </si>
  <si>
    <t>"Total Liquids Consumption" - "United States (50 states)" - "United States Territories" - ROW US Crude in column H - ROW US refined products in column I</t>
  </si>
  <si>
    <t>AEO BASELINE NATURAL GAS DEMAND PROJECTION</t>
  </si>
  <si>
    <t>Summary Table 13</t>
  </si>
  <si>
    <t xml:space="preserve">Summary Table 13
Summary Table 76 (Natural Gas Imports and Exports)
</t>
  </si>
  <si>
    <t>1994+1995</t>
  </si>
  <si>
    <t>2002+2004</t>
  </si>
  <si>
    <t>1996+3985</t>
  </si>
  <si>
    <t>Industrial 4/ minus Fuel Used to Liquefry Gas for Export 6/</t>
  </si>
  <si>
    <t>Transportation 8/</t>
  </si>
  <si>
    <t>Electric Power 9/ + Discrepancy 10/</t>
  </si>
  <si>
    <t>Fuel Used to Liquefry Gas for Export 6/ + Exports</t>
  </si>
  <si>
    <t>Equilibration notes</t>
  </si>
  <si>
    <t>AEO BASELINE ELECTRICITY DEMAND PROJECTION</t>
  </si>
  <si>
    <t>Display as:</t>
  </si>
  <si>
    <r>
      <t>10</t>
    </r>
    <r>
      <rPr>
        <b/>
        <vertAlign val="superscript"/>
        <sz val="10"/>
        <color indexed="8"/>
        <rFont val="Arial"/>
        <family val="2"/>
      </rPr>
      <t>9</t>
    </r>
    <r>
      <rPr>
        <b/>
        <sz val="10"/>
        <color indexed="8"/>
        <rFont val="Arial"/>
        <family val="2"/>
      </rPr>
      <t xml:space="preserve"> </t>
    </r>
    <r>
      <rPr>
        <sz val="10"/>
        <color indexed="8"/>
        <rFont val="Arial"/>
        <family val="2"/>
      </rPr>
      <t>kW h</t>
    </r>
  </si>
  <si>
    <t>Paste values here. Table at left is calculated automatically.</t>
  </si>
  <si>
    <t>Scenario*</t>
  </si>
  <si>
    <t>Datekey*</t>
  </si>
  <si>
    <t>Release*</t>
  </si>
  <si>
    <t>Table*</t>
  </si>
  <si>
    <t>Summary Table 8</t>
  </si>
  <si>
    <t>Line*</t>
  </si>
  <si>
    <t>Row Info.*</t>
  </si>
  <si>
    <t>Direct Use</t>
  </si>
  <si>
    <t>* Equilibrium Calculated Data are not NEMS output values.  Above sources are only valid for AEO Baseline Data (at right in Columns L through P).</t>
  </si>
  <si>
    <t xml:space="preserve">  Equilibrium Calculated Data are electricity demand quantities from NEMS output that have been adjusted by proportionately </t>
  </si>
  <si>
    <t xml:space="preserve">  allocating the disparity between electricity supply and demand quantities over the various submarkets of electricity demand.</t>
  </si>
  <si>
    <t>AEO BASELINE COAL DEMAND PROJECTION</t>
  </si>
  <si>
    <t>2275+2276</t>
  </si>
  <si>
    <t>2274+2277+2278+2282</t>
  </si>
  <si>
    <t>Coke Plants + Other Industrial 5/</t>
  </si>
  <si>
    <t>Electric Power 6/</t>
  </si>
  <si>
    <t>Commercial and Institutional + Coal-to-Liquids Heat and Power + Coal to Liquids Production + Discrepancy and Stock Change</t>
  </si>
  <si>
    <t>OIL SUPPLY SIMULATION</t>
  </si>
  <si>
    <t>Pipeline Share of Imports*</t>
  </si>
  <si>
    <t>* All pipeline imports are assumed to be of Canadian origin.</t>
  </si>
  <si>
    <t>NATURAL GAS SUPPLY SIMULATION</t>
  </si>
  <si>
    <t>ELECTRICITY SUPPLY SIMULATION</t>
  </si>
  <si>
    <t>COAL SUPPLY SIMULATION</t>
  </si>
  <si>
    <t>DATA TO SUPPORT ESTIMATION OF REFINED PRODUCT EXPORTS DERIVED FROM OCS OIL</t>
  </si>
  <si>
    <t>Data Element</t>
  </si>
  <si>
    <t>Value</t>
  </si>
  <si>
    <t>Offshore Crude Oil Production in the U.S. (millions of barrels)</t>
  </si>
  <si>
    <t>Onshore Crude Oil Production (millions of barrels)</t>
  </si>
  <si>
    <t>Net Imports of Crude Oil (millions of barrels)</t>
  </si>
  <si>
    <t>OCS Crude Oil's Share of U.S. Refinery Feedstock</t>
  </si>
  <si>
    <t>Yes</t>
  </si>
  <si>
    <t>No</t>
  </si>
  <si>
    <t>U.S. CRUDE OIL PRODUCTION AND IMPORTS BY API GRAVITY CATEGORY</t>
  </si>
  <si>
    <t>API Gravity Category</t>
  </si>
  <si>
    <t>Total Imports (thousands of Barrels)</t>
  </si>
  <si>
    <t>Production (thousands of barrels)</t>
  </si>
  <si>
    <t>Total (thousands of barrels)</t>
  </si>
  <si>
    <t>Imports as % of Total</t>
  </si>
  <si>
    <t>Export?
(user entered)</t>
  </si>
  <si>
    <t>If Exported, Percent Exported: Low</t>
  </si>
  <si>
    <t>If Exported, Percent Exported: High</t>
  </si>
  <si>
    <t>Heavy</t>
  </si>
  <si>
    <t>Medium</t>
  </si>
  <si>
    <t>Light</t>
  </si>
  <si>
    <t>Total</t>
  </si>
  <si>
    <t>Not applicable</t>
  </si>
  <si>
    <t>Data Sources: Import data presented here are derived from EIA, Company Level Imports, https://www.eia.gov/petroleum/imports/browser/#/?gg=i&amp;vs=PET_IMPORTS.WORLD-US-LSW.A. They are the 2019 data.  Production data by API gravity category derived from EIA, U.S. Crude Oil Projections to 2025: Updated Projection of Crude Types, May 28, 2015.</t>
  </si>
  <si>
    <r>
      <rPr>
        <b/>
        <i/>
        <sz val="10"/>
        <color indexed="8"/>
        <rFont val="Trebuchet MS"/>
        <family val="2"/>
      </rPr>
      <t>Note - Consistent with EIA data, API Gravity categories defined as follows:</t>
    </r>
    <r>
      <rPr>
        <sz val="10"/>
        <color indexed="8"/>
        <rFont val="Trebuchet MS"/>
        <family val="2"/>
      </rPr>
      <t xml:space="preserve">
Heavy: API Gravity&lt;27
Medium: API Gravity &gt;=27 but &lt;35
Light: API Gravity&gt;=35</t>
    </r>
  </si>
  <si>
    <t>DISTRIBUTION OF OCS OIL ACROSS API GRAVITY CATEGORIES</t>
  </si>
  <si>
    <t>Atlantic Region</t>
  </si>
  <si>
    <t>Gulf Of Mexico Region</t>
  </si>
  <si>
    <t>Pacific Region</t>
  </si>
  <si>
    <t>Alaska Region</t>
  </si>
  <si>
    <t>Washington
Oregon</t>
  </si>
  <si>
    <t>API Gravity</t>
  </si>
  <si>
    <t>% of Oil</t>
  </si>
  <si>
    <t>Heavy*</t>
  </si>
  <si>
    <t>Medium*</t>
  </si>
  <si>
    <t>Light*</t>
  </si>
  <si>
    <r>
      <rPr>
        <b/>
        <i/>
        <sz val="9"/>
        <color indexed="8"/>
        <rFont val="Trebuchet MS"/>
        <family val="2"/>
      </rPr>
      <t>Note - Consistent with EIA data, API Gravity categories defined as follows:</t>
    </r>
    <r>
      <rPr>
        <b/>
        <sz val="9"/>
        <color indexed="8"/>
        <rFont val="Trebuchet MS"/>
        <family val="2"/>
      </rPr>
      <t xml:space="preserve">
Heavy: API Gravity&lt;27
Medium: API Gravity &gt;=27 but &lt;35
Light: API Gravity&gt;=35</t>
    </r>
  </si>
  <si>
    <t>CALCULATION OF CRUDE OIL EXPORTS</t>
  </si>
  <si>
    <t>Low</t>
  </si>
  <si>
    <t>High</t>
  </si>
  <si>
    <t>Display</t>
  </si>
  <si>
    <t>Year OECM</t>
  </si>
  <si>
    <t>MarketSim Year</t>
  </si>
  <si>
    <t>OCS OIL SIMULATION PRODUCTION</t>
  </si>
  <si>
    <t xml:space="preserve">Scenario name: </t>
  </si>
  <si>
    <t>OCS GAS SIMULATION PRODUCTION</t>
  </si>
  <si>
    <r>
      <t>10</t>
    </r>
    <r>
      <rPr>
        <vertAlign val="superscript"/>
        <sz val="10"/>
        <color indexed="18"/>
        <rFont val="Trebuchet MS"/>
        <family val="2"/>
      </rPr>
      <t>12</t>
    </r>
    <r>
      <rPr>
        <sz val="10"/>
        <color indexed="18"/>
        <rFont val="Trebuchet MS"/>
        <family val="2"/>
      </rPr>
      <t xml:space="preserve"> cubic
feet</t>
    </r>
  </si>
  <si>
    <t>PERCENTAGE OF TOTAL BARREL OIL EQUIVALENT OCS PRODUCTION BY PLANNING AREA</t>
  </si>
  <si>
    <t>% of BOE</t>
  </si>
  <si>
    <t>OIL DEMAND SIMULATION</t>
  </si>
  <si>
    <t>NATURAL GAS DEMAND SIMULATION</t>
  </si>
  <si>
    <t>ELECTRICITY DEMAND SIMULATION</t>
  </si>
  <si>
    <t>AEO COAL DEMAND PROJECTION</t>
  </si>
  <si>
    <t>OIL DEMAND ELASTICITIES</t>
  </si>
  <si>
    <t>LONG RUN OWN PRICE ELASTICITY</t>
  </si>
  <si>
    <t>Rest of World
(non-U.S. Oil)</t>
  </si>
  <si>
    <t>Note: The electricity sector's demand for oil is based on an identity for supply produced by oil.  The model therefore requires no demand elasticity for oil.</t>
  </si>
  <si>
    <t>CROSS PRICE ELASTICITY</t>
  </si>
  <si>
    <t>LONG RUN PRICE ELASTICITY SOURCES</t>
  </si>
  <si>
    <t>CROSS PRICE ELASTICITY SOURCES</t>
  </si>
  <si>
    <t>NATURAL GAS DEMAND ELASTICITIES</t>
  </si>
  <si>
    <t>LONG RUN PRICE ELASTICITY</t>
  </si>
  <si>
    <t>Note: The electricity sector's demand for gas is based on an identity for supply produced by gas.  The model therefore requires no demand elasticity for gas.</t>
  </si>
  <si>
    <t>ELECTRICITY DEMAND ELASTICITIES</t>
  </si>
  <si>
    <t>COAL DEMAND ELASTICITIES</t>
  </si>
  <si>
    <t>Note: The electricity sector's demand for coal is based on an identity for supply produced by coal.  The model therefore requires no demand elasticity for coal.</t>
  </si>
  <si>
    <t>CROSS PRICE SOURCES</t>
  </si>
  <si>
    <t>NAMED RANGES -- DO NOT SORT!</t>
  </si>
  <si>
    <t>DEFAULT OWN PRICE DEMAND ELASTICITIES</t>
  </si>
  <si>
    <t>Sector</t>
  </si>
  <si>
    <t>Range name</t>
  </si>
  <si>
    <t>Source range name</t>
  </si>
  <si>
    <t>def_dem_oil_res</t>
  </si>
  <si>
    <t>Serletis et al 2010</t>
  </si>
  <si>
    <t>def_dem_oil_com</t>
  </si>
  <si>
    <t>def_dem_oil_ind</t>
  </si>
  <si>
    <t>Jones (2014)</t>
  </si>
  <si>
    <t>def_dem_oil_tra</t>
  </si>
  <si>
    <t>Dahl (2012)</t>
  </si>
  <si>
    <t>Rest of World (U.S. Crude Oil)</t>
  </si>
  <si>
    <t>def_dem_oil_row_crude</t>
  </si>
  <si>
    <t>Huntington et al (2019)</t>
  </si>
  <si>
    <t>Rest of World (U.S. Refined Products)</t>
  </si>
  <si>
    <t>def_dem_oil_row_ref</t>
  </si>
  <si>
    <t>Rest of World (non-U.S. Oil)</t>
  </si>
  <si>
    <t>def_dem_oil_row_non_us</t>
  </si>
  <si>
    <t>def_dem_gas_res</t>
  </si>
  <si>
    <t>def_dem_gas_com</t>
  </si>
  <si>
    <t>def_dem_gas_ind</t>
  </si>
  <si>
    <t>def_dem_gas_tra</t>
  </si>
  <si>
    <t>Assumed value</t>
  </si>
  <si>
    <t>def_dem_gas_exp</t>
  </si>
  <si>
    <t>Dahl (2010)</t>
  </si>
  <si>
    <t>def_dem_ele_res</t>
  </si>
  <si>
    <t>def_dem_ele_com</t>
  </si>
  <si>
    <t>def_dem_ele_ind</t>
  </si>
  <si>
    <t>def_dem_ele_tra</t>
  </si>
  <si>
    <t>def_dem_ele_oth</t>
  </si>
  <si>
    <t>Average of res., com., and ind.</t>
  </si>
  <si>
    <t>def_dem_coa_exp</t>
  </si>
  <si>
    <t>def_dem_coa_oth</t>
  </si>
  <si>
    <t>def_dem_coa_ind</t>
  </si>
  <si>
    <t>DEFAULT OWN PRICE SUPPLY ELASTICITIES</t>
  </si>
  <si>
    <t>Imports from Canada</t>
  </si>
  <si>
    <t>def_sup_oil_can</t>
  </si>
  <si>
    <t>Expert input from Blumsak, Mason, &amp; Roberts</t>
  </si>
  <si>
    <t>sou_sup_oil_can</t>
  </si>
  <si>
    <t>def_sup_oil_row</t>
  </si>
  <si>
    <t>Biofuel</t>
  </si>
  <si>
    <t>def_sup_oil_bio</t>
  </si>
  <si>
    <t>Luchansky and Monks (2009)</t>
  </si>
  <si>
    <t>def_sup_oil_ala_on</t>
  </si>
  <si>
    <t>Derived from specialized NEMS runs 2023</t>
  </si>
  <si>
    <t>def_sup_oil_ala_off</t>
  </si>
  <si>
    <t>Lower 48 (Conventional)</t>
  </si>
  <si>
    <t>def_sup_oil_l48</t>
  </si>
  <si>
    <t>Newell &amp; Prest (2019)</t>
  </si>
  <si>
    <t>Offshore</t>
  </si>
  <si>
    <t>def_sup_oil_off</t>
  </si>
  <si>
    <t>def_sup_oil_oth</t>
  </si>
  <si>
    <t>Lower 48 (Tight)</t>
  </si>
  <si>
    <t>def_sup_oil_l48_t</t>
  </si>
  <si>
    <t>Imports pipeline</t>
  </si>
  <si>
    <t>def_sup_gas_pip</t>
  </si>
  <si>
    <t>def_sup_gas_lng</t>
  </si>
  <si>
    <t>def_sup_gas_ala_on</t>
  </si>
  <si>
    <t>def_sup_gas_ala_off</t>
  </si>
  <si>
    <t>def_sup_gas_con</t>
  </si>
  <si>
    <t>Newell, Prest &amp; Vissing (2019)</t>
  </si>
  <si>
    <t>def_sup_gas_off</t>
  </si>
  <si>
    <t>Assumed to be same as Offshore Oil</t>
  </si>
  <si>
    <t>def_sup_gas_oth</t>
  </si>
  <si>
    <t>Brown 1998*</t>
  </si>
  <si>
    <t>def_sup_gas_unc</t>
  </si>
  <si>
    <t>def_sup_ele_coa</t>
  </si>
  <si>
    <t>Derived from AEO 2018</t>
  </si>
  <si>
    <t>def_sup_ele_gas</t>
  </si>
  <si>
    <t>Derived from AEO 2020</t>
  </si>
  <si>
    <t>def_sup_ele_hyd</t>
  </si>
  <si>
    <t>def_sup_ele_imp</t>
  </si>
  <si>
    <t>def_sup_ele_nuc</t>
  </si>
  <si>
    <t>def_sup_ele_oil</t>
  </si>
  <si>
    <t>Renewables non-hyd</t>
  </si>
  <si>
    <t>def_sup_ele_rnh</t>
  </si>
  <si>
    <t>def_sup_ele_sol</t>
  </si>
  <si>
    <t>Wind offshore</t>
  </si>
  <si>
    <t>def_sup_ele_wof</t>
  </si>
  <si>
    <t>Wind onshore</t>
  </si>
  <si>
    <t>def_sup_ele_won</t>
  </si>
  <si>
    <t>def_sup_coa_dom</t>
  </si>
  <si>
    <t>NEMS 2019 Reference Case supplemental data provided to DOI by EIA.</t>
  </si>
  <si>
    <t>def_sup_coa_imp</t>
  </si>
  <si>
    <t>Derived from AEO 2023</t>
  </si>
  <si>
    <t>DEFAULT CROSS PRICE DEMAND ELASTICITIES</t>
  </si>
  <si>
    <t>Elasticity of</t>
  </si>
  <si>
    <t>With respect to</t>
  </si>
  <si>
    <t>def_oil_res_gas</t>
  </si>
  <si>
    <t>Newell and Pizer (2008)</t>
  </si>
  <si>
    <t>def_oil_com_gas</t>
  </si>
  <si>
    <t>def_oil_ind_gas</t>
  </si>
  <si>
    <t>def_oil_tra_gas</t>
  </si>
  <si>
    <t>def_oil_res_ele</t>
  </si>
  <si>
    <t>Serletis et al. (2010)</t>
  </si>
  <si>
    <t>def_oil_com_ele</t>
  </si>
  <si>
    <t>def_oil_ind_ele</t>
  </si>
  <si>
    <t>def_oil_tra_ele</t>
  </si>
  <si>
    <t>def_oil_ind_coa</t>
  </si>
  <si>
    <t>def_gas_res_oil</t>
  </si>
  <si>
    <t>def_gas_com_oil</t>
  </si>
  <si>
    <t>def_gas_ind_oil</t>
  </si>
  <si>
    <t>def_gas_tra_oil</t>
  </si>
  <si>
    <t>def_gas_res_ele</t>
  </si>
  <si>
    <t>def_gas_com_ele</t>
  </si>
  <si>
    <t>def_gas_ind_ele</t>
  </si>
  <si>
    <t>def_gas_tra_ele</t>
  </si>
  <si>
    <t>def_gas_ind_coa</t>
  </si>
  <si>
    <t>def_ele_res_oil</t>
  </si>
  <si>
    <t>def_ele_com_oil</t>
  </si>
  <si>
    <t>def_ele_ind_oil</t>
  </si>
  <si>
    <t>def_ele_tra_oil</t>
  </si>
  <si>
    <t>def_ele_res_gas</t>
  </si>
  <si>
    <t>def_ele_com_gas</t>
  </si>
  <si>
    <t>def_ele_ind_gas</t>
  </si>
  <si>
    <t>def_ele_tra_gas</t>
  </si>
  <si>
    <t>def_ele_ind_coa</t>
  </si>
  <si>
    <t>def_ele_oth_coa</t>
  </si>
  <si>
    <t>def_ele_oth_oil</t>
  </si>
  <si>
    <t>def_ele_oth_gas</t>
  </si>
  <si>
    <t>def_coa_oth_oil</t>
  </si>
  <si>
    <t>def_coa_oth_gas</t>
  </si>
  <si>
    <t>def_coa_ind_oil</t>
  </si>
  <si>
    <t>def_coa_ind_gas</t>
  </si>
  <si>
    <t>def_coa_ind_ele</t>
  </si>
  <si>
    <t>def_coa_oth_ele</t>
  </si>
  <si>
    <t>sou_coa_oth_ele</t>
  </si>
  <si>
    <t>DEFAULT ADJUSTMENT RATES</t>
  </si>
  <si>
    <t>Demand Adjustment Rates</t>
  </si>
  <si>
    <t>Export</t>
  </si>
  <si>
    <t>def_g_dem_coa_exp</t>
  </si>
  <si>
    <t>Assumed same as industrial</t>
  </si>
  <si>
    <t>sou_g_dem_coa_exp</t>
  </si>
  <si>
    <t>def_g_dem_coa_ind</t>
  </si>
  <si>
    <t>IEA</t>
  </si>
  <si>
    <t>sou_g_dem_coa_ind</t>
  </si>
  <si>
    <t>def_g_dem_coa_oth</t>
  </si>
  <si>
    <t>sou_g_dem_coa_oth</t>
  </si>
  <si>
    <t>def_g_dem_ele_com</t>
  </si>
  <si>
    <t>Expert input from Dr. Stephen Brown</t>
  </si>
  <si>
    <t>sou_g_dem_ele_com</t>
  </si>
  <si>
    <t>def_g_dem_ele_ind</t>
  </si>
  <si>
    <t>sou_g_dem_ele_ind</t>
  </si>
  <si>
    <t>def_g_dem_ele_oth</t>
  </si>
  <si>
    <t>sou_g_dem_ele_oth</t>
  </si>
  <si>
    <t>def_g_dem_ele_res</t>
  </si>
  <si>
    <t>sou_g_dem_ele_res</t>
  </si>
  <si>
    <t>def_g_dem_ele_tra</t>
  </si>
  <si>
    <t>sou_g_dem_ele_tra</t>
  </si>
  <si>
    <t>def_g_dem_gas_com</t>
  </si>
  <si>
    <t>EIA (2018)</t>
  </si>
  <si>
    <t>sou_g_dem_gas_com</t>
  </si>
  <si>
    <t>def_g_dem_gas_exp</t>
  </si>
  <si>
    <t>sou_g_dem_gas_exp</t>
  </si>
  <si>
    <t>def_g_dem_gas_ind</t>
  </si>
  <si>
    <t>sou_g_dem_gas_ind</t>
  </si>
  <si>
    <t>def_g_dem_gas_res</t>
  </si>
  <si>
    <t>sou_g_dem_gas_res</t>
  </si>
  <si>
    <t>def_g_dem_gas_tra</t>
  </si>
  <si>
    <t>EIA, Scott Institute</t>
  </si>
  <si>
    <t>sou_g_dem_gas_tra</t>
  </si>
  <si>
    <t>def_g_dem_oil_com</t>
  </si>
  <si>
    <t>EIA</t>
  </si>
  <si>
    <t>sou_g_dem_oil_com</t>
  </si>
  <si>
    <t>def_g_dem_oil_ind</t>
  </si>
  <si>
    <t>sou_g_dem_oil_ind</t>
  </si>
  <si>
    <t>def_g_dem_oil_res</t>
  </si>
  <si>
    <t>sou_g_dem_oil_res</t>
  </si>
  <si>
    <t>def_g_dem_oil_row_crude</t>
  </si>
  <si>
    <t>Assume same as transportation</t>
  </si>
  <si>
    <t>sou_g_dem_oil_row_crude</t>
  </si>
  <si>
    <t>def_g_dem_oil_row_ref</t>
  </si>
  <si>
    <t>sou_g_dem_oil_row_ref</t>
  </si>
  <si>
    <t>def_g_dem_oil_row_non_us</t>
  </si>
  <si>
    <t>sou_g_dem_oil_row_non_us</t>
  </si>
  <si>
    <t>def_g_dem_oil_tra</t>
  </si>
  <si>
    <t>BTS</t>
  </si>
  <si>
    <t>sou_g_dem_oil_tra</t>
  </si>
  <si>
    <t>Supply Adjustment Rates</t>
  </si>
  <si>
    <t>def_g_sup_ele_coa</t>
  </si>
  <si>
    <t>USDOE and NETL</t>
  </si>
  <si>
    <t>sou_g_sup_ele_coa</t>
  </si>
  <si>
    <t>def_g_sup_ele_gas</t>
  </si>
  <si>
    <t>sou_g_sup_ele_gas</t>
  </si>
  <si>
    <t>def_g_sup_ele_hyd</t>
  </si>
  <si>
    <t>USGS</t>
  </si>
  <si>
    <t>sou_g_sup_ele_hyd</t>
  </si>
  <si>
    <t>def_g_sup_ele_imp</t>
  </si>
  <si>
    <t>Average (excluding solar, wind)</t>
  </si>
  <si>
    <t>sou_g_sup_ele_imp</t>
  </si>
  <si>
    <t>def_g_sup_ele_nuc</t>
  </si>
  <si>
    <t>USDOE</t>
  </si>
  <si>
    <t>sou_g_sup_ele_nuc</t>
  </si>
  <si>
    <t>def_g_sup_ele_oil</t>
  </si>
  <si>
    <t>sou_g_sup_ele_oil</t>
  </si>
  <si>
    <t>def_g_sup_ele_oth</t>
  </si>
  <si>
    <t>Average</t>
  </si>
  <si>
    <t>sou_g_sup_ele_oth</t>
  </si>
  <si>
    <t>def_g_sup_ele_sol</t>
  </si>
  <si>
    <t>Jordan &amp; Kurtz (2012)</t>
  </si>
  <si>
    <t>sou_g_sup_ele_sol</t>
  </si>
  <si>
    <t>Wind (offshore)</t>
  </si>
  <si>
    <t>def_g_sup_ele_wof</t>
  </si>
  <si>
    <t>AWEA, DOE</t>
  </si>
  <si>
    <t>sou_g_sup_ele_wof</t>
  </si>
  <si>
    <t>Wind (onshore)</t>
  </si>
  <si>
    <t>def_g_sup_ele_won</t>
  </si>
  <si>
    <t>sou_g_sup_ele_won</t>
  </si>
  <si>
    <t>def_g_sup_gas_ala_on</t>
  </si>
  <si>
    <t>Assumed same as conventional gas</t>
  </si>
  <si>
    <t>sou_g_sup_gas_ala_on</t>
  </si>
  <si>
    <t>def_g_sup_gas_ala_off</t>
  </si>
  <si>
    <t>sou_g_sup_gas_ala_off</t>
  </si>
  <si>
    <t>def_g_sup_gas_con</t>
  </si>
  <si>
    <t>Encana as cited by NPS</t>
  </si>
  <si>
    <t>sou_g_sup_gas_con</t>
  </si>
  <si>
    <t>LNG</t>
  </si>
  <si>
    <t>def_g_sup_gas_lng</t>
  </si>
  <si>
    <t>sou_g_sup_gas_lng</t>
  </si>
  <si>
    <t>def_g_sup_gas_off</t>
  </si>
  <si>
    <t>sou_g_sup_gas_off</t>
  </si>
  <si>
    <t>def_g_sup_gas_oth</t>
  </si>
  <si>
    <t>sou_g_sup_gas_oth</t>
  </si>
  <si>
    <t>Imports (pipeline)</t>
  </si>
  <si>
    <t>def_g_sup_gas_pip</t>
  </si>
  <si>
    <t>sou_g_sup_gas_pip</t>
  </si>
  <si>
    <t>def_g_sup_gas_unc</t>
  </si>
  <si>
    <t>sou_g_sup_gas_unc</t>
  </si>
  <si>
    <t>def_g_sup_oil_ala_on</t>
  </si>
  <si>
    <t>sou_g_sup_oil_ala_on</t>
  </si>
  <si>
    <t>def_g_sup_oil_ala_off</t>
  </si>
  <si>
    <t>sou_g_sup_oil_ala_off</t>
  </si>
  <si>
    <t>def_g_sup_oil_bio</t>
  </si>
  <si>
    <t>sou_g_sup_oil_bio</t>
  </si>
  <si>
    <t>Lower 48 onshore (conventional)</t>
  </si>
  <si>
    <t>def_g_sup_oil_l48</t>
  </si>
  <si>
    <t>sou_g_sup_oil_l48</t>
  </si>
  <si>
    <t>Lower 48 offshore</t>
  </si>
  <si>
    <t>def_g_sup_oil_off</t>
  </si>
  <si>
    <t>sou_g_sup_oil_off</t>
  </si>
  <si>
    <t>def_g_sup_oil_oth</t>
  </si>
  <si>
    <t>sou_g_sup_oil_oth</t>
  </si>
  <si>
    <t>def_g_sup_oil_row</t>
  </si>
  <si>
    <t>sou_g_sup_oil_row</t>
  </si>
  <si>
    <t>Pipeline Imports from Canada</t>
  </si>
  <si>
    <t>def_g_sup_oil_can</t>
  </si>
  <si>
    <t>Assumed same as other oil categories</t>
  </si>
  <si>
    <t>sou_g_sup_oil_can</t>
  </si>
  <si>
    <t>def_g_sup_coa_dom</t>
  </si>
  <si>
    <t>sou_g_sup_coa_dom</t>
  </si>
  <si>
    <t>def_g_sup_coa_imp</t>
  </si>
  <si>
    <t>sou_g_sup_coa_imp</t>
  </si>
  <si>
    <t>Lower 48 onshore (tight)</t>
  </si>
  <si>
    <t>def_g_sup_oil_l48_t</t>
  </si>
  <si>
    <t>sou_g_sup_oil_l48_t</t>
  </si>
  <si>
    <t>OIL SUPPLY ELASTICITIES</t>
  </si>
  <si>
    <t>Biodiesel</t>
  </si>
  <si>
    <t>Canadian Pipeline Imports</t>
  </si>
  <si>
    <t>*These elasticity values are identical and are for US domestic crude production.</t>
  </si>
  <si>
    <t>NATURAL GAS SUPPLY ELASTICITIES</t>
  </si>
  <si>
    <t>Lower 48 Conventional</t>
  </si>
  <si>
    <t>Lower 48 Unconventional</t>
  </si>
  <si>
    <t>ELECTRICITY SUPPLY ELASTICITIES</t>
  </si>
  <si>
    <t>COAL SUPPLY ELASTICITIES</t>
  </si>
  <si>
    <t>CHANGE IN CONSUMER SURPLUS</t>
  </si>
  <si>
    <t xml:space="preserve">Oil </t>
  </si>
  <si>
    <t>TOTAL ΔCS^</t>
  </si>
  <si>
    <t>TOTAL OIL ΔCS^</t>
  </si>
  <si>
    <t>TOTAL OIL ΔCS^ NET PS</t>
  </si>
  <si>
    <t>TOTAL GAS ΔCS^</t>
  </si>
  <si>
    <t>TOTAL GAS ΔCS^ NET PS</t>
  </si>
  <si>
    <t>TOTAL ELECTRICITY ΔCS^</t>
  </si>
  <si>
    <t>TOTAL ELECTRICITY ΔCS^ NET PS</t>
  </si>
  <si>
    <t>TOTAL COAL ΔCS^</t>
  </si>
  <si>
    <t>TOTAL COAL ΔCS^ NET PS</t>
  </si>
  <si>
    <t>ΔCS^</t>
  </si>
  <si>
    <t>NET PS</t>
  </si>
  <si>
    <r>
      <t>(1 - γ)*Q</t>
    </r>
    <r>
      <rPr>
        <vertAlign val="subscript"/>
        <sz val="10"/>
        <color theme="0"/>
        <rFont val="Trebuchet MS"/>
        <family val="2"/>
      </rPr>
      <t>t-1</t>
    </r>
  </si>
  <si>
    <r>
      <t>A∙ΠP</t>
    </r>
    <r>
      <rPr>
        <vertAlign val="subscript"/>
        <sz val="10"/>
        <color theme="0"/>
        <rFont val="Trebuchet MS"/>
        <family val="2"/>
      </rPr>
      <t>j</t>
    </r>
    <r>
      <rPr>
        <vertAlign val="superscript"/>
        <sz val="10"/>
        <color theme="0"/>
        <rFont val="Trebuchet MS"/>
        <family val="2"/>
      </rPr>
      <t>η</t>
    </r>
  </si>
  <si>
    <t>Q*</t>
  </si>
  <si>
    <t>∫f(Q)dQ</t>
  </si>
  <si>
    <r>
      <t>(Q</t>
    </r>
    <r>
      <rPr>
        <vertAlign val="subscript"/>
        <sz val="10"/>
        <color theme="0"/>
        <rFont val="Trebuchet MS"/>
        <family val="2"/>
      </rPr>
      <t>1</t>
    </r>
    <r>
      <rPr>
        <sz val="10"/>
        <color theme="0"/>
        <rFont val="Trebuchet MS"/>
        <family val="2"/>
      </rPr>
      <t>-Q*)∙P</t>
    </r>
    <r>
      <rPr>
        <vertAlign val="subscript"/>
        <sz val="10"/>
        <color theme="0"/>
        <rFont val="Trebuchet MS"/>
        <family val="2"/>
      </rPr>
      <t>1</t>
    </r>
  </si>
  <si>
    <t>ΔPxQ*</t>
  </si>
  <si>
    <r>
      <t>ΔPxQ</t>
    </r>
    <r>
      <rPr>
        <vertAlign val="subscript"/>
        <sz val="10"/>
        <color theme="0"/>
        <rFont val="Trebuchet MS"/>
        <family val="2"/>
      </rPr>
      <t>0</t>
    </r>
  </si>
  <si>
    <t>½(ΔPxΔQ)</t>
  </si>
  <si>
    <r>
      <t>ΔPxQ</t>
    </r>
    <r>
      <rPr>
        <vertAlign val="subscript"/>
        <sz val="10"/>
        <color theme="0"/>
        <rFont val="Trebuchet MS"/>
        <family val="2"/>
      </rPr>
      <t>1</t>
    </r>
  </si>
  <si>
    <t>Type</t>
  </si>
  <si>
    <t>ΔCS^ Net PS</t>
  </si>
  <si>
    <t>Primary  (Q↑)</t>
  </si>
  <si>
    <t>Secondary 1 (P↓ Q↓)</t>
  </si>
  <si>
    <r>
      <t xml:space="preserve">Secondary 2 </t>
    </r>
    <r>
      <rPr>
        <sz val="10"/>
        <color indexed="8"/>
        <rFont val="Arial"/>
        <family val="2"/>
      </rPr>
      <t>(P↑ Q↓)</t>
    </r>
  </si>
  <si>
    <t>Secondary 3 (Q↑)</t>
  </si>
  <si>
    <t>(Coal only)</t>
  </si>
  <si>
    <t>^ ΔCS^</t>
  </si>
  <si>
    <t xml:space="preserve">    Conversion factors are as follows:</t>
  </si>
  <si>
    <r>
      <t xml:space="preserve">    Oil: million barrels per day * 365 days per year / $ per barrel = </t>
    </r>
    <r>
      <rPr>
        <b/>
        <sz val="10"/>
        <color indexed="8"/>
        <rFont val="Arial"/>
        <family val="2"/>
      </rPr>
      <t>365*10^6</t>
    </r>
  </si>
  <si>
    <r>
      <t xml:space="preserve">    Gas: trillion cubic feet / $ per thousand cubic feet = 10^12/10^3 = </t>
    </r>
    <r>
      <rPr>
        <b/>
        <sz val="10"/>
        <color indexed="8"/>
        <rFont val="Arial"/>
        <family val="2"/>
      </rPr>
      <t>10^9</t>
    </r>
  </si>
  <si>
    <r>
      <t xml:space="preserve">    Electricity: billion kWh / cents per kWh = 10^9/10^2 = </t>
    </r>
    <r>
      <rPr>
        <b/>
        <sz val="10"/>
        <color indexed="8"/>
        <rFont val="Arial"/>
        <family val="2"/>
      </rPr>
      <t>10^7</t>
    </r>
  </si>
  <si>
    <r>
      <t xml:space="preserve">    Coal: million short tons / $ per short ton =</t>
    </r>
    <r>
      <rPr>
        <b/>
        <sz val="10"/>
        <color indexed="8"/>
        <rFont val="Arial"/>
        <family val="2"/>
      </rPr>
      <t xml:space="preserve"> 10^6</t>
    </r>
  </si>
  <si>
    <t>Start time</t>
  </si>
  <si>
    <t>End time</t>
  </si>
  <si>
    <t>Elapsed time</t>
  </si>
  <si>
    <t>PRICES</t>
  </si>
  <si>
    <t>SCENARIO SIMULATION EQUILIBRIUM*</t>
  </si>
  <si>
    <t>BASELINE AEO PROJECTION</t>
  </si>
  <si>
    <t>SCENARIO SIMULATION</t>
  </si>
  <si>
    <t>Balance</t>
  </si>
  <si>
    <t>Cumulative Balance*</t>
  </si>
  <si>
    <t>$ per barrel</t>
  </si>
  <si>
    <r>
      <t>$ per 10</t>
    </r>
    <r>
      <rPr>
        <vertAlign val="superscript"/>
        <sz val="10"/>
        <color indexed="18"/>
        <rFont val="Trebuchet MS"/>
        <family val="2"/>
      </rPr>
      <t>3</t>
    </r>
    <r>
      <rPr>
        <sz val="10"/>
        <color indexed="18"/>
        <rFont val="Trebuchet MS"/>
        <family val="2"/>
      </rPr>
      <t xml:space="preserve"> cubic ft</t>
    </r>
  </si>
  <si>
    <t>$ per ton</t>
  </si>
  <si>
    <t>¢ per
kW h</t>
  </si>
  <si>
    <t>* This scenario simulation equilibrium table calculates the aggregate percentage disparity between supply and demand across all four fuel markets.</t>
  </si>
  <si>
    <t xml:space="preserve">  The aggregate disparity is optimized to zero by changing the simulation prices at left.  The aggregate percentages are multiplied by 10,000 to aid in convergence.</t>
  </si>
  <si>
    <t>Summary Table 1</t>
  </si>
  <si>
    <t>96 , then converted</t>
  </si>
  <si>
    <t xml:space="preserve">  West Texas Intermediate Spot Price (dollars p</t>
  </si>
  <si>
    <t xml:space="preserve">  Natural Gas at Henry Hub (dollars per mmBtu)</t>
  </si>
  <si>
    <t xml:space="preserve">  Coal, Minemouth (dollars per ton) 14/</t>
  </si>
  <si>
    <t xml:space="preserve">  Electricity (cents per kilowatthour)</t>
  </si>
  <si>
    <t>Post-2050 Growth Factors</t>
  </si>
  <si>
    <t>Number of historical years for price extrapolation</t>
  </si>
  <si>
    <t>DEMAND ADJUSTMENT RATES</t>
  </si>
  <si>
    <t>SOURCES</t>
  </si>
  <si>
    <t>NATURAL GAS</t>
  </si>
  <si>
    <t>Rest of World
(Non-U.S. Oil)</t>
  </si>
  <si>
    <t>OIL SUPPLY ADJUSTMENT RATES</t>
  </si>
  <si>
    <t>Pipeline Imports</t>
  </si>
  <si>
    <t>GAS SUPPLY ADJUSTMENT RATES</t>
  </si>
  <si>
    <t>ELECTRICITY SUPPLY ADJUSTMENT RATES</t>
  </si>
  <si>
    <t>Wind
(Offshore)</t>
  </si>
  <si>
    <t>Wind
(Onshore)</t>
  </si>
  <si>
    <t>COAL SUPPLY ADJUSTMENT RATES</t>
  </si>
  <si>
    <t>DEMAND SIMULATION PARAMETERS</t>
  </si>
  <si>
    <t>SUPPLY SIMULATION PARAMETERS</t>
  </si>
  <si>
    <t>Output to OECM</t>
  </si>
  <si>
    <t>Change in L48 onshore oil production</t>
  </si>
  <si>
    <t>Change in L48 onshore gas production
(conventional)</t>
  </si>
  <si>
    <t>Change in L48 onshore gas production
(unconventional)</t>
  </si>
  <si>
    <t>Change in AK oil production</t>
  </si>
  <si>
    <t>Change in AK  gas production</t>
  </si>
  <si>
    <t>Change in pipeline oil imports</t>
  </si>
  <si>
    <t>Change in pipeline gas imports</t>
  </si>
  <si>
    <t>Change in gross exports of crude oil</t>
  </si>
  <si>
    <t>Change in gross exports of refined petroleum</t>
  </si>
  <si>
    <t>Change in gross tanker imports of oil</t>
  </si>
  <si>
    <t>Change in tanker oil imports</t>
  </si>
  <si>
    <t>Change in tanker gas imports</t>
  </si>
  <si>
    <t>Change in domestic coal production</t>
  </si>
  <si>
    <t>Year MarketSim</t>
  </si>
  <si>
    <r>
      <t>10</t>
    </r>
    <r>
      <rPr>
        <vertAlign val="superscript"/>
        <sz val="10"/>
        <rFont val="Trebuchet MS"/>
        <family val="2"/>
      </rPr>
      <t>6</t>
    </r>
    <r>
      <rPr>
        <sz val="10"/>
        <rFont val="Trebuchet MS"/>
        <family val="2"/>
      </rPr>
      <t xml:space="preserve"> barrels per year</t>
    </r>
  </si>
  <si>
    <r>
      <t>10</t>
    </r>
    <r>
      <rPr>
        <vertAlign val="superscript"/>
        <sz val="10"/>
        <rFont val="Trebuchet MS"/>
        <family val="2"/>
      </rPr>
      <t>9</t>
    </r>
    <r>
      <rPr>
        <sz val="10"/>
        <rFont val="Trebuchet MS"/>
        <family val="2"/>
      </rPr>
      <t xml:space="preserve"> cubic feet</t>
    </r>
  </si>
  <si>
    <r>
      <t>10</t>
    </r>
    <r>
      <rPr>
        <vertAlign val="superscript"/>
        <sz val="10"/>
        <rFont val="Trebuchet MS"/>
        <family val="2"/>
      </rPr>
      <t>6</t>
    </r>
    <r>
      <rPr>
        <sz val="10"/>
        <rFont val="Trebuchet MS"/>
        <family val="2"/>
      </rPr>
      <t xml:space="preserve"> short tons</t>
    </r>
  </si>
  <si>
    <t>year_marketsim</t>
  </si>
  <si>
    <t>year_oecm</t>
  </si>
  <si>
    <t>d_oil_L48</t>
  </si>
  <si>
    <t>d_gas_L48_con</t>
  </si>
  <si>
    <t>d_gas_L48_unc</t>
  </si>
  <si>
    <t>d_oil_alaska</t>
  </si>
  <si>
    <t>d_gas_alaska</t>
  </si>
  <si>
    <t>d_oil_pipeline</t>
  </si>
  <si>
    <t>d_gas_pipeline</t>
  </si>
  <si>
    <t>d_crude_export</t>
  </si>
  <si>
    <t>d_refined_export</t>
  </si>
  <si>
    <t>d_crude_gimport</t>
  </si>
  <si>
    <t>d_oil_tanker</t>
  </si>
  <si>
    <t>d_gas_tanker</t>
  </si>
  <si>
    <t>d_coal_us</t>
  </si>
  <si>
    <t>Crude Production/Exports by OCS Region</t>
  </si>
  <si>
    <t>Crude Production (Coastal States)</t>
  </si>
  <si>
    <t>Crude Exports (Coastal States)</t>
  </si>
  <si>
    <t>Exports as Percent of Production</t>
  </si>
  <si>
    <t>Atlantic</t>
  </si>
  <si>
    <t>GOM</t>
  </si>
  <si>
    <t>Pacific</t>
  </si>
  <si>
    <t>1. Production data reflect activity from March 2017 to February 2018.   U.S. Energy Information Administration. 2018. Crude Oil Production. Accessed May 2018 at: https://www.eia.gov/dnav/pet/pet_crd_crpdn_adc_mbbl_a.htm
2.Exports data also for March 2017 to Feb 2018: U.S. Census Bureau, Economic Indicators Division, USA Trade Online. 2018. State Exports by HS Commodities. Accessed May 2018 at: https://usatrade.census.gov/
3. Crude production for the Gulf of Mexico region reflects production in PADD 3 (Gulf Coast) and production from PADD 2 (Midwest) that is transported to PADD 3.  U.S. Energy Information Administration. 2018. Movements by Pipeline, Tanker, Barge and Rail between PAD Districts. Accessed May 2018 at: https://www.eia.gov/dnav/pet/pet_move_ptb_a_EP00_TNR_mbbl_a.htm</t>
  </si>
  <si>
    <t>Refinery Production/Exports by OCS Region</t>
  </si>
  <si>
    <t>Refinery Production (Coastal States)</t>
  </si>
  <si>
    <t>Product Exports (Coastal States)</t>
  </si>
  <si>
    <t>1.  Refinery production: U.S. Energy Information Administration (EIA). 2018. Refinery and Blender Net Production. Accessed May 2018 at: https://www.eia.gov/dnav/pet/pet_pnp_refp_a_ep00_ypr_mbbl_a.htm
2.  Exports: U.S. Census Bureau, Economic Indicators Division, USA Trade Online. 2018. State Exports by HS Commodities. Accessed May 2018 at: https://usatrade.census.gov/
3. Refinery production for the Gulf of Mexico region reflects production in PADD 3 (Gulf Coast) and production from PADD 2 (Midwest) that is transported to PADD 3.  U.S. Energy Information Administration. 2018. Movements by Pipeline, Tanker, Barge and Rail between PAD Districts. Accessed May 2018 at: https://www.eia.gov/dnav/pet/pet_move_ptb_a_EP00_TNR_mbbl_a.htm</t>
  </si>
  <si>
    <t>OECM Year</t>
  </si>
  <si>
    <t>ScenarioID</t>
  </si>
  <si>
    <t>oecm_year</t>
  </si>
  <si>
    <t>PlanningAreaID</t>
  </si>
  <si>
    <t>OilExports</t>
  </si>
  <si>
    <t>OilSourceID</t>
  </si>
  <si>
    <t>PlanningAreaName</t>
  </si>
  <si>
    <t>OilSourceID = 4 = Crude</t>
  </si>
  <si>
    <t>OilSourceID = 5 = Refined</t>
  </si>
  <si>
    <t>Washington-Oregon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</si>
</sst>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5" formatCode="&quot;$&quot;#,##0_);\(&quot;$&quot;#,##0\)"/>
    <numFmt numFmtId="7" formatCode="&quot;$&quot;#,##0.00_);\(&quot;$&quot;#,##0.00\)"/>
    <numFmt numFmtId="41" formatCode="_(* #,##0_);_(* \(#,##0\);_(* &quot;-&quot;_);_(@_)"/>
    <numFmt numFmtId="44" formatCode="_(&quot;$&quot;* #,##0.00_);_(&quot;$&quot;* \(#,##0.00\);_(&quot;$&quot;* &quot;-&quot;??_);_(@_)"/>
    <numFmt numFmtId="43" formatCode="_(* #,##0.00_);_(* \(#,##0.00\);_(* &quot;-&quot;??_);_(@_)"/>
    <numFmt numFmtId="164" formatCode="mmm\-yyyy"/>
    <numFmt numFmtId="165" formatCode="_(\ #,##0_);_(\ \(#,##0\);_(\ &quot;&quot;\-&quot;&quot;_)"/>
    <numFmt numFmtId="166" formatCode="_(* #,##0.00_);_(* \(#,##0.00\);_(* &quot;-&quot;_);_(@_)"/>
    <numFmt numFmtId="167" formatCode="0.0%"/>
    <numFmt numFmtId="168" formatCode="General_)"/>
    <numFmt numFmtId="169" formatCode="_(0.0%_);_(\ \(0.0%\)_);_(* &quot;-&quot;??_);_(@_)"/>
    <numFmt numFmtId="170" formatCode="0.00000"/>
    <numFmt numFmtId="171" formatCode="0.0000"/>
    <numFmt numFmtId="172" formatCode="0.000"/>
    <numFmt numFmtId="173" formatCode="General__"/>
    <numFmt numFmtId="174" formatCode="_(* #,##0.0,_);_(* \(#,##0.0,_);_(* &quot;-&quot;_);_(@_)"/>
    <numFmt numFmtId="175" formatCode="&quot;$&quot;#,##0.0"/>
    <numFmt numFmtId="176" formatCode="_(* #,##0.0000_);_(* \(#,##0.0000\);_(* &quot;-&quot;??_);_(@_)"/>
    <numFmt numFmtId="177" formatCode="_(* #,##0.00000_);_(* \(#,##0.00000\);_(* &quot;-&quot;??_);_(@_)"/>
    <numFmt numFmtId="178" formatCode="0.0000%"/>
    <numFmt numFmtId="179" formatCode="[$-F400]h:mm:ss\ AM/PM"/>
    <numFmt numFmtId="180" formatCode="[$-409]h:mm\ AM/PM;@"/>
    <numFmt numFmtId="181" formatCode="#,##0.0"/>
    <numFmt numFmtId="182" formatCode="#,##0.000"/>
    <numFmt numFmtId="183" formatCode="_(&quot;$&quot;* #,##0_);_(&quot;$&quot;* \(#,##0\);_(&quot;$&quot;* &quot;-&quot;??_);_(@_)"/>
    <numFmt numFmtId="184" formatCode="&quot;$&quot;#,##0.00"/>
    <numFmt numFmtId="185" formatCode="_(* #,##0_);_(* \(#,##0\);_(* &quot;-&quot;??_);_(@_)"/>
    <numFmt numFmtId="186" formatCode="[h]:mm:ss;@"/>
    <numFmt numFmtId="187" formatCode="0.0000000000"/>
    <numFmt numFmtId="188" formatCode="0.0"/>
    <numFmt numFmtId="189" formatCode="0.000000"/>
    <numFmt numFmtId="190" formatCode="_(* #,##0.000000_);_(* \(#,##0.000000\);_(* &quot;-&quot;??_);_(@_)"/>
    <numFmt numFmtId="191" formatCode="0.000%"/>
    <numFmt numFmtId="192" formatCode="0.0000000"/>
    <numFmt numFmtId="193" formatCode="0.00000000"/>
    <numFmt numFmtId="194" formatCode="_(* #,##0.000000000_);_(* \(#,##0.000000000\);_(* &quot;-&quot;??_);_(@_)"/>
  </numFmts>
  <fonts count="156">
    <font>
      <sz val="10"/>
      <color indexed="8"/>
      <name val="Arial"/>
      <family val="2"/>
    </font>
    <font>
      <sz val="11"/>
      <color theme="1"/>
      <name val="Calibri"/>
      <family val="2"/>
      <scheme val="minor"/>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indexed="12"/>
      <name val="Arial"/>
      <family val="2"/>
    </font>
    <font>
      <sz val="10"/>
      <name val="Arial"/>
      <family val="2"/>
    </font>
    <font>
      <sz val="12"/>
      <color indexed="8"/>
      <name val="Arial"/>
      <family val="2"/>
    </font>
    <font>
      <sz val="10"/>
      <color indexed="9"/>
      <name val="Arial"/>
      <family val="2"/>
    </font>
    <font>
      <sz val="10"/>
      <color indexed="16"/>
      <name val="Arial"/>
      <family val="2"/>
    </font>
    <font>
      <sz val="10"/>
      <color indexed="16"/>
      <name val="Arial Narrow"/>
      <family val="2"/>
    </font>
    <font>
      <sz val="10"/>
      <color indexed="18"/>
      <name val="Arial"/>
      <family val="2"/>
    </font>
    <font>
      <sz val="10"/>
      <color indexed="8"/>
      <name val="Arial Narrow"/>
      <family val="2"/>
    </font>
    <font>
      <b/>
      <sz val="10"/>
      <color indexed="38"/>
      <name val="Arial"/>
      <family val="2"/>
    </font>
    <font>
      <sz val="10"/>
      <color indexed="17"/>
      <name val="Arial"/>
      <family val="2"/>
    </font>
    <font>
      <sz val="10"/>
      <color indexed="10"/>
      <name val="Arial"/>
      <family val="2"/>
    </font>
    <font>
      <sz val="10"/>
      <color indexed="8"/>
      <name val="Arial"/>
      <family val="2"/>
    </font>
    <font>
      <b/>
      <sz val="12"/>
      <color indexed="8"/>
      <name val="Arial"/>
      <family val="2"/>
    </font>
    <font>
      <sz val="10"/>
      <color indexed="22"/>
      <name val="Arial"/>
      <family val="2"/>
    </font>
    <font>
      <sz val="8"/>
      <name val="Arial"/>
      <family val="2"/>
    </font>
    <font>
      <sz val="10"/>
      <color indexed="8"/>
      <name val="Trebuchet MS"/>
      <family val="2"/>
    </font>
    <font>
      <sz val="10"/>
      <color indexed="18"/>
      <name val="Trebuchet MS"/>
      <family val="2"/>
    </font>
    <font>
      <sz val="10"/>
      <name val="Trebuchet MS"/>
      <family val="2"/>
    </font>
    <font>
      <b/>
      <sz val="12"/>
      <name val="Trebuchet MS"/>
      <family val="2"/>
    </font>
    <font>
      <b/>
      <sz val="12"/>
      <color indexed="8"/>
      <name val="Trebuchet MS"/>
      <family val="2"/>
    </font>
    <font>
      <b/>
      <sz val="10"/>
      <name val="Trebuchet MS"/>
      <family val="2"/>
    </font>
    <font>
      <b/>
      <sz val="12"/>
      <color indexed="18"/>
      <name val="Trebuchet MS"/>
      <family val="2"/>
    </font>
    <font>
      <b/>
      <sz val="10"/>
      <color indexed="18"/>
      <name val="Trebuchet MS"/>
      <family val="2"/>
    </font>
    <font>
      <b/>
      <u/>
      <sz val="10"/>
      <color indexed="18"/>
      <name val="Trebuchet MS"/>
      <family val="2"/>
    </font>
    <font>
      <sz val="12"/>
      <color indexed="18"/>
      <name val="Trebuchet MS"/>
      <family val="2"/>
    </font>
    <font>
      <u/>
      <sz val="11.5"/>
      <color indexed="12"/>
      <name val="Arial"/>
      <family val="2"/>
    </font>
    <font>
      <sz val="11"/>
      <color indexed="8"/>
      <name val="Calibri"/>
      <family val="2"/>
    </font>
    <font>
      <b/>
      <sz val="10"/>
      <color indexed="8"/>
      <name val="Trebuchet MS"/>
      <family val="2"/>
    </font>
    <font>
      <b/>
      <sz val="15"/>
      <name val="Trebuchet MS"/>
      <family val="2"/>
    </font>
    <font>
      <b/>
      <sz val="14"/>
      <color indexed="18"/>
      <name val="Trebuchet MS"/>
      <family val="2"/>
    </font>
    <font>
      <b/>
      <sz val="10"/>
      <color indexed="8"/>
      <name val="Arial"/>
      <family val="2"/>
    </font>
    <font>
      <vertAlign val="superscript"/>
      <sz val="10"/>
      <color indexed="18"/>
      <name val="Trebuchet MS"/>
      <family val="2"/>
    </font>
    <font>
      <b/>
      <vertAlign val="superscript"/>
      <sz val="10"/>
      <color indexed="8"/>
      <name val="Arial"/>
      <family val="2"/>
    </font>
    <font>
      <b/>
      <sz val="10"/>
      <color indexed="10"/>
      <name val="Trebuchet MS"/>
      <family val="2"/>
    </font>
    <font>
      <sz val="10"/>
      <color indexed="12"/>
      <name val="Trebuchet MS"/>
      <family val="2"/>
    </font>
    <font>
      <sz val="14"/>
      <color indexed="23"/>
      <name val="Trebuchet MS"/>
      <family val="2"/>
    </font>
    <font>
      <sz val="10"/>
      <color indexed="23"/>
      <name val="Trebuchet MS"/>
      <family val="2"/>
    </font>
    <font>
      <b/>
      <sz val="12"/>
      <color indexed="23"/>
      <name val="Trebuchet MS"/>
      <family val="2"/>
    </font>
    <font>
      <sz val="12"/>
      <color indexed="23"/>
      <name val="Trebuchet MS"/>
      <family val="2"/>
    </font>
    <font>
      <u/>
      <sz val="10"/>
      <color indexed="18"/>
      <name val="Trebuchet MS"/>
      <family val="2"/>
    </font>
    <font>
      <sz val="9"/>
      <name val="Trebuchet MS"/>
      <family val="2"/>
    </font>
    <font>
      <sz val="10"/>
      <color indexed="9"/>
      <name val="Trebuchet MS"/>
      <family val="2"/>
    </font>
    <font>
      <sz val="26"/>
      <color indexed="8"/>
      <name val="Arial"/>
      <family val="2"/>
    </font>
    <font>
      <vertAlign val="superscript"/>
      <sz val="10"/>
      <name val="Trebuchet MS"/>
      <family val="2"/>
    </font>
    <font>
      <b/>
      <sz val="30"/>
      <name val="Trebuchet MS"/>
      <family val="2"/>
    </font>
    <font>
      <sz val="14"/>
      <color indexed="8"/>
      <name val="Trebuchet MS"/>
      <family val="2"/>
    </font>
    <font>
      <b/>
      <sz val="14"/>
      <color indexed="8"/>
      <name val="Trebuchet MS"/>
      <family val="2"/>
    </font>
    <font>
      <b/>
      <sz val="14"/>
      <name val="Trebuchet MS"/>
      <family val="2"/>
    </font>
    <font>
      <b/>
      <u/>
      <sz val="14"/>
      <name val="Trebuchet MS"/>
      <family val="2"/>
    </font>
    <font>
      <u/>
      <sz val="11.5"/>
      <color indexed="18"/>
      <name val="Trebuchet MS"/>
      <family val="2"/>
    </font>
    <font>
      <b/>
      <u/>
      <sz val="11.5"/>
      <color indexed="18"/>
      <name val="Trebuchet MS"/>
      <family val="2"/>
    </font>
    <font>
      <b/>
      <u/>
      <sz val="14"/>
      <color indexed="18"/>
      <name val="Trebuchet MS"/>
      <family val="2"/>
    </font>
    <font>
      <sz val="12"/>
      <name val="Trebuchet MS"/>
      <family val="2"/>
    </font>
    <font>
      <b/>
      <sz val="16"/>
      <color indexed="8"/>
      <name val="Trebuchet MS"/>
      <family val="2"/>
    </font>
    <font>
      <sz val="16"/>
      <color indexed="8"/>
      <name val="Trebuchet MS"/>
      <family val="2"/>
    </font>
    <font>
      <sz val="11"/>
      <name val="Trebuchet MS"/>
      <family val="2"/>
    </font>
    <font>
      <sz val="11"/>
      <color indexed="8"/>
      <name val="Trebuchet MS"/>
      <family val="2"/>
    </font>
    <font>
      <sz val="20"/>
      <color indexed="8"/>
      <name val="Trebuchet MS"/>
      <family val="2"/>
    </font>
    <font>
      <b/>
      <sz val="20"/>
      <name val="Trebuchet MS"/>
      <family val="2"/>
    </font>
    <font>
      <sz val="10"/>
      <color theme="0"/>
      <name val="Trebuchet MS"/>
      <family val="2"/>
    </font>
    <font>
      <b/>
      <u/>
      <sz val="9"/>
      <color rgb="FF000080"/>
      <name val="Trebuchet MS"/>
      <family val="2"/>
    </font>
    <font>
      <b/>
      <u/>
      <sz val="14"/>
      <color rgb="FF000080"/>
      <name val="Trebuchet MS"/>
      <family val="2"/>
    </font>
    <font>
      <vertAlign val="subscript"/>
      <sz val="10"/>
      <color theme="0"/>
      <name val="Trebuchet MS"/>
      <family val="2"/>
    </font>
    <font>
      <vertAlign val="superscript"/>
      <sz val="10"/>
      <color theme="0"/>
      <name val="Trebuchet MS"/>
      <family val="2"/>
    </font>
    <font>
      <b/>
      <sz val="12"/>
      <color rgb="FFFF0000"/>
      <name val="Trebuchet MS"/>
      <family val="2"/>
    </font>
    <font>
      <b/>
      <sz val="12"/>
      <color theme="0"/>
      <name val="Trebuchet MS"/>
      <family val="2"/>
    </font>
    <font>
      <sz val="11"/>
      <color indexed="8"/>
      <name val="Calibri"/>
      <family val="2"/>
      <scheme val="minor"/>
    </font>
    <font>
      <sz val="12"/>
      <color indexed="8"/>
      <name val="Trebuchet MS"/>
      <family val="2"/>
    </font>
    <font>
      <sz val="10"/>
      <color rgb="FFFF0000"/>
      <name val="Trebuchet MS"/>
      <family val="2"/>
    </font>
    <font>
      <b/>
      <sz val="10"/>
      <color theme="0"/>
      <name val="Trebuchet MS"/>
      <family val="2"/>
    </font>
    <font>
      <sz val="10"/>
      <color theme="5"/>
      <name val="Trebuchet MS"/>
      <family val="2"/>
    </font>
    <font>
      <sz val="9"/>
      <color theme="1"/>
      <name val="Calibri"/>
      <family val="2"/>
      <scheme val="minor"/>
    </font>
    <font>
      <sz val="10"/>
      <color theme="1"/>
      <name val="Trebuchet MS"/>
      <family val="2"/>
    </font>
    <font>
      <u/>
      <sz val="10"/>
      <color indexed="12"/>
      <name val="Trebuchet MS"/>
      <family val="2"/>
    </font>
    <font>
      <b/>
      <u/>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9"/>
      <color indexed="8"/>
      <name val="Calibri"/>
      <family val="2"/>
    </font>
    <font>
      <sz val="9"/>
      <color indexed="8"/>
      <name val="Calibri"/>
      <family val="2"/>
    </font>
    <font>
      <sz val="12"/>
      <name val="Helv"/>
    </font>
    <font>
      <b/>
      <sz val="12"/>
      <color indexed="30"/>
      <name val="Calibri"/>
      <family val="2"/>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u/>
      <sz val="10"/>
      <color indexed="12"/>
      <name val="Arial"/>
      <family val="2"/>
    </font>
    <font>
      <sz val="10"/>
      <color rgb="FF003366"/>
      <name val="Trebuchet MS"/>
      <family val="2"/>
    </font>
    <font>
      <b/>
      <vertAlign val="superscript"/>
      <sz val="10"/>
      <color rgb="FF003366"/>
      <name val="Arial"/>
      <family val="2"/>
    </font>
    <font>
      <b/>
      <sz val="10"/>
      <color rgb="FF003366"/>
      <name val="Arial"/>
      <family val="2"/>
    </font>
    <font>
      <sz val="10"/>
      <color rgb="FF003366"/>
      <name val="Arial"/>
      <family val="2"/>
    </font>
    <font>
      <u/>
      <sz val="8"/>
      <color indexed="12"/>
      <name val="Arial"/>
      <family val="2"/>
    </font>
    <font>
      <u/>
      <sz val="12"/>
      <color indexed="18"/>
      <name val="Trebuchet MS"/>
      <family val="2"/>
    </font>
    <font>
      <b/>
      <u/>
      <sz val="12"/>
      <color indexed="12"/>
      <name val="Trebuchet MS"/>
      <family val="2"/>
    </font>
    <font>
      <b/>
      <u/>
      <sz val="12"/>
      <color indexed="18"/>
      <name val="Trebuchet MS"/>
      <family val="2"/>
    </font>
    <font>
      <u/>
      <sz val="10"/>
      <color indexed="8"/>
      <name val="Trebuchet MS"/>
      <family val="2"/>
    </font>
    <font>
      <sz val="16"/>
      <name val="Trebuchet MS"/>
      <family val="2"/>
    </font>
    <font>
      <b/>
      <sz val="10"/>
      <color rgb="FFFF0000"/>
      <name val="Trebuchet MS"/>
      <family val="2"/>
    </font>
    <font>
      <u/>
      <sz val="10"/>
      <color theme="10"/>
      <name val="Arial"/>
      <family val="2"/>
    </font>
    <font>
      <sz val="9"/>
      <color indexed="8"/>
      <name val="Trebuchet MS"/>
      <family val="2"/>
    </font>
    <font>
      <b/>
      <sz val="9"/>
      <color indexed="8"/>
      <name val="Trebuchet MS"/>
      <family val="2"/>
    </font>
    <font>
      <b/>
      <i/>
      <sz val="9"/>
      <color indexed="8"/>
      <name val="Trebuchet MS"/>
      <family val="2"/>
    </font>
    <font>
      <i/>
      <sz val="10"/>
      <color indexed="8"/>
      <name val="Trebuchet MS"/>
      <family val="2"/>
    </font>
    <font>
      <b/>
      <i/>
      <sz val="10"/>
      <color indexed="8"/>
      <name val="Trebuchet MS"/>
      <family val="2"/>
    </font>
    <font>
      <b/>
      <i/>
      <sz val="10"/>
      <color theme="5"/>
      <name val="Arial"/>
      <family val="2"/>
    </font>
    <font>
      <sz val="9"/>
      <color theme="1"/>
      <name val="Trebuchet MS"/>
      <family val="2"/>
    </font>
    <font>
      <sz val="10"/>
      <color rgb="FF002060"/>
      <name val="Trebuchet MS"/>
      <family val="2"/>
    </font>
    <font>
      <sz val="18"/>
      <color theme="3"/>
      <name val="Cambria"/>
      <family val="2"/>
      <scheme val="major"/>
    </font>
    <font>
      <sz val="11"/>
      <color rgb="FF9C5700"/>
      <name val="Calibri"/>
      <family val="2"/>
      <scheme val="minor"/>
    </font>
    <font>
      <sz val="8"/>
      <color rgb="FF000000"/>
      <name val="Tahoma"/>
      <family val="2"/>
    </font>
    <font>
      <sz val="12"/>
      <color rgb="FF000000"/>
      <name val="Arial"/>
      <family val="2"/>
    </font>
    <font>
      <b/>
      <sz val="12"/>
      <color rgb="FF000000"/>
      <name val="Arial"/>
      <family val="2"/>
    </font>
    <font>
      <b/>
      <sz val="14"/>
      <color rgb="FF000080"/>
      <name val="Trebuchet MS"/>
      <family val="2"/>
    </font>
    <font>
      <b/>
      <sz val="10"/>
      <color rgb="FF333399"/>
      <name val="Trebuchet MS"/>
      <family val="2"/>
    </font>
    <font>
      <b/>
      <sz val="10"/>
      <color rgb="FF000080"/>
      <name val="Trebuchet MS"/>
      <family val="2"/>
    </font>
    <font>
      <b/>
      <sz val="10"/>
      <color rgb="FF000000"/>
      <name val="Trebuchet MS"/>
      <family val="2"/>
    </font>
  </fonts>
  <fills count="60">
    <fill>
      <patternFill patternType="none"/>
    </fill>
    <fill>
      <patternFill patternType="gray125"/>
    </fill>
    <fill>
      <patternFill patternType="solid">
        <fgColor indexed="43"/>
        <bgColor indexed="64"/>
      </patternFill>
    </fill>
    <fill>
      <patternFill patternType="solid">
        <fgColor indexed="22"/>
        <bgColor indexed="64"/>
      </patternFill>
    </fill>
    <fill>
      <patternFill patternType="solid">
        <fgColor indexed="55"/>
        <bgColor indexed="64"/>
      </patternFill>
    </fill>
    <fill>
      <patternFill patternType="solid">
        <fgColor indexed="9"/>
        <bgColor indexed="64"/>
      </patternFill>
    </fill>
    <fill>
      <patternFill patternType="solid">
        <fgColor indexed="41"/>
        <bgColor indexed="64"/>
      </patternFill>
    </fill>
    <fill>
      <patternFill patternType="solid">
        <fgColor indexed="39"/>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rgb="FF92D050"/>
        <bgColor indexed="64"/>
      </patternFill>
    </fill>
    <fill>
      <patternFill patternType="solid">
        <fgColor theme="3" tint="0.79998168889431442"/>
        <bgColor indexed="64"/>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theme="3"/>
        <bgColor indexed="64"/>
      </patternFill>
    </fill>
    <fill>
      <patternFill patternType="solid">
        <fgColor theme="7"/>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6" tint="0.39997558519241921"/>
        <bgColor indexed="64"/>
      </patternFill>
    </fill>
    <fill>
      <patternFill patternType="solid">
        <fgColor rgb="FFDDEBF9"/>
        <bgColor indexed="64"/>
      </patternFill>
    </fill>
    <fill>
      <patternFill patternType="solid">
        <fgColor rgb="FFCCFFFF"/>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bgColor indexed="64"/>
      </patternFill>
    </fill>
    <fill>
      <patternFill patternType="solid">
        <fgColor rgb="FFFFFF99"/>
        <bgColor indexed="64"/>
      </patternFill>
    </fill>
  </fills>
  <borders count="14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18"/>
      </left>
      <right style="thin">
        <color indexed="18"/>
      </right>
      <top style="medium">
        <color indexed="64"/>
      </top>
      <bottom style="hair">
        <color indexed="64"/>
      </bottom>
      <diagonal/>
    </border>
    <border>
      <left style="thin">
        <color indexed="18"/>
      </left>
      <right style="thin">
        <color indexed="18"/>
      </right>
      <top style="hair">
        <color indexed="64"/>
      </top>
      <bottom style="hair">
        <color indexed="64"/>
      </bottom>
      <diagonal/>
    </border>
    <border>
      <left style="thin">
        <color indexed="18"/>
      </left>
      <right style="thin">
        <color indexed="18"/>
      </right>
      <top style="hair">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bottom style="thick">
        <color indexed="64"/>
      </bottom>
      <diagonal/>
    </border>
    <border>
      <left style="thin">
        <color indexed="64"/>
      </left>
      <right/>
      <top/>
      <bottom style="thick">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hair">
        <color indexed="64"/>
      </bottom>
      <diagonal/>
    </border>
    <border>
      <left style="thin">
        <color indexed="64"/>
      </left>
      <right style="medium">
        <color indexed="64"/>
      </right>
      <top style="thin">
        <color indexed="64"/>
      </top>
      <bottom/>
      <diagonal/>
    </border>
    <border>
      <left/>
      <right style="thin">
        <color indexed="64"/>
      </right>
      <top/>
      <bottom style="thick">
        <color indexed="64"/>
      </bottom>
      <diagonal/>
    </border>
    <border>
      <left style="thin">
        <color indexed="64"/>
      </left>
      <right style="medium">
        <color indexed="64"/>
      </right>
      <top/>
      <bottom style="thick">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hair">
        <color indexed="64"/>
      </top>
      <bottom style="hair">
        <color indexed="64"/>
      </bottom>
      <diagonal/>
    </border>
    <border>
      <left style="thin">
        <color indexed="18"/>
      </left>
      <right style="thin">
        <color indexed="18"/>
      </right>
      <top style="hair">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thin">
        <color indexed="64"/>
      </left>
      <right style="medium">
        <color indexed="64"/>
      </right>
      <top/>
      <bottom style="hair">
        <color indexed="64"/>
      </bottom>
      <diagonal/>
    </border>
    <border>
      <left style="thin">
        <color indexed="64"/>
      </left>
      <right style="medium">
        <color indexed="64"/>
      </right>
      <top style="thick">
        <color indexed="64"/>
      </top>
      <bottom style="hair">
        <color indexed="64"/>
      </bottom>
      <diagonal/>
    </border>
    <border>
      <left style="thin">
        <color indexed="64"/>
      </left>
      <right style="medium">
        <color indexed="64"/>
      </right>
      <top/>
      <bottom style="thin">
        <color indexed="64"/>
      </bottom>
      <diagonal/>
    </border>
    <border>
      <left style="thin">
        <color indexed="18"/>
      </left>
      <right style="thin">
        <color indexed="18"/>
      </right>
      <top style="hair">
        <color indexed="64"/>
      </top>
      <bottom/>
      <diagonal/>
    </border>
    <border>
      <left style="thin">
        <color indexed="18"/>
      </left>
      <right style="thin">
        <color indexed="18"/>
      </right>
      <top style="hair">
        <color indexed="64"/>
      </top>
      <bottom style="medium">
        <color indexed="8"/>
      </bottom>
      <diagonal/>
    </border>
    <border>
      <left style="thin">
        <color indexed="18"/>
      </left>
      <right style="thin">
        <color indexed="64"/>
      </right>
      <top style="hair">
        <color indexed="64"/>
      </top>
      <bottom style="hair">
        <color indexed="64"/>
      </bottom>
      <diagonal/>
    </border>
    <border>
      <left style="thin">
        <color indexed="18"/>
      </left>
      <right style="thin">
        <color indexed="8"/>
      </right>
      <top style="hair">
        <color indexed="64"/>
      </top>
      <bottom style="medium">
        <color indexed="64"/>
      </bottom>
      <diagonal/>
    </border>
    <border>
      <left style="thin">
        <color indexed="18"/>
      </left>
      <right style="thin">
        <color indexed="64"/>
      </right>
      <top style="hair">
        <color indexed="64"/>
      </top>
      <bottom style="medium">
        <color indexed="64"/>
      </bottom>
      <diagonal/>
    </border>
    <border>
      <left style="thin">
        <color indexed="18"/>
      </left>
      <right style="thin">
        <color indexed="8"/>
      </right>
      <top style="hair">
        <color indexed="64"/>
      </top>
      <bottom style="thin">
        <color indexed="64"/>
      </bottom>
      <diagonal/>
    </border>
    <border>
      <left style="thin">
        <color indexed="18"/>
      </left>
      <right style="thin">
        <color indexed="64"/>
      </right>
      <top style="hair">
        <color indexed="64"/>
      </top>
      <bottom style="thin">
        <color indexed="64"/>
      </bottom>
      <diagonal/>
    </border>
    <border>
      <left style="thin">
        <color indexed="18"/>
      </left>
      <right style="thin">
        <color indexed="18"/>
      </right>
      <top/>
      <bottom style="medium">
        <color indexed="64"/>
      </bottom>
      <diagonal/>
    </border>
    <border>
      <left style="thin">
        <color indexed="18"/>
      </left>
      <right style="thin">
        <color indexed="18"/>
      </right>
      <top/>
      <bottom style="hair">
        <color indexed="64"/>
      </bottom>
      <diagonal/>
    </border>
    <border>
      <left style="medium">
        <color indexed="64"/>
      </left>
      <right style="medium">
        <color indexed="64"/>
      </right>
      <top style="hair">
        <color indexed="64"/>
      </top>
      <bottom style="thin">
        <color indexed="64"/>
      </bottom>
      <diagonal/>
    </border>
    <border>
      <left style="thin">
        <color indexed="8"/>
      </left>
      <right style="thin">
        <color indexed="8"/>
      </right>
      <top style="hair">
        <color indexed="8"/>
      </top>
      <bottom/>
      <diagonal/>
    </border>
    <border>
      <left style="thin">
        <color indexed="8"/>
      </left>
      <right style="thin">
        <color indexed="8"/>
      </right>
      <top/>
      <bottom style="thin">
        <color indexed="8"/>
      </bottom>
      <diagonal/>
    </border>
    <border>
      <left style="thin">
        <color indexed="8"/>
      </left>
      <right style="thin">
        <color indexed="8"/>
      </right>
      <top/>
      <bottom style="hair">
        <color indexed="8"/>
      </bottom>
      <diagonal/>
    </border>
    <border>
      <left style="thin">
        <color indexed="18"/>
      </left>
      <right style="thin">
        <color indexed="18"/>
      </right>
      <top style="thin">
        <color indexed="64"/>
      </top>
      <bottom/>
      <diagonal/>
    </border>
    <border>
      <left style="thin">
        <color indexed="18"/>
      </left>
      <right style="thin">
        <color indexed="18"/>
      </right>
      <top style="thin">
        <color indexed="64"/>
      </top>
      <bottom style="hair">
        <color indexed="64"/>
      </bottom>
      <diagonal/>
    </border>
    <border>
      <left style="thin">
        <color indexed="18"/>
      </left>
      <right style="thin">
        <color indexed="64"/>
      </right>
      <top style="thin">
        <color indexed="64"/>
      </top>
      <bottom style="hair">
        <color indexed="64"/>
      </bottom>
      <diagonal/>
    </border>
    <border>
      <left style="thin">
        <color indexed="18"/>
      </left>
      <right/>
      <top style="thin">
        <color indexed="64"/>
      </top>
      <bottom style="medium">
        <color indexed="64"/>
      </bottom>
      <diagonal/>
    </border>
    <border>
      <left style="thin">
        <color indexed="18"/>
      </left>
      <right/>
      <top style="hair">
        <color indexed="64"/>
      </top>
      <bottom style="thin">
        <color indexed="64"/>
      </bottom>
      <diagonal/>
    </border>
    <border>
      <left style="thin">
        <color indexed="18"/>
      </left>
      <right/>
      <top style="thin">
        <color indexed="64"/>
      </top>
      <bottom style="hair">
        <color indexed="64"/>
      </bottom>
      <diagonal/>
    </border>
    <border>
      <left style="thin">
        <color indexed="8"/>
      </left>
      <right style="thin">
        <color indexed="8"/>
      </right>
      <top style="medium">
        <color indexed="8"/>
      </top>
      <bottom/>
      <diagonal/>
    </border>
    <border>
      <left style="thin">
        <color indexed="8"/>
      </left>
      <right style="thin">
        <color indexed="8"/>
      </right>
      <top/>
      <bottom/>
      <diagonal/>
    </border>
    <border>
      <left style="medium">
        <color indexed="64"/>
      </left>
      <right style="thin">
        <color indexed="64"/>
      </right>
      <top style="hair">
        <color indexed="64"/>
      </top>
      <bottom style="thin">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style="double">
        <color indexed="64"/>
      </bottom>
      <diagonal/>
    </border>
    <border>
      <left style="thin">
        <color indexed="18"/>
      </left>
      <right style="thin">
        <color indexed="18"/>
      </right>
      <top/>
      <bottom/>
      <diagonal/>
    </border>
    <border>
      <left style="thin">
        <color indexed="18"/>
      </left>
      <right style="thin">
        <color indexed="18"/>
      </right>
      <top/>
      <bottom style="thin">
        <color indexed="64"/>
      </bottom>
      <diagonal/>
    </border>
    <border>
      <left style="thin">
        <color indexed="8"/>
      </left>
      <right/>
      <top style="medium">
        <color indexed="8"/>
      </top>
      <bottom/>
      <diagonal/>
    </border>
    <border>
      <left/>
      <right style="thin">
        <color indexed="8"/>
      </right>
      <top style="medium">
        <color indexed="8"/>
      </top>
      <bottom/>
      <diagonal/>
    </border>
    <border>
      <left style="thin">
        <color indexed="8"/>
      </left>
      <right/>
      <top/>
      <bottom/>
      <diagonal/>
    </border>
    <border>
      <left/>
      <right style="thin">
        <color indexed="8"/>
      </right>
      <top/>
      <bottom/>
      <diagonal/>
    </border>
    <border>
      <left style="thin">
        <color indexed="8"/>
      </left>
      <right/>
      <top/>
      <bottom style="hair">
        <color indexed="8"/>
      </bottom>
      <diagonal/>
    </border>
    <border>
      <left/>
      <right style="thin">
        <color indexed="8"/>
      </right>
      <top/>
      <bottom style="hair">
        <color indexed="8"/>
      </bottom>
      <diagonal/>
    </border>
    <border>
      <left style="thin">
        <color indexed="8"/>
      </left>
      <right style="thin">
        <color indexed="18"/>
      </right>
      <top style="medium">
        <color indexed="64"/>
      </top>
      <bottom style="hair">
        <color indexed="64"/>
      </bottom>
      <diagonal/>
    </border>
    <border>
      <left style="thin">
        <color indexed="8"/>
      </left>
      <right style="thin">
        <color indexed="18"/>
      </right>
      <top style="hair">
        <color indexed="64"/>
      </top>
      <bottom style="medium">
        <color indexed="8"/>
      </bottom>
      <diagonal/>
    </border>
    <border>
      <left style="thin">
        <color indexed="8"/>
      </left>
      <right style="thin">
        <color indexed="18"/>
      </right>
      <top style="hair">
        <color indexed="64"/>
      </top>
      <bottom style="medium">
        <color indexed="64"/>
      </bottom>
      <diagonal/>
    </border>
    <border>
      <left style="thin">
        <color indexed="8"/>
      </left>
      <right/>
      <top style="hair">
        <color indexed="8"/>
      </top>
      <bottom style="hair">
        <color indexed="8"/>
      </bottom>
      <diagonal/>
    </border>
    <border>
      <left/>
      <right style="thin">
        <color indexed="8"/>
      </right>
      <top style="hair">
        <color indexed="8"/>
      </top>
      <bottom style="hair">
        <color indexed="8"/>
      </bottom>
      <diagonal/>
    </border>
    <border>
      <left style="thin">
        <color indexed="8"/>
      </left>
      <right/>
      <top style="hair">
        <color indexed="8"/>
      </top>
      <bottom style="thin">
        <color indexed="8"/>
      </bottom>
      <diagonal/>
    </border>
    <border>
      <left/>
      <right style="thin">
        <color indexed="8"/>
      </right>
      <top style="hair">
        <color indexed="8"/>
      </top>
      <bottom style="thin">
        <color indexed="8"/>
      </bottom>
      <diagonal/>
    </border>
    <border>
      <left style="thin">
        <color indexed="8"/>
      </left>
      <right/>
      <top style="hair">
        <color indexed="8"/>
      </top>
      <bottom/>
      <diagonal/>
    </border>
    <border>
      <left/>
      <right/>
      <top style="hair">
        <color indexed="8"/>
      </top>
      <bottom/>
      <diagonal/>
    </border>
    <border>
      <left/>
      <right style="thin">
        <color indexed="8"/>
      </right>
      <top style="hair">
        <color indexed="8"/>
      </top>
      <bottom/>
      <diagonal/>
    </border>
    <border>
      <left/>
      <right/>
      <top/>
      <bottom style="hair">
        <color indexed="8"/>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style="thin">
        <color indexed="18"/>
      </left>
      <right style="thin">
        <color indexed="64"/>
      </right>
      <top style="hair">
        <color indexed="64"/>
      </top>
      <bottom/>
      <diagonal/>
    </border>
    <border>
      <left style="thin">
        <color indexed="18"/>
      </left>
      <right style="thin">
        <color indexed="64"/>
      </right>
      <top/>
      <bottom style="hair">
        <color indexed="64"/>
      </bottom>
      <diagonal/>
    </border>
    <border>
      <left style="thin">
        <color indexed="64"/>
      </left>
      <right style="thin">
        <color indexed="18"/>
      </right>
      <top style="thin">
        <color indexed="64"/>
      </top>
      <bottom style="thin">
        <color indexed="64"/>
      </bottom>
      <diagonal/>
    </border>
    <border>
      <left style="thin">
        <color indexed="18"/>
      </left>
      <right style="thin">
        <color indexed="18"/>
      </right>
      <top style="thin">
        <color indexed="64"/>
      </top>
      <bottom style="thin">
        <color indexed="64"/>
      </bottom>
      <diagonal/>
    </border>
    <border>
      <left style="thin">
        <color indexed="18"/>
      </left>
      <right style="thin">
        <color indexed="64"/>
      </right>
      <top style="thin">
        <color indexed="64"/>
      </top>
      <bottom style="thin">
        <color indexed="64"/>
      </bottom>
      <diagonal/>
    </border>
    <border>
      <left/>
      <right/>
      <top/>
      <bottom style="dashed">
        <color theme="0" tint="-0.24994659260841701"/>
      </bottom>
      <diagonal/>
    </border>
    <border>
      <left style="thin">
        <color indexed="18"/>
      </left>
      <right style="thin">
        <color indexed="64"/>
      </right>
      <top style="hair">
        <color indexed="64"/>
      </top>
      <bottom style="thin">
        <color indexed="18"/>
      </bottom>
      <diagonal/>
    </border>
    <border>
      <left style="thin">
        <color indexed="18"/>
      </left>
      <right style="thin">
        <color indexed="18"/>
      </right>
      <top style="hair">
        <color indexed="64"/>
      </top>
      <bottom style="thin">
        <color indexed="18"/>
      </bottom>
      <diagonal/>
    </border>
    <border>
      <left style="thin">
        <color indexed="18"/>
      </left>
      <right style="thin">
        <color indexed="64"/>
      </right>
      <top/>
      <bottom/>
      <diagonal/>
    </border>
    <border>
      <left style="thin">
        <color indexed="18"/>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medium">
        <color indexed="64"/>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8"/>
      </left>
      <right style="thin">
        <color indexed="18"/>
      </right>
      <top style="medium">
        <color indexed="64"/>
      </top>
      <bottom/>
      <diagonal/>
    </border>
    <border>
      <left style="thin">
        <color indexed="8"/>
      </left>
      <right style="thin">
        <color indexed="18"/>
      </right>
      <top/>
      <bottom/>
      <diagonal/>
    </border>
    <border>
      <left style="thin">
        <color indexed="8"/>
      </left>
      <right style="thin">
        <color indexed="18"/>
      </right>
      <top/>
      <bottom style="medium">
        <color indexed="64"/>
      </bottom>
      <diagonal/>
    </border>
    <border>
      <left/>
      <right style="thin">
        <color indexed="64"/>
      </right>
      <top/>
      <bottom style="medium">
        <color indexed="64"/>
      </bottom>
      <diagonal/>
    </border>
    <border>
      <left style="thin">
        <color indexed="18"/>
      </left>
      <right style="thin">
        <color indexed="18"/>
      </right>
      <top style="hair">
        <color indexed="64"/>
      </top>
      <bottom style="hair">
        <color indexed="64"/>
      </bottom>
      <diagonal/>
    </border>
    <border>
      <left style="thin">
        <color indexed="18"/>
      </left>
      <right style="thin">
        <color indexed="8"/>
      </right>
      <top style="hair">
        <color indexed="64"/>
      </top>
      <bottom style="hair">
        <color indexed="64"/>
      </bottom>
      <diagonal/>
    </border>
    <border>
      <left style="thin">
        <color indexed="18"/>
      </left>
      <right style="thin">
        <color indexed="64"/>
      </right>
      <top style="hair">
        <color indexed="64"/>
      </top>
      <bottom style="hair">
        <color indexed="64"/>
      </bottom>
      <diagonal/>
    </border>
    <border>
      <left style="thin">
        <color indexed="18"/>
      </left>
      <right/>
      <top style="hair">
        <color indexed="64"/>
      </top>
      <bottom style="hair">
        <color indexed="64"/>
      </bottom>
      <diagonal/>
    </border>
    <border>
      <left style="thin">
        <color indexed="8"/>
      </left>
      <right style="thin">
        <color indexed="18"/>
      </right>
      <top style="hair">
        <color indexed="64"/>
      </top>
      <bottom style="hair">
        <color indexed="64"/>
      </bottom>
      <diagonal/>
    </border>
  </borders>
  <cellStyleXfs count="1911">
    <xf numFmtId="168" fontId="0" fillId="0" borderId="0" applyFill="0" applyBorder="0"/>
    <xf numFmtId="168" fontId="26" fillId="0" borderId="0"/>
    <xf numFmtId="164" fontId="15" fillId="0" borderId="0"/>
    <xf numFmtId="165" fontId="15" fillId="0" borderId="0" applyFill="0" applyBorder="0" applyAlignment="0" applyProtection="0">
      <alignment horizontal="center"/>
    </xf>
    <xf numFmtId="5" fontId="15" fillId="0" borderId="0" applyFill="0" applyBorder="0" applyProtection="0">
      <alignment horizontal="right"/>
    </xf>
    <xf numFmtId="166" fontId="15" fillId="0" borderId="0" applyFill="0" applyBorder="0" applyAlignment="0" applyProtection="0"/>
    <xf numFmtId="41" fontId="15" fillId="0" borderId="0" applyFill="0" applyBorder="0" applyAlignment="0"/>
    <xf numFmtId="174" fontId="15" fillId="2" borderId="0" applyFill="0" applyBorder="0" applyAlignment="0"/>
    <xf numFmtId="169" fontId="15" fillId="0" borderId="0" applyFill="0" applyBorder="0" applyAlignment="0">
      <alignment horizontal="right"/>
    </xf>
    <xf numFmtId="41" fontId="15" fillId="0" borderId="0" applyFill="0" applyBorder="0">
      <alignment horizontal="right"/>
    </xf>
    <xf numFmtId="173" fontId="15" fillId="0" borderId="0" applyBorder="0"/>
    <xf numFmtId="43" fontId="14" fillId="0" borderId="0" applyFont="0" applyFill="0" applyBorder="0" applyAlignment="0" applyProtection="0"/>
    <xf numFmtId="44" fontId="14" fillId="0" borderId="0" applyFont="0" applyFill="0" applyBorder="0" applyAlignment="0" applyProtection="0"/>
    <xf numFmtId="168" fontId="17" fillId="3" borderId="0" applyBorder="0" applyProtection="0"/>
    <xf numFmtId="168" fontId="27" fillId="0" borderId="0">
      <alignment horizontal="left"/>
    </xf>
    <xf numFmtId="168" fontId="26" fillId="0" borderId="0"/>
    <xf numFmtId="41" fontId="18" fillId="0" borderId="0">
      <alignment horizontal="center"/>
      <protection hidden="1"/>
    </xf>
    <xf numFmtId="0" fontId="40" fillId="0" borderId="0" applyNumberFormat="0" applyFill="0" applyBorder="0" applyAlignment="0" applyProtection="0">
      <alignment vertical="top"/>
      <protection locked="0"/>
    </xf>
    <xf numFmtId="41" fontId="19" fillId="0" borderId="0" applyFill="0" applyBorder="0"/>
    <xf numFmtId="164" fontId="20" fillId="0" borderId="0" applyFill="0" applyBorder="0" applyAlignment="0" applyProtection="0">
      <alignment horizontal="left"/>
      <protection locked="0"/>
    </xf>
    <xf numFmtId="41" fontId="21" fillId="0" borderId="0" applyFill="0" applyBorder="0" applyAlignment="0" applyProtection="0"/>
    <xf numFmtId="173" fontId="21" fillId="0" borderId="0" applyFill="0" applyBorder="0" applyAlignment="0"/>
    <xf numFmtId="167" fontId="19" fillId="0" borderId="0" applyFill="0" applyBorder="0" applyAlignment="0">
      <alignment horizontal="right"/>
    </xf>
    <xf numFmtId="49" fontId="19" fillId="0" borderId="0" applyFill="0" applyBorder="0" applyAlignment="0">
      <alignment horizontal="left"/>
    </xf>
    <xf numFmtId="0" fontId="28" fillId="4" borderId="0"/>
    <xf numFmtId="168" fontId="22" fillId="0" borderId="0" applyFill="0" applyBorder="0" applyProtection="0">
      <alignment horizontal="right"/>
    </xf>
    <xf numFmtId="165" fontId="23" fillId="0" borderId="0">
      <alignment horizontal="center"/>
    </xf>
    <xf numFmtId="9" fontId="14" fillId="0" borderId="0" applyFont="0" applyFill="0" applyBorder="0" applyAlignment="0" applyProtection="0"/>
    <xf numFmtId="169" fontId="16" fillId="0" borderId="0"/>
    <xf numFmtId="41" fontId="24" fillId="0" borderId="0" applyFill="0" applyBorder="0"/>
    <xf numFmtId="37" fontId="25" fillId="0" borderId="0" applyFill="0" applyBorder="0">
      <protection locked="0"/>
    </xf>
    <xf numFmtId="9" fontId="25" fillId="0" borderId="0" applyFill="0" applyBorder="0">
      <protection locked="0"/>
    </xf>
    <xf numFmtId="0" fontId="13" fillId="0" borderId="0"/>
    <xf numFmtId="0" fontId="86" fillId="0" borderId="117" applyNumberFormat="0" applyFont="0" applyProtection="0">
      <alignment wrapText="1"/>
    </xf>
    <xf numFmtId="169" fontId="14" fillId="0" borderId="0"/>
    <xf numFmtId="0" fontId="12" fillId="0" borderId="0"/>
    <xf numFmtId="0" fontId="90" fillId="0" borderId="0" applyNumberFormat="0" applyFill="0" applyBorder="0" applyAlignment="0" applyProtection="0"/>
    <xf numFmtId="0" fontId="91" fillId="0" borderId="122" applyNumberFormat="0" applyFill="0" applyAlignment="0" applyProtection="0"/>
    <xf numFmtId="0" fontId="92" fillId="0" borderId="123" applyNumberFormat="0" applyFill="0" applyAlignment="0" applyProtection="0"/>
    <xf numFmtId="0" fontId="93" fillId="0" borderId="124" applyNumberFormat="0" applyFill="0" applyAlignment="0" applyProtection="0"/>
    <xf numFmtId="0" fontId="93" fillId="0" borderId="0" applyNumberFormat="0" applyFill="0" applyBorder="0" applyAlignment="0" applyProtection="0"/>
    <xf numFmtId="0" fontId="94" fillId="21" borderId="0" applyNumberFormat="0" applyBorder="0" applyAlignment="0" applyProtection="0"/>
    <xf numFmtId="0" fontId="95" fillId="22" borderId="0" applyNumberFormat="0" applyBorder="0" applyAlignment="0" applyProtection="0"/>
    <xf numFmtId="0" fontId="96" fillId="23" borderId="0" applyNumberFormat="0" applyBorder="0" applyAlignment="0" applyProtection="0"/>
    <xf numFmtId="0" fontId="97" fillId="24" borderId="125" applyNumberFormat="0" applyAlignment="0" applyProtection="0"/>
    <xf numFmtId="0" fontId="98" fillId="25" borderId="126" applyNumberFormat="0" applyAlignment="0" applyProtection="0"/>
    <xf numFmtId="0" fontId="99" fillId="25" borderId="125" applyNumberFormat="0" applyAlignment="0" applyProtection="0"/>
    <xf numFmtId="0" fontId="100" fillId="0" borderId="127" applyNumberFormat="0" applyFill="0" applyAlignment="0" applyProtection="0"/>
    <xf numFmtId="0" fontId="101" fillId="26" borderId="128" applyNumberFormat="0" applyAlignment="0" applyProtection="0"/>
    <xf numFmtId="0" fontId="102" fillId="0" borderId="0" applyNumberFormat="0" applyFill="0" applyBorder="0" applyAlignment="0" applyProtection="0"/>
    <xf numFmtId="0" fontId="103" fillId="0" borderId="0" applyNumberFormat="0" applyFill="0" applyBorder="0" applyAlignment="0" applyProtection="0"/>
    <xf numFmtId="0" fontId="104" fillId="0" borderId="130" applyNumberFormat="0" applyFill="0" applyAlignment="0" applyProtection="0"/>
    <xf numFmtId="0" fontId="105" fillId="28" borderId="0" applyNumberFormat="0" applyBorder="0" applyAlignment="0" applyProtection="0"/>
    <xf numFmtId="0" fontId="11" fillId="29" borderId="0" applyNumberFormat="0" applyBorder="0" applyAlignment="0" applyProtection="0"/>
    <xf numFmtId="0" fontId="11" fillId="30" borderId="0" applyNumberFormat="0" applyBorder="0" applyAlignment="0" applyProtection="0"/>
    <xf numFmtId="0" fontId="105" fillId="31" borderId="0" applyNumberFormat="0" applyBorder="0" applyAlignment="0" applyProtection="0"/>
    <xf numFmtId="0" fontId="105" fillId="32" borderId="0" applyNumberFormat="0" applyBorder="0" applyAlignment="0" applyProtection="0"/>
    <xf numFmtId="0" fontId="11" fillId="33" borderId="0" applyNumberFormat="0" applyBorder="0" applyAlignment="0" applyProtection="0"/>
    <xf numFmtId="0" fontId="11" fillId="34" borderId="0" applyNumberFormat="0" applyBorder="0" applyAlignment="0" applyProtection="0"/>
    <xf numFmtId="0" fontId="105" fillId="35" borderId="0" applyNumberFormat="0" applyBorder="0" applyAlignment="0" applyProtection="0"/>
    <xf numFmtId="0" fontId="105" fillId="36" borderId="0" applyNumberFormat="0" applyBorder="0" applyAlignment="0" applyProtection="0"/>
    <xf numFmtId="0" fontId="11" fillId="37" borderId="0" applyNumberFormat="0" applyBorder="0" applyAlignment="0" applyProtection="0"/>
    <xf numFmtId="0" fontId="11" fillId="38" borderId="0" applyNumberFormat="0" applyBorder="0" applyAlignment="0" applyProtection="0"/>
    <xf numFmtId="0" fontId="105" fillId="39" borderId="0" applyNumberFormat="0" applyBorder="0" applyAlignment="0" applyProtection="0"/>
    <xf numFmtId="0" fontId="105" fillId="40" borderId="0" applyNumberFormat="0" applyBorder="0" applyAlignment="0" applyProtection="0"/>
    <xf numFmtId="0" fontId="11" fillId="41" borderId="0" applyNumberFormat="0" applyBorder="0" applyAlignment="0" applyProtection="0"/>
    <xf numFmtId="0" fontId="11" fillId="42" borderId="0" applyNumberFormat="0" applyBorder="0" applyAlignment="0" applyProtection="0"/>
    <xf numFmtId="0" fontId="105" fillId="43" borderId="0" applyNumberFormat="0" applyBorder="0" applyAlignment="0" applyProtection="0"/>
    <xf numFmtId="0" fontId="105" fillId="44" borderId="0" applyNumberFormat="0" applyBorder="0" applyAlignment="0" applyProtection="0"/>
    <xf numFmtId="0" fontId="11" fillId="45" borderId="0" applyNumberFormat="0" applyBorder="0" applyAlignment="0" applyProtection="0"/>
    <xf numFmtId="0" fontId="11" fillId="46" borderId="0" applyNumberFormat="0" applyBorder="0" applyAlignment="0" applyProtection="0"/>
    <xf numFmtId="0" fontId="105" fillId="47" borderId="0" applyNumberFormat="0" applyBorder="0" applyAlignment="0" applyProtection="0"/>
    <xf numFmtId="0" fontId="105" fillId="48" borderId="0" applyNumberFormat="0" applyBorder="0" applyAlignment="0" applyProtection="0"/>
    <xf numFmtId="0" fontId="11" fillId="49" borderId="0" applyNumberFormat="0" applyBorder="0" applyAlignment="0" applyProtection="0"/>
    <xf numFmtId="0" fontId="11" fillId="50" borderId="0" applyNumberFormat="0" applyBorder="0" applyAlignment="0" applyProtection="0"/>
    <xf numFmtId="0" fontId="105" fillId="51" borderId="0" applyNumberFormat="0" applyBorder="0" applyAlignment="0" applyProtection="0"/>
    <xf numFmtId="0" fontId="11" fillId="0" borderId="0"/>
    <xf numFmtId="0" fontId="107" fillId="0" borderId="132" applyNumberFormat="0" applyProtection="0">
      <alignment wrapText="1"/>
    </xf>
    <xf numFmtId="0" fontId="11" fillId="27" borderId="129" applyNumberFormat="0" applyFont="0" applyAlignment="0" applyProtection="0"/>
    <xf numFmtId="0" fontId="108" fillId="0" borderId="0"/>
    <xf numFmtId="0" fontId="112" fillId="0" borderId="123" applyNumberFormat="0" applyFill="0" applyAlignment="0" applyProtection="0"/>
    <xf numFmtId="0" fontId="125" fillId="32" borderId="0" applyNumberFormat="0" applyBorder="0" applyAlignment="0" applyProtection="0"/>
    <xf numFmtId="0" fontId="123" fillId="0" borderId="0" applyNumberFormat="0" applyFill="0" applyBorder="0" applyAlignment="0" applyProtection="0"/>
    <xf numFmtId="0" fontId="117" fillId="24" borderId="125" applyNumberFormat="0" applyAlignment="0" applyProtection="0"/>
    <xf numFmtId="0" fontId="111" fillId="0" borderId="122" applyNumberFormat="0" applyFill="0" applyAlignment="0" applyProtection="0"/>
    <xf numFmtId="0" fontId="125" fillId="31" borderId="0" applyNumberFormat="0" applyBorder="0" applyAlignment="0" applyProtection="0"/>
    <xf numFmtId="0" fontId="122" fillId="0" borderId="0" applyNumberFormat="0" applyFill="0" applyBorder="0" applyAlignment="0" applyProtection="0"/>
    <xf numFmtId="0" fontId="116" fillId="23" borderId="0" applyNumberFormat="0" applyBorder="0" applyAlignment="0" applyProtection="0"/>
    <xf numFmtId="0" fontId="106" fillId="30" borderId="0" applyNumberFormat="0" applyBorder="0" applyAlignment="0" applyProtection="0"/>
    <xf numFmtId="0" fontId="121" fillId="26" borderId="128" applyNumberFormat="0" applyAlignment="0" applyProtection="0"/>
    <xf numFmtId="0" fontId="115" fillId="22" borderId="0" applyNumberFormat="0" applyBorder="0" applyAlignment="0" applyProtection="0"/>
    <xf numFmtId="0" fontId="106" fillId="29" borderId="0" applyNumberFormat="0" applyBorder="0" applyAlignment="0" applyProtection="0"/>
    <xf numFmtId="0" fontId="120" fillId="0" borderId="127" applyNumberFormat="0" applyFill="0" applyAlignment="0" applyProtection="0"/>
    <xf numFmtId="0" fontId="114" fillId="21" borderId="0" applyNumberFormat="0" applyBorder="0" applyAlignment="0" applyProtection="0"/>
    <xf numFmtId="0" fontId="125" fillId="28" borderId="0" applyNumberFormat="0" applyBorder="0" applyAlignment="0" applyProtection="0"/>
    <xf numFmtId="0" fontId="119" fillId="25" borderId="125" applyNumberFormat="0" applyAlignment="0" applyProtection="0"/>
    <xf numFmtId="0" fontId="113" fillId="0" borderId="0" applyNumberFormat="0" applyFill="0" applyBorder="0" applyAlignment="0" applyProtection="0"/>
    <xf numFmtId="0" fontId="110" fillId="0" borderId="0" applyNumberFormat="0" applyProtection="0">
      <alignment horizontal="left"/>
    </xf>
    <xf numFmtId="0" fontId="124" fillId="0" borderId="130" applyNumberFormat="0" applyFill="0" applyAlignment="0" applyProtection="0"/>
    <xf numFmtId="0" fontId="118" fillId="25" borderId="126" applyNumberFormat="0" applyAlignment="0" applyProtection="0"/>
    <xf numFmtId="0" fontId="113" fillId="0" borderId="124" applyNumberFormat="0" applyFill="0" applyAlignment="0" applyProtection="0"/>
    <xf numFmtId="0" fontId="109" fillId="0" borderId="0"/>
    <xf numFmtId="0" fontId="106" fillId="33" borderId="0" applyNumberFormat="0" applyBorder="0" applyAlignment="0" applyProtection="0"/>
    <xf numFmtId="168" fontId="26" fillId="0" borderId="0" applyFill="0" applyBorder="0"/>
    <xf numFmtId="0" fontId="106" fillId="0" borderId="0"/>
    <xf numFmtId="168" fontId="26" fillId="0" borderId="0" applyFill="0" applyBorder="0"/>
    <xf numFmtId="0" fontId="107" fillId="0" borderId="131" applyNumberFormat="0" applyProtection="0">
      <alignment wrapText="1"/>
    </xf>
    <xf numFmtId="0" fontId="108" fillId="0" borderId="0" applyNumberFormat="0" applyFill="0" applyBorder="0" applyAlignment="0" applyProtection="0"/>
    <xf numFmtId="0" fontId="108" fillId="0" borderId="134" applyNumberFormat="0" applyProtection="0">
      <alignment wrapText="1"/>
    </xf>
    <xf numFmtId="44" fontId="14" fillId="0" borderId="0" applyFont="0" applyFill="0" applyBorder="0" applyAlignment="0" applyProtection="0"/>
    <xf numFmtId="0" fontId="11" fillId="0" borderId="0"/>
    <xf numFmtId="43" fontId="14" fillId="0" borderId="0" applyFont="0" applyFill="0" applyBorder="0" applyAlignment="0" applyProtection="0"/>
    <xf numFmtId="0" fontId="108" fillId="0" borderId="133" applyNumberFormat="0" applyFont="0" applyProtection="0">
      <alignment wrapText="1"/>
    </xf>
    <xf numFmtId="9" fontId="14" fillId="0" borderId="0" applyFont="0" applyFill="0" applyBorder="0" applyAlignment="0" applyProtection="0"/>
    <xf numFmtId="0" fontId="11" fillId="0" borderId="0"/>
    <xf numFmtId="9" fontId="11" fillId="0" borderId="0" applyFont="0" applyFill="0" applyBorder="0" applyAlignment="0" applyProtection="0"/>
    <xf numFmtId="0" fontId="106" fillId="34" borderId="0" applyNumberFormat="0" applyBorder="0" applyAlignment="0" applyProtection="0"/>
    <xf numFmtId="0" fontId="125" fillId="35" borderId="0" applyNumberFormat="0" applyBorder="0" applyAlignment="0" applyProtection="0"/>
    <xf numFmtId="0" fontId="125" fillId="36" borderId="0" applyNumberFormat="0" applyBorder="0" applyAlignment="0" applyProtection="0"/>
    <xf numFmtId="0" fontId="106" fillId="37" borderId="0" applyNumberFormat="0" applyBorder="0" applyAlignment="0" applyProtection="0"/>
    <xf numFmtId="0" fontId="106" fillId="38" borderId="0" applyNumberFormat="0" applyBorder="0" applyAlignment="0" applyProtection="0"/>
    <xf numFmtId="0" fontId="125" fillId="39" borderId="0" applyNumberFormat="0" applyBorder="0" applyAlignment="0" applyProtection="0"/>
    <xf numFmtId="0" fontId="125" fillId="40" borderId="0" applyNumberFormat="0" applyBorder="0" applyAlignment="0" applyProtection="0"/>
    <xf numFmtId="0" fontId="106" fillId="41" borderId="0" applyNumberFormat="0" applyBorder="0" applyAlignment="0" applyProtection="0"/>
    <xf numFmtId="0" fontId="106" fillId="42" borderId="0" applyNumberFormat="0" applyBorder="0" applyAlignment="0" applyProtection="0"/>
    <xf numFmtId="0" fontId="125" fillId="43" borderId="0" applyNumberFormat="0" applyBorder="0" applyAlignment="0" applyProtection="0"/>
    <xf numFmtId="0" fontId="125" fillId="44" borderId="0" applyNumberFormat="0" applyBorder="0" applyAlignment="0" applyProtection="0"/>
    <xf numFmtId="0" fontId="106" fillId="45" borderId="0" applyNumberFormat="0" applyBorder="0" applyAlignment="0" applyProtection="0"/>
    <xf numFmtId="0" fontId="106" fillId="46" borderId="0" applyNumberFormat="0" applyBorder="0" applyAlignment="0" applyProtection="0"/>
    <xf numFmtId="0" fontId="125" fillId="47" borderId="0" applyNumberFormat="0" applyBorder="0" applyAlignment="0" applyProtection="0"/>
    <xf numFmtId="0" fontId="125" fillId="48" borderId="0" applyNumberFormat="0" applyBorder="0" applyAlignment="0" applyProtection="0"/>
    <xf numFmtId="0" fontId="106" fillId="49" borderId="0" applyNumberFormat="0" applyBorder="0" applyAlignment="0" applyProtection="0"/>
    <xf numFmtId="0" fontId="106" fillId="50" borderId="0" applyNumberFormat="0" applyBorder="0" applyAlignment="0" applyProtection="0"/>
    <xf numFmtId="0" fontId="125" fillId="51" borderId="0" applyNumberFormat="0" applyBorder="0" applyAlignment="0" applyProtection="0"/>
    <xf numFmtId="0" fontId="106" fillId="0" borderId="0"/>
    <xf numFmtId="0" fontId="106" fillId="27" borderId="129" applyNumberFormat="0" applyFont="0" applyAlignment="0" applyProtection="0"/>
    <xf numFmtId="0" fontId="126" fillId="0" borderId="0" applyNumberFormat="0" applyFill="0" applyBorder="0" applyAlignment="0" applyProtection="0"/>
    <xf numFmtId="0" fontId="106" fillId="27" borderId="129" applyNumberFormat="0" applyFont="0" applyAlignment="0" applyProtection="0"/>
    <xf numFmtId="0" fontId="106" fillId="29" borderId="0" applyNumberFormat="0" applyBorder="0" applyAlignment="0" applyProtection="0"/>
    <xf numFmtId="0" fontId="106" fillId="30" borderId="0" applyNumberFormat="0" applyBorder="0" applyAlignment="0" applyProtection="0"/>
    <xf numFmtId="0" fontId="106" fillId="33" borderId="0" applyNumberFormat="0" applyBorder="0" applyAlignment="0" applyProtection="0"/>
    <xf numFmtId="0" fontId="106" fillId="34" borderId="0" applyNumberFormat="0" applyBorder="0" applyAlignment="0" applyProtection="0"/>
    <xf numFmtId="0" fontId="106" fillId="37" borderId="0" applyNumberFormat="0" applyBorder="0" applyAlignment="0" applyProtection="0"/>
    <xf numFmtId="0" fontId="106" fillId="38" borderId="0" applyNumberFormat="0" applyBorder="0" applyAlignment="0" applyProtection="0"/>
    <xf numFmtId="0" fontId="106" fillId="41" borderId="0" applyNumberFormat="0" applyBorder="0" applyAlignment="0" applyProtection="0"/>
    <xf numFmtId="0" fontId="106" fillId="42" borderId="0" applyNumberFormat="0" applyBorder="0" applyAlignment="0" applyProtection="0"/>
    <xf numFmtId="0" fontId="106" fillId="45" borderId="0" applyNumberFormat="0" applyBorder="0" applyAlignment="0" applyProtection="0"/>
    <xf numFmtId="0" fontId="106" fillId="46" borderId="0" applyNumberFormat="0" applyBorder="0" applyAlignment="0" applyProtection="0"/>
    <xf numFmtId="0" fontId="106" fillId="49" borderId="0" applyNumberFormat="0" applyBorder="0" applyAlignment="0" applyProtection="0"/>
    <xf numFmtId="0" fontId="106" fillId="50" borderId="0" applyNumberFormat="0" applyBorder="0" applyAlignment="0" applyProtection="0"/>
    <xf numFmtId="0" fontId="91" fillId="0" borderId="122" applyNumberFormat="0" applyFill="0" applyAlignment="0" applyProtection="0"/>
    <xf numFmtId="0" fontId="92" fillId="0" borderId="123" applyNumberFormat="0" applyFill="0" applyAlignment="0" applyProtection="0"/>
    <xf numFmtId="0" fontId="93" fillId="0" borderId="124" applyNumberFormat="0" applyFill="0" applyAlignment="0" applyProtection="0"/>
    <xf numFmtId="0" fontId="93" fillId="0" borderId="0" applyNumberFormat="0" applyFill="0" applyBorder="0" applyAlignment="0" applyProtection="0"/>
    <xf numFmtId="0" fontId="94" fillId="21" borderId="0" applyNumberFormat="0" applyBorder="0" applyAlignment="0" applyProtection="0"/>
    <xf numFmtId="0" fontId="95" fillId="22" borderId="0" applyNumberFormat="0" applyBorder="0" applyAlignment="0" applyProtection="0"/>
    <xf numFmtId="0" fontId="96" fillId="23" borderId="0" applyNumberFormat="0" applyBorder="0" applyAlignment="0" applyProtection="0"/>
    <xf numFmtId="0" fontId="97" fillId="24" borderId="125" applyNumberFormat="0" applyAlignment="0" applyProtection="0"/>
    <xf numFmtId="0" fontId="98" fillId="25" borderId="126" applyNumberFormat="0" applyAlignment="0" applyProtection="0"/>
    <xf numFmtId="0" fontId="99" fillId="25" borderId="125" applyNumberFormat="0" applyAlignment="0" applyProtection="0"/>
    <xf numFmtId="0" fontId="100" fillId="0" borderId="127" applyNumberFormat="0" applyFill="0" applyAlignment="0" applyProtection="0"/>
    <xf numFmtId="0" fontId="101" fillId="26" borderId="128" applyNumberFormat="0" applyAlignment="0" applyProtection="0"/>
    <xf numFmtId="0" fontId="102" fillId="0" borderId="0" applyNumberFormat="0" applyFill="0" applyBorder="0" applyAlignment="0" applyProtection="0"/>
    <xf numFmtId="0" fontId="11" fillId="27" borderId="129" applyNumberFormat="0" applyFont="0" applyAlignment="0" applyProtection="0"/>
    <xf numFmtId="0" fontId="103" fillId="0" borderId="0" applyNumberFormat="0" applyFill="0" applyBorder="0" applyAlignment="0" applyProtection="0"/>
    <xf numFmtId="0" fontId="104" fillId="0" borderId="130" applyNumberFormat="0" applyFill="0" applyAlignment="0" applyProtection="0"/>
    <xf numFmtId="0" fontId="105" fillId="28" borderId="0" applyNumberFormat="0" applyBorder="0" applyAlignment="0" applyProtection="0"/>
    <xf numFmtId="0" fontId="11" fillId="29" borderId="0" applyNumberFormat="0" applyBorder="0" applyAlignment="0" applyProtection="0"/>
    <xf numFmtId="0" fontId="11" fillId="30" borderId="0" applyNumberFormat="0" applyBorder="0" applyAlignment="0" applyProtection="0"/>
    <xf numFmtId="0" fontId="105" fillId="31" borderId="0" applyNumberFormat="0" applyBorder="0" applyAlignment="0" applyProtection="0"/>
    <xf numFmtId="0" fontId="105" fillId="32" borderId="0" applyNumberFormat="0" applyBorder="0" applyAlignment="0" applyProtection="0"/>
    <xf numFmtId="0" fontId="11" fillId="33" borderId="0" applyNumberFormat="0" applyBorder="0" applyAlignment="0" applyProtection="0"/>
    <xf numFmtId="0" fontId="11" fillId="34" borderId="0" applyNumberFormat="0" applyBorder="0" applyAlignment="0" applyProtection="0"/>
    <xf numFmtId="0" fontId="105" fillId="35" borderId="0" applyNumberFormat="0" applyBorder="0" applyAlignment="0" applyProtection="0"/>
    <xf numFmtId="0" fontId="105" fillId="36" borderId="0" applyNumberFormat="0" applyBorder="0" applyAlignment="0" applyProtection="0"/>
    <xf numFmtId="0" fontId="11" fillId="37" borderId="0" applyNumberFormat="0" applyBorder="0" applyAlignment="0" applyProtection="0"/>
    <xf numFmtId="0" fontId="11" fillId="38" borderId="0" applyNumberFormat="0" applyBorder="0" applyAlignment="0" applyProtection="0"/>
    <xf numFmtId="0" fontId="105" fillId="39" borderId="0" applyNumberFormat="0" applyBorder="0" applyAlignment="0" applyProtection="0"/>
    <xf numFmtId="0" fontId="105" fillId="40" borderId="0" applyNumberFormat="0" applyBorder="0" applyAlignment="0" applyProtection="0"/>
    <xf numFmtId="0" fontId="11" fillId="41" borderId="0" applyNumberFormat="0" applyBorder="0" applyAlignment="0" applyProtection="0"/>
    <xf numFmtId="0" fontId="11" fillId="42" borderId="0" applyNumberFormat="0" applyBorder="0" applyAlignment="0" applyProtection="0"/>
    <xf numFmtId="0" fontId="105" fillId="43" borderId="0" applyNumberFormat="0" applyBorder="0" applyAlignment="0" applyProtection="0"/>
    <xf numFmtId="0" fontId="105" fillId="44" borderId="0" applyNumberFormat="0" applyBorder="0" applyAlignment="0" applyProtection="0"/>
    <xf numFmtId="0" fontId="11" fillId="45" borderId="0" applyNumberFormat="0" applyBorder="0" applyAlignment="0" applyProtection="0"/>
    <xf numFmtId="0" fontId="11" fillId="46" borderId="0" applyNumberFormat="0" applyBorder="0" applyAlignment="0" applyProtection="0"/>
    <xf numFmtId="0" fontId="105" fillId="47" borderId="0" applyNumberFormat="0" applyBorder="0" applyAlignment="0" applyProtection="0"/>
    <xf numFmtId="0" fontId="105" fillId="48" borderId="0" applyNumberFormat="0" applyBorder="0" applyAlignment="0" applyProtection="0"/>
    <xf numFmtId="0" fontId="11" fillId="49" borderId="0" applyNumberFormat="0" applyBorder="0" applyAlignment="0" applyProtection="0"/>
    <xf numFmtId="0" fontId="11" fillId="50" borderId="0" applyNumberFormat="0" applyBorder="0" applyAlignment="0" applyProtection="0"/>
    <xf numFmtId="0" fontId="105" fillId="51" borderId="0" applyNumberFormat="0" applyBorder="0" applyAlignment="0" applyProtection="0"/>
    <xf numFmtId="0" fontId="40" fillId="0" borderId="0" applyNumberFormat="0" applyFill="0" applyBorder="0" applyAlignment="0" applyProtection="0">
      <alignment vertical="top"/>
      <protection locked="0"/>
    </xf>
    <xf numFmtId="0" fontId="11" fillId="0" borderId="0"/>
    <xf numFmtId="0" fontId="11" fillId="0" borderId="0"/>
    <xf numFmtId="0" fontId="11" fillId="0" borderId="0"/>
    <xf numFmtId="0" fontId="11" fillId="27" borderId="129" applyNumberFormat="0" applyFont="0" applyAlignment="0" applyProtection="0"/>
    <xf numFmtId="168" fontId="26" fillId="0" borderId="0" applyFill="0" applyBorder="0"/>
    <xf numFmtId="9" fontId="11" fillId="0" borderId="0" applyFont="0" applyFill="0" applyBorder="0" applyAlignment="0" applyProtection="0"/>
    <xf numFmtId="0" fontId="10" fillId="27" borderId="129" applyNumberFormat="0" applyFont="0" applyAlignment="0" applyProtection="0"/>
    <xf numFmtId="0" fontId="10" fillId="29" borderId="0" applyNumberFormat="0" applyBorder="0" applyAlignment="0" applyProtection="0"/>
    <xf numFmtId="0" fontId="10" fillId="30"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50" borderId="0" applyNumberFormat="0" applyBorder="0" applyAlignment="0" applyProtection="0"/>
    <xf numFmtId="0" fontId="9" fillId="27" borderId="129" applyNumberFormat="0" applyFont="0" applyAlignment="0" applyProtection="0"/>
    <xf numFmtId="0" fontId="9" fillId="29" borderId="0" applyNumberFormat="0" applyBorder="0" applyAlignment="0" applyProtection="0"/>
    <xf numFmtId="0" fontId="9" fillId="30"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50" borderId="0" applyNumberFormat="0" applyBorder="0" applyAlignment="0" applyProtection="0"/>
    <xf numFmtId="0" fontId="8" fillId="27" borderId="129" applyNumberFormat="0" applyFont="0" applyAlignment="0" applyProtection="0"/>
    <xf numFmtId="0" fontId="8" fillId="29" borderId="0" applyNumberFormat="0" applyBorder="0" applyAlignment="0" applyProtection="0"/>
    <xf numFmtId="0" fontId="8" fillId="30"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8" fillId="37"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50" borderId="0" applyNumberFormat="0" applyBorder="0" applyAlignment="0" applyProtection="0"/>
    <xf numFmtId="168" fontId="26" fillId="0" borderId="0" applyFill="0" applyBorder="0"/>
    <xf numFmtId="43" fontId="14" fillId="0" borderId="0" applyFont="0" applyFill="0" applyBorder="0" applyAlignment="0" applyProtection="0"/>
    <xf numFmtId="44" fontId="14" fillId="0" borderId="0" applyFont="0" applyFill="0" applyBorder="0" applyAlignment="0" applyProtection="0"/>
    <xf numFmtId="0" fontId="40" fillId="0" borderId="0" applyNumberFormat="0" applyFill="0" applyBorder="0" applyAlignment="0" applyProtection="0">
      <alignment vertical="top"/>
      <protection locked="0"/>
    </xf>
    <xf numFmtId="9" fontId="14" fillId="0" borderId="0" applyFont="0" applyFill="0" applyBorder="0" applyAlignment="0" applyProtection="0"/>
    <xf numFmtId="0" fontId="8" fillId="0" borderId="0"/>
    <xf numFmtId="0" fontId="86" fillId="0" borderId="117" applyNumberFormat="0" applyFont="0" applyProtection="0">
      <alignment wrapText="1"/>
    </xf>
    <xf numFmtId="0" fontId="8" fillId="0" borderId="0"/>
    <xf numFmtId="0" fontId="8" fillId="29" borderId="0" applyNumberFormat="0" applyBorder="0" applyAlignment="0" applyProtection="0"/>
    <xf numFmtId="0" fontId="8" fillId="30"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8" fillId="37"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50" borderId="0" applyNumberFormat="0" applyBorder="0" applyAlignment="0" applyProtection="0"/>
    <xf numFmtId="0" fontId="8" fillId="0" borderId="0"/>
    <xf numFmtId="0" fontId="8" fillId="27" borderId="129" applyNumberFormat="0" applyFont="0" applyAlignment="0" applyProtection="0"/>
    <xf numFmtId="0" fontId="8" fillId="0" borderId="0"/>
    <xf numFmtId="0" fontId="8" fillId="0" borderId="0"/>
    <xf numFmtId="9" fontId="8" fillId="0" borderId="0" applyFont="0" applyFill="0" applyBorder="0" applyAlignment="0" applyProtection="0"/>
    <xf numFmtId="0" fontId="8" fillId="27" borderId="129" applyNumberFormat="0" applyFont="0" applyAlignment="0" applyProtection="0"/>
    <xf numFmtId="0" fontId="8" fillId="29" borderId="0" applyNumberFormat="0" applyBorder="0" applyAlignment="0" applyProtection="0"/>
    <xf numFmtId="0" fontId="8" fillId="30"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8" fillId="37"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50" borderId="0" applyNumberFormat="0" applyBorder="0" applyAlignment="0" applyProtection="0"/>
    <xf numFmtId="0" fontId="8" fillId="0" borderId="0"/>
    <xf numFmtId="0" fontId="8" fillId="0" borderId="0"/>
    <xf numFmtId="0" fontId="8" fillId="0" borderId="0"/>
    <xf numFmtId="0" fontId="8" fillId="27" borderId="129" applyNumberFormat="0" applyFont="0" applyAlignment="0" applyProtection="0"/>
    <xf numFmtId="9" fontId="8" fillId="0" borderId="0" applyFont="0" applyFill="0" applyBorder="0" applyAlignment="0" applyProtection="0"/>
    <xf numFmtId="0" fontId="8" fillId="27" borderId="129" applyNumberFormat="0" applyFont="0" applyAlignment="0" applyProtection="0"/>
    <xf numFmtId="0" fontId="8" fillId="29" borderId="0" applyNumberFormat="0" applyBorder="0" applyAlignment="0" applyProtection="0"/>
    <xf numFmtId="0" fontId="8" fillId="30"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8" fillId="37"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50" borderId="0" applyNumberFormat="0" applyBorder="0" applyAlignment="0" applyProtection="0"/>
    <xf numFmtId="0" fontId="8" fillId="27" borderId="129" applyNumberFormat="0" applyFont="0" applyAlignment="0" applyProtection="0"/>
    <xf numFmtId="0" fontId="8" fillId="29" borderId="0" applyNumberFormat="0" applyBorder="0" applyAlignment="0" applyProtection="0"/>
    <xf numFmtId="0" fontId="8" fillId="30"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8" fillId="37"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50" borderId="0" applyNumberFormat="0" applyBorder="0" applyAlignment="0" applyProtection="0"/>
    <xf numFmtId="9" fontId="7" fillId="0" borderId="0" applyFont="0" applyFill="0" applyBorder="0" applyAlignment="0" applyProtection="0"/>
    <xf numFmtId="0" fontId="7" fillId="27" borderId="129" applyNumberFormat="0" applyFont="0" applyAlignment="0" applyProtection="0"/>
    <xf numFmtId="0" fontId="7" fillId="29" borderId="0" applyNumberFormat="0" applyBorder="0" applyAlignment="0" applyProtection="0"/>
    <xf numFmtId="0" fontId="7" fillId="30"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50" borderId="0" applyNumberFormat="0" applyBorder="0" applyAlignment="0" applyProtection="0"/>
    <xf numFmtId="9" fontId="108" fillId="0" borderId="0" applyFont="0" applyFill="0" applyBorder="0" applyAlignment="0" applyProtection="0"/>
    <xf numFmtId="0" fontId="6" fillId="27" borderId="129" applyNumberFormat="0" applyFont="0" applyAlignment="0" applyProtection="0"/>
    <xf numFmtId="0" fontId="6" fillId="29" borderId="0" applyNumberFormat="0" applyBorder="0" applyAlignment="0" applyProtection="0"/>
    <xf numFmtId="0" fontId="6" fillId="30" borderId="0" applyNumberFormat="0" applyBorder="0" applyAlignment="0" applyProtection="0"/>
    <xf numFmtId="0" fontId="6" fillId="33" borderId="0" applyNumberFormat="0" applyBorder="0" applyAlignment="0" applyProtection="0"/>
    <xf numFmtId="0" fontId="6" fillId="34" borderId="0" applyNumberFormat="0" applyBorder="0" applyAlignment="0" applyProtection="0"/>
    <xf numFmtId="0" fontId="6" fillId="37" borderId="0" applyNumberFormat="0" applyBorder="0" applyAlignment="0" applyProtection="0"/>
    <xf numFmtId="0" fontId="6" fillId="38" borderId="0" applyNumberFormat="0" applyBorder="0" applyAlignment="0" applyProtection="0"/>
    <xf numFmtId="0" fontId="6" fillId="41" borderId="0" applyNumberFormat="0" applyBorder="0" applyAlignment="0" applyProtection="0"/>
    <xf numFmtId="0" fontId="6" fillId="42" borderId="0" applyNumberFormat="0" applyBorder="0" applyAlignment="0" applyProtection="0"/>
    <xf numFmtId="0" fontId="6" fillId="45" borderId="0" applyNumberFormat="0" applyBorder="0" applyAlignment="0" applyProtection="0"/>
    <xf numFmtId="0" fontId="6" fillId="46" borderId="0" applyNumberFormat="0" applyBorder="0" applyAlignment="0" applyProtection="0"/>
    <xf numFmtId="0" fontId="6" fillId="49" borderId="0" applyNumberFormat="0" applyBorder="0" applyAlignment="0" applyProtection="0"/>
    <xf numFmtId="0" fontId="6" fillId="50" borderId="0" applyNumberFormat="0" applyBorder="0" applyAlignment="0" applyProtection="0"/>
    <xf numFmtId="0" fontId="6" fillId="0" borderId="0"/>
    <xf numFmtId="0" fontId="6" fillId="0" borderId="0"/>
    <xf numFmtId="0" fontId="6" fillId="0" borderId="0"/>
    <xf numFmtId="0" fontId="6" fillId="27" borderId="129" applyNumberFormat="0" applyFont="0" applyAlignment="0" applyProtection="0"/>
    <xf numFmtId="0" fontId="6" fillId="0" borderId="0"/>
    <xf numFmtId="0" fontId="6" fillId="0" borderId="0"/>
    <xf numFmtId="9" fontId="6" fillId="0" borderId="0" applyFont="0" applyFill="0" applyBorder="0" applyAlignment="0" applyProtection="0"/>
    <xf numFmtId="0" fontId="6" fillId="27" borderId="129" applyNumberFormat="0" applyFont="0" applyAlignment="0" applyProtection="0"/>
    <xf numFmtId="0" fontId="6" fillId="29" borderId="0" applyNumberFormat="0" applyBorder="0" applyAlignment="0" applyProtection="0"/>
    <xf numFmtId="0" fontId="6" fillId="30" borderId="0" applyNumberFormat="0" applyBorder="0" applyAlignment="0" applyProtection="0"/>
    <xf numFmtId="0" fontId="6" fillId="33" borderId="0" applyNumberFormat="0" applyBorder="0" applyAlignment="0" applyProtection="0"/>
    <xf numFmtId="0" fontId="6" fillId="34" borderId="0" applyNumberFormat="0" applyBorder="0" applyAlignment="0" applyProtection="0"/>
    <xf numFmtId="0" fontId="6" fillId="37" borderId="0" applyNumberFormat="0" applyBorder="0" applyAlignment="0" applyProtection="0"/>
    <xf numFmtId="0" fontId="6" fillId="38" borderId="0" applyNumberFormat="0" applyBorder="0" applyAlignment="0" applyProtection="0"/>
    <xf numFmtId="0" fontId="6" fillId="41" borderId="0" applyNumberFormat="0" applyBorder="0" applyAlignment="0" applyProtection="0"/>
    <xf numFmtId="0" fontId="6" fillId="42" borderId="0" applyNumberFormat="0" applyBorder="0" applyAlignment="0" applyProtection="0"/>
    <xf numFmtId="0" fontId="6" fillId="45" borderId="0" applyNumberFormat="0" applyBorder="0" applyAlignment="0" applyProtection="0"/>
    <xf numFmtId="0" fontId="6" fillId="46" borderId="0" applyNumberFormat="0" applyBorder="0" applyAlignment="0" applyProtection="0"/>
    <xf numFmtId="0" fontId="6" fillId="49" borderId="0" applyNumberFormat="0" applyBorder="0" applyAlignment="0" applyProtection="0"/>
    <xf numFmtId="0" fontId="6" fillId="50" borderId="0" applyNumberFormat="0" applyBorder="0" applyAlignment="0" applyProtection="0"/>
    <xf numFmtId="0" fontId="6" fillId="0" borderId="0"/>
    <xf numFmtId="0" fontId="6" fillId="0" borderId="0"/>
    <xf numFmtId="0" fontId="6" fillId="0" borderId="0"/>
    <xf numFmtId="0" fontId="6" fillId="27" borderId="129" applyNumberFormat="0" applyFont="0" applyAlignment="0" applyProtection="0"/>
    <xf numFmtId="9" fontId="6" fillId="0" borderId="0" applyFont="0" applyFill="0" applyBorder="0" applyAlignment="0" applyProtection="0"/>
    <xf numFmtId="0" fontId="6" fillId="27" borderId="129" applyNumberFormat="0" applyFont="0" applyAlignment="0" applyProtection="0"/>
    <xf numFmtId="0" fontId="6" fillId="29" borderId="0" applyNumberFormat="0" applyBorder="0" applyAlignment="0" applyProtection="0"/>
    <xf numFmtId="0" fontId="6" fillId="30" borderId="0" applyNumberFormat="0" applyBorder="0" applyAlignment="0" applyProtection="0"/>
    <xf numFmtId="0" fontId="6" fillId="33" borderId="0" applyNumberFormat="0" applyBorder="0" applyAlignment="0" applyProtection="0"/>
    <xf numFmtId="0" fontId="6" fillId="34" borderId="0" applyNumberFormat="0" applyBorder="0" applyAlignment="0" applyProtection="0"/>
    <xf numFmtId="0" fontId="6" fillId="37" borderId="0" applyNumberFormat="0" applyBorder="0" applyAlignment="0" applyProtection="0"/>
    <xf numFmtId="0" fontId="6" fillId="38" borderId="0" applyNumberFormat="0" applyBorder="0" applyAlignment="0" applyProtection="0"/>
    <xf numFmtId="0" fontId="6" fillId="41" borderId="0" applyNumberFormat="0" applyBorder="0" applyAlignment="0" applyProtection="0"/>
    <xf numFmtId="0" fontId="6" fillId="42" borderId="0" applyNumberFormat="0" applyBorder="0" applyAlignment="0" applyProtection="0"/>
    <xf numFmtId="0" fontId="6" fillId="45" borderId="0" applyNumberFormat="0" applyBorder="0" applyAlignment="0" applyProtection="0"/>
    <xf numFmtId="0" fontId="6" fillId="46" borderId="0" applyNumberFormat="0" applyBorder="0" applyAlignment="0" applyProtection="0"/>
    <xf numFmtId="0" fontId="6" fillId="49" borderId="0" applyNumberFormat="0" applyBorder="0" applyAlignment="0" applyProtection="0"/>
    <xf numFmtId="0" fontId="6" fillId="50" borderId="0" applyNumberFormat="0" applyBorder="0" applyAlignment="0" applyProtection="0"/>
    <xf numFmtId="0" fontId="5" fillId="27" borderId="129" applyNumberFormat="0" applyFont="0" applyAlignment="0" applyProtection="0"/>
    <xf numFmtId="0" fontId="5" fillId="29" borderId="0" applyNumberFormat="0" applyBorder="0" applyAlignment="0" applyProtection="0"/>
    <xf numFmtId="0" fontId="5" fillId="30"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9" borderId="0" applyNumberFormat="0" applyBorder="0" applyAlignment="0" applyProtection="0"/>
    <xf numFmtId="0" fontId="5" fillId="50" borderId="0" applyNumberFormat="0" applyBorder="0" applyAlignment="0" applyProtection="0"/>
    <xf numFmtId="168" fontId="26" fillId="0" borderId="0" applyFill="0" applyBorder="0"/>
    <xf numFmtId="43" fontId="14" fillId="0" borderId="0" applyFont="0" applyFill="0" applyBorder="0" applyAlignment="0" applyProtection="0"/>
    <xf numFmtId="44" fontId="14" fillId="0" borderId="0" applyFont="0" applyFill="0" applyBorder="0" applyAlignment="0" applyProtection="0"/>
    <xf numFmtId="0" fontId="40" fillId="0" borderId="0" applyNumberFormat="0" applyFill="0" applyBorder="0" applyAlignment="0" applyProtection="0">
      <alignment vertical="top"/>
      <protection locked="0"/>
    </xf>
    <xf numFmtId="9" fontId="14" fillId="0" borderId="0" applyFont="0" applyFill="0" applyBorder="0" applyAlignment="0" applyProtection="0"/>
    <xf numFmtId="0" fontId="5" fillId="0" borderId="0"/>
    <xf numFmtId="0" fontId="86" fillId="0" borderId="117" applyNumberFormat="0" applyFont="0" applyProtection="0">
      <alignment wrapText="1"/>
    </xf>
    <xf numFmtId="0" fontId="5" fillId="0" borderId="0"/>
    <xf numFmtId="0" fontId="5" fillId="29" borderId="0" applyNumberFormat="0" applyBorder="0" applyAlignment="0" applyProtection="0"/>
    <xf numFmtId="0" fontId="5" fillId="30"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9" borderId="0" applyNumberFormat="0" applyBorder="0" applyAlignment="0" applyProtection="0"/>
    <xf numFmtId="0" fontId="5" fillId="50" borderId="0" applyNumberFormat="0" applyBorder="0" applyAlignment="0" applyProtection="0"/>
    <xf numFmtId="0" fontId="5" fillId="0" borderId="0"/>
    <xf numFmtId="0" fontId="5" fillId="27" borderId="129" applyNumberFormat="0" applyFont="0" applyAlignment="0" applyProtection="0"/>
    <xf numFmtId="0" fontId="5" fillId="0" borderId="0"/>
    <xf numFmtId="0" fontId="5" fillId="0" borderId="0"/>
    <xf numFmtId="9" fontId="5" fillId="0" borderId="0" applyFont="0" applyFill="0" applyBorder="0" applyAlignment="0" applyProtection="0"/>
    <xf numFmtId="0" fontId="5" fillId="27" borderId="129" applyNumberFormat="0" applyFont="0" applyAlignment="0" applyProtection="0"/>
    <xf numFmtId="0" fontId="5" fillId="29" borderId="0" applyNumberFormat="0" applyBorder="0" applyAlignment="0" applyProtection="0"/>
    <xf numFmtId="0" fontId="5" fillId="30"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9" borderId="0" applyNumberFormat="0" applyBorder="0" applyAlignment="0" applyProtection="0"/>
    <xf numFmtId="0" fontId="5" fillId="50" borderId="0" applyNumberFormat="0" applyBorder="0" applyAlignment="0" applyProtection="0"/>
    <xf numFmtId="0" fontId="5" fillId="0" borderId="0"/>
    <xf numFmtId="0" fontId="5" fillId="0" borderId="0"/>
    <xf numFmtId="0" fontId="5" fillId="0" borderId="0"/>
    <xf numFmtId="0" fontId="5" fillId="27" borderId="129" applyNumberFormat="0" applyFont="0" applyAlignment="0" applyProtection="0"/>
    <xf numFmtId="9" fontId="5" fillId="0" borderId="0" applyFont="0" applyFill="0" applyBorder="0" applyAlignment="0" applyProtection="0"/>
    <xf numFmtId="0" fontId="5" fillId="27" borderId="129" applyNumberFormat="0" applyFont="0" applyAlignment="0" applyProtection="0"/>
    <xf numFmtId="0" fontId="5" fillId="29" borderId="0" applyNumberFormat="0" applyBorder="0" applyAlignment="0" applyProtection="0"/>
    <xf numFmtId="0" fontId="5" fillId="30"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9" borderId="0" applyNumberFormat="0" applyBorder="0" applyAlignment="0" applyProtection="0"/>
    <xf numFmtId="0" fontId="5" fillId="50" borderId="0" applyNumberFormat="0" applyBorder="0" applyAlignment="0" applyProtection="0"/>
    <xf numFmtId="0" fontId="5" fillId="27" borderId="129" applyNumberFormat="0" applyFont="0" applyAlignment="0" applyProtection="0"/>
    <xf numFmtId="0" fontId="5" fillId="29" borderId="0" applyNumberFormat="0" applyBorder="0" applyAlignment="0" applyProtection="0"/>
    <xf numFmtId="0" fontId="5" fillId="30"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9" borderId="0" applyNumberFormat="0" applyBorder="0" applyAlignment="0" applyProtection="0"/>
    <xf numFmtId="0" fontId="5" fillId="50" borderId="0" applyNumberFormat="0" applyBorder="0" applyAlignment="0" applyProtection="0"/>
    <xf numFmtId="0" fontId="5" fillId="27" borderId="129" applyNumberFormat="0" applyFont="0" applyAlignment="0" applyProtection="0"/>
    <xf numFmtId="0" fontId="5" fillId="29" borderId="0" applyNumberFormat="0" applyBorder="0" applyAlignment="0" applyProtection="0"/>
    <xf numFmtId="0" fontId="5" fillId="30"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9" borderId="0" applyNumberFormat="0" applyBorder="0" applyAlignment="0" applyProtection="0"/>
    <xf numFmtId="0" fontId="5" fillId="50" borderId="0" applyNumberFormat="0" applyBorder="0" applyAlignment="0" applyProtection="0"/>
    <xf numFmtId="0" fontId="5" fillId="0" borderId="0"/>
    <xf numFmtId="0" fontId="5" fillId="0" borderId="0"/>
    <xf numFmtId="0" fontId="5" fillId="29" borderId="0" applyNumberFormat="0" applyBorder="0" applyAlignment="0" applyProtection="0"/>
    <xf numFmtId="0" fontId="5" fillId="30"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9" borderId="0" applyNumberFormat="0" applyBorder="0" applyAlignment="0" applyProtection="0"/>
    <xf numFmtId="0" fontId="5" fillId="50" borderId="0" applyNumberFormat="0" applyBorder="0" applyAlignment="0" applyProtection="0"/>
    <xf numFmtId="0" fontId="5" fillId="0" borderId="0"/>
    <xf numFmtId="0" fontId="5" fillId="27" borderId="129" applyNumberFormat="0" applyFont="0" applyAlignment="0" applyProtection="0"/>
    <xf numFmtId="0" fontId="5" fillId="0" borderId="0"/>
    <xf numFmtId="0" fontId="5" fillId="0" borderId="0"/>
    <xf numFmtId="9" fontId="5" fillId="0" borderId="0" applyFont="0" applyFill="0" applyBorder="0" applyAlignment="0" applyProtection="0"/>
    <xf numFmtId="0" fontId="5" fillId="27" borderId="129" applyNumberFormat="0" applyFont="0" applyAlignment="0" applyProtection="0"/>
    <xf numFmtId="0" fontId="5" fillId="29" borderId="0" applyNumberFormat="0" applyBorder="0" applyAlignment="0" applyProtection="0"/>
    <xf numFmtId="0" fontId="5" fillId="30"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9" borderId="0" applyNumberFormat="0" applyBorder="0" applyAlignment="0" applyProtection="0"/>
    <xf numFmtId="0" fontId="5" fillId="50" borderId="0" applyNumberFormat="0" applyBorder="0" applyAlignment="0" applyProtection="0"/>
    <xf numFmtId="0" fontId="5" fillId="0" borderId="0"/>
    <xf numFmtId="0" fontId="5" fillId="0" borderId="0"/>
    <xf numFmtId="0" fontId="5" fillId="0" borderId="0"/>
    <xf numFmtId="0" fontId="5" fillId="27" borderId="129" applyNumberFormat="0" applyFont="0" applyAlignment="0" applyProtection="0"/>
    <xf numFmtId="9" fontId="5" fillId="0" borderId="0" applyFont="0" applyFill="0" applyBorder="0" applyAlignment="0" applyProtection="0"/>
    <xf numFmtId="0" fontId="5" fillId="27" borderId="129" applyNumberFormat="0" applyFont="0" applyAlignment="0" applyProtection="0"/>
    <xf numFmtId="0" fontId="5" fillId="29" borderId="0" applyNumberFormat="0" applyBorder="0" applyAlignment="0" applyProtection="0"/>
    <xf numFmtId="0" fontId="5" fillId="30"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9" borderId="0" applyNumberFormat="0" applyBorder="0" applyAlignment="0" applyProtection="0"/>
    <xf numFmtId="0" fontId="5" fillId="50" borderId="0" applyNumberFormat="0" applyBorder="0" applyAlignment="0" applyProtection="0"/>
    <xf numFmtId="0" fontId="5" fillId="27" borderId="129" applyNumberFormat="0" applyFont="0" applyAlignment="0" applyProtection="0"/>
    <xf numFmtId="0" fontId="5" fillId="29" borderId="0" applyNumberFormat="0" applyBorder="0" applyAlignment="0" applyProtection="0"/>
    <xf numFmtId="0" fontId="5" fillId="30"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9" borderId="0" applyNumberFormat="0" applyBorder="0" applyAlignment="0" applyProtection="0"/>
    <xf numFmtId="0" fontId="5" fillId="50" borderId="0" applyNumberFormat="0" applyBorder="0" applyAlignment="0" applyProtection="0"/>
    <xf numFmtId="9" fontId="5" fillId="0" borderId="0" applyFont="0" applyFill="0" applyBorder="0" applyAlignment="0" applyProtection="0"/>
    <xf numFmtId="0" fontId="5" fillId="27" borderId="129" applyNumberFormat="0" applyFont="0" applyAlignment="0" applyProtection="0"/>
    <xf numFmtId="0" fontId="5" fillId="29" borderId="0" applyNumberFormat="0" applyBorder="0" applyAlignment="0" applyProtection="0"/>
    <xf numFmtId="0" fontId="5" fillId="30"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9" borderId="0" applyNumberFormat="0" applyBorder="0" applyAlignment="0" applyProtection="0"/>
    <xf numFmtId="0" fontId="5" fillId="50" borderId="0" applyNumberFormat="0" applyBorder="0" applyAlignment="0" applyProtection="0"/>
    <xf numFmtId="0" fontId="5" fillId="27" borderId="129" applyNumberFormat="0" applyFont="0" applyAlignment="0" applyProtection="0"/>
    <xf numFmtId="0" fontId="5" fillId="29" borderId="0" applyNumberFormat="0" applyBorder="0" applyAlignment="0" applyProtection="0"/>
    <xf numFmtId="0" fontId="5" fillId="30"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9" borderId="0" applyNumberFormat="0" applyBorder="0" applyAlignment="0" applyProtection="0"/>
    <xf numFmtId="0" fontId="5" fillId="50" borderId="0" applyNumberFormat="0" applyBorder="0" applyAlignment="0" applyProtection="0"/>
    <xf numFmtId="0" fontId="5" fillId="0" borderId="0"/>
    <xf numFmtId="0" fontId="5" fillId="0" borderId="0"/>
    <xf numFmtId="0" fontId="5" fillId="0" borderId="0"/>
    <xf numFmtId="0" fontId="5" fillId="27" borderId="129" applyNumberFormat="0" applyFont="0" applyAlignment="0" applyProtection="0"/>
    <xf numFmtId="0" fontId="5" fillId="0" borderId="0"/>
    <xf numFmtId="0" fontId="5" fillId="0" borderId="0"/>
    <xf numFmtId="9" fontId="5" fillId="0" borderId="0" applyFont="0" applyFill="0" applyBorder="0" applyAlignment="0" applyProtection="0"/>
    <xf numFmtId="0" fontId="5" fillId="27" borderId="129" applyNumberFormat="0" applyFont="0" applyAlignment="0" applyProtection="0"/>
    <xf numFmtId="0" fontId="5" fillId="29" borderId="0" applyNumberFormat="0" applyBorder="0" applyAlignment="0" applyProtection="0"/>
    <xf numFmtId="0" fontId="5" fillId="30"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9" borderId="0" applyNumberFormat="0" applyBorder="0" applyAlignment="0" applyProtection="0"/>
    <xf numFmtId="0" fontId="5" fillId="50" borderId="0" applyNumberFormat="0" applyBorder="0" applyAlignment="0" applyProtection="0"/>
    <xf numFmtId="0" fontId="5" fillId="0" borderId="0"/>
    <xf numFmtId="0" fontId="5" fillId="0" borderId="0"/>
    <xf numFmtId="0" fontId="5" fillId="0" borderId="0"/>
    <xf numFmtId="0" fontId="5" fillId="27" borderId="129" applyNumberFormat="0" applyFont="0" applyAlignment="0" applyProtection="0"/>
    <xf numFmtId="9" fontId="5" fillId="0" borderId="0" applyFont="0" applyFill="0" applyBorder="0" applyAlignment="0" applyProtection="0"/>
    <xf numFmtId="0" fontId="5" fillId="27" borderId="129" applyNumberFormat="0" applyFont="0" applyAlignment="0" applyProtection="0"/>
    <xf numFmtId="0" fontId="5" fillId="29" borderId="0" applyNumberFormat="0" applyBorder="0" applyAlignment="0" applyProtection="0"/>
    <xf numFmtId="0" fontId="5" fillId="30"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9" borderId="0" applyNumberFormat="0" applyBorder="0" applyAlignment="0" applyProtection="0"/>
    <xf numFmtId="0" fontId="5" fillId="50" borderId="0" applyNumberFormat="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0" borderId="0"/>
    <xf numFmtId="0" fontId="4" fillId="0" borderId="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0" borderId="0"/>
    <xf numFmtId="0" fontId="4" fillId="27" borderId="129" applyNumberFormat="0" applyFont="0" applyAlignment="0" applyProtection="0"/>
    <xf numFmtId="0" fontId="4" fillId="0" borderId="0"/>
    <xf numFmtId="0" fontId="4" fillId="0" borderId="0"/>
    <xf numFmtId="9" fontId="4" fillId="0" borderId="0" applyFont="0" applyFill="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0" borderId="0"/>
    <xf numFmtId="0" fontId="4" fillId="0" borderId="0"/>
    <xf numFmtId="0" fontId="4" fillId="0" borderId="0"/>
    <xf numFmtId="0" fontId="4" fillId="27" borderId="129" applyNumberFormat="0" applyFont="0" applyAlignment="0" applyProtection="0"/>
    <xf numFmtId="9" fontId="4" fillId="0" borderId="0" applyFont="0" applyFill="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0" borderId="0"/>
    <xf numFmtId="0" fontId="4" fillId="0" borderId="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0" borderId="0"/>
    <xf numFmtId="0" fontId="4" fillId="27" borderId="129" applyNumberFormat="0" applyFont="0" applyAlignment="0" applyProtection="0"/>
    <xf numFmtId="0" fontId="4" fillId="0" borderId="0"/>
    <xf numFmtId="0" fontId="4" fillId="0" borderId="0"/>
    <xf numFmtId="9" fontId="4" fillId="0" borderId="0" applyFont="0" applyFill="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0" borderId="0"/>
    <xf numFmtId="0" fontId="4" fillId="0" borderId="0"/>
    <xf numFmtId="0" fontId="4" fillId="0" borderId="0"/>
    <xf numFmtId="0" fontId="4" fillId="27" borderId="129" applyNumberFormat="0" applyFont="0" applyAlignment="0" applyProtection="0"/>
    <xf numFmtId="9" fontId="4" fillId="0" borderId="0" applyFont="0" applyFill="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9" fontId="4" fillId="0" borderId="0" applyFont="0" applyFill="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0" borderId="0"/>
    <xf numFmtId="0" fontId="4" fillId="0" borderId="0"/>
    <xf numFmtId="0" fontId="4" fillId="0" borderId="0"/>
    <xf numFmtId="0" fontId="4" fillId="27" borderId="129" applyNumberFormat="0" applyFont="0" applyAlignment="0" applyProtection="0"/>
    <xf numFmtId="0" fontId="4" fillId="0" borderId="0"/>
    <xf numFmtId="0" fontId="4" fillId="0" borderId="0"/>
    <xf numFmtId="9" fontId="4" fillId="0" borderId="0" applyFont="0" applyFill="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0" borderId="0"/>
    <xf numFmtId="0" fontId="4" fillId="0" borderId="0"/>
    <xf numFmtId="0" fontId="4" fillId="0" borderId="0"/>
    <xf numFmtId="0" fontId="4" fillId="27" borderId="129" applyNumberFormat="0" applyFont="0" applyAlignment="0" applyProtection="0"/>
    <xf numFmtId="9" fontId="4" fillId="0" borderId="0" applyFont="0" applyFill="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0" borderId="0"/>
    <xf numFmtId="0" fontId="4" fillId="0" borderId="0"/>
    <xf numFmtId="0" fontId="4" fillId="0" borderId="0"/>
    <xf numFmtId="0" fontId="4" fillId="27" borderId="129" applyNumberFormat="0" applyFont="0" applyAlignment="0" applyProtection="0"/>
    <xf numFmtId="0" fontId="4" fillId="0" borderId="0"/>
    <xf numFmtId="0" fontId="4" fillId="0" borderId="0"/>
    <xf numFmtId="9" fontId="4" fillId="0" borderId="0" applyFont="0" applyFill="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0" borderId="0"/>
    <xf numFmtId="0" fontId="4" fillId="0" borderId="0"/>
    <xf numFmtId="0" fontId="4" fillId="0" borderId="0"/>
    <xf numFmtId="0" fontId="4" fillId="27" borderId="129" applyNumberFormat="0" applyFont="0" applyAlignment="0" applyProtection="0"/>
    <xf numFmtId="9" fontId="4" fillId="0" borderId="0" applyFont="0" applyFill="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0" borderId="0"/>
    <xf numFmtId="0" fontId="4" fillId="0" borderId="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0" borderId="0"/>
    <xf numFmtId="0" fontId="4" fillId="27" borderId="129" applyNumberFormat="0" applyFont="0" applyAlignment="0" applyProtection="0"/>
    <xf numFmtId="0" fontId="4" fillId="0" borderId="0"/>
    <xf numFmtId="0" fontId="4" fillId="0" borderId="0"/>
    <xf numFmtId="9" fontId="4" fillId="0" borderId="0" applyFont="0" applyFill="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0" borderId="0"/>
    <xf numFmtId="0" fontId="4" fillId="0" borderId="0"/>
    <xf numFmtId="0" fontId="4" fillId="0" borderId="0"/>
    <xf numFmtId="0" fontId="4" fillId="27" borderId="129" applyNumberFormat="0" applyFont="0" applyAlignment="0" applyProtection="0"/>
    <xf numFmtId="9" fontId="4" fillId="0" borderId="0" applyFont="0" applyFill="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9" fontId="4" fillId="0" borderId="0" applyFont="0" applyFill="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0" borderId="0"/>
    <xf numFmtId="0" fontId="4" fillId="0" borderId="0"/>
    <xf numFmtId="0" fontId="4" fillId="0" borderId="0"/>
    <xf numFmtId="0" fontId="4" fillId="27" borderId="129" applyNumberFormat="0" applyFont="0" applyAlignment="0" applyProtection="0"/>
    <xf numFmtId="0" fontId="4" fillId="0" borderId="0"/>
    <xf numFmtId="0" fontId="4" fillId="0" borderId="0"/>
    <xf numFmtId="9" fontId="4" fillId="0" borderId="0" applyFont="0" applyFill="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0" borderId="0"/>
    <xf numFmtId="0" fontId="4" fillId="0" borderId="0"/>
    <xf numFmtId="0" fontId="4" fillId="0" borderId="0"/>
    <xf numFmtId="0" fontId="4" fillId="27" borderId="129" applyNumberFormat="0" applyFont="0" applyAlignment="0" applyProtection="0"/>
    <xf numFmtId="9" fontId="4" fillId="0" borderId="0" applyFont="0" applyFill="0" applyBorder="0" applyAlignment="0" applyProtection="0"/>
    <xf numFmtId="0" fontId="4" fillId="27" borderId="129"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3" fillId="0" borderId="0"/>
    <xf numFmtId="0" fontId="3" fillId="0" borderId="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27" borderId="129" applyNumberFormat="0" applyFont="0" applyAlignment="0" applyProtection="0"/>
    <xf numFmtId="0" fontId="3" fillId="0" borderId="0"/>
    <xf numFmtId="0" fontId="3" fillId="0" borderId="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0" borderId="0"/>
    <xf numFmtId="0" fontId="3" fillId="27" borderId="129" applyNumberFormat="0" applyFont="0" applyAlignment="0" applyProtection="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27" borderId="129" applyNumberFormat="0" applyFont="0" applyAlignment="0" applyProtection="0"/>
    <xf numFmtId="0" fontId="3" fillId="0" borderId="0"/>
    <xf numFmtId="0" fontId="3" fillId="0" borderId="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0" borderId="0"/>
    <xf numFmtId="0" fontId="3" fillId="27" borderId="129" applyNumberFormat="0" applyFont="0" applyAlignment="0" applyProtection="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0" borderId="0"/>
    <xf numFmtId="0" fontId="3" fillId="27" borderId="129" applyNumberFormat="0" applyFont="0" applyAlignment="0" applyProtection="0"/>
    <xf numFmtId="0" fontId="3" fillId="0" borderId="0"/>
    <xf numFmtId="0" fontId="3" fillId="0" borderId="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0" borderId="0"/>
    <xf numFmtId="0" fontId="3" fillId="27" borderId="129" applyNumberFormat="0" applyFont="0" applyAlignment="0" applyProtection="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14" fillId="0" borderId="0"/>
    <xf numFmtId="0" fontId="138" fillId="0" borderId="0" applyNumberFormat="0" applyFill="0" applyBorder="0" applyAlignment="0" applyProtection="0"/>
    <xf numFmtId="0" fontId="14" fillId="0" borderId="0"/>
    <xf numFmtId="0" fontId="2" fillId="30"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0" borderId="0"/>
    <xf numFmtId="0" fontId="2" fillId="34"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49" borderId="0" applyNumberFormat="0" applyBorder="0" applyAlignment="0" applyProtection="0"/>
    <xf numFmtId="0" fontId="2" fillId="50" borderId="0" applyNumberFormat="0" applyBorder="0" applyAlignment="0" applyProtection="0"/>
    <xf numFmtId="0" fontId="2" fillId="0" borderId="0"/>
    <xf numFmtId="0" fontId="2" fillId="27" borderId="129" applyNumberFormat="0" applyFont="0" applyAlignment="0" applyProtection="0"/>
    <xf numFmtId="0" fontId="2" fillId="27" borderId="129" applyNumberFormat="0" applyFont="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49" borderId="0" applyNumberFormat="0" applyBorder="0" applyAlignment="0" applyProtection="0"/>
    <xf numFmtId="0" fontId="2"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27" borderId="129" applyNumberFormat="0" applyFont="0" applyAlignment="0" applyProtection="0"/>
    <xf numFmtId="0" fontId="3" fillId="0" borderId="0"/>
    <xf numFmtId="0" fontId="3" fillId="0" borderId="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0" borderId="0"/>
    <xf numFmtId="0" fontId="3" fillId="27" borderId="129" applyNumberFormat="0" applyFont="0" applyAlignment="0" applyProtection="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27" borderId="129" applyNumberFormat="0" applyFont="0" applyAlignment="0" applyProtection="0"/>
    <xf numFmtId="0" fontId="3" fillId="0" borderId="0"/>
    <xf numFmtId="0" fontId="3" fillId="0" borderId="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0" borderId="0"/>
    <xf numFmtId="0" fontId="3" fillId="27" borderId="129" applyNumberFormat="0" applyFont="0" applyAlignment="0" applyProtection="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0" borderId="0"/>
    <xf numFmtId="0" fontId="3" fillId="27" borderId="129" applyNumberFormat="0" applyFont="0" applyAlignment="0" applyProtection="0"/>
    <xf numFmtId="0" fontId="3" fillId="0" borderId="0"/>
    <xf numFmtId="0" fontId="3" fillId="0" borderId="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0" borderId="0"/>
    <xf numFmtId="0" fontId="3" fillId="27" borderId="129" applyNumberFormat="0" applyFont="0" applyAlignment="0" applyProtection="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27" borderId="129" applyNumberFormat="0" applyFont="0" applyAlignment="0" applyProtection="0"/>
    <xf numFmtId="0" fontId="3" fillId="0" borderId="0"/>
    <xf numFmtId="0" fontId="3" fillId="0" borderId="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0" borderId="0"/>
    <xf numFmtId="0" fontId="3" fillId="27" borderId="129" applyNumberFormat="0" applyFont="0" applyAlignment="0" applyProtection="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27" borderId="129" applyNumberFormat="0" applyFont="0" applyAlignment="0" applyProtection="0"/>
    <xf numFmtId="0" fontId="3" fillId="0" borderId="0"/>
    <xf numFmtId="0" fontId="3" fillId="0" borderId="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0" borderId="0"/>
    <xf numFmtId="0" fontId="3" fillId="27" borderId="129" applyNumberFormat="0" applyFont="0" applyAlignment="0" applyProtection="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0" borderId="0"/>
    <xf numFmtId="0" fontId="3" fillId="27" borderId="129" applyNumberFormat="0" applyFont="0" applyAlignment="0" applyProtection="0"/>
    <xf numFmtId="0" fontId="3" fillId="0" borderId="0"/>
    <xf numFmtId="0" fontId="3" fillId="0" borderId="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0" borderId="0"/>
    <xf numFmtId="0" fontId="3" fillId="27" borderId="129" applyNumberFormat="0" applyFont="0" applyAlignment="0" applyProtection="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0" borderId="0"/>
    <xf numFmtId="0" fontId="3" fillId="27" borderId="129" applyNumberFormat="0" applyFont="0" applyAlignment="0" applyProtection="0"/>
    <xf numFmtId="0" fontId="3" fillId="0" borderId="0"/>
    <xf numFmtId="0" fontId="3" fillId="0" borderId="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0" borderId="0"/>
    <xf numFmtId="0" fontId="3" fillId="27" borderId="129" applyNumberFormat="0" applyFont="0" applyAlignment="0" applyProtection="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27" borderId="129" applyNumberFormat="0" applyFont="0" applyAlignment="0" applyProtection="0"/>
    <xf numFmtId="0" fontId="3" fillId="0" borderId="0"/>
    <xf numFmtId="0" fontId="3" fillId="0" borderId="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0" borderId="0"/>
    <xf numFmtId="0" fontId="3" fillId="27" borderId="129" applyNumberFormat="0" applyFont="0" applyAlignment="0" applyProtection="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0" borderId="0"/>
    <xf numFmtId="0" fontId="3" fillId="27" borderId="129" applyNumberFormat="0" applyFont="0" applyAlignment="0" applyProtection="0"/>
    <xf numFmtId="0" fontId="3" fillId="0" borderId="0"/>
    <xf numFmtId="0" fontId="3" fillId="0" borderId="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0" borderId="0"/>
    <xf numFmtId="0" fontId="3" fillId="0" borderId="0"/>
    <xf numFmtId="0" fontId="3" fillId="27" borderId="129" applyNumberFormat="0" applyFont="0" applyAlignment="0" applyProtection="0"/>
    <xf numFmtId="9" fontId="3" fillId="0" borderId="0" applyFont="0" applyFill="0" applyBorder="0" applyAlignment="0" applyProtection="0"/>
    <xf numFmtId="0" fontId="3" fillId="27" borderId="129" applyNumberFormat="0" applyFont="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147" fillId="0" borderId="0" applyNumberFormat="0" applyFill="0" applyBorder="0" applyAlignment="0" applyProtection="0"/>
    <xf numFmtId="0" fontId="148" fillId="23" borderId="0" applyNumberFormat="0" applyBorder="0" applyAlignment="0" applyProtection="0"/>
    <xf numFmtId="0" fontId="1" fillId="27" borderId="129" applyNumberFormat="0" applyFont="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cellStyleXfs>
  <cellXfs count="843">
    <xf numFmtId="168" fontId="0" fillId="0" borderId="0" xfId="0"/>
    <xf numFmtId="168" fontId="30" fillId="5" borderId="0" xfId="0" applyFont="1" applyFill="1"/>
    <xf numFmtId="168" fontId="32" fillId="5" borderId="0" xfId="0" applyFont="1" applyFill="1" applyBorder="1"/>
    <xf numFmtId="168" fontId="30" fillId="5" borderId="0" xfId="0" applyFont="1" applyFill="1" applyAlignment="1">
      <alignment horizontal="centerContinuous" wrapText="1"/>
    </xf>
    <xf numFmtId="168" fontId="34" fillId="5" borderId="0" xfId="0" applyFont="1" applyFill="1" applyAlignment="1">
      <alignment horizontal="centerContinuous" wrapText="1"/>
    </xf>
    <xf numFmtId="168" fontId="30" fillId="6" borderId="0" xfId="0" applyFont="1" applyFill="1" applyBorder="1"/>
    <xf numFmtId="168" fontId="32" fillId="5" borderId="0" xfId="0" applyFont="1" applyFill="1" applyBorder="1" applyAlignment="1" applyProtection="1">
      <alignment horizontal="center"/>
      <protection locked="0"/>
    </xf>
    <xf numFmtId="5" fontId="32" fillId="5" borderId="0" xfId="0" applyNumberFormat="1" applyFont="1" applyFill="1" applyBorder="1" applyProtection="1">
      <protection locked="0"/>
    </xf>
    <xf numFmtId="7" fontId="32" fillId="5" borderId="0" xfId="0" applyNumberFormat="1" applyFont="1" applyFill="1" applyBorder="1"/>
    <xf numFmtId="5" fontId="32" fillId="5" borderId="0" xfId="0" applyNumberFormat="1" applyFont="1" applyFill="1" applyBorder="1"/>
    <xf numFmtId="168" fontId="31" fillId="6" borderId="0" xfId="0" applyFont="1" applyFill="1" applyBorder="1"/>
    <xf numFmtId="168" fontId="36" fillId="6" borderId="1" xfId="0" applyFont="1" applyFill="1" applyBorder="1" applyAlignment="1">
      <alignment horizontal="centerContinuous"/>
    </xf>
    <xf numFmtId="168" fontId="31" fillId="6" borderId="2" xfId="0" applyFont="1" applyFill="1" applyBorder="1" applyAlignment="1">
      <alignment horizontal="centerContinuous"/>
    </xf>
    <xf numFmtId="168" fontId="31" fillId="6" borderId="3" xfId="0" applyFont="1" applyFill="1" applyBorder="1" applyAlignment="1">
      <alignment horizontal="centerContinuous"/>
    </xf>
    <xf numFmtId="168" fontId="31" fillId="6" borderId="4" xfId="0" applyFont="1" applyFill="1" applyBorder="1"/>
    <xf numFmtId="168" fontId="31" fillId="6" borderId="5" xfId="0" applyFont="1" applyFill="1" applyBorder="1"/>
    <xf numFmtId="168" fontId="37" fillId="5" borderId="0" xfId="0" applyFont="1" applyFill="1" applyAlignment="1">
      <alignment vertical="center" textRotation="255"/>
    </xf>
    <xf numFmtId="168" fontId="36" fillId="5" borderId="0" xfId="0" applyFont="1" applyFill="1" applyAlignment="1">
      <alignment vertical="center" textRotation="255"/>
    </xf>
    <xf numFmtId="168" fontId="31" fillId="5" borderId="0" xfId="0" applyFont="1" applyFill="1"/>
    <xf numFmtId="168" fontId="39" fillId="5" borderId="0" xfId="0" applyFont="1" applyFill="1"/>
    <xf numFmtId="168" fontId="31" fillId="6" borderId="7" xfId="0" applyFont="1" applyFill="1" applyBorder="1" applyAlignment="1">
      <alignment horizontal="center"/>
    </xf>
    <xf numFmtId="168" fontId="30" fillId="5" borderId="0" xfId="0" applyFont="1" applyFill="1" applyBorder="1"/>
    <xf numFmtId="173" fontId="31" fillId="3" borderId="9" xfId="10" applyFont="1" applyFill="1" applyBorder="1" applyAlignment="1">
      <alignment horizontal="center"/>
    </xf>
    <xf numFmtId="173" fontId="31" fillId="3" borderId="10" xfId="10" applyFont="1" applyFill="1" applyBorder="1" applyAlignment="1">
      <alignment horizontal="center"/>
    </xf>
    <xf numFmtId="173" fontId="31" fillId="3" borderId="11" xfId="10" applyFont="1" applyFill="1" applyBorder="1" applyAlignment="1">
      <alignment horizontal="center"/>
    </xf>
    <xf numFmtId="168" fontId="32" fillId="5" borderId="12" xfId="0" applyFont="1" applyFill="1" applyBorder="1"/>
    <xf numFmtId="168" fontId="32" fillId="5" borderId="14" xfId="0" applyFont="1" applyFill="1" applyBorder="1"/>
    <xf numFmtId="168" fontId="37" fillId="6" borderId="1" xfId="0" applyFont="1" applyFill="1" applyBorder="1"/>
    <xf numFmtId="168" fontId="31" fillId="6" borderId="2" xfId="0" applyFont="1" applyFill="1" applyBorder="1"/>
    <xf numFmtId="168" fontId="31" fillId="6" borderId="0" xfId="0" applyFont="1" applyFill="1" applyBorder="1" applyAlignment="1">
      <alignment vertical="center"/>
    </xf>
    <xf numFmtId="2" fontId="31" fillId="5" borderId="9" xfId="0" applyNumberFormat="1" applyFont="1" applyFill="1" applyBorder="1" applyAlignment="1">
      <alignment horizontal="right" indent="1"/>
    </xf>
    <xf numFmtId="2" fontId="31" fillId="5" borderId="10" xfId="0" applyNumberFormat="1" applyFont="1" applyFill="1" applyBorder="1" applyAlignment="1">
      <alignment horizontal="right" indent="1"/>
    </xf>
    <xf numFmtId="168" fontId="37" fillId="5" borderId="8" xfId="0" applyFont="1" applyFill="1" applyBorder="1" applyAlignment="1">
      <alignment horizontal="center" vertical="center" wrapText="1"/>
    </xf>
    <xf numFmtId="168" fontId="31" fillId="6" borderId="16" xfId="0" applyFont="1" applyFill="1" applyBorder="1" applyAlignment="1">
      <alignment horizontal="centerContinuous"/>
    </xf>
    <xf numFmtId="168" fontId="37" fillId="5" borderId="17" xfId="0" applyFont="1" applyFill="1" applyBorder="1" applyAlignment="1">
      <alignment horizontal="center" vertical="center" wrapText="1"/>
    </xf>
    <xf numFmtId="168" fontId="31" fillId="5" borderId="17" xfId="0" applyFont="1" applyFill="1" applyBorder="1" applyAlignment="1">
      <alignment horizontal="center" vertical="center" wrapText="1"/>
    </xf>
    <xf numFmtId="168" fontId="37" fillId="6" borderId="1" xfId="0" applyFont="1" applyFill="1" applyBorder="1" applyAlignment="1">
      <alignment horizontal="centerContinuous"/>
    </xf>
    <xf numFmtId="168" fontId="33" fillId="5" borderId="0" xfId="0" applyFont="1" applyFill="1" applyBorder="1" applyAlignment="1">
      <alignment horizontal="centerContinuous"/>
    </xf>
    <xf numFmtId="168" fontId="32" fillId="5" borderId="0" xfId="0" applyFont="1" applyFill="1" applyBorder="1" applyAlignment="1">
      <alignment horizontal="centerContinuous"/>
    </xf>
    <xf numFmtId="168" fontId="31" fillId="5" borderId="18" xfId="0" applyFont="1" applyFill="1" applyBorder="1" applyAlignment="1">
      <alignment horizontal="center" vertical="center" wrapText="1"/>
    </xf>
    <xf numFmtId="168" fontId="31" fillId="5" borderId="10" xfId="0" applyFont="1" applyFill="1" applyBorder="1" applyAlignment="1">
      <alignment horizontal="center" vertical="center" wrapText="1"/>
    </xf>
    <xf numFmtId="168" fontId="31" fillId="5" borderId="11" xfId="0" applyFont="1" applyFill="1" applyBorder="1" applyAlignment="1">
      <alignment horizontal="center" vertical="center" wrapText="1"/>
    </xf>
    <xf numFmtId="168" fontId="37" fillId="6" borderId="19" xfId="0" applyFont="1" applyFill="1" applyBorder="1" applyAlignment="1">
      <alignment horizontal="centerContinuous"/>
    </xf>
    <xf numFmtId="168" fontId="31" fillId="6" borderId="20" xfId="0" applyFont="1" applyFill="1" applyBorder="1" applyAlignment="1">
      <alignment horizontal="centerContinuous"/>
    </xf>
    <xf numFmtId="168" fontId="37" fillId="5" borderId="19" xfId="0" applyFont="1" applyFill="1" applyBorder="1" applyAlignment="1">
      <alignment horizontal="centerContinuous"/>
    </xf>
    <xf numFmtId="168" fontId="37" fillId="5" borderId="15" xfId="0" applyFont="1" applyFill="1" applyBorder="1" applyAlignment="1">
      <alignment horizontal="center" vertical="center" wrapText="1"/>
    </xf>
    <xf numFmtId="168" fontId="37" fillId="5" borderId="1" xfId="0" applyFont="1" applyFill="1" applyBorder="1" applyAlignment="1">
      <alignment horizontal="centerContinuous"/>
    </xf>
    <xf numFmtId="168" fontId="41" fillId="5" borderId="0" xfId="0" applyFont="1" applyFill="1"/>
    <xf numFmtId="168" fontId="42" fillId="5" borderId="0" xfId="0" applyFont="1" applyFill="1"/>
    <xf numFmtId="168" fontId="37" fillId="5" borderId="20" xfId="0" applyFont="1" applyFill="1" applyBorder="1" applyAlignment="1">
      <alignment horizontal="centerContinuous"/>
    </xf>
    <xf numFmtId="168" fontId="37" fillId="5" borderId="16" xfId="0" applyFont="1" applyFill="1" applyBorder="1" applyAlignment="1">
      <alignment horizontal="centerContinuous"/>
    </xf>
    <xf numFmtId="168" fontId="37" fillId="5" borderId="18" xfId="0" applyFont="1" applyFill="1" applyBorder="1" applyAlignment="1">
      <alignment horizontal="center" vertical="center" wrapText="1"/>
    </xf>
    <xf numFmtId="168" fontId="37" fillId="5" borderId="10" xfId="0" applyFont="1" applyFill="1" applyBorder="1" applyAlignment="1">
      <alignment horizontal="center" vertical="center" wrapText="1"/>
    </xf>
    <xf numFmtId="168" fontId="37" fillId="5" borderId="11" xfId="0" applyFont="1" applyFill="1" applyBorder="1" applyAlignment="1">
      <alignment horizontal="center" vertical="center" wrapText="1"/>
    </xf>
    <xf numFmtId="168" fontId="37" fillId="5" borderId="2" xfId="0" applyFont="1" applyFill="1" applyBorder="1" applyAlignment="1">
      <alignment horizontal="centerContinuous"/>
    </xf>
    <xf numFmtId="168" fontId="37" fillId="5" borderId="3" xfId="0" applyFont="1" applyFill="1" applyBorder="1" applyAlignment="1">
      <alignment horizontal="centerContinuous"/>
    </xf>
    <xf numFmtId="168" fontId="32" fillId="5" borderId="0" xfId="0" applyFont="1" applyFill="1"/>
    <xf numFmtId="168" fontId="37" fillId="6" borderId="21" xfId="0" applyFont="1" applyFill="1" applyBorder="1" applyAlignment="1">
      <alignment wrapText="1"/>
    </xf>
    <xf numFmtId="168" fontId="37" fillId="6" borderId="0" xfId="0" applyFont="1" applyFill="1" applyBorder="1" applyAlignment="1">
      <alignment wrapText="1"/>
    </xf>
    <xf numFmtId="168" fontId="36" fillId="6" borderId="2" xfId="0" applyFont="1" applyFill="1" applyBorder="1" applyAlignment="1">
      <alignment horizontal="centerContinuous"/>
    </xf>
    <xf numFmtId="168" fontId="36" fillId="6" borderId="3" xfId="0" applyFont="1" applyFill="1" applyBorder="1" applyAlignment="1">
      <alignment horizontal="centerContinuous"/>
    </xf>
    <xf numFmtId="168" fontId="31" fillId="6" borderId="22" xfId="0" applyFont="1" applyFill="1" applyBorder="1"/>
    <xf numFmtId="168" fontId="31" fillId="6" borderId="21" xfId="0" applyFont="1" applyFill="1" applyBorder="1"/>
    <xf numFmtId="168" fontId="31" fillId="6" borderId="23" xfId="0" applyFont="1" applyFill="1" applyBorder="1"/>
    <xf numFmtId="2" fontId="31" fillId="5" borderId="24" xfId="0" applyNumberFormat="1" applyFont="1" applyFill="1" applyBorder="1" applyAlignment="1">
      <alignment horizontal="right" indent="1"/>
    </xf>
    <xf numFmtId="2" fontId="37" fillId="5" borderId="9" xfId="0" applyNumberFormat="1" applyFont="1" applyFill="1" applyBorder="1" applyAlignment="1">
      <alignment horizontal="right" indent="1"/>
    </xf>
    <xf numFmtId="168" fontId="37" fillId="6" borderId="27" xfId="0" applyFont="1" applyFill="1" applyBorder="1" applyAlignment="1">
      <alignment horizontal="center"/>
    </xf>
    <xf numFmtId="168" fontId="31" fillId="6" borderId="27" xfId="0" applyFont="1" applyFill="1" applyBorder="1" applyAlignment="1">
      <alignment horizontal="center"/>
    </xf>
    <xf numFmtId="168" fontId="31" fillId="6" borderId="28" xfId="0" applyFont="1" applyFill="1" applyBorder="1" applyAlignment="1">
      <alignment horizontal="center"/>
    </xf>
    <xf numFmtId="168" fontId="32" fillId="5" borderId="0" xfId="0" applyFont="1" applyFill="1" applyAlignment="1">
      <alignment horizontal="centerContinuous"/>
    </xf>
    <xf numFmtId="168" fontId="43" fillId="5" borderId="0" xfId="0" applyFont="1" applyFill="1" applyAlignment="1">
      <alignment horizontal="centerContinuous"/>
    </xf>
    <xf numFmtId="168" fontId="44" fillId="6" borderId="1" xfId="0" applyFont="1" applyFill="1" applyBorder="1" applyAlignment="1">
      <alignment horizontal="centerContinuous"/>
    </xf>
    <xf numFmtId="168" fontId="37" fillId="6" borderId="4" xfId="0" applyFont="1" applyFill="1" applyBorder="1" applyAlignment="1">
      <alignment horizontal="center" vertical="center" wrapText="1"/>
    </xf>
    <xf numFmtId="168" fontId="36" fillId="6" borderId="22" xfId="0" applyFont="1" applyFill="1" applyBorder="1" applyAlignment="1">
      <alignment horizontal="centerContinuous" vertical="center" wrapText="1"/>
    </xf>
    <xf numFmtId="168" fontId="37" fillId="6" borderId="21" xfId="0" applyFont="1" applyFill="1" applyBorder="1" applyAlignment="1">
      <alignment horizontal="centerContinuous" vertical="center" wrapText="1"/>
    </xf>
    <xf numFmtId="168" fontId="37" fillId="6" borderId="29" xfId="0" applyFont="1" applyFill="1" applyBorder="1" applyAlignment="1">
      <alignment horizontal="centerContinuous" vertical="center" wrapText="1"/>
    </xf>
    <xf numFmtId="168" fontId="30" fillId="6" borderId="2" xfId="0" applyFont="1" applyFill="1" applyBorder="1"/>
    <xf numFmtId="168" fontId="30" fillId="6" borderId="3" xfId="0" applyFont="1" applyFill="1" applyBorder="1"/>
    <xf numFmtId="168" fontId="30" fillId="6" borderId="21" xfId="0" applyFont="1" applyFill="1" applyBorder="1"/>
    <xf numFmtId="168" fontId="30" fillId="6" borderId="29" xfId="0" applyFont="1" applyFill="1" applyBorder="1"/>
    <xf numFmtId="168" fontId="31" fillId="6" borderId="29" xfId="0" applyFont="1" applyFill="1" applyBorder="1"/>
    <xf numFmtId="168" fontId="30" fillId="5" borderId="17" xfId="0" applyFont="1" applyFill="1" applyBorder="1"/>
    <xf numFmtId="168" fontId="36" fillId="6" borderId="30" xfId="0" applyFont="1" applyFill="1" applyBorder="1" applyAlignment="1">
      <alignment horizontal="centerContinuous" vertical="center" wrapText="1"/>
    </xf>
    <xf numFmtId="168" fontId="36" fillId="6" borderId="31" xfId="0" applyFont="1" applyFill="1" applyBorder="1" applyAlignment="1">
      <alignment horizontal="centerContinuous" vertical="center" wrapText="1"/>
    </xf>
    <xf numFmtId="168" fontId="0" fillId="5" borderId="0" xfId="0" applyFill="1" applyAlignment="1">
      <alignment horizontal="left" vertical="center"/>
    </xf>
    <xf numFmtId="168" fontId="0" fillId="5" borderId="0" xfId="0" applyFill="1"/>
    <xf numFmtId="168" fontId="35" fillId="5" borderId="0" xfId="17" applyNumberFormat="1" applyFont="1" applyFill="1" applyBorder="1" applyAlignment="1" applyProtection="1">
      <alignment horizontal="center"/>
    </xf>
    <xf numFmtId="173" fontId="31" fillId="3" borderId="24" xfId="10" applyFont="1" applyFill="1" applyBorder="1" applyAlignment="1">
      <alignment horizontal="center"/>
    </xf>
    <xf numFmtId="168" fontId="35" fillId="5" borderId="0" xfId="17" applyNumberFormat="1" applyFont="1" applyFill="1" applyBorder="1" applyAlignment="1" applyProtection="1">
      <alignment horizontal="centerContinuous"/>
    </xf>
    <xf numFmtId="168" fontId="0" fillId="5" borderId="0" xfId="0" applyFill="1" applyAlignment="1">
      <alignment horizontal="centerContinuous"/>
    </xf>
    <xf numFmtId="168" fontId="36" fillId="6" borderId="21" xfId="0" applyFont="1" applyFill="1" applyBorder="1" applyAlignment="1">
      <alignment horizontal="centerContinuous" vertical="center" wrapText="1"/>
    </xf>
    <xf numFmtId="168" fontId="36" fillId="6" borderId="19" xfId="0" applyFont="1" applyFill="1" applyBorder="1" applyAlignment="1">
      <alignment horizontal="centerContinuous" vertical="center" wrapText="1"/>
    </xf>
    <xf numFmtId="168" fontId="37" fillId="6" borderId="20" xfId="0" applyFont="1" applyFill="1" applyBorder="1" applyAlignment="1">
      <alignment horizontal="centerContinuous" vertical="center" wrapText="1"/>
    </xf>
    <xf numFmtId="168" fontId="36" fillId="6" borderId="16" xfId="0" applyFont="1" applyFill="1" applyBorder="1" applyAlignment="1">
      <alignment horizontal="centerContinuous" vertical="center" wrapText="1"/>
    </xf>
    <xf numFmtId="168" fontId="37" fillId="5" borderId="0" xfId="0" applyFont="1" applyFill="1" applyAlignment="1">
      <alignment vertical="center" textRotation="255" wrapText="1"/>
    </xf>
    <xf numFmtId="168" fontId="37" fillId="6" borderId="27" xfId="0" applyFont="1" applyFill="1" applyBorder="1" applyAlignment="1">
      <alignment horizontal="center" wrapText="1"/>
    </xf>
    <xf numFmtId="168" fontId="31" fillId="6" borderId="27" xfId="0" applyFont="1" applyFill="1" applyBorder="1" applyAlignment="1">
      <alignment horizontal="center" wrapText="1"/>
    </xf>
    <xf numFmtId="168" fontId="31" fillId="6" borderId="28" xfId="0" applyFont="1" applyFill="1" applyBorder="1" applyAlignment="1">
      <alignment horizontal="center" wrapText="1"/>
    </xf>
    <xf numFmtId="168" fontId="30" fillId="5" borderId="0" xfId="0" applyFont="1" applyFill="1" applyAlignment="1">
      <alignment wrapText="1"/>
    </xf>
    <xf numFmtId="168" fontId="36" fillId="6" borderId="15" xfId="0" applyFont="1" applyFill="1" applyBorder="1" applyAlignment="1">
      <alignment horizontal="centerContinuous" vertical="center" wrapText="1"/>
    </xf>
    <xf numFmtId="168" fontId="33" fillId="5" borderId="0" xfId="0" applyFont="1" applyFill="1" applyBorder="1" applyAlignment="1">
      <alignment horizontal="left"/>
    </xf>
    <xf numFmtId="168" fontId="32" fillId="5" borderId="0" xfId="0" applyFont="1" applyFill="1" applyBorder="1" applyAlignment="1">
      <alignment horizontal="left"/>
    </xf>
    <xf numFmtId="168" fontId="37" fillId="5" borderId="19" xfId="0" applyFont="1" applyFill="1" applyBorder="1" applyAlignment="1">
      <alignment horizontal="centerContinuous" wrapText="1"/>
    </xf>
    <xf numFmtId="168" fontId="37" fillId="5" borderId="16" xfId="0" applyFont="1" applyFill="1" applyBorder="1" applyAlignment="1">
      <alignment horizontal="centerContinuous" wrapText="1"/>
    </xf>
    <xf numFmtId="168" fontId="37" fillId="6" borderId="17" xfId="0" applyFont="1" applyFill="1" applyBorder="1" applyAlignment="1">
      <alignment horizontal="centerContinuous"/>
    </xf>
    <xf numFmtId="2" fontId="37" fillId="5" borderId="17" xfId="0" applyNumberFormat="1" applyFont="1" applyFill="1" applyBorder="1" applyAlignment="1">
      <alignment horizontal="center" vertical="center" wrapText="1"/>
    </xf>
    <xf numFmtId="168" fontId="42" fillId="5" borderId="17" xfId="0" applyFont="1" applyFill="1" applyBorder="1"/>
    <xf numFmtId="168" fontId="0" fillId="0" borderId="17" xfId="0" applyBorder="1" applyAlignment="1">
      <alignment horizontal="left"/>
    </xf>
    <xf numFmtId="49" fontId="30" fillId="5" borderId="17" xfId="0" applyNumberFormat="1" applyFont="1" applyFill="1" applyBorder="1"/>
    <xf numFmtId="168" fontId="36" fillId="6" borderId="8" xfId="0" applyFont="1" applyFill="1" applyBorder="1" applyAlignment="1">
      <alignment horizontal="centerContinuous" vertical="center" wrapText="1"/>
    </xf>
    <xf numFmtId="168" fontId="37" fillId="6" borderId="8" xfId="0" applyFont="1" applyFill="1" applyBorder="1" applyAlignment="1">
      <alignment horizontal="centerContinuous" vertical="center" wrapText="1"/>
    </xf>
    <xf numFmtId="168" fontId="37" fillId="6" borderId="29" xfId="0" applyFont="1" applyFill="1" applyBorder="1" applyAlignment="1">
      <alignment wrapText="1"/>
    </xf>
    <xf numFmtId="168" fontId="30" fillId="5" borderId="4" xfId="0" applyFont="1" applyFill="1" applyBorder="1"/>
    <xf numFmtId="168" fontId="31" fillId="5" borderId="0" xfId="0" applyFont="1" applyFill="1" applyBorder="1" applyAlignment="1">
      <alignment horizontal="center"/>
    </xf>
    <xf numFmtId="168" fontId="37" fillId="3" borderId="10" xfId="0" applyFont="1" applyFill="1" applyBorder="1" applyAlignment="1">
      <alignment horizontal="center" vertical="center" wrapText="1"/>
    </xf>
    <xf numFmtId="168" fontId="37" fillId="3" borderId="11" xfId="0" applyFont="1" applyFill="1" applyBorder="1" applyAlignment="1">
      <alignment horizontal="center" vertical="center" wrapText="1"/>
    </xf>
    <xf numFmtId="168" fontId="36" fillId="6" borderId="22" xfId="0" applyFont="1" applyFill="1" applyBorder="1" applyAlignment="1">
      <alignment wrapText="1"/>
    </xf>
    <xf numFmtId="168" fontId="36" fillId="6" borderId="29" xfId="0" applyFont="1" applyFill="1" applyBorder="1" applyAlignment="1">
      <alignment wrapText="1"/>
    </xf>
    <xf numFmtId="168" fontId="36" fillId="6" borderId="21" xfId="0" applyFont="1" applyFill="1" applyBorder="1" applyAlignment="1">
      <alignment wrapText="1"/>
    </xf>
    <xf numFmtId="168" fontId="36" fillId="6" borderId="2" xfId="0" applyFont="1" applyFill="1" applyBorder="1" applyAlignment="1">
      <alignment horizontal="centerContinuous" wrapText="1"/>
    </xf>
    <xf numFmtId="168" fontId="36" fillId="6" borderId="3" xfId="0" applyFont="1" applyFill="1" applyBorder="1" applyAlignment="1">
      <alignment horizontal="centerContinuous" wrapText="1"/>
    </xf>
    <xf numFmtId="168" fontId="50" fillId="5" borderId="1" xfId="0" applyFont="1" applyFill="1" applyBorder="1" applyAlignment="1">
      <alignment horizontal="centerContinuous"/>
    </xf>
    <xf numFmtId="168" fontId="51" fillId="5" borderId="2" xfId="0" applyFont="1" applyFill="1" applyBorder="1" applyAlignment="1">
      <alignment horizontal="centerContinuous"/>
    </xf>
    <xf numFmtId="168" fontId="52" fillId="5" borderId="3" xfId="0" applyFont="1" applyFill="1" applyBorder="1" applyAlignment="1">
      <alignment horizontal="centerContinuous"/>
    </xf>
    <xf numFmtId="168" fontId="52" fillId="5" borderId="30" xfId="0" applyFont="1" applyFill="1" applyBorder="1" applyAlignment="1">
      <alignment horizontal="centerContinuous" vertical="center" wrapText="1"/>
    </xf>
    <xf numFmtId="168" fontId="53" fillId="5" borderId="30" xfId="0" applyFont="1" applyFill="1" applyBorder="1" applyAlignment="1">
      <alignment horizontal="center" vertical="center" wrapText="1"/>
    </xf>
    <xf numFmtId="168" fontId="53" fillId="5" borderId="31" xfId="0" applyFont="1" applyFill="1" applyBorder="1" applyAlignment="1">
      <alignment horizontal="center" vertical="center" wrapText="1"/>
    </xf>
    <xf numFmtId="168" fontId="51" fillId="5" borderId="4" xfId="0" applyFont="1" applyFill="1" applyBorder="1" applyAlignment="1">
      <alignment horizontal="center" vertical="center" wrapText="1"/>
    </xf>
    <xf numFmtId="168" fontId="51" fillId="5" borderId="1" xfId="0" applyFont="1" applyFill="1" applyBorder="1" applyAlignment="1">
      <alignment horizontal="center" vertical="center" wrapText="1"/>
    </xf>
    <xf numFmtId="168" fontId="51" fillId="5" borderId="17" xfId="0" applyFont="1" applyFill="1" applyBorder="1" applyAlignment="1">
      <alignment horizontal="center" vertical="center" wrapText="1"/>
    </xf>
    <xf numFmtId="168" fontId="51" fillId="5" borderId="15" xfId="0" applyFont="1" applyFill="1" applyBorder="1" applyAlignment="1">
      <alignment horizontal="center"/>
    </xf>
    <xf numFmtId="2" fontId="31" fillId="5" borderId="32" xfId="0" applyNumberFormat="1" applyFont="1" applyFill="1" applyBorder="1" applyAlignment="1">
      <alignment horizontal="right" indent="1"/>
    </xf>
    <xf numFmtId="168" fontId="37" fillId="6" borderId="33" xfId="0" applyFont="1" applyFill="1" applyBorder="1" applyAlignment="1">
      <alignment horizontal="center" vertical="center" wrapText="1"/>
    </xf>
    <xf numFmtId="176" fontId="30" fillId="5" borderId="0" xfId="11" applyNumberFormat="1" applyFont="1" applyFill="1"/>
    <xf numFmtId="168" fontId="48" fillId="5" borderId="2" xfId="0" applyFont="1" applyFill="1" applyBorder="1" applyAlignment="1">
      <alignment horizontal="center" vertical="center" wrapText="1"/>
    </xf>
    <xf numFmtId="10" fontId="31" fillId="5" borderId="10" xfId="27" applyNumberFormat="1" applyFont="1" applyFill="1" applyBorder="1" applyAlignment="1">
      <alignment horizontal="right" indent="1"/>
    </xf>
    <xf numFmtId="168" fontId="36" fillId="6" borderId="8" xfId="0" applyFont="1" applyFill="1" applyBorder="1" applyAlignment="1">
      <alignment horizontal="left" vertical="center" wrapText="1"/>
    </xf>
    <xf numFmtId="168" fontId="36" fillId="6" borderId="6" xfId="0" applyFont="1" applyFill="1" applyBorder="1" applyAlignment="1">
      <alignment horizontal="centerContinuous" vertical="center" wrapText="1"/>
    </xf>
    <xf numFmtId="168" fontId="31" fillId="6" borderId="27" xfId="0" applyFont="1" applyFill="1" applyBorder="1" applyAlignment="1">
      <alignment wrapText="1"/>
    </xf>
    <xf numFmtId="178" fontId="31" fillId="5" borderId="9" xfId="27" applyNumberFormat="1" applyFont="1" applyFill="1" applyBorder="1" applyAlignment="1">
      <alignment horizontal="right" indent="2"/>
    </xf>
    <xf numFmtId="178" fontId="31" fillId="5" borderId="10" xfId="27" applyNumberFormat="1" applyFont="1" applyFill="1" applyBorder="1" applyAlignment="1">
      <alignment horizontal="right" indent="2"/>
    </xf>
    <xf numFmtId="179" fontId="30" fillId="5" borderId="0" xfId="0" applyNumberFormat="1" applyFont="1" applyFill="1"/>
    <xf numFmtId="180" fontId="30" fillId="5" borderId="0" xfId="0" applyNumberFormat="1" applyFont="1" applyFill="1"/>
    <xf numFmtId="168" fontId="31" fillId="6" borderId="34" xfId="0" applyFont="1" applyFill="1" applyBorder="1" applyAlignment="1">
      <alignment horizontal="center" wrapText="1"/>
    </xf>
    <xf numFmtId="168" fontId="31" fillId="6" borderId="35" xfId="0" applyFont="1" applyFill="1" applyBorder="1" applyAlignment="1">
      <alignment horizontal="center" wrapText="1"/>
    </xf>
    <xf numFmtId="2" fontId="31" fillId="5" borderId="11" xfId="0" applyNumberFormat="1" applyFont="1" applyFill="1" applyBorder="1" applyAlignment="1">
      <alignment horizontal="right" indent="1"/>
    </xf>
    <xf numFmtId="2" fontId="0" fillId="5" borderId="0" xfId="0" applyNumberFormat="1" applyFill="1"/>
    <xf numFmtId="2" fontId="31" fillId="6" borderId="2" xfId="0" applyNumberFormat="1" applyFont="1" applyFill="1" applyBorder="1" applyAlignment="1">
      <alignment horizontal="centerContinuous"/>
    </xf>
    <xf numFmtId="168" fontId="37" fillId="6" borderId="4" xfId="0" applyFont="1" applyFill="1" applyBorder="1" applyAlignment="1">
      <alignment horizontal="center"/>
    </xf>
    <xf numFmtId="43" fontId="31" fillId="5" borderId="9" xfId="11" applyFont="1" applyFill="1" applyBorder="1" applyAlignment="1">
      <alignment horizontal="right" indent="1"/>
    </xf>
    <xf numFmtId="168" fontId="37" fillId="5" borderId="17" xfId="0" applyFont="1" applyFill="1" applyBorder="1" applyAlignment="1">
      <alignment horizontal="centerContinuous"/>
    </xf>
    <xf numFmtId="2" fontId="30" fillId="6" borderId="2" xfId="0" applyNumberFormat="1" applyFont="1" applyFill="1" applyBorder="1"/>
    <xf numFmtId="168" fontId="0" fillId="5" borderId="0" xfId="0" applyFill="1" applyBorder="1" applyAlignment="1">
      <alignment horizontal="left"/>
    </xf>
    <xf numFmtId="168" fontId="37" fillId="6" borderId="15" xfId="0" applyFont="1" applyFill="1" applyBorder="1" applyAlignment="1">
      <alignment horizontal="center"/>
    </xf>
    <xf numFmtId="168" fontId="32" fillId="5" borderId="0" xfId="0" applyFont="1" applyFill="1" applyBorder="1" applyAlignment="1">
      <alignment horizontal="right"/>
    </xf>
    <xf numFmtId="168" fontId="35" fillId="5" borderId="0" xfId="0" applyFont="1" applyFill="1" applyBorder="1" applyAlignment="1">
      <alignment horizontal="center"/>
    </xf>
    <xf numFmtId="2" fontId="31" fillId="5" borderId="9" xfId="0" quotePrefix="1" applyNumberFormat="1" applyFont="1" applyFill="1" applyBorder="1" applyAlignment="1">
      <alignment horizontal="right" indent="1"/>
    </xf>
    <xf numFmtId="2" fontId="31" fillId="5" borderId="10" xfId="0" quotePrefix="1" applyNumberFormat="1" applyFont="1" applyFill="1" applyBorder="1" applyAlignment="1">
      <alignment horizontal="right" indent="1"/>
    </xf>
    <xf numFmtId="170" fontId="31" fillId="5" borderId="9" xfId="0" quotePrefix="1" applyNumberFormat="1" applyFont="1" applyFill="1" applyBorder="1" applyAlignment="1">
      <alignment horizontal="right" indent="1"/>
    </xf>
    <xf numFmtId="170" fontId="31" fillId="5" borderId="10" xfId="0" quotePrefix="1" applyNumberFormat="1" applyFont="1" applyFill="1" applyBorder="1" applyAlignment="1">
      <alignment horizontal="right" indent="1"/>
    </xf>
    <xf numFmtId="170" fontId="31" fillId="5" borderId="11" xfId="0" quotePrefix="1" applyNumberFormat="1" applyFont="1" applyFill="1" applyBorder="1" applyAlignment="1">
      <alignment horizontal="right" indent="1"/>
    </xf>
    <xf numFmtId="2" fontId="31" fillId="5" borderId="24" xfId="0" quotePrefix="1" applyNumberFormat="1" applyFont="1" applyFill="1" applyBorder="1" applyAlignment="1">
      <alignment horizontal="right" indent="1"/>
    </xf>
    <xf numFmtId="2" fontId="31" fillId="5" borderId="25" xfId="0" quotePrefix="1" applyNumberFormat="1" applyFont="1" applyFill="1" applyBorder="1" applyAlignment="1">
      <alignment horizontal="right" indent="1"/>
    </xf>
    <xf numFmtId="172" fontId="31" fillId="5" borderId="9" xfId="0" quotePrefix="1" applyNumberFormat="1" applyFont="1" applyFill="1" applyBorder="1" applyAlignment="1">
      <alignment horizontal="right" indent="1"/>
    </xf>
    <xf numFmtId="172" fontId="31" fillId="5" borderId="10" xfId="0" quotePrefix="1" applyNumberFormat="1" applyFont="1" applyFill="1" applyBorder="1" applyAlignment="1">
      <alignment horizontal="right" indent="1"/>
    </xf>
    <xf numFmtId="2" fontId="37" fillId="5" borderId="9" xfId="0" quotePrefix="1" applyNumberFormat="1" applyFont="1" applyFill="1" applyBorder="1" applyAlignment="1">
      <alignment horizontal="right" indent="1"/>
    </xf>
    <xf numFmtId="2" fontId="37" fillId="5" borderId="11" xfId="0" quotePrefix="1" applyNumberFormat="1" applyFont="1" applyFill="1" applyBorder="1" applyAlignment="1">
      <alignment horizontal="right" indent="1"/>
    </xf>
    <xf numFmtId="168" fontId="31" fillId="6" borderId="1" xfId="0" applyFont="1" applyFill="1" applyBorder="1"/>
    <xf numFmtId="43" fontId="0" fillId="5" borderId="0" xfId="11" applyFont="1" applyFill="1"/>
    <xf numFmtId="177" fontId="0" fillId="5" borderId="0" xfId="11" applyNumberFormat="1" applyFont="1" applyFill="1"/>
    <xf numFmtId="183" fontId="37" fillId="5" borderId="11" xfId="12" applyNumberFormat="1" applyFont="1" applyFill="1" applyBorder="1" applyAlignment="1">
      <alignment horizontal="right" indent="1"/>
    </xf>
    <xf numFmtId="183" fontId="45" fillId="5" borderId="0" xfId="12" applyNumberFormat="1" applyFont="1" applyFill="1"/>
    <xf numFmtId="183" fontId="42" fillId="6" borderId="2" xfId="12" applyNumberFormat="1" applyFont="1" applyFill="1" applyBorder="1"/>
    <xf numFmtId="183" fontId="37" fillId="5" borderId="9" xfId="12" applyNumberFormat="1" applyFont="1" applyFill="1" applyBorder="1" applyAlignment="1">
      <alignment horizontal="right" indent="1"/>
    </xf>
    <xf numFmtId="183" fontId="0" fillId="5" borderId="0" xfId="12" applyNumberFormat="1" applyFont="1" applyFill="1"/>
    <xf numFmtId="183" fontId="30" fillId="6" borderId="2" xfId="12" applyNumberFormat="1" applyFont="1" applyFill="1" applyBorder="1"/>
    <xf numFmtId="183" fontId="42" fillId="6" borderId="3" xfId="12" applyNumberFormat="1" applyFont="1" applyFill="1" applyBorder="1"/>
    <xf numFmtId="183" fontId="42" fillId="6" borderId="29" xfId="12" applyNumberFormat="1" applyFont="1" applyFill="1" applyBorder="1"/>
    <xf numFmtId="168" fontId="30" fillId="5" borderId="0" xfId="0" applyFont="1" applyFill="1" applyAlignment="1">
      <alignment horizontal="center"/>
    </xf>
    <xf numFmtId="2" fontId="37" fillId="5" borderId="32" xfId="0" applyNumberFormat="1" applyFont="1" applyFill="1" applyBorder="1" applyAlignment="1">
      <alignment horizontal="right" indent="1"/>
    </xf>
    <xf numFmtId="168" fontId="35" fillId="5" borderId="0" xfId="17" applyNumberFormat="1" applyFont="1" applyFill="1" applyBorder="1" applyAlignment="1" applyProtection="1"/>
    <xf numFmtId="168" fontId="0" fillId="5" borderId="0" xfId="0" applyFill="1" applyBorder="1"/>
    <xf numFmtId="2" fontId="31" fillId="5" borderId="11" xfId="0" quotePrefix="1" applyNumberFormat="1" applyFont="1" applyFill="1" applyBorder="1" applyAlignment="1">
      <alignment horizontal="right" indent="1"/>
    </xf>
    <xf numFmtId="168" fontId="37" fillId="6" borderId="36" xfId="0" applyFont="1" applyFill="1" applyBorder="1" applyAlignment="1">
      <alignment horizontal="centerContinuous" vertical="center" wrapText="1"/>
    </xf>
    <xf numFmtId="168" fontId="45" fillId="6" borderId="2" xfId="0" applyFont="1" applyFill="1" applyBorder="1" applyAlignment="1">
      <alignment horizontal="centerContinuous" vertical="center" wrapText="1"/>
    </xf>
    <xf numFmtId="168" fontId="45" fillId="6" borderId="37" xfId="0" applyFont="1" applyFill="1" applyBorder="1" applyAlignment="1">
      <alignment horizontal="centerContinuous" vertical="center" wrapText="1"/>
    </xf>
    <xf numFmtId="168" fontId="37" fillId="6" borderId="38" xfId="0" applyFont="1" applyFill="1" applyBorder="1" applyAlignment="1">
      <alignment horizontal="centerContinuous" vertical="center" wrapText="1"/>
    </xf>
    <xf numFmtId="168" fontId="45" fillId="6" borderId="21" xfId="0" applyFont="1" applyFill="1" applyBorder="1" applyAlignment="1">
      <alignment horizontal="centerContinuous" vertical="center" wrapText="1"/>
    </xf>
    <xf numFmtId="168" fontId="45" fillId="6" borderId="39" xfId="0" applyFont="1" applyFill="1" applyBorder="1" applyAlignment="1">
      <alignment horizontal="centerContinuous" vertical="center" wrapText="1"/>
    </xf>
    <xf numFmtId="168" fontId="37" fillId="6" borderId="37" xfId="0" applyFont="1" applyFill="1" applyBorder="1" applyAlignment="1">
      <alignment horizontal="centerContinuous" vertical="center" wrapText="1"/>
    </xf>
    <xf numFmtId="168" fontId="37" fillId="6" borderId="39" xfId="0" applyFont="1" applyFill="1" applyBorder="1" applyAlignment="1">
      <alignment horizontal="centerContinuous" vertical="center" wrapText="1"/>
    </xf>
    <xf numFmtId="168" fontId="37" fillId="6" borderId="2" xfId="0" applyFont="1" applyFill="1" applyBorder="1" applyAlignment="1">
      <alignment horizontal="centerContinuous" vertical="center" wrapText="1"/>
    </xf>
    <xf numFmtId="168" fontId="37" fillId="6" borderId="8" xfId="0" applyFont="1" applyFill="1" applyBorder="1"/>
    <xf numFmtId="168" fontId="37" fillId="6" borderId="6" xfId="0" applyFont="1" applyFill="1" applyBorder="1"/>
    <xf numFmtId="168" fontId="30" fillId="5" borderId="17" xfId="0" applyFont="1" applyFill="1" applyBorder="1" applyAlignment="1">
      <alignment horizontal="left"/>
    </xf>
    <xf numFmtId="168" fontId="37" fillId="6" borderId="22" xfId="0" applyFont="1" applyFill="1" applyBorder="1" applyAlignment="1">
      <alignment horizontal="center"/>
    </xf>
    <xf numFmtId="168" fontId="36" fillId="6" borderId="42" xfId="0" applyFont="1" applyFill="1" applyBorder="1" applyAlignment="1">
      <alignment horizontal="centerContinuous" vertical="center" wrapText="1"/>
    </xf>
    <xf numFmtId="168" fontId="36" fillId="6" borderId="43" xfId="0" applyFont="1" applyFill="1" applyBorder="1" applyAlignment="1">
      <alignment horizontal="centerContinuous" vertical="center" wrapText="1"/>
    </xf>
    <xf numFmtId="2" fontId="37" fillId="6" borderId="17" xfId="0" applyNumberFormat="1" applyFont="1" applyFill="1" applyBorder="1" applyAlignment="1">
      <alignment horizontal="center" vertical="center" wrapText="1"/>
    </xf>
    <xf numFmtId="2" fontId="36" fillId="6" borderId="44" xfId="0" applyNumberFormat="1" applyFont="1" applyFill="1" applyBorder="1" applyAlignment="1">
      <alignment horizontal="center" vertical="center" wrapText="1"/>
    </xf>
    <xf numFmtId="183" fontId="37" fillId="5" borderId="45" xfId="12" applyNumberFormat="1" applyFont="1" applyFill="1" applyBorder="1" applyAlignment="1">
      <alignment horizontal="right" indent="1"/>
    </xf>
    <xf numFmtId="43" fontId="32" fillId="5" borderId="0" xfId="11" applyFont="1" applyFill="1" applyBorder="1"/>
    <xf numFmtId="168" fontId="32" fillId="5" borderId="46" xfId="0" applyFont="1" applyFill="1" applyBorder="1"/>
    <xf numFmtId="168" fontId="35" fillId="5" borderId="22" xfId="0" applyFont="1" applyFill="1" applyBorder="1" applyAlignment="1">
      <alignment horizontal="left"/>
    </xf>
    <xf numFmtId="168" fontId="32" fillId="5" borderId="21" xfId="0" applyFont="1" applyFill="1" applyBorder="1" applyAlignment="1">
      <alignment horizontal="left"/>
    </xf>
    <xf numFmtId="168" fontId="30" fillId="5" borderId="21" xfId="0" applyFont="1" applyFill="1" applyBorder="1" applyAlignment="1">
      <alignment horizontal="left"/>
    </xf>
    <xf numFmtId="168" fontId="32" fillId="5" borderId="29" xfId="0" applyFont="1" applyFill="1" applyBorder="1" applyAlignment="1">
      <alignment horizontal="left"/>
    </xf>
    <xf numFmtId="185" fontId="32" fillId="5" borderId="21" xfId="11" applyNumberFormat="1" applyFont="1" applyFill="1" applyBorder="1" applyAlignment="1">
      <alignment horizontal="centerContinuous" wrapText="1"/>
    </xf>
    <xf numFmtId="181" fontId="32" fillId="5" borderId="46" xfId="11" applyNumberFormat="1" applyFont="1" applyFill="1" applyBorder="1" applyAlignment="1">
      <alignment horizontal="right" indent="1"/>
    </xf>
    <xf numFmtId="168" fontId="38" fillId="5" borderId="47" xfId="17" applyNumberFormat="1" applyFont="1" applyFill="1" applyBorder="1" applyAlignment="1" applyProtection="1"/>
    <xf numFmtId="168" fontId="38" fillId="5" borderId="48" xfId="17" applyNumberFormat="1" applyFont="1" applyFill="1" applyBorder="1" applyAlignment="1" applyProtection="1"/>
    <xf numFmtId="168" fontId="38" fillId="5" borderId="49" xfId="17" applyNumberFormat="1" applyFont="1" applyFill="1" applyBorder="1" applyAlignment="1" applyProtection="1"/>
    <xf numFmtId="168" fontId="38" fillId="5" borderId="50" xfId="17" applyNumberFormat="1" applyFont="1" applyFill="1" applyBorder="1" applyAlignment="1" applyProtection="1"/>
    <xf numFmtId="168" fontId="54" fillId="5" borderId="17" xfId="17" applyNumberFormat="1" applyFont="1" applyFill="1" applyBorder="1" applyAlignment="1" applyProtection="1"/>
    <xf numFmtId="168" fontId="54" fillId="5" borderId="19" xfId="0" applyFont="1" applyFill="1" applyBorder="1"/>
    <xf numFmtId="168" fontId="54" fillId="5" borderId="17" xfId="0" applyFont="1" applyFill="1" applyBorder="1"/>
    <xf numFmtId="168" fontId="55" fillId="6" borderId="51" xfId="0" applyFont="1" applyFill="1" applyBorder="1" applyAlignment="1">
      <alignment horizontal="center" vertical="center" wrapText="1"/>
    </xf>
    <xf numFmtId="168" fontId="55" fillId="6" borderId="52" xfId="0" applyFont="1" applyFill="1" applyBorder="1" applyAlignment="1">
      <alignment horizontal="center" vertical="center" wrapText="1"/>
    </xf>
    <xf numFmtId="168" fontId="55" fillId="6" borderId="19" xfId="0" applyFont="1" applyFill="1" applyBorder="1" applyAlignment="1">
      <alignment horizontal="centerContinuous"/>
    </xf>
    <xf numFmtId="168" fontId="55" fillId="6" borderId="17" xfId="0" applyFont="1" applyFill="1" applyBorder="1" applyAlignment="1">
      <alignment horizontal="centerContinuous"/>
    </xf>
    <xf numFmtId="168" fontId="55" fillId="6" borderId="15" xfId="0" applyFont="1" applyFill="1" applyBorder="1" applyAlignment="1">
      <alignment horizontal="center" vertical="center" wrapText="1"/>
    </xf>
    <xf numFmtId="168" fontId="30" fillId="6" borderId="2" xfId="0" applyFont="1" applyFill="1" applyBorder="1" applyAlignment="1">
      <alignment horizontal="centerContinuous"/>
    </xf>
    <xf numFmtId="168" fontId="42" fillId="5" borderId="0" xfId="0" applyFont="1" applyFill="1" applyAlignment="1">
      <alignment horizontal="centerContinuous"/>
    </xf>
    <xf numFmtId="168" fontId="32" fillId="5" borderId="0" xfId="0" quotePrefix="1" applyFont="1" applyFill="1" applyAlignment="1">
      <alignment horizontal="right"/>
    </xf>
    <xf numFmtId="168" fontId="38" fillId="6" borderId="53" xfId="0" applyFont="1" applyFill="1" applyBorder="1" applyAlignment="1">
      <alignment horizontal="centerContinuous" vertical="center" wrapText="1"/>
    </xf>
    <xf numFmtId="168" fontId="38" fillId="6" borderId="54" xfId="0" applyFont="1" applyFill="1" applyBorder="1" applyAlignment="1">
      <alignment horizontal="centerContinuous" vertical="center" wrapText="1"/>
    </xf>
    <xf numFmtId="168" fontId="31" fillId="6" borderId="0" xfId="0" applyFont="1" applyFill="1" applyBorder="1" applyAlignment="1">
      <alignment horizontal="right" vertical="center" wrapText="1"/>
    </xf>
    <xf numFmtId="168" fontId="56" fillId="5" borderId="0" xfId="0" applyFont="1" applyFill="1"/>
    <xf numFmtId="168" fontId="33" fillId="5" borderId="0" xfId="0" applyFont="1" applyFill="1" applyBorder="1"/>
    <xf numFmtId="168" fontId="0" fillId="5" borderId="0" xfId="0" applyFill="1" applyBorder="1" applyAlignment="1">
      <alignment horizontal="centerContinuous"/>
    </xf>
    <xf numFmtId="168" fontId="0" fillId="5" borderId="21" xfId="0" applyFill="1" applyBorder="1"/>
    <xf numFmtId="168" fontId="0" fillId="5" borderId="21" xfId="0" applyFill="1" applyBorder="1" applyAlignment="1">
      <alignment horizontal="left"/>
    </xf>
    <xf numFmtId="168" fontId="57" fillId="5" borderId="0" xfId="0" applyFont="1" applyFill="1"/>
    <xf numFmtId="168" fontId="48" fillId="3" borderId="11" xfId="0" applyFont="1" applyFill="1" applyBorder="1" applyAlignment="1">
      <alignment horizontal="center" vertical="center" wrapText="1"/>
    </xf>
    <xf numFmtId="168" fontId="51" fillId="5" borderId="0" xfId="0" applyFont="1" applyFill="1" applyBorder="1" applyAlignment="1">
      <alignment horizontal="center"/>
    </xf>
    <xf numFmtId="168" fontId="44" fillId="6" borderId="19" xfId="0" applyFont="1" applyFill="1" applyBorder="1" applyAlignment="1">
      <alignment horizontal="centerContinuous"/>
    </xf>
    <xf numFmtId="168" fontId="44" fillId="6" borderId="17" xfId="0" applyFont="1" applyFill="1" applyBorder="1" applyAlignment="1">
      <alignment horizontal="centerContinuous"/>
    </xf>
    <xf numFmtId="168" fontId="44" fillId="6" borderId="20" xfId="0" applyFont="1" applyFill="1" applyBorder="1" applyAlignment="1">
      <alignment horizontal="centerContinuous"/>
    </xf>
    <xf numFmtId="168" fontId="44" fillId="6" borderId="16" xfId="0" applyFont="1" applyFill="1" applyBorder="1" applyAlignment="1">
      <alignment horizontal="centerContinuous"/>
    </xf>
    <xf numFmtId="168" fontId="37" fillId="6" borderId="7" xfId="0" applyFont="1" applyFill="1" applyBorder="1" applyAlignment="1">
      <alignment horizontal="center"/>
    </xf>
    <xf numFmtId="186" fontId="30" fillId="5" borderId="0" xfId="0" applyNumberFormat="1" applyFont="1" applyFill="1"/>
    <xf numFmtId="168" fontId="37" fillId="6" borderId="17" xfId="0" applyFont="1" applyFill="1" applyBorder="1" applyAlignment="1">
      <alignment horizontal="centerContinuous" vertical="center" wrapText="1"/>
    </xf>
    <xf numFmtId="168" fontId="37" fillId="7" borderId="8" xfId="0" applyFont="1" applyFill="1" applyBorder="1" applyAlignment="1">
      <alignment horizontal="center" vertical="center" wrapText="1"/>
    </xf>
    <xf numFmtId="168" fontId="31" fillId="7" borderId="27" xfId="0" applyFont="1" applyFill="1" applyBorder="1" applyAlignment="1">
      <alignment horizontal="center" wrapText="1"/>
    </xf>
    <xf numFmtId="168" fontId="37" fillId="7" borderId="6" xfId="0" applyFont="1" applyFill="1" applyBorder="1" applyAlignment="1">
      <alignment horizontal="center" vertical="center" wrapText="1"/>
    </xf>
    <xf numFmtId="168" fontId="30" fillId="5" borderId="0" xfId="0" applyFont="1" applyFill="1" applyAlignment="1">
      <alignment vertical="top"/>
    </xf>
    <xf numFmtId="168" fontId="0" fillId="0" borderId="0" xfId="0" applyAlignment="1">
      <alignment wrapText="1"/>
    </xf>
    <xf numFmtId="168" fontId="31" fillId="3" borderId="10" xfId="0" applyFont="1" applyFill="1" applyBorder="1" applyAlignment="1">
      <alignment horizontal="center" vertical="center" wrapText="1"/>
    </xf>
    <xf numFmtId="168" fontId="31" fillId="3" borderId="11" xfId="0" applyFont="1" applyFill="1" applyBorder="1" applyAlignment="1">
      <alignment horizontal="center" vertical="center" wrapText="1"/>
    </xf>
    <xf numFmtId="168" fontId="0" fillId="0" borderId="0" xfId="0" applyAlignment="1">
      <alignment horizontal="center" vertical="center"/>
    </xf>
    <xf numFmtId="0" fontId="0" fillId="0" borderId="0" xfId="0" applyNumberFormat="1"/>
    <xf numFmtId="168" fontId="32" fillId="5" borderId="0" xfId="17" applyNumberFormat="1" applyFont="1" applyFill="1" applyBorder="1" applyAlignment="1" applyProtection="1">
      <alignment horizontal="left"/>
    </xf>
    <xf numFmtId="168" fontId="32" fillId="5" borderId="0" xfId="17" applyNumberFormat="1" applyFont="1" applyFill="1" applyBorder="1" applyAlignment="1" applyProtection="1">
      <alignment horizontal="centerContinuous"/>
    </xf>
    <xf numFmtId="168" fontId="0" fillId="0" borderId="0" xfId="0" applyAlignment="1">
      <alignment horizontal="center"/>
    </xf>
    <xf numFmtId="168" fontId="32" fillId="0" borderId="17" xfId="0" applyFont="1" applyFill="1" applyBorder="1" applyAlignment="1">
      <alignment horizontal="center" vertical="center" wrapText="1"/>
    </xf>
    <xf numFmtId="168" fontId="32" fillId="0" borderId="17" xfId="0" applyFont="1" applyFill="1" applyBorder="1" applyAlignment="1">
      <alignment horizontal="center" vertical="center"/>
    </xf>
    <xf numFmtId="168" fontId="0" fillId="0" borderId="17" xfId="0" applyBorder="1" applyAlignment="1">
      <alignment horizontal="center" vertical="center" wrapText="1"/>
    </xf>
    <xf numFmtId="168" fontId="32" fillId="0" borderId="31" xfId="0" applyFont="1" applyFill="1" applyBorder="1" applyAlignment="1">
      <alignment horizontal="center" vertical="center" wrapText="1"/>
    </xf>
    <xf numFmtId="168" fontId="32" fillId="0" borderId="31" xfId="0" applyFont="1" applyFill="1" applyBorder="1" applyAlignment="1">
      <alignment horizontal="center" vertical="center"/>
    </xf>
    <xf numFmtId="183" fontId="37" fillId="6" borderId="15" xfId="12" applyNumberFormat="1" applyFont="1" applyFill="1" applyBorder="1" applyAlignment="1">
      <alignment horizontal="center" vertical="center" wrapText="1"/>
    </xf>
    <xf numFmtId="183" fontId="37" fillId="6" borderId="6" xfId="12" applyNumberFormat="1" applyFont="1" applyFill="1" applyBorder="1" applyAlignment="1">
      <alignment horizontal="center" vertical="center" wrapText="1"/>
    </xf>
    <xf numFmtId="184" fontId="32" fillId="5" borderId="12" xfId="6" applyNumberFormat="1" applyFont="1" applyFill="1" applyBorder="1" applyAlignment="1">
      <alignment horizontal="right" indent="1"/>
    </xf>
    <xf numFmtId="184" fontId="32" fillId="5" borderId="14" xfId="6" applyNumberFormat="1" applyFont="1" applyFill="1" applyBorder="1" applyAlignment="1">
      <alignment horizontal="right" indent="1"/>
    </xf>
    <xf numFmtId="184" fontId="35" fillId="5" borderId="12" xfId="6" applyNumberFormat="1" applyFont="1" applyFill="1" applyBorder="1" applyAlignment="1">
      <alignment horizontal="right" indent="1"/>
    </xf>
    <xf numFmtId="184" fontId="35" fillId="5" borderId="14" xfId="6" applyNumberFormat="1" applyFont="1" applyFill="1" applyBorder="1" applyAlignment="1">
      <alignment horizontal="right" indent="1"/>
    </xf>
    <xf numFmtId="168" fontId="38" fillId="5" borderId="0" xfId="0" applyFont="1" applyFill="1" applyBorder="1" applyAlignment="1">
      <alignment horizontal="center" vertical="center" wrapText="1"/>
    </xf>
    <xf numFmtId="168" fontId="59" fillId="5" borderId="0" xfId="0" applyFont="1" applyFill="1" applyAlignment="1">
      <alignment horizontal="centerContinuous"/>
    </xf>
    <xf numFmtId="168" fontId="60" fillId="5" borderId="0" xfId="0" applyFont="1" applyFill="1"/>
    <xf numFmtId="168" fontId="60" fillId="5" borderId="0" xfId="0" applyFont="1" applyFill="1" applyAlignment="1">
      <alignment horizontal="right"/>
    </xf>
    <xf numFmtId="168" fontId="61" fillId="5" borderId="0" xfId="0" applyFont="1" applyFill="1"/>
    <xf numFmtId="168" fontId="59" fillId="5" borderId="0" xfId="0" applyFont="1" applyFill="1" applyAlignment="1">
      <alignment horizontal="left"/>
    </xf>
    <xf numFmtId="168" fontId="55" fillId="5" borderId="0" xfId="0" applyFont="1" applyFill="1" applyBorder="1" applyAlignment="1">
      <alignment horizontal="centerContinuous"/>
    </xf>
    <xf numFmtId="168" fontId="30" fillId="5" borderId="0" xfId="0" applyFont="1" applyFill="1" applyAlignment="1">
      <alignment horizontal="centerContinuous"/>
    </xf>
    <xf numFmtId="168" fontId="61" fillId="5" borderId="0" xfId="0" applyFont="1" applyFill="1" applyAlignment="1">
      <alignment horizontal="right"/>
    </xf>
    <xf numFmtId="10" fontId="61" fillId="5" borderId="0" xfId="27" applyNumberFormat="1" applyFont="1" applyFill="1"/>
    <xf numFmtId="168" fontId="62" fillId="5" borderId="0" xfId="0" applyFont="1" applyFill="1" applyBorder="1" applyAlignment="1">
      <alignment horizontal="left"/>
    </xf>
    <xf numFmtId="168" fontId="32" fillId="5" borderId="60" xfId="0" applyFont="1" applyFill="1" applyBorder="1"/>
    <xf numFmtId="168" fontId="63" fillId="5" borderId="0" xfId="0" applyFont="1" applyFill="1" applyBorder="1" applyAlignment="1">
      <alignment horizontal="left"/>
    </xf>
    <xf numFmtId="168" fontId="68" fillId="5" borderId="0" xfId="0" quotePrefix="1" applyFont="1" applyFill="1" applyAlignment="1">
      <alignment horizontal="right"/>
    </xf>
    <xf numFmtId="168" fontId="68" fillId="5" borderId="0" xfId="0" applyFont="1" applyFill="1" applyAlignment="1">
      <alignment horizontal="right"/>
    </xf>
    <xf numFmtId="168" fontId="69" fillId="5" borderId="0" xfId="0" applyFont="1" applyFill="1"/>
    <xf numFmtId="168" fontId="61" fillId="5" borderId="0" xfId="0" applyFont="1" applyFill="1" applyAlignment="1">
      <alignment horizontal="centerContinuous" wrapText="1"/>
    </xf>
    <xf numFmtId="168" fontId="31" fillId="6" borderId="5" xfId="0" applyFont="1" applyFill="1" applyBorder="1" applyAlignment="1">
      <alignment horizontal="center"/>
    </xf>
    <xf numFmtId="168" fontId="32" fillId="5" borderId="61" xfId="0" applyFont="1" applyFill="1" applyBorder="1"/>
    <xf numFmtId="184" fontId="32" fillId="5" borderId="61" xfId="6" applyNumberFormat="1" applyFont="1" applyFill="1" applyBorder="1" applyAlignment="1">
      <alignment horizontal="right" indent="1"/>
    </xf>
    <xf numFmtId="184" fontId="35" fillId="5" borderId="61" xfId="6" applyNumberFormat="1" applyFont="1" applyFill="1" applyBorder="1" applyAlignment="1">
      <alignment horizontal="right" indent="1"/>
    </xf>
    <xf numFmtId="181" fontId="70" fillId="5" borderId="14" xfId="11" applyNumberFormat="1" applyFont="1" applyFill="1" applyBorder="1" applyAlignment="1">
      <alignment horizontal="right" indent="1"/>
    </xf>
    <xf numFmtId="181" fontId="70" fillId="5" borderId="63" xfId="11" applyNumberFormat="1" applyFont="1" applyFill="1" applyBorder="1" applyAlignment="1">
      <alignment horizontal="right" indent="1"/>
    </xf>
    <xf numFmtId="167" fontId="70" fillId="5" borderId="64" xfId="27" applyNumberFormat="1" applyFont="1" applyFill="1" applyBorder="1" applyAlignment="1">
      <alignment horizontal="right" indent="1"/>
    </xf>
    <xf numFmtId="185" fontId="70" fillId="5" borderId="21" xfId="11" applyNumberFormat="1" applyFont="1" applyFill="1" applyBorder="1" applyAlignment="1">
      <alignment horizontal="centerContinuous" wrapText="1"/>
    </xf>
    <xf numFmtId="185" fontId="71" fillId="5" borderId="21" xfId="11" applyNumberFormat="1" applyFont="1" applyFill="1" applyBorder="1"/>
    <xf numFmtId="167" fontId="70" fillId="5" borderId="29" xfId="27" applyNumberFormat="1" applyFont="1" applyFill="1" applyBorder="1" applyAlignment="1">
      <alignment horizontal="centerContinuous" wrapText="1"/>
    </xf>
    <xf numFmtId="181" fontId="70" fillId="5" borderId="46" xfId="11" applyNumberFormat="1" applyFont="1" applyFill="1" applyBorder="1" applyAlignment="1">
      <alignment horizontal="right" indent="1"/>
    </xf>
    <xf numFmtId="181" fontId="70" fillId="5" borderId="65" xfId="11" applyNumberFormat="1" applyFont="1" applyFill="1" applyBorder="1" applyAlignment="1">
      <alignment horizontal="right" indent="1"/>
    </xf>
    <xf numFmtId="167" fontId="70" fillId="5" borderId="66" xfId="27" applyNumberFormat="1" applyFont="1" applyFill="1" applyBorder="1" applyAlignment="1">
      <alignment horizontal="right" indent="1"/>
    </xf>
    <xf numFmtId="168" fontId="61" fillId="5" borderId="0" xfId="0" applyFont="1" applyFill="1" applyAlignment="1">
      <alignment horizontal="centerContinuous"/>
    </xf>
    <xf numFmtId="168" fontId="34" fillId="5" borderId="0" xfId="0" applyFont="1" applyFill="1" applyAlignment="1">
      <alignment horizontal="centerContinuous"/>
    </xf>
    <xf numFmtId="43" fontId="35" fillId="5" borderId="67" xfId="11" applyFont="1" applyFill="1" applyBorder="1"/>
    <xf numFmtId="7" fontId="32" fillId="5" borderId="68" xfId="12" applyNumberFormat="1" applyFont="1" applyFill="1" applyBorder="1"/>
    <xf numFmtId="7" fontId="32" fillId="5" borderId="46" xfId="12" applyNumberFormat="1" applyFont="1" applyFill="1" applyBorder="1"/>
    <xf numFmtId="7" fontId="35" fillId="5" borderId="67" xfId="12" applyNumberFormat="1" applyFont="1" applyFill="1" applyBorder="1"/>
    <xf numFmtId="168" fontId="35" fillId="5" borderId="60" xfId="0" applyFont="1" applyFill="1" applyBorder="1"/>
    <xf numFmtId="181" fontId="35" fillId="5" borderId="13" xfId="11" applyNumberFormat="1" applyFont="1" applyFill="1" applyBorder="1" applyAlignment="1">
      <alignment horizontal="right" indent="1"/>
    </xf>
    <xf numFmtId="168" fontId="35" fillId="5" borderId="46" xfId="0" applyFont="1" applyFill="1" applyBorder="1"/>
    <xf numFmtId="181" fontId="35" fillId="5" borderId="46" xfId="11" applyNumberFormat="1" applyFont="1" applyFill="1" applyBorder="1" applyAlignment="1">
      <alignment horizontal="right" indent="1"/>
    </xf>
    <xf numFmtId="182" fontId="32" fillId="5" borderId="21" xfId="11" applyNumberFormat="1" applyFont="1" applyFill="1" applyBorder="1" applyAlignment="1">
      <alignment horizontal="centerContinuous" wrapText="1"/>
    </xf>
    <xf numFmtId="168" fontId="32" fillId="5" borderId="70" xfId="0" applyFont="1" applyFill="1" applyBorder="1" applyAlignment="1">
      <alignment horizontal="right"/>
    </xf>
    <xf numFmtId="184" fontId="32" fillId="5" borderId="71" xfId="6" applyNumberFormat="1" applyFont="1" applyFill="1" applyBorder="1" applyAlignment="1">
      <alignment horizontal="right" indent="1"/>
    </xf>
    <xf numFmtId="184" fontId="35" fillId="5" borderId="71" xfId="6" applyNumberFormat="1" applyFont="1" applyFill="1" applyBorder="1" applyAlignment="1">
      <alignment horizontal="right" indent="1"/>
    </xf>
    <xf numFmtId="175" fontId="35" fillId="5" borderId="72" xfId="6" applyNumberFormat="1" applyFont="1" applyFill="1" applyBorder="1" applyAlignment="1">
      <alignment horizontal="right" indent="1"/>
    </xf>
    <xf numFmtId="168" fontId="35" fillId="5" borderId="13" xfId="0" applyFont="1" applyFill="1" applyBorder="1"/>
    <xf numFmtId="168" fontId="32" fillId="5" borderId="73" xfId="0" applyFont="1" applyFill="1" applyBorder="1"/>
    <xf numFmtId="181" fontId="32" fillId="5" borderId="74" xfId="11" applyNumberFormat="1" applyFont="1" applyFill="1" applyBorder="1" applyAlignment="1">
      <alignment horizontal="right" indent="1"/>
    </xf>
    <xf numFmtId="168" fontId="72" fillId="5" borderId="0" xfId="0" applyFont="1" applyFill="1"/>
    <xf numFmtId="168" fontId="73" fillId="5" borderId="0" xfId="0" applyFont="1" applyFill="1" applyAlignment="1">
      <alignment horizontal="centerContinuous"/>
    </xf>
    <xf numFmtId="168" fontId="72" fillId="5" borderId="0" xfId="0" applyFont="1" applyFill="1" applyAlignment="1">
      <alignment horizontal="centerContinuous"/>
    </xf>
    <xf numFmtId="168" fontId="30" fillId="5" borderId="20" xfId="0" applyFont="1" applyFill="1" applyBorder="1" applyAlignment="1">
      <alignment vertical="top" wrapText="1"/>
    </xf>
    <xf numFmtId="168" fontId="32" fillId="5" borderId="0" xfId="17" applyNumberFormat="1" applyFont="1" applyFill="1" applyBorder="1" applyAlignment="1" applyProtection="1">
      <alignment horizontal="right"/>
    </xf>
    <xf numFmtId="181" fontId="70" fillId="5" borderId="60" xfId="11" applyNumberFormat="1" applyFont="1" applyFill="1" applyBorder="1" applyAlignment="1">
      <alignment horizontal="right" indent="1"/>
    </xf>
    <xf numFmtId="168" fontId="35" fillId="5" borderId="76" xfId="0" applyFont="1" applyFill="1" applyBorder="1" applyAlignment="1">
      <alignment horizontal="center"/>
    </xf>
    <xf numFmtId="168" fontId="32" fillId="5" borderId="77" xfId="0" applyFont="1" applyFill="1" applyBorder="1" applyAlignment="1">
      <alignment horizontal="center"/>
    </xf>
    <xf numFmtId="168" fontId="32" fillId="5" borderId="78" xfId="0" applyFont="1" applyFill="1" applyBorder="1" applyAlignment="1">
      <alignment horizontal="center"/>
    </xf>
    <xf numFmtId="185" fontId="61" fillId="5" borderId="0" xfId="11" applyNumberFormat="1" applyFont="1" applyFill="1"/>
    <xf numFmtId="168" fontId="74" fillId="5" borderId="0" xfId="0" applyFont="1" applyFill="1"/>
    <xf numFmtId="10" fontId="30" fillId="5" borderId="0" xfId="27" applyNumberFormat="1" applyFont="1" applyFill="1"/>
    <xf numFmtId="168" fontId="30" fillId="5" borderId="0" xfId="0" applyFont="1" applyFill="1" applyAlignment="1">
      <alignment vertical="top" wrapText="1"/>
    </xf>
    <xf numFmtId="168" fontId="30" fillId="5" borderId="0" xfId="0" applyFont="1" applyFill="1" applyBorder="1" applyAlignment="1">
      <alignment vertical="top" wrapText="1"/>
    </xf>
    <xf numFmtId="168" fontId="55" fillId="5" borderId="0" xfId="0" applyFont="1" applyFill="1" applyBorder="1" applyAlignment="1">
      <alignment horizontal="center"/>
    </xf>
    <xf numFmtId="168" fontId="31" fillId="6" borderId="27" xfId="0" applyFont="1" applyFill="1" applyBorder="1" applyAlignment="1">
      <alignment horizontal="center" vertical="center" wrapText="1"/>
    </xf>
    <xf numFmtId="168" fontId="37" fillId="6" borderId="21" xfId="0" applyFont="1" applyFill="1" applyBorder="1"/>
    <xf numFmtId="39" fontId="37" fillId="5" borderId="0" xfId="11" applyNumberFormat="1" applyFont="1" applyFill="1" applyAlignment="1">
      <alignment vertical="center" textRotation="255"/>
    </xf>
    <xf numFmtId="43" fontId="30" fillId="5" borderId="0" xfId="11" applyFont="1" applyFill="1"/>
    <xf numFmtId="168" fontId="30" fillId="5" borderId="0" xfId="0" applyFont="1" applyFill="1" applyAlignment="1">
      <alignment horizontal="left" vertical="center"/>
    </xf>
    <xf numFmtId="175" fontId="33" fillId="5" borderId="80" xfId="6" applyNumberFormat="1" applyFont="1" applyFill="1" applyBorder="1" applyAlignment="1"/>
    <xf numFmtId="9" fontId="0" fillId="5" borderId="0" xfId="27" applyFont="1" applyFill="1"/>
    <xf numFmtId="173" fontId="37" fillId="3" borderId="11" xfId="10" applyFont="1" applyFill="1" applyBorder="1" applyAlignment="1">
      <alignment horizontal="center"/>
    </xf>
    <xf numFmtId="10" fontId="37" fillId="5" borderId="15" xfId="27" applyNumberFormat="1" applyFont="1" applyFill="1" applyBorder="1" applyAlignment="1">
      <alignment horizontal="right" indent="1"/>
    </xf>
    <xf numFmtId="10" fontId="37" fillId="5" borderId="59" xfId="27" applyNumberFormat="1" applyFont="1" applyFill="1" applyBorder="1" applyAlignment="1">
      <alignment horizontal="right" indent="1"/>
    </xf>
    <xf numFmtId="10" fontId="37" fillId="5" borderId="29" xfId="27" applyNumberFormat="1" applyFont="1" applyFill="1" applyBorder="1" applyAlignment="1">
      <alignment horizontal="right" indent="1"/>
    </xf>
    <xf numFmtId="168" fontId="0" fillId="8" borderId="0" xfId="0" applyFill="1"/>
    <xf numFmtId="168" fontId="37" fillId="6" borderId="31" xfId="0" applyFont="1" applyFill="1" applyBorder="1" applyAlignment="1">
      <alignment horizontal="center" vertical="center" wrapText="1"/>
    </xf>
    <xf numFmtId="168" fontId="37" fillId="6" borderId="31" xfId="0" quotePrefix="1" applyFont="1" applyFill="1" applyBorder="1" applyAlignment="1">
      <alignment horizontal="center" vertical="center" wrapText="1"/>
    </xf>
    <xf numFmtId="168" fontId="36" fillId="8" borderId="0" xfId="0" applyFont="1" applyFill="1" applyBorder="1" applyAlignment="1">
      <alignment horizontal="centerContinuous"/>
    </xf>
    <xf numFmtId="168" fontId="31" fillId="8" borderId="0" xfId="0" applyFont="1" applyFill="1" applyBorder="1" applyAlignment="1">
      <alignment horizontal="centerContinuous"/>
    </xf>
    <xf numFmtId="168" fontId="0" fillId="8" borderId="0" xfId="0" applyFill="1" applyBorder="1"/>
    <xf numFmtId="168" fontId="44" fillId="6" borderId="19" xfId="0" applyFont="1" applyFill="1" applyBorder="1" applyAlignment="1">
      <alignment horizontal="centerContinuous" vertical="center"/>
    </xf>
    <xf numFmtId="168" fontId="44" fillId="6" borderId="20" xfId="0" applyFont="1" applyFill="1" applyBorder="1" applyAlignment="1">
      <alignment horizontal="centerContinuous" vertical="center" wrapText="1"/>
    </xf>
    <xf numFmtId="168" fontId="44" fillId="6" borderId="16" xfId="0" applyFont="1" applyFill="1" applyBorder="1" applyAlignment="1">
      <alignment horizontal="centerContinuous" vertical="center" wrapText="1"/>
    </xf>
    <xf numFmtId="168" fontId="30" fillId="5" borderId="0" xfId="0" applyFont="1" applyFill="1" applyAlignment="1">
      <alignment horizontal="right" vertical="center"/>
    </xf>
    <xf numFmtId="168" fontId="30" fillId="5" borderId="0" xfId="0" applyFont="1" applyFill="1" applyAlignment="1">
      <alignment vertical="center"/>
    </xf>
    <xf numFmtId="168" fontId="74" fillId="5" borderId="0" xfId="0" applyFont="1" applyFill="1" applyBorder="1"/>
    <xf numFmtId="0" fontId="0" fillId="0" borderId="0" xfId="0" applyNumberFormat="1" applyBorder="1"/>
    <xf numFmtId="168" fontId="0" fillId="0" borderId="0" xfId="0" applyBorder="1"/>
    <xf numFmtId="168" fontId="0" fillId="0" borderId="0" xfId="0" applyFill="1"/>
    <xf numFmtId="168" fontId="0" fillId="10" borderId="0" xfId="0" applyFill="1" applyBorder="1"/>
    <xf numFmtId="168" fontId="0" fillId="12" borderId="0" xfId="0" applyFill="1" applyBorder="1"/>
    <xf numFmtId="171" fontId="49" fillId="5" borderId="15" xfId="0" applyNumberFormat="1" applyFont="1" applyFill="1" applyBorder="1" applyAlignment="1">
      <alignment horizontal="center"/>
    </xf>
    <xf numFmtId="168" fontId="0" fillId="13" borderId="0" xfId="0" applyFill="1"/>
    <xf numFmtId="168" fontId="30" fillId="5" borderId="17" xfId="0" applyFont="1" applyFill="1" applyBorder="1" applyAlignment="1">
      <alignment horizontal="center" vertical="center"/>
    </xf>
    <xf numFmtId="168" fontId="30" fillId="5" borderId="15" xfId="0" applyFont="1" applyFill="1" applyBorder="1" applyAlignment="1">
      <alignment horizontal="center" vertical="center"/>
    </xf>
    <xf numFmtId="168" fontId="32" fillId="5" borderId="17" xfId="0" applyFont="1" applyFill="1" applyBorder="1" applyAlignment="1">
      <alignment horizontal="center" vertical="center"/>
    </xf>
    <xf numFmtId="168" fontId="30" fillId="3" borderId="15" xfId="0" applyFont="1" applyFill="1" applyBorder="1" applyAlignment="1">
      <alignment horizontal="center" vertical="center"/>
    </xf>
    <xf numFmtId="168" fontId="30" fillId="3" borderId="17" xfId="0" applyFont="1" applyFill="1" applyBorder="1" applyAlignment="1">
      <alignment horizontal="center" vertical="center"/>
    </xf>
    <xf numFmtId="168" fontId="32" fillId="3" borderId="17" xfId="0" applyFont="1" applyFill="1" applyBorder="1" applyAlignment="1">
      <alignment horizontal="center" vertical="center"/>
    </xf>
    <xf numFmtId="168" fontId="51" fillId="3" borderId="15" xfId="0" applyFont="1" applyFill="1" applyBorder="1" applyAlignment="1">
      <alignment horizontal="center" vertical="center" wrapText="1"/>
    </xf>
    <xf numFmtId="168" fontId="51" fillId="3" borderId="17" xfId="0" applyFont="1" applyFill="1" applyBorder="1" applyAlignment="1">
      <alignment horizontal="center" vertical="center" wrapText="1"/>
    </xf>
    <xf numFmtId="168" fontId="32" fillId="5" borderId="15" xfId="0" applyFont="1" applyFill="1" applyBorder="1" applyAlignment="1">
      <alignment horizontal="center" vertical="center"/>
    </xf>
    <xf numFmtId="168" fontId="51" fillId="5" borderId="15" xfId="0" applyFont="1" applyFill="1" applyBorder="1" applyAlignment="1">
      <alignment horizontal="center" vertical="center" wrapText="1"/>
    </xf>
    <xf numFmtId="2" fontId="0" fillId="13" borderId="0" xfId="0" applyNumberFormat="1" applyFill="1"/>
    <xf numFmtId="2" fontId="30" fillId="5" borderId="17" xfId="0" applyNumberFormat="1" applyFont="1" applyFill="1" applyBorder="1" applyAlignment="1">
      <alignment horizontal="center" vertical="center"/>
    </xf>
    <xf numFmtId="2" fontId="30" fillId="5" borderId="15" xfId="0" applyNumberFormat="1" applyFont="1" applyFill="1" applyBorder="1" applyAlignment="1">
      <alignment horizontal="center" vertical="center"/>
    </xf>
    <xf numFmtId="183" fontId="37" fillId="6" borderId="4" xfId="12" applyNumberFormat="1" applyFont="1" applyFill="1" applyBorder="1" applyAlignment="1">
      <alignment horizontal="center" vertical="center" wrapText="1"/>
    </xf>
    <xf numFmtId="183" fontId="37" fillId="6" borderId="23" xfId="12" applyNumberFormat="1" applyFont="1" applyFill="1" applyBorder="1" applyAlignment="1">
      <alignment horizontal="center" vertical="center" wrapText="1"/>
    </xf>
    <xf numFmtId="2" fontId="37" fillId="6" borderId="15" xfId="0" applyNumberFormat="1" applyFont="1" applyFill="1" applyBorder="1" applyAlignment="1">
      <alignment horizontal="center" vertical="center" wrapText="1"/>
    </xf>
    <xf numFmtId="183" fontId="37" fillId="6" borderId="0" xfId="12" applyNumberFormat="1" applyFont="1" applyFill="1" applyBorder="1" applyAlignment="1">
      <alignment horizontal="center" vertical="center" wrapText="1"/>
    </xf>
    <xf numFmtId="168" fontId="0" fillId="14" borderId="0" xfId="0" applyFill="1"/>
    <xf numFmtId="168" fontId="0" fillId="14" borderId="0" xfId="0" applyFill="1" applyBorder="1"/>
    <xf numFmtId="168" fontId="0" fillId="15" borderId="0" xfId="0" applyFill="1"/>
    <xf numFmtId="168" fontId="0" fillId="5" borderId="0" xfId="0" quotePrefix="1" applyFill="1"/>
    <xf numFmtId="2" fontId="0" fillId="16" borderId="0" xfId="0" applyNumberFormat="1" applyFill="1"/>
    <xf numFmtId="2" fontId="0" fillId="17" borderId="0" xfId="0" applyNumberFormat="1" applyFill="1"/>
    <xf numFmtId="2" fontId="0" fillId="18" borderId="0" xfId="0" applyNumberFormat="1" applyFill="1"/>
    <xf numFmtId="168" fontId="74" fillId="17" borderId="20" xfId="0" applyFont="1" applyFill="1" applyBorder="1" applyAlignment="1">
      <alignment horizontal="center" vertical="center" wrapText="1"/>
    </xf>
    <xf numFmtId="168" fontId="74" fillId="17" borderId="19" xfId="0" applyFont="1" applyFill="1" applyBorder="1" applyAlignment="1">
      <alignment horizontal="center" vertical="center" wrapText="1"/>
    </xf>
    <xf numFmtId="2" fontId="74" fillId="17" borderId="19" xfId="0" applyNumberFormat="1" applyFont="1" applyFill="1" applyBorder="1" applyAlignment="1">
      <alignment horizontal="center" vertical="center" wrapText="1"/>
    </xf>
    <xf numFmtId="2" fontId="74" fillId="18" borderId="19" xfId="0" applyNumberFormat="1" applyFont="1" applyFill="1" applyBorder="1" applyAlignment="1">
      <alignment horizontal="center" vertical="center" wrapText="1"/>
    </xf>
    <xf numFmtId="2" fontId="74" fillId="15" borderId="19" xfId="0" applyNumberFormat="1" applyFont="1" applyFill="1" applyBorder="1" applyAlignment="1">
      <alignment horizontal="center" vertical="center" wrapText="1"/>
    </xf>
    <xf numFmtId="2" fontId="74" fillId="16" borderId="22" xfId="0" applyNumberFormat="1" applyFont="1" applyFill="1" applyBorder="1" applyAlignment="1">
      <alignment horizontal="center" vertical="center" wrapText="1"/>
    </xf>
    <xf numFmtId="2" fontId="31" fillId="5" borderId="0" xfId="10" applyNumberFormat="1" applyFont="1" applyFill="1" applyBorder="1" applyAlignment="1">
      <alignment horizontal="right" indent="1"/>
    </xf>
    <xf numFmtId="181" fontId="32" fillId="5" borderId="60" xfId="11" applyNumberFormat="1" applyFont="1" applyFill="1" applyBorder="1" applyAlignment="1">
      <alignment horizontal="right" indent="1"/>
    </xf>
    <xf numFmtId="168" fontId="32" fillId="5" borderId="91" xfId="0" applyFont="1" applyFill="1" applyBorder="1"/>
    <xf numFmtId="181" fontId="32" fillId="5" borderId="68" xfId="11" applyNumberFormat="1" applyFont="1" applyFill="1" applyBorder="1" applyAlignment="1">
      <alignment horizontal="right" indent="1"/>
    </xf>
    <xf numFmtId="168" fontId="35" fillId="5" borderId="19" xfId="0" applyFont="1" applyFill="1" applyBorder="1" applyAlignment="1">
      <alignment horizontal="left"/>
    </xf>
    <xf numFmtId="168" fontId="35" fillId="5" borderId="114" xfId="0" applyFont="1" applyFill="1" applyBorder="1"/>
    <xf numFmtId="181" fontId="35" fillId="5" borderId="115" xfId="11" applyNumberFormat="1" applyFont="1" applyFill="1" applyBorder="1" applyAlignment="1">
      <alignment horizontal="right" indent="1"/>
    </xf>
    <xf numFmtId="181" fontId="35" fillId="5" borderId="17" xfId="11" applyNumberFormat="1" applyFont="1" applyFill="1" applyBorder="1" applyAlignment="1">
      <alignment horizontal="right" indent="1"/>
    </xf>
    <xf numFmtId="168" fontId="30" fillId="5" borderId="0" xfId="0" applyFont="1" applyFill="1" applyAlignment="1">
      <alignment horizontal="right"/>
    </xf>
    <xf numFmtId="168" fontId="42" fillId="5" borderId="0" xfId="0" applyFont="1" applyFill="1" applyAlignment="1">
      <alignment horizontal="right"/>
    </xf>
    <xf numFmtId="188" fontId="30" fillId="5" borderId="0" xfId="0" applyNumberFormat="1" applyFont="1" applyFill="1" applyAlignment="1">
      <alignment horizontal="right" indent="3"/>
    </xf>
    <xf numFmtId="168" fontId="30" fillId="5" borderId="21" xfId="0" applyFont="1" applyFill="1" applyBorder="1"/>
    <xf numFmtId="168" fontId="30" fillId="5" borderId="21" xfId="0" applyFont="1" applyFill="1" applyBorder="1" applyAlignment="1">
      <alignment horizontal="right"/>
    </xf>
    <xf numFmtId="168" fontId="30" fillId="5" borderId="0" xfId="0" applyFont="1" applyFill="1" applyBorder="1" applyAlignment="1">
      <alignment horizontal="left"/>
    </xf>
    <xf numFmtId="175" fontId="79" fillId="5" borderId="79" xfId="6" applyNumberFormat="1" applyFont="1" applyFill="1" applyBorder="1" applyAlignment="1"/>
    <xf numFmtId="175" fontId="80" fillId="5" borderId="79" xfId="6" applyNumberFormat="1" applyFont="1" applyFill="1" applyBorder="1" applyAlignment="1"/>
    <xf numFmtId="183" fontId="37" fillId="6" borderId="21" xfId="12" applyNumberFormat="1" applyFont="1" applyFill="1" applyBorder="1" applyAlignment="1">
      <alignment horizontal="center" vertical="center" wrapText="1"/>
    </xf>
    <xf numFmtId="2" fontId="37" fillId="6" borderId="19" xfId="0" applyNumberFormat="1" applyFont="1" applyFill="1" applyBorder="1" applyAlignment="1">
      <alignment horizontal="center" vertical="center" wrapText="1"/>
    </xf>
    <xf numFmtId="168" fontId="37" fillId="6" borderId="22" xfId="0" applyFont="1" applyFill="1" applyBorder="1" applyAlignment="1">
      <alignment wrapText="1"/>
    </xf>
    <xf numFmtId="2" fontId="37" fillId="6" borderId="21" xfId="0" applyNumberFormat="1" applyFont="1" applyFill="1" applyBorder="1" applyAlignment="1">
      <alignment wrapText="1"/>
    </xf>
    <xf numFmtId="2" fontId="30" fillId="6" borderId="21" xfId="0" applyNumberFormat="1" applyFont="1" applyFill="1" applyBorder="1"/>
    <xf numFmtId="183" fontId="30" fillId="6" borderId="21" xfId="12" applyNumberFormat="1" applyFont="1" applyFill="1" applyBorder="1"/>
    <xf numFmtId="183" fontId="42" fillId="6" borderId="21" xfId="12" applyNumberFormat="1" applyFont="1" applyFill="1" applyBorder="1"/>
    <xf numFmtId="0" fontId="13" fillId="8" borderId="0" xfId="32" applyFill="1"/>
    <xf numFmtId="0" fontId="81" fillId="8" borderId="0" xfId="32" applyFont="1" applyFill="1"/>
    <xf numFmtId="168" fontId="82" fillId="5" borderId="0" xfId="0" applyFont="1" applyFill="1" applyAlignment="1">
      <alignment horizontal="right" vertical="center"/>
    </xf>
    <xf numFmtId="168" fontId="83" fillId="5" borderId="0" xfId="0" applyFont="1" applyFill="1"/>
    <xf numFmtId="167" fontId="32" fillId="5" borderId="66" xfId="27" applyNumberFormat="1" applyFont="1" applyFill="1" applyBorder="1" applyAlignment="1">
      <alignment horizontal="right" indent="1"/>
    </xf>
    <xf numFmtId="167" fontId="32" fillId="5" borderId="29" xfId="27" applyNumberFormat="1" applyFont="1" applyFill="1" applyBorder="1" applyAlignment="1">
      <alignment horizontal="right" wrapText="1"/>
    </xf>
    <xf numFmtId="167" fontId="35" fillId="5" borderId="66" xfId="27" applyNumberFormat="1" applyFont="1" applyFill="1" applyBorder="1" applyAlignment="1">
      <alignment horizontal="right" indent="1"/>
    </xf>
    <xf numFmtId="167" fontId="35" fillId="5" borderId="62" xfId="27" applyNumberFormat="1" applyFont="1" applyFill="1" applyBorder="1" applyAlignment="1">
      <alignment horizontal="right" indent="1"/>
    </xf>
    <xf numFmtId="167" fontId="32" fillId="5" borderId="75" xfId="27" applyNumberFormat="1" applyFont="1" applyFill="1" applyBorder="1" applyAlignment="1">
      <alignment horizontal="right" indent="1"/>
    </xf>
    <xf numFmtId="188" fontId="30" fillId="5" borderId="0" xfId="0" applyNumberFormat="1" applyFont="1" applyFill="1" applyBorder="1" applyAlignment="1">
      <alignment horizontal="right" indent="3"/>
    </xf>
    <xf numFmtId="181" fontId="42" fillId="5" borderId="2" xfId="0" applyNumberFormat="1" applyFont="1" applyFill="1" applyBorder="1" applyAlignment="1">
      <alignment horizontal="right" indent="3"/>
    </xf>
    <xf numFmtId="167" fontId="35" fillId="5" borderId="16" xfId="27" applyNumberFormat="1" applyFont="1" applyFill="1" applyBorder="1" applyAlignment="1">
      <alignment horizontal="right" wrapText="1" indent="1"/>
    </xf>
    <xf numFmtId="167" fontId="35" fillId="5" borderId="116" xfId="27" applyNumberFormat="1" applyFont="1" applyFill="1" applyBorder="1" applyAlignment="1">
      <alignment horizontal="right" indent="1"/>
    </xf>
    <xf numFmtId="167" fontId="32" fillId="5" borderId="113" xfId="27" applyNumberFormat="1" applyFont="1" applyFill="1" applyBorder="1" applyAlignment="1">
      <alignment horizontal="right" indent="1"/>
    </xf>
    <xf numFmtId="167" fontId="32" fillId="5" borderId="112" xfId="27" applyNumberFormat="1" applyFont="1" applyFill="1" applyBorder="1" applyAlignment="1">
      <alignment horizontal="right" indent="1"/>
    </xf>
    <xf numFmtId="168" fontId="32" fillId="19" borderId="46" xfId="0" applyFont="1" applyFill="1" applyBorder="1"/>
    <xf numFmtId="181" fontId="32" fillId="19" borderId="46" xfId="11" applyNumberFormat="1" applyFont="1" applyFill="1" applyBorder="1" applyAlignment="1">
      <alignment horizontal="right" indent="1"/>
    </xf>
    <xf numFmtId="168" fontId="32" fillId="19" borderId="46" xfId="0" applyFont="1" applyFill="1" applyBorder="1" applyAlignment="1">
      <alignment horizontal="left"/>
    </xf>
    <xf numFmtId="167" fontId="84" fillId="5" borderId="0" xfId="27" applyNumberFormat="1" applyFont="1" applyFill="1" applyBorder="1" applyAlignment="1">
      <alignment horizontal="right" indent="1"/>
    </xf>
    <xf numFmtId="167" fontId="74" fillId="5" borderId="0" xfId="27" applyNumberFormat="1" applyFont="1" applyFill="1" applyBorder="1" applyAlignment="1">
      <alignment horizontal="right" indent="1"/>
    </xf>
    <xf numFmtId="167" fontId="84" fillId="5" borderId="0" xfId="27" applyNumberFormat="1" applyFont="1" applyFill="1" applyBorder="1" applyAlignment="1">
      <alignment horizontal="right" wrapText="1" indent="1"/>
    </xf>
    <xf numFmtId="168" fontId="37" fillId="6" borderId="19" xfId="0" applyFont="1" applyFill="1" applyBorder="1" applyAlignment="1">
      <alignment horizontal="centerContinuous" vertical="center" wrapText="1"/>
    </xf>
    <xf numFmtId="181" fontId="35" fillId="5" borderId="17" xfId="11" applyNumberFormat="1" applyFont="1" applyFill="1" applyBorder="1" applyAlignment="1">
      <alignment horizontal="left" indent="1"/>
    </xf>
    <xf numFmtId="168" fontId="85" fillId="5" borderId="21" xfId="0" applyFont="1" applyFill="1" applyBorder="1" applyAlignment="1">
      <alignment wrapText="1"/>
    </xf>
    <xf numFmtId="168" fontId="30" fillId="5" borderId="17" xfId="0" applyFont="1" applyFill="1" applyBorder="1" applyAlignment="1">
      <alignment wrapText="1"/>
    </xf>
    <xf numFmtId="2" fontId="37" fillId="5" borderId="6" xfId="0" quotePrefix="1" applyNumberFormat="1" applyFont="1" applyFill="1" applyBorder="1" applyAlignment="1">
      <alignment horizontal="right" indent="1"/>
    </xf>
    <xf numFmtId="2" fontId="37" fillId="5" borderId="10" xfId="10" quotePrefix="1" applyNumberFormat="1" applyFont="1" applyFill="1" applyBorder="1" applyAlignment="1">
      <alignment horizontal="right" indent="1"/>
    </xf>
    <xf numFmtId="171" fontId="31" fillId="5" borderId="9" xfId="0" quotePrefix="1" applyNumberFormat="1" applyFont="1" applyFill="1" applyBorder="1" applyAlignment="1">
      <alignment horizontal="right" indent="1"/>
    </xf>
    <xf numFmtId="171" fontId="31" fillId="5" borderId="10" xfId="0" quotePrefix="1" applyNumberFormat="1" applyFont="1" applyFill="1" applyBorder="1" applyAlignment="1">
      <alignment horizontal="right" indent="1"/>
    </xf>
    <xf numFmtId="187" fontId="31" fillId="5" borderId="25" xfId="0" quotePrefix="1" applyNumberFormat="1" applyFont="1" applyFill="1" applyBorder="1" applyAlignment="1">
      <alignment horizontal="right" indent="1"/>
    </xf>
    <xf numFmtId="187" fontId="31" fillId="5" borderId="26" xfId="0" quotePrefix="1" applyNumberFormat="1" applyFont="1" applyFill="1" applyBorder="1" applyAlignment="1">
      <alignment horizontal="right" indent="1"/>
    </xf>
    <xf numFmtId="2" fontId="31" fillId="5" borderId="55" xfId="0" quotePrefix="1" applyNumberFormat="1" applyFont="1" applyFill="1" applyBorder="1" applyAlignment="1">
      <alignment horizontal="right" indent="1"/>
    </xf>
    <xf numFmtId="2" fontId="31" fillId="5" borderId="56" xfId="0" quotePrefix="1" applyNumberFormat="1" applyFont="1" applyFill="1" applyBorder="1" applyAlignment="1">
      <alignment horizontal="right" indent="1"/>
    </xf>
    <xf numFmtId="171" fontId="31" fillId="5" borderId="57" xfId="0" quotePrefix="1" applyNumberFormat="1" applyFont="1" applyFill="1" applyBorder="1" applyAlignment="1">
      <alignment horizontal="right" indent="1"/>
    </xf>
    <xf numFmtId="171" fontId="31" fillId="5" borderId="15" xfId="0" quotePrefix="1" applyNumberFormat="1" applyFont="1" applyFill="1" applyBorder="1" applyAlignment="1">
      <alignment horizontal="right" indent="1"/>
    </xf>
    <xf numFmtId="171" fontId="31" fillId="5" borderId="59" xfId="0" quotePrefix="1" applyNumberFormat="1" applyFont="1" applyFill="1" applyBorder="1" applyAlignment="1">
      <alignment horizontal="right" indent="1"/>
    </xf>
    <xf numFmtId="171" fontId="31" fillId="5" borderId="32" xfId="0" quotePrefix="1" applyNumberFormat="1" applyFont="1" applyFill="1" applyBorder="1" applyAlignment="1">
      <alignment horizontal="right" indent="1"/>
    </xf>
    <xf numFmtId="171" fontId="31" fillId="5" borderId="29" xfId="0" quotePrefix="1" applyNumberFormat="1" applyFont="1" applyFill="1" applyBorder="1" applyAlignment="1">
      <alignment horizontal="right" indent="1"/>
    </xf>
    <xf numFmtId="171" fontId="31" fillId="5" borderId="58" xfId="0" quotePrefix="1" applyNumberFormat="1" applyFont="1" applyFill="1" applyBorder="1" applyAlignment="1">
      <alignment horizontal="right" indent="1"/>
    </xf>
    <xf numFmtId="171" fontId="37" fillId="5" borderId="32" xfId="0" quotePrefix="1" applyNumberFormat="1" applyFont="1" applyFill="1" applyBorder="1" applyAlignment="1">
      <alignment horizontal="right" indent="1"/>
    </xf>
    <xf numFmtId="171" fontId="37" fillId="5" borderId="29" xfId="0" quotePrefix="1" applyNumberFormat="1" applyFont="1" applyFill="1" applyBorder="1" applyAlignment="1">
      <alignment horizontal="right" indent="1"/>
    </xf>
    <xf numFmtId="2" fontId="37" fillId="5" borderId="32" xfId="0" quotePrefix="1" applyNumberFormat="1" applyFont="1" applyFill="1" applyBorder="1" applyAlignment="1">
      <alignment horizontal="right" indent="1"/>
    </xf>
    <xf numFmtId="2" fontId="37" fillId="5" borderId="81" xfId="0" quotePrefix="1" applyNumberFormat="1" applyFont="1" applyFill="1" applyBorder="1" applyAlignment="1">
      <alignment horizontal="right" indent="1"/>
    </xf>
    <xf numFmtId="10" fontId="31" fillId="5" borderId="9" xfId="27" quotePrefix="1" applyNumberFormat="1" applyFont="1" applyFill="1" applyBorder="1" applyAlignment="1">
      <alignment horizontal="right" indent="1"/>
    </xf>
    <xf numFmtId="10" fontId="31" fillId="5" borderId="15" xfId="27" quotePrefix="1" applyNumberFormat="1" applyFont="1" applyFill="1" applyBorder="1" applyAlignment="1">
      <alignment horizontal="right" indent="1"/>
    </xf>
    <xf numFmtId="10" fontId="31" fillId="5" borderId="57" xfId="27" quotePrefix="1" applyNumberFormat="1" applyFont="1" applyFill="1" applyBorder="1" applyAlignment="1">
      <alignment horizontal="right" indent="1"/>
    </xf>
    <xf numFmtId="10" fontId="31" fillId="5" borderId="59" xfId="27" quotePrefix="1" applyNumberFormat="1" applyFont="1" applyFill="1" applyBorder="1" applyAlignment="1">
      <alignment horizontal="right" indent="1"/>
    </xf>
    <xf numFmtId="10" fontId="31" fillId="5" borderId="32" xfId="27" quotePrefix="1" applyNumberFormat="1" applyFont="1" applyFill="1" applyBorder="1" applyAlignment="1">
      <alignment horizontal="right" indent="1"/>
    </xf>
    <xf numFmtId="10" fontId="31" fillId="5" borderId="29" xfId="27" quotePrefix="1" applyNumberFormat="1" applyFont="1" applyFill="1" applyBorder="1" applyAlignment="1">
      <alignment horizontal="right" indent="1"/>
    </xf>
    <xf numFmtId="183" fontId="37" fillId="5" borderId="45" xfId="12" quotePrefix="1" applyNumberFormat="1" applyFont="1" applyFill="1" applyBorder="1" applyAlignment="1">
      <alignment horizontal="right" indent="1"/>
    </xf>
    <xf numFmtId="183" fontId="37" fillId="5" borderId="69" xfId="12" quotePrefix="1" applyNumberFormat="1" applyFont="1" applyFill="1" applyBorder="1" applyAlignment="1">
      <alignment horizontal="right" indent="1"/>
    </xf>
    <xf numFmtId="2" fontId="31" fillId="5" borderId="40" xfId="0" quotePrefix="1" applyNumberFormat="1" applyFont="1" applyFill="1" applyBorder="1" applyAlignment="1">
      <alignment horizontal="right" indent="1"/>
    </xf>
    <xf numFmtId="2" fontId="31" fillId="5" borderId="41" xfId="0" quotePrefix="1" applyNumberFormat="1" applyFont="1" applyFill="1" applyBorder="1" applyAlignment="1">
      <alignment horizontal="right" indent="1"/>
    </xf>
    <xf numFmtId="43" fontId="31" fillId="5" borderId="10" xfId="11" quotePrefix="1" applyFont="1" applyFill="1" applyBorder="1" applyAlignment="1">
      <alignment horizontal="right" indent="1"/>
    </xf>
    <xf numFmtId="43" fontId="31" fillId="5" borderId="11" xfId="11" quotePrefix="1" applyFont="1" applyFill="1" applyBorder="1" applyAlignment="1">
      <alignment horizontal="right" indent="1"/>
    </xf>
    <xf numFmtId="2" fontId="31" fillId="5" borderId="10" xfId="27" quotePrefix="1" applyNumberFormat="1" applyFont="1" applyFill="1" applyBorder="1" applyAlignment="1">
      <alignment horizontal="right" indent="1"/>
    </xf>
    <xf numFmtId="2" fontId="31" fillId="5" borderId="11" xfId="27" quotePrefix="1" applyNumberFormat="1" applyFont="1" applyFill="1" applyBorder="1" applyAlignment="1">
      <alignment horizontal="right" indent="1"/>
    </xf>
    <xf numFmtId="2" fontId="31" fillId="5" borderId="10" xfId="0" quotePrefix="1" applyNumberFormat="1" applyFont="1" applyFill="1" applyBorder="1" applyAlignment="1">
      <alignment horizontal="center"/>
    </xf>
    <xf numFmtId="2" fontId="31" fillId="5" borderId="11" xfId="0" quotePrefix="1" applyNumberFormat="1" applyFont="1" applyFill="1" applyBorder="1" applyAlignment="1">
      <alignment horizontal="center"/>
    </xf>
    <xf numFmtId="183" fontId="37" fillId="5" borderId="10" xfId="12" quotePrefix="1" applyNumberFormat="1" applyFont="1" applyFill="1" applyBorder="1" applyAlignment="1">
      <alignment horizontal="right" indent="1"/>
    </xf>
    <xf numFmtId="183" fontId="37" fillId="5" borderId="11" xfId="12" quotePrefix="1" applyNumberFormat="1" applyFont="1" applyFill="1" applyBorder="1" applyAlignment="1">
      <alignment horizontal="right" indent="1"/>
    </xf>
    <xf numFmtId="183" fontId="37" fillId="5" borderId="40" xfId="12" quotePrefix="1" applyNumberFormat="1" applyFont="1" applyFill="1" applyBorder="1" applyAlignment="1">
      <alignment horizontal="right" indent="1"/>
    </xf>
    <xf numFmtId="183" fontId="37" fillId="5" borderId="41" xfId="12" quotePrefix="1" applyNumberFormat="1" applyFont="1" applyFill="1" applyBorder="1" applyAlignment="1">
      <alignment horizontal="right" indent="1"/>
    </xf>
    <xf numFmtId="171" fontId="0" fillId="5" borderId="0" xfId="0" applyNumberFormat="1" applyFill="1"/>
    <xf numFmtId="189" fontId="0" fillId="0" borderId="0" xfId="0" applyNumberFormat="1"/>
    <xf numFmtId="2" fontId="31" fillId="5" borderId="26" xfId="0" applyNumberFormat="1" applyFont="1" applyFill="1" applyBorder="1" applyAlignment="1">
      <alignment horizontal="right" indent="1"/>
    </xf>
    <xf numFmtId="2" fontId="37" fillId="5" borderId="11" xfId="0" applyNumberFormat="1" applyFont="1" applyFill="1" applyBorder="1" applyAlignment="1">
      <alignment horizontal="right" indent="1"/>
    </xf>
    <xf numFmtId="43" fontId="0" fillId="0" borderId="0" xfId="11" applyFont="1" applyFill="1"/>
    <xf numFmtId="0" fontId="0" fillId="0" borderId="0" xfId="11" quotePrefix="1" applyNumberFormat="1" applyFont="1"/>
    <xf numFmtId="185" fontId="0" fillId="5" borderId="0" xfId="11" applyNumberFormat="1" applyFont="1" applyFill="1"/>
    <xf numFmtId="2" fontId="31" fillId="5" borderId="26" xfId="0" quotePrefix="1" applyNumberFormat="1" applyFont="1" applyFill="1" applyBorder="1" applyAlignment="1">
      <alignment horizontal="right" indent="1"/>
    </xf>
    <xf numFmtId="168" fontId="0" fillId="9" borderId="0" xfId="0" applyFill="1" applyBorder="1"/>
    <xf numFmtId="168" fontId="0" fillId="11" borderId="0" xfId="0" applyFill="1" applyBorder="1"/>
    <xf numFmtId="2" fontId="31" fillId="5" borderId="10" xfId="10" applyNumberFormat="1" applyFont="1" applyFill="1" applyBorder="1" applyAlignment="1">
      <alignment horizontal="right" indent="1"/>
    </xf>
    <xf numFmtId="172" fontId="37" fillId="5" borderId="17" xfId="0" applyNumberFormat="1" applyFont="1" applyFill="1" applyBorder="1" applyAlignment="1">
      <alignment horizontal="center" vertical="center" wrapText="1"/>
    </xf>
    <xf numFmtId="49" fontId="30" fillId="5" borderId="17" xfId="0" applyNumberFormat="1" applyFont="1" applyFill="1" applyBorder="1" applyAlignment="1">
      <alignment wrapText="1"/>
    </xf>
    <xf numFmtId="168" fontId="14" fillId="5" borderId="0" xfId="0" applyFont="1" applyFill="1"/>
    <xf numFmtId="168" fontId="14" fillId="5" borderId="0" xfId="0" applyFont="1" applyFill="1" applyBorder="1"/>
    <xf numFmtId="0" fontId="88" fillId="0" borderId="23" xfId="17" applyFont="1" applyBorder="1" applyAlignment="1" applyProtection="1"/>
    <xf numFmtId="168" fontId="32" fillId="0" borderId="4" xfId="0" applyFont="1" applyFill="1" applyBorder="1" applyAlignment="1">
      <alignment horizontal="center" vertical="center"/>
    </xf>
    <xf numFmtId="168" fontId="32" fillId="0" borderId="0" xfId="0" applyFont="1" applyFill="1" applyBorder="1" applyAlignment="1">
      <alignment horizontal="center" vertical="center"/>
    </xf>
    <xf numFmtId="168" fontId="32" fillId="5" borderId="60" xfId="0" applyFont="1" applyFill="1" applyBorder="1" applyAlignment="1">
      <alignment horizontal="left" indent="1"/>
    </xf>
    <xf numFmtId="168" fontId="32" fillId="5" borderId="60" xfId="0" applyFont="1" applyFill="1" applyBorder="1" applyAlignment="1">
      <alignment horizontal="left" indent="2"/>
    </xf>
    <xf numFmtId="167" fontId="32" fillId="5" borderId="118" xfId="27" applyNumberFormat="1" applyFont="1" applyFill="1" applyBorder="1" applyAlignment="1">
      <alignment horizontal="right" indent="1"/>
    </xf>
    <xf numFmtId="168" fontId="32" fillId="5" borderId="46" xfId="0" applyFont="1" applyFill="1" applyBorder="1" applyAlignment="1">
      <alignment horizontal="left" indent="1"/>
    </xf>
    <xf numFmtId="181" fontId="32" fillId="5" borderId="119" xfId="11" applyNumberFormat="1" applyFont="1" applyFill="1" applyBorder="1" applyAlignment="1">
      <alignment horizontal="right" indent="1"/>
    </xf>
    <xf numFmtId="168" fontId="45" fillId="0" borderId="17" xfId="0" applyFont="1" applyBorder="1" applyAlignment="1">
      <alignment horizontal="left"/>
    </xf>
    <xf numFmtId="0" fontId="88" fillId="8" borderId="23" xfId="17" applyFont="1" applyFill="1" applyBorder="1" applyAlignment="1" applyProtection="1"/>
    <xf numFmtId="0" fontId="89" fillId="8" borderId="0" xfId="32" applyFont="1" applyFill="1"/>
    <xf numFmtId="168" fontId="32" fillId="5" borderId="0" xfId="0" quotePrefix="1" applyFont="1" applyFill="1"/>
    <xf numFmtId="168" fontId="32" fillId="5" borderId="0" xfId="0" quotePrefix="1" applyFont="1" applyFill="1" applyBorder="1"/>
    <xf numFmtId="168" fontId="127" fillId="6" borderId="27" xfId="0" applyFont="1" applyFill="1" applyBorder="1" applyAlignment="1">
      <alignment horizontal="center"/>
    </xf>
    <xf numFmtId="190" fontId="30" fillId="5" borderId="0" xfId="11" applyNumberFormat="1" applyFont="1" applyFill="1"/>
    <xf numFmtId="191" fontId="31" fillId="5" borderId="0" xfId="27" applyNumberFormat="1" applyFont="1" applyFill="1" applyBorder="1" applyAlignment="1">
      <alignment horizontal="right" indent="1"/>
    </xf>
    <xf numFmtId="192" fontId="31" fillId="5" borderId="0" xfId="10" applyNumberFormat="1" applyFont="1" applyFill="1" applyBorder="1" applyAlignment="1">
      <alignment horizontal="right" indent="1"/>
    </xf>
    <xf numFmtId="194" fontId="30" fillId="5" borderId="0" xfId="11" applyNumberFormat="1" applyFont="1" applyFill="1"/>
    <xf numFmtId="168" fontId="37" fillId="53" borderId="8" xfId="0" applyFont="1" applyFill="1" applyBorder="1" applyAlignment="1">
      <alignment horizontal="center" vertical="center" wrapText="1"/>
    </xf>
    <xf numFmtId="2" fontId="31" fillId="8" borderId="10" xfId="0" applyNumberFormat="1" applyFont="1" applyFill="1" applyBorder="1" applyAlignment="1">
      <alignment horizontal="right" indent="1"/>
    </xf>
    <xf numFmtId="193" fontId="31" fillId="5" borderId="0" xfId="10" applyNumberFormat="1" applyFont="1" applyFill="1" applyBorder="1" applyAlignment="1">
      <alignment horizontal="right" indent="1"/>
    </xf>
    <xf numFmtId="168" fontId="131" fillId="5" borderId="0" xfId="17" applyNumberFormat="1" applyFont="1" applyFill="1" applyBorder="1" applyAlignment="1" applyProtection="1">
      <alignment horizontal="center"/>
    </xf>
    <xf numFmtId="2" fontId="31" fillId="5" borderId="25" xfId="0" applyNumberFormat="1" applyFont="1" applyFill="1" applyBorder="1" applyAlignment="1">
      <alignment horizontal="right" indent="1"/>
    </xf>
    <xf numFmtId="10" fontId="31" fillId="5" borderId="15" xfId="27" applyNumberFormat="1" applyFont="1" applyFill="1" applyBorder="1" applyAlignment="1">
      <alignment horizontal="center"/>
    </xf>
    <xf numFmtId="168" fontId="31" fillId="53" borderId="27" xfId="0" applyFont="1" applyFill="1" applyBorder="1" applyAlignment="1">
      <alignment horizontal="center" wrapText="1"/>
    </xf>
    <xf numFmtId="168" fontId="36" fillId="6" borderId="1" xfId="0" applyFont="1" applyFill="1" applyBorder="1" applyAlignment="1">
      <alignment horizontal="centerContinuous" vertical="center" wrapText="1"/>
    </xf>
    <xf numFmtId="167" fontId="32" fillId="19" borderId="46" xfId="11" applyNumberFormat="1" applyFont="1" applyFill="1" applyBorder="1" applyAlignment="1">
      <alignment horizontal="right" indent="1"/>
    </xf>
    <xf numFmtId="168" fontId="85" fillId="5" borderId="0" xfId="0" applyFont="1" applyFill="1" applyAlignment="1">
      <alignment wrapText="1"/>
    </xf>
    <xf numFmtId="167" fontId="70" fillId="5" borderId="63" xfId="11" applyNumberFormat="1" applyFont="1" applyFill="1" applyBorder="1" applyAlignment="1">
      <alignment horizontal="right" indent="1"/>
    </xf>
    <xf numFmtId="168" fontId="67" fillId="5" borderId="0" xfId="0" applyFont="1" applyFill="1" applyBorder="1" applyAlignment="1">
      <alignment vertical="top" wrapText="1"/>
    </xf>
    <xf numFmtId="168" fontId="67" fillId="5" borderId="0" xfId="0" applyFont="1" applyFill="1" applyBorder="1" applyAlignment="1">
      <alignment vertical="top"/>
    </xf>
    <xf numFmtId="182" fontId="108" fillId="8" borderId="0" xfId="112" applyNumberFormat="1" applyFill="1" applyBorder="1" applyAlignment="1">
      <alignment horizontal="right" wrapText="1"/>
    </xf>
    <xf numFmtId="4" fontId="108" fillId="8" borderId="0" xfId="112" applyNumberFormat="1" applyFill="1" applyBorder="1" applyAlignment="1">
      <alignment horizontal="right" wrapText="1"/>
    </xf>
    <xf numFmtId="168" fontId="31" fillId="6" borderId="0" xfId="0" applyFont="1" applyFill="1" applyBorder="1" applyAlignment="1">
      <alignment horizontal="center" vertical="center" wrapText="1"/>
    </xf>
    <xf numFmtId="182" fontId="70" fillId="5" borderId="60" xfId="11" applyNumberFormat="1" applyFont="1" applyFill="1" applyBorder="1" applyAlignment="1">
      <alignment horizontal="right" indent="1"/>
    </xf>
    <xf numFmtId="168" fontId="82" fillId="5" borderId="0" xfId="0" applyFont="1" applyFill="1" applyAlignment="1">
      <alignment wrapText="1"/>
    </xf>
    <xf numFmtId="168" fontId="132" fillId="54" borderId="17" xfId="17" applyNumberFormat="1" applyFont="1" applyFill="1" applyBorder="1" applyAlignment="1" applyProtection="1"/>
    <xf numFmtId="168" fontId="133" fillId="54" borderId="17" xfId="17" applyNumberFormat="1" applyFont="1" applyFill="1" applyBorder="1" applyAlignment="1" applyProtection="1">
      <alignment vertical="top"/>
    </xf>
    <xf numFmtId="168" fontId="134" fillId="54" borderId="17" xfId="17" applyNumberFormat="1" applyFont="1" applyFill="1" applyBorder="1" applyAlignment="1" applyProtection="1">
      <alignment vertical="top"/>
    </xf>
    <xf numFmtId="168" fontId="135" fillId="5" borderId="0" xfId="0" applyFont="1" applyFill="1" applyAlignment="1">
      <alignment horizontal="centerContinuous"/>
    </xf>
    <xf numFmtId="168" fontId="136" fillId="5" borderId="0" xfId="0" applyFont="1" applyFill="1" applyBorder="1" applyAlignment="1">
      <alignment horizontal="center" vertical="center"/>
    </xf>
    <xf numFmtId="168" fontId="67" fillId="0" borderId="0" xfId="0" applyFont="1" applyFill="1" applyBorder="1" applyAlignment="1">
      <alignment vertical="top"/>
    </xf>
    <xf numFmtId="168" fontId="30" fillId="14" borderId="0" xfId="0" applyFont="1" applyFill="1"/>
    <xf numFmtId="189" fontId="31" fillId="5" borderId="10" xfId="0" quotePrefix="1" applyNumberFormat="1" applyFont="1" applyFill="1" applyBorder="1" applyAlignment="1">
      <alignment horizontal="right" indent="1"/>
    </xf>
    <xf numFmtId="168" fontId="51" fillId="5" borderId="0" xfId="0" applyFont="1" applyFill="1" applyBorder="1" applyAlignment="1">
      <alignment horizontal="center" vertical="center" wrapText="1"/>
    </xf>
    <xf numFmtId="168" fontId="36" fillId="6" borderId="8" xfId="0" applyFont="1" applyFill="1" applyBorder="1" applyAlignment="1">
      <alignment horizontal="left" indent="3"/>
    </xf>
    <xf numFmtId="168" fontId="36" fillId="6" borderId="15" xfId="0" applyFont="1" applyFill="1" applyBorder="1"/>
    <xf numFmtId="168" fontId="137" fillId="5" borderId="0" xfId="0" applyFont="1" applyFill="1" applyAlignment="1">
      <alignment vertical="center" wrapText="1"/>
    </xf>
    <xf numFmtId="191" fontId="30" fillId="5" borderId="0" xfId="27" applyNumberFormat="1" applyFont="1" applyFill="1"/>
    <xf numFmtId="10" fontId="31" fillId="5" borderId="6" xfId="27" applyNumberFormat="1" applyFont="1" applyFill="1" applyBorder="1" applyAlignment="1">
      <alignment horizontal="center"/>
    </xf>
    <xf numFmtId="10" fontId="31" fillId="5" borderId="2" xfId="27" applyNumberFormat="1" applyFont="1" applyFill="1" applyBorder="1" applyAlignment="1">
      <alignment horizontal="center"/>
    </xf>
    <xf numFmtId="191" fontId="31" fillId="5" borderId="15" xfId="27" applyNumberFormat="1" applyFont="1" applyFill="1" applyBorder="1" applyAlignment="1">
      <alignment horizontal="center"/>
    </xf>
    <xf numFmtId="168" fontId="30" fillId="5" borderId="0" xfId="0" applyFont="1" applyFill="1" applyAlignment="1">
      <alignment horizontal="left" vertical="top" wrapText="1"/>
    </xf>
    <xf numFmtId="168" fontId="30" fillId="5" borderId="0" xfId="0" applyFont="1" applyFill="1" applyAlignment="1">
      <alignment horizontal="left"/>
    </xf>
    <xf numFmtId="2" fontId="31" fillId="5" borderId="9" xfId="0" quotePrefix="1" applyNumberFormat="1" applyFont="1" applyFill="1" applyBorder="1" applyAlignment="1">
      <alignment horizontal="center"/>
    </xf>
    <xf numFmtId="9" fontId="31" fillId="5" borderId="9" xfId="27" quotePrefix="1" applyFont="1" applyFill="1" applyBorder="1" applyAlignment="1">
      <alignment horizontal="right" indent="1"/>
    </xf>
    <xf numFmtId="168" fontId="45" fillId="6" borderId="3" xfId="0" applyFont="1" applyFill="1" applyBorder="1" applyAlignment="1">
      <alignment horizontal="centerContinuous" vertical="center" wrapText="1"/>
    </xf>
    <xf numFmtId="168" fontId="45" fillId="6" borderId="29" xfId="0" applyFont="1" applyFill="1" applyBorder="1" applyAlignment="1">
      <alignment horizontal="centerContinuous" vertical="center" wrapText="1"/>
    </xf>
    <xf numFmtId="2" fontId="31" fillId="5" borderId="15" xfId="0" quotePrefix="1" applyNumberFormat="1" applyFont="1" applyFill="1" applyBorder="1" applyAlignment="1">
      <alignment horizontal="center"/>
    </xf>
    <xf numFmtId="9" fontId="31" fillId="5" borderId="15" xfId="27" quotePrefix="1" applyFont="1" applyFill="1" applyBorder="1" applyAlignment="1">
      <alignment horizontal="right" indent="1"/>
    </xf>
    <xf numFmtId="168" fontId="30" fillId="0" borderId="17" xfId="0" applyFont="1" applyBorder="1"/>
    <xf numFmtId="185" fontId="30" fillId="0" borderId="17" xfId="11" applyNumberFormat="1" applyFont="1" applyBorder="1"/>
    <xf numFmtId="168" fontId="0" fillId="0" borderId="17" xfId="0" applyBorder="1"/>
    <xf numFmtId="9" fontId="0" fillId="0" borderId="0" xfId="27" applyFont="1"/>
    <xf numFmtId="168" fontId="45" fillId="0" borderId="0" xfId="0" applyFont="1"/>
    <xf numFmtId="2" fontId="31" fillId="5" borderId="9" xfId="27" quotePrefix="1" applyNumberFormat="1" applyFont="1" applyFill="1" applyBorder="1" applyAlignment="1">
      <alignment horizontal="right" indent="1"/>
    </xf>
    <xf numFmtId="168" fontId="61" fillId="5" borderId="0" xfId="0" applyFont="1" applyFill="1" applyAlignment="1">
      <alignment wrapText="1"/>
    </xf>
    <xf numFmtId="168" fontId="30" fillId="0" borderId="0" xfId="0" applyFont="1" applyBorder="1"/>
    <xf numFmtId="167" fontId="0" fillId="0" borderId="17" xfId="27" applyNumberFormat="1" applyFont="1" applyBorder="1"/>
    <xf numFmtId="168" fontId="30" fillId="5" borderId="17" xfId="0" applyFont="1" applyFill="1" applyBorder="1" applyAlignment="1">
      <alignment horizontal="left" indent="3"/>
    </xf>
    <xf numFmtId="188" fontId="30" fillId="5" borderId="17" xfId="0" applyNumberFormat="1" applyFont="1" applyFill="1" applyBorder="1"/>
    <xf numFmtId="168" fontId="55" fillId="6" borderId="19" xfId="0" applyFont="1" applyFill="1" applyBorder="1" applyAlignment="1">
      <alignment horizontal="centerContinuous" wrapText="1"/>
    </xf>
    <xf numFmtId="168" fontId="55" fillId="6" borderId="17" xfId="0" applyFont="1" applyFill="1" applyBorder="1" applyAlignment="1">
      <alignment horizontal="centerContinuous" wrapText="1"/>
    </xf>
    <xf numFmtId="168" fontId="32" fillId="5" borderId="0" xfId="0" applyFont="1" applyFill="1" applyAlignment="1">
      <alignment vertical="center"/>
    </xf>
    <xf numFmtId="168" fontId="30" fillId="0" borderId="0" xfId="0" applyFont="1"/>
    <xf numFmtId="168" fontId="140" fillId="0" borderId="0" xfId="0" applyFont="1"/>
    <xf numFmtId="168" fontId="140" fillId="0" borderId="2" xfId="0" applyFont="1" applyBorder="1" applyAlignment="1">
      <alignment wrapText="1"/>
    </xf>
    <xf numFmtId="168" fontId="139" fillId="0" borderId="2" xfId="0" applyFont="1" applyBorder="1" applyAlignment="1">
      <alignment wrapText="1"/>
    </xf>
    <xf numFmtId="168" fontId="144" fillId="0" borderId="0" xfId="0" applyFont="1"/>
    <xf numFmtId="9" fontId="30" fillId="0" borderId="17" xfId="27" applyFont="1" applyBorder="1"/>
    <xf numFmtId="168" fontId="0" fillId="14" borderId="17" xfId="0" applyFill="1" applyBorder="1"/>
    <xf numFmtId="168" fontId="30" fillId="8" borderId="0" xfId="0" applyFont="1" applyFill="1"/>
    <xf numFmtId="168" fontId="0" fillId="14" borderId="17" xfId="0" applyFill="1" applyBorder="1" applyAlignment="1">
      <alignment horizontal="center" vertical="center" wrapText="1"/>
    </xf>
    <xf numFmtId="168" fontId="32" fillId="14" borderId="17" xfId="0" applyFont="1" applyFill="1" applyBorder="1" applyAlignment="1">
      <alignment horizontal="center" vertical="center" wrapText="1"/>
    </xf>
    <xf numFmtId="168" fontId="32" fillId="14" borderId="31" xfId="0" applyFont="1" applyFill="1" applyBorder="1" applyAlignment="1">
      <alignment horizontal="center" vertical="center" wrapText="1"/>
    </xf>
    <xf numFmtId="0" fontId="0" fillId="0" borderId="0" xfId="11" quotePrefix="1" applyNumberFormat="1" applyFont="1" applyAlignment="1">
      <alignment wrapText="1"/>
    </xf>
    <xf numFmtId="168" fontId="0" fillId="55" borderId="17" xfId="0" applyFill="1" applyBorder="1" applyAlignment="1">
      <alignment horizontal="center" vertical="center" wrapText="1"/>
    </xf>
    <xf numFmtId="0" fontId="145" fillId="0" borderId="17" xfId="0" applyNumberFormat="1" applyFont="1" applyFill="1" applyBorder="1" applyAlignment="1">
      <alignment vertical="center"/>
    </xf>
    <xf numFmtId="185" fontId="145" fillId="0" borderId="17" xfId="11" applyNumberFormat="1" applyFont="1" applyBorder="1"/>
    <xf numFmtId="0" fontId="145" fillId="0" borderId="15" xfId="0" applyNumberFormat="1" applyFont="1" applyFill="1" applyBorder="1" applyAlignment="1">
      <alignment vertical="center"/>
    </xf>
    <xf numFmtId="185" fontId="145" fillId="0" borderId="15" xfId="11" applyNumberFormat="1" applyFont="1" applyBorder="1"/>
    <xf numFmtId="168" fontId="31" fillId="6" borderId="17" xfId="0" applyFont="1" applyFill="1" applyBorder="1" applyAlignment="1">
      <alignment horizontal="center" wrapText="1"/>
    </xf>
    <xf numFmtId="10" fontId="145" fillId="0" borderId="15" xfId="27" applyNumberFormat="1" applyFont="1" applyBorder="1"/>
    <xf numFmtId="167" fontId="0" fillId="0" borderId="0" xfId="27" applyNumberFormat="1" applyFont="1"/>
    <xf numFmtId="171" fontId="0" fillId="0" borderId="0" xfId="0" applyNumberFormat="1"/>
    <xf numFmtId="10" fontId="145" fillId="0" borderId="15" xfId="27" applyNumberFormat="1" applyFont="1" applyFill="1" applyBorder="1"/>
    <xf numFmtId="168" fontId="37" fillId="6" borderId="23" xfId="0" applyFont="1" applyFill="1" applyBorder="1" applyAlignment="1">
      <alignment horizontal="center" wrapText="1"/>
    </xf>
    <xf numFmtId="173" fontId="31" fillId="3" borderId="0" xfId="10" applyFont="1" applyFill="1" applyBorder="1" applyAlignment="1">
      <alignment horizontal="center"/>
    </xf>
    <xf numFmtId="168" fontId="37" fillId="6" borderId="135" xfId="0" applyFont="1" applyFill="1" applyBorder="1" applyAlignment="1">
      <alignment horizontal="center" vertical="center" wrapText="1"/>
    </xf>
    <xf numFmtId="170" fontId="0" fillId="0" borderId="0" xfId="0" applyNumberFormat="1"/>
    <xf numFmtId="168" fontId="0" fillId="56" borderId="17" xfId="0" applyFill="1" applyBorder="1" applyAlignment="1">
      <alignment horizontal="left"/>
    </xf>
    <xf numFmtId="49" fontId="30" fillId="56" borderId="17" xfId="0" applyNumberFormat="1" applyFont="1" applyFill="1" applyBorder="1"/>
    <xf numFmtId="168" fontId="30" fillId="56" borderId="17" xfId="0" applyFont="1" applyFill="1" applyBorder="1" applyAlignment="1">
      <alignment wrapText="1"/>
    </xf>
    <xf numFmtId="168" fontId="30" fillId="56" borderId="17" xfId="0" applyFont="1" applyFill="1" applyBorder="1" applyAlignment="1">
      <alignment horizontal="right"/>
    </xf>
    <xf numFmtId="168" fontId="30" fillId="56" borderId="17" xfId="0" applyFont="1" applyFill="1" applyBorder="1"/>
    <xf numFmtId="168" fontId="32" fillId="56" borderId="0" xfId="0" applyFont="1" applyFill="1"/>
    <xf numFmtId="168" fontId="30" fillId="56" borderId="15" xfId="0" applyFont="1" applyFill="1" applyBorder="1" applyAlignment="1">
      <alignment wrapText="1"/>
    </xf>
    <xf numFmtId="168" fontId="0" fillId="56" borderId="17" xfId="0" applyFill="1" applyBorder="1" applyAlignment="1">
      <alignment horizontal="left" wrapText="1"/>
    </xf>
    <xf numFmtId="49" fontId="30" fillId="56" borderId="17" xfId="0" applyNumberFormat="1" applyFont="1" applyFill="1" applyBorder="1" applyAlignment="1">
      <alignment wrapText="1"/>
    </xf>
    <xf numFmtId="168" fontId="30" fillId="56" borderId="17" xfId="0" applyFont="1" applyFill="1" applyBorder="1" applyAlignment="1">
      <alignment horizontal="left"/>
    </xf>
    <xf numFmtId="168" fontId="30" fillId="56" borderId="17" xfId="0" applyFont="1" applyFill="1" applyBorder="1" applyAlignment="1">
      <alignment horizontal="left" wrapText="1"/>
    </xf>
    <xf numFmtId="168" fontId="30" fillId="57" borderId="17" xfId="0" applyFont="1" applyFill="1" applyBorder="1" applyAlignment="1">
      <alignment horizontal="left"/>
    </xf>
    <xf numFmtId="168" fontId="30" fillId="57" borderId="17" xfId="0" applyFont="1" applyFill="1" applyBorder="1" applyAlignment="1">
      <alignment horizontal="left" wrapText="1"/>
    </xf>
    <xf numFmtId="2" fontId="26" fillId="20" borderId="0" xfId="103" applyNumberFormat="1" applyFill="1"/>
    <xf numFmtId="168" fontId="26" fillId="20" borderId="0" xfId="103" applyFill="1"/>
    <xf numFmtId="2" fontId="26" fillId="13" borderId="0" xfId="103" applyNumberFormat="1" applyFill="1"/>
    <xf numFmtId="168" fontId="26" fillId="13" borderId="0" xfId="103" applyFill="1" applyBorder="1"/>
    <xf numFmtId="2" fontId="26" fillId="12" borderId="0" xfId="103" applyNumberFormat="1" applyFill="1"/>
    <xf numFmtId="168" fontId="26" fillId="12" borderId="0" xfId="103" applyFill="1"/>
    <xf numFmtId="168" fontId="26" fillId="13" borderId="0" xfId="103" applyFill="1"/>
    <xf numFmtId="2" fontId="37" fillId="5" borderId="0" xfId="0" quotePrefix="1" applyNumberFormat="1" applyFont="1" applyFill="1" applyBorder="1" applyAlignment="1">
      <alignment horizontal="right" indent="1"/>
    </xf>
    <xf numFmtId="168" fontId="42" fillId="5" borderId="0" xfId="0" applyFont="1" applyFill="1" applyBorder="1"/>
    <xf numFmtId="168" fontId="31" fillId="8" borderId="0" xfId="0" applyFont="1" applyFill="1" applyBorder="1"/>
    <xf numFmtId="168" fontId="32" fillId="8" borderId="0" xfId="0" applyFont="1" applyFill="1"/>
    <xf numFmtId="168" fontId="37" fillId="8" borderId="0" xfId="0" applyFont="1" applyFill="1" applyBorder="1" applyAlignment="1">
      <alignment horizontal="center" vertical="center" wrapText="1"/>
    </xf>
    <xf numFmtId="168" fontId="31" fillId="8" borderId="0" xfId="0" applyFont="1" applyFill="1" applyBorder="1" applyAlignment="1">
      <alignment horizontal="center"/>
    </xf>
    <xf numFmtId="168" fontId="36" fillId="8" borderId="4" xfId="0" applyFont="1" applyFill="1" applyBorder="1" applyAlignment="1">
      <alignment horizontal="centerContinuous"/>
    </xf>
    <xf numFmtId="168" fontId="32" fillId="5" borderId="17" xfId="0" applyFont="1" applyFill="1" applyBorder="1"/>
    <xf numFmtId="168" fontId="26" fillId="53" borderId="0" xfId="103" applyFill="1"/>
    <xf numFmtId="2" fontId="26" fillId="53" borderId="0" xfId="103" applyNumberFormat="1" applyFill="1"/>
    <xf numFmtId="168" fontId="37" fillId="8" borderId="15" xfId="0" applyFont="1" applyFill="1" applyBorder="1" applyAlignment="1">
      <alignment horizontal="center" vertical="center" wrapText="1"/>
    </xf>
    <xf numFmtId="168" fontId="35" fillId="2" borderId="0" xfId="17" applyNumberFormat="1" applyFont="1" applyFill="1" applyBorder="1" applyAlignment="1" applyProtection="1">
      <alignment horizontal="center"/>
    </xf>
    <xf numFmtId="168" fontId="44" fillId="6" borderId="2" xfId="0" applyFont="1" applyFill="1" applyBorder="1" applyAlignment="1">
      <alignment horizontal="centerContinuous"/>
    </xf>
    <xf numFmtId="168" fontId="37" fillId="6" borderId="0" xfId="0" applyFont="1" applyFill="1" applyBorder="1" applyAlignment="1">
      <alignment horizontal="center" vertical="center" wrapText="1"/>
    </xf>
    <xf numFmtId="168" fontId="37" fillId="6" borderId="19" xfId="0" applyFont="1" applyFill="1" applyBorder="1" applyAlignment="1">
      <alignment horizontal="center" vertical="center" wrapText="1"/>
    </xf>
    <xf numFmtId="184" fontId="32" fillId="5" borderId="60" xfId="6" applyNumberFormat="1" applyFont="1" applyFill="1" applyBorder="1" applyAlignment="1">
      <alignment horizontal="right" indent="1"/>
    </xf>
    <xf numFmtId="184" fontId="35" fillId="5" borderId="60" xfId="6" applyNumberFormat="1" applyFont="1" applyFill="1" applyBorder="1" applyAlignment="1">
      <alignment horizontal="right" indent="1"/>
    </xf>
    <xf numFmtId="168" fontId="31" fillId="6" borderId="140" xfId="0" applyFont="1" applyFill="1" applyBorder="1" applyAlignment="1">
      <alignment vertical="center"/>
    </xf>
    <xf numFmtId="2" fontId="146" fillId="8" borderId="10" xfId="0" applyNumberFormat="1" applyFont="1" applyFill="1" applyBorder="1" applyAlignment="1">
      <alignment horizontal="right" indent="1"/>
    </xf>
    <xf numFmtId="0" fontId="32" fillId="0" borderId="17" xfId="32" applyFont="1" applyBorder="1" applyAlignment="1">
      <alignment horizontal="left"/>
    </xf>
    <xf numFmtId="0" fontId="32" fillId="0" borderId="17" xfId="107" applyFont="1" applyBorder="1"/>
    <xf numFmtId="0" fontId="30" fillId="0" borderId="17" xfId="32" applyFont="1" applyBorder="1" applyAlignment="1">
      <alignment horizontal="left"/>
    </xf>
    <xf numFmtId="2" fontId="37" fillId="0" borderId="17" xfId="0" applyNumberFormat="1" applyFont="1" applyFill="1" applyBorder="1" applyAlignment="1">
      <alignment horizontal="center" vertical="center" wrapText="1"/>
    </xf>
    <xf numFmtId="168" fontId="31" fillId="0" borderId="17" xfId="0" applyFont="1" applyFill="1" applyBorder="1" applyAlignment="1">
      <alignment horizontal="center" vertical="center" wrapText="1"/>
    </xf>
    <xf numFmtId="168" fontId="0" fillId="57" borderId="0" xfId="0" applyFill="1" applyBorder="1"/>
    <xf numFmtId="168" fontId="0" fillId="57" borderId="0" xfId="0" applyFill="1"/>
    <xf numFmtId="2" fontId="26" fillId="57" borderId="0" xfId="103" applyNumberFormat="1" applyFill="1"/>
    <xf numFmtId="168" fontId="26" fillId="57" borderId="0" xfId="103" applyFill="1"/>
    <xf numFmtId="168" fontId="26" fillId="57" borderId="0" xfId="103" applyFill="1" applyBorder="1"/>
    <xf numFmtId="2" fontId="0" fillId="57" borderId="0" xfId="0" applyNumberFormat="1" applyFill="1"/>
    <xf numFmtId="2" fontId="26" fillId="59" borderId="0" xfId="103" applyNumberFormat="1" applyFill="1"/>
    <xf numFmtId="168" fontId="26" fillId="59" borderId="0" xfId="103" applyFill="1"/>
    <xf numFmtId="168" fontId="0" fillId="59" borderId="0" xfId="0" applyFill="1"/>
    <xf numFmtId="49" fontId="32" fillId="56" borderId="17" xfId="32" applyNumberFormat="1" applyFont="1" applyFill="1" applyBorder="1"/>
    <xf numFmtId="0" fontId="32" fillId="56" borderId="17" xfId="32" applyFont="1" applyFill="1" applyBorder="1" applyAlignment="1">
      <alignment horizontal="left"/>
    </xf>
    <xf numFmtId="0" fontId="30" fillId="56" borderId="17" xfId="32" applyFont="1" applyFill="1" applyBorder="1" applyAlignment="1">
      <alignment horizontal="left"/>
    </xf>
    <xf numFmtId="4" fontId="108" fillId="0" borderId="0" xfId="112" applyNumberFormat="1" applyFont="1" applyBorder="1" applyAlignment="1">
      <alignment horizontal="right" wrapText="1"/>
    </xf>
    <xf numFmtId="2" fontId="108" fillId="0" borderId="0" xfId="79" applyNumberFormat="1"/>
    <xf numFmtId="182" fontId="108" fillId="0" borderId="0" xfId="112" applyNumberFormat="1" applyFont="1" applyBorder="1" applyAlignment="1">
      <alignment horizontal="right" wrapText="1"/>
    </xf>
    <xf numFmtId="168" fontId="0" fillId="0" borderId="0" xfId="0" applyFill="1" applyBorder="1"/>
    <xf numFmtId="0" fontId="0" fillId="0" borderId="0" xfId="0" applyNumberFormat="1" applyFill="1"/>
    <xf numFmtId="168" fontId="37" fillId="6" borderId="8" xfId="0" applyFont="1" applyFill="1" applyBorder="1" applyAlignment="1">
      <alignment horizontal="center" vertical="center" wrapText="1"/>
    </xf>
    <xf numFmtId="168" fontId="37" fillId="6" borderId="6" xfId="0" applyFont="1" applyFill="1" applyBorder="1" applyAlignment="1">
      <alignment horizontal="center" vertical="center" wrapText="1"/>
    </xf>
    <xf numFmtId="168" fontId="37" fillId="6" borderId="15" xfId="0" applyFont="1" applyFill="1" applyBorder="1" applyAlignment="1">
      <alignment horizontal="center" vertical="center" wrapText="1"/>
    </xf>
    <xf numFmtId="168" fontId="37" fillId="6" borderId="1" xfId="0" applyFont="1" applyFill="1" applyBorder="1" applyAlignment="1">
      <alignment horizontal="center" vertical="center" wrapText="1"/>
    </xf>
    <xf numFmtId="168" fontId="37" fillId="6" borderId="3" xfId="0" applyFont="1" applyFill="1" applyBorder="1" applyAlignment="1">
      <alignment horizontal="center" vertical="center" wrapText="1"/>
    </xf>
    <xf numFmtId="168" fontId="30" fillId="5" borderId="19" xfId="0" applyFont="1" applyFill="1" applyBorder="1" applyAlignment="1">
      <alignment horizontal="center"/>
    </xf>
    <xf numFmtId="168" fontId="30" fillId="5" borderId="20" xfId="0" applyFont="1" applyFill="1" applyBorder="1" applyAlignment="1">
      <alignment horizontal="center"/>
    </xf>
    <xf numFmtId="168" fontId="30" fillId="5" borderId="16" xfId="0" applyFont="1" applyFill="1" applyBorder="1" applyAlignment="1">
      <alignment horizontal="center"/>
    </xf>
    <xf numFmtId="168" fontId="82" fillId="5" borderId="0" xfId="0" applyFont="1" applyFill="1" applyAlignment="1">
      <alignment horizontal="left" wrapText="1"/>
    </xf>
    <xf numFmtId="168" fontId="67" fillId="5" borderId="0" xfId="0" applyFont="1" applyFill="1" applyBorder="1" applyAlignment="1">
      <alignment horizontal="left" vertical="center"/>
    </xf>
    <xf numFmtId="168" fontId="67" fillId="5" borderId="0" xfId="0" applyFont="1" applyFill="1" applyBorder="1" applyAlignment="1">
      <alignment horizontal="left" vertical="top" wrapText="1"/>
    </xf>
    <xf numFmtId="168" fontId="37" fillId="6" borderId="17" xfId="0" applyFont="1" applyFill="1" applyBorder="1" applyAlignment="1">
      <alignment horizontal="center" vertical="center" wrapText="1"/>
    </xf>
    <xf numFmtId="168" fontId="37" fillId="6" borderId="23" xfId="0" applyFont="1" applyFill="1" applyBorder="1" applyAlignment="1">
      <alignment horizontal="center" vertical="center" wrapText="1"/>
    </xf>
    <xf numFmtId="168" fontId="32" fillId="5" borderId="0" xfId="0" applyFont="1" applyFill="1" applyBorder="1" applyAlignment="1">
      <alignment horizontal="center"/>
    </xf>
    <xf numFmtId="2" fontId="31" fillId="6" borderId="22" xfId="0" applyNumberFormat="1" applyFont="1" applyFill="1" applyBorder="1" applyAlignment="1">
      <alignment horizontal="center" vertical="center" wrapText="1"/>
    </xf>
    <xf numFmtId="168" fontId="31" fillId="6" borderId="20" xfId="0" applyFont="1" applyFill="1" applyBorder="1" applyAlignment="1">
      <alignment horizontal="center" vertical="center" wrapText="1"/>
    </xf>
    <xf numFmtId="168" fontId="36" fillId="6" borderId="21" xfId="0" applyFont="1" applyFill="1" applyBorder="1" applyAlignment="1">
      <alignment horizontal="center" vertical="center" wrapText="1"/>
    </xf>
    <xf numFmtId="2" fontId="31" fillId="6" borderId="19" xfId="0" applyNumberFormat="1" applyFont="1" applyFill="1" applyBorder="1" applyAlignment="1">
      <alignment horizontal="center" vertical="center" wrapText="1"/>
    </xf>
    <xf numFmtId="168" fontId="36" fillId="6" borderId="17" xfId="0" applyFont="1" applyFill="1" applyBorder="1" applyAlignment="1">
      <alignment horizontal="center" vertical="center" wrapText="1"/>
    </xf>
    <xf numFmtId="168" fontId="32" fillId="5" borderId="141" xfId="0" applyFont="1" applyFill="1" applyBorder="1"/>
    <xf numFmtId="181" fontId="70" fillId="5" borderId="141" xfId="11" applyNumberFormat="1" applyFont="1" applyFill="1" applyBorder="1" applyAlignment="1">
      <alignment horizontal="right" indent="1"/>
    </xf>
    <xf numFmtId="181" fontId="70" fillId="5" borderId="142" xfId="11" applyNumberFormat="1" applyFont="1" applyFill="1" applyBorder="1" applyAlignment="1">
      <alignment horizontal="right" indent="1"/>
    </xf>
    <xf numFmtId="167" fontId="70" fillId="5" borderId="143" xfId="27" applyNumberFormat="1" applyFont="1" applyFill="1" applyBorder="1" applyAlignment="1">
      <alignment horizontal="right" indent="1"/>
    </xf>
    <xf numFmtId="168" fontId="32" fillId="5" borderId="144" xfId="0" applyFont="1" applyFill="1" applyBorder="1" applyAlignment="1">
      <alignment horizontal="center"/>
    </xf>
    <xf numFmtId="7" fontId="32" fillId="5" borderId="141" xfId="12" applyNumberFormat="1" applyFont="1" applyFill="1" applyBorder="1"/>
    <xf numFmtId="181" fontId="32" fillId="5" borderId="141" xfId="11" applyNumberFormat="1" applyFont="1" applyFill="1" applyBorder="1" applyAlignment="1">
      <alignment horizontal="right" indent="1"/>
    </xf>
    <xf numFmtId="167" fontId="32" fillId="5" borderId="143" xfId="27" applyNumberFormat="1" applyFont="1" applyFill="1" applyBorder="1" applyAlignment="1">
      <alignment horizontal="right" indent="1"/>
    </xf>
    <xf numFmtId="184" fontId="32" fillId="5" borderId="141" xfId="6" applyNumberFormat="1" applyFont="1" applyFill="1" applyBorder="1" applyAlignment="1">
      <alignment horizontal="right" indent="1"/>
    </xf>
    <xf numFmtId="184" fontId="35" fillId="5" borderId="141" xfId="6" applyNumberFormat="1" applyFont="1" applyFill="1" applyBorder="1" applyAlignment="1">
      <alignment horizontal="right" indent="1"/>
    </xf>
    <xf numFmtId="168" fontId="32" fillId="5" borderId="141" xfId="0" applyFont="1" applyFill="1" applyBorder="1" applyAlignment="1">
      <alignment horizontal="left" indent="2"/>
    </xf>
    <xf numFmtId="168" fontId="32" fillId="5" borderId="141" xfId="0" applyFont="1" applyFill="1" applyBorder="1" applyAlignment="1">
      <alignment horizontal="left" indent="3"/>
    </xf>
    <xf numFmtId="182" fontId="32" fillId="5" borderId="141" xfId="11" applyNumberFormat="1" applyFont="1" applyFill="1" applyBorder="1" applyAlignment="1">
      <alignment horizontal="right" indent="1"/>
    </xf>
    <xf numFmtId="173" fontId="31" fillId="3" borderId="136" xfId="10" applyFont="1" applyFill="1" applyBorder="1" applyAlignment="1">
      <alignment horizontal="center"/>
    </xf>
    <xf numFmtId="2" fontId="146" fillId="5" borderId="10" xfId="0" applyNumberFormat="1" applyFont="1" applyFill="1" applyBorder="1" applyAlignment="1">
      <alignment horizontal="right" indent="1"/>
    </xf>
    <xf numFmtId="2" fontId="31" fillId="52" borderId="10" xfId="10" applyNumberFormat="1" applyFont="1" applyFill="1" applyBorder="1" applyAlignment="1">
      <alignment horizontal="right" indent="1"/>
    </xf>
    <xf numFmtId="2" fontId="31" fillId="57" borderId="10" xfId="0" applyNumberFormat="1" applyFont="1" applyFill="1" applyBorder="1" applyAlignment="1">
      <alignment horizontal="right" indent="1"/>
    </xf>
    <xf numFmtId="189" fontId="31" fillId="57" borderId="10" xfId="0" applyNumberFormat="1" applyFont="1" applyFill="1" applyBorder="1" applyAlignment="1">
      <alignment horizontal="right" indent="1"/>
    </xf>
    <xf numFmtId="171" fontId="31" fillId="57" borderId="10" xfId="0" applyNumberFormat="1" applyFont="1" applyFill="1" applyBorder="1" applyAlignment="1">
      <alignment horizontal="right" indent="1"/>
    </xf>
    <xf numFmtId="188" fontId="30" fillId="5" borderId="17" xfId="0" applyNumberFormat="1" applyFont="1" applyFill="1" applyBorder="1" applyAlignment="1">
      <alignment horizontal="center"/>
    </xf>
    <xf numFmtId="168" fontId="61" fillId="5" borderId="21" xfId="0" applyFont="1" applyFill="1" applyBorder="1" applyAlignment="1">
      <alignment horizontal="center" wrapText="1"/>
    </xf>
    <xf numFmtId="168" fontId="37" fillId="6" borderId="8" xfId="0" applyFont="1" applyFill="1" applyBorder="1" applyAlignment="1">
      <alignment horizontal="center" vertical="center" wrapText="1"/>
    </xf>
    <xf numFmtId="168" fontId="37" fillId="6" borderId="6" xfId="0" applyFont="1" applyFill="1" applyBorder="1" applyAlignment="1">
      <alignment horizontal="center" vertical="center" wrapText="1"/>
    </xf>
    <xf numFmtId="168" fontId="37" fillId="6" borderId="15" xfId="0" applyFont="1" applyFill="1" applyBorder="1" applyAlignment="1">
      <alignment horizontal="center" vertical="center" wrapText="1"/>
    </xf>
    <xf numFmtId="168" fontId="61" fillId="5" borderId="0" xfId="0" applyFont="1" applyFill="1" applyAlignment="1">
      <alignment horizontal="center" wrapText="1"/>
    </xf>
    <xf numFmtId="168" fontId="37" fillId="6" borderId="1" xfId="0" applyFont="1" applyFill="1" applyBorder="1" applyAlignment="1">
      <alignment horizontal="center" vertical="center" wrapText="1"/>
    </xf>
    <xf numFmtId="168" fontId="37" fillId="6" borderId="3" xfId="0" applyFont="1" applyFill="1" applyBorder="1" applyAlignment="1">
      <alignment horizontal="center" vertical="center" wrapText="1"/>
    </xf>
    <xf numFmtId="168" fontId="37" fillId="6" borderId="22" xfId="0" applyFont="1" applyFill="1" applyBorder="1" applyAlignment="1">
      <alignment horizontal="center" vertical="center" wrapText="1"/>
    </xf>
    <xf numFmtId="168" fontId="37" fillId="6" borderId="29" xfId="0" applyFont="1" applyFill="1" applyBorder="1" applyAlignment="1">
      <alignment horizontal="center" vertical="center" wrapText="1"/>
    </xf>
    <xf numFmtId="168" fontId="35" fillId="2" borderId="88" xfId="17" applyNumberFormat="1" applyFont="1" applyFill="1" applyBorder="1" applyAlignment="1" applyProtection="1">
      <alignment horizontal="center" vertical="center"/>
    </xf>
    <xf numFmtId="168" fontId="35" fillId="2" borderId="110" xfId="17" applyNumberFormat="1" applyFont="1" applyFill="1" applyBorder="1" applyAlignment="1" applyProtection="1">
      <alignment horizontal="center" vertical="center"/>
    </xf>
    <xf numFmtId="168" fontId="35" fillId="2" borderId="89" xfId="17" applyNumberFormat="1" applyFont="1" applyFill="1" applyBorder="1" applyAlignment="1" applyProtection="1">
      <alignment horizontal="center" vertical="center"/>
    </xf>
    <xf numFmtId="168" fontId="35" fillId="2" borderId="88" xfId="17" applyNumberFormat="1" applyFont="1" applyFill="1" applyBorder="1" applyAlignment="1" applyProtection="1">
      <alignment horizontal="center"/>
    </xf>
    <xf numFmtId="168" fontId="35" fillId="2" borderId="89" xfId="17" applyNumberFormat="1" applyFont="1" applyFill="1" applyBorder="1" applyAlignment="1" applyProtection="1">
      <alignment horizontal="center"/>
    </xf>
    <xf numFmtId="168" fontId="35" fillId="5" borderId="93" xfId="0" applyFont="1" applyFill="1" applyBorder="1" applyAlignment="1">
      <alignment horizontal="center" vertical="center"/>
    </xf>
    <xf numFmtId="168" fontId="35" fillId="5" borderId="94" xfId="0" applyFont="1" applyFill="1" applyBorder="1" applyAlignment="1">
      <alignment horizontal="center" vertical="center"/>
    </xf>
    <xf numFmtId="168" fontId="35" fillId="5" borderId="95" xfId="0" applyFont="1" applyFill="1" applyBorder="1" applyAlignment="1">
      <alignment horizontal="center" vertical="center"/>
    </xf>
    <xf numFmtId="168" fontId="35" fillId="5" borderId="96" xfId="0" applyFont="1" applyFill="1" applyBorder="1" applyAlignment="1">
      <alignment horizontal="center" vertical="center"/>
    </xf>
    <xf numFmtId="168" fontId="35" fillId="5" borderId="97" xfId="0" applyFont="1" applyFill="1" applyBorder="1" applyAlignment="1">
      <alignment horizontal="center" vertical="center"/>
    </xf>
    <xf numFmtId="168" fontId="35" fillId="5" borderId="98" xfId="0" applyFont="1" applyFill="1" applyBorder="1" applyAlignment="1">
      <alignment horizontal="center" vertical="center"/>
    </xf>
    <xf numFmtId="168" fontId="35" fillId="5" borderId="99" xfId="0" applyFont="1" applyFill="1" applyBorder="1" applyAlignment="1">
      <alignment vertical="center" textRotation="255"/>
    </xf>
    <xf numFmtId="168" fontId="35" fillId="5" borderId="145" xfId="0" applyFont="1" applyFill="1" applyBorder="1" applyAlignment="1">
      <alignment vertical="center" textRotation="255"/>
    </xf>
    <xf numFmtId="168" fontId="35" fillId="5" borderId="100" xfId="0" applyFont="1" applyFill="1" applyBorder="1" applyAlignment="1">
      <alignment vertical="center" textRotation="255"/>
    </xf>
    <xf numFmtId="168" fontId="35" fillId="5" borderId="101" xfId="0" applyFont="1" applyFill="1" applyBorder="1" applyAlignment="1">
      <alignment vertical="center" textRotation="255"/>
    </xf>
    <xf numFmtId="168" fontId="35" fillId="5" borderId="137" xfId="0" applyFont="1" applyFill="1" applyBorder="1" applyAlignment="1">
      <alignment horizontal="center" vertical="center" textRotation="255"/>
    </xf>
    <xf numFmtId="168" fontId="35" fillId="5" borderId="138" xfId="0" applyFont="1" applyFill="1" applyBorder="1" applyAlignment="1">
      <alignment horizontal="center" vertical="center" textRotation="255"/>
    </xf>
    <xf numFmtId="168" fontId="35" fillId="5" borderId="139" xfId="0" applyFont="1" applyFill="1" applyBorder="1" applyAlignment="1">
      <alignment horizontal="center" vertical="center" textRotation="255"/>
    </xf>
    <xf numFmtId="168" fontId="32" fillId="5" borderId="102" xfId="0" applyFont="1" applyFill="1" applyBorder="1" applyAlignment="1">
      <alignment horizontal="left" wrapText="1"/>
    </xf>
    <xf numFmtId="168" fontId="32" fillId="5" borderId="103" xfId="0" applyFont="1" applyFill="1" applyBorder="1" applyAlignment="1">
      <alignment horizontal="left" wrapText="1"/>
    </xf>
    <xf numFmtId="168" fontId="35" fillId="5" borderId="102" xfId="0" applyFont="1" applyFill="1" applyBorder="1" applyAlignment="1">
      <alignment horizontal="left" wrapText="1"/>
    </xf>
    <xf numFmtId="168" fontId="35" fillId="5" borderId="103" xfId="0" applyFont="1" applyFill="1" applyBorder="1" applyAlignment="1">
      <alignment horizontal="left" wrapText="1"/>
    </xf>
    <xf numFmtId="168" fontId="35" fillId="5" borderId="104" xfId="0" applyFont="1" applyFill="1" applyBorder="1" applyAlignment="1">
      <alignment horizontal="left" wrapText="1"/>
    </xf>
    <xf numFmtId="168" fontId="35" fillId="5" borderId="105" xfId="0" applyFont="1" applyFill="1" applyBorder="1" applyAlignment="1">
      <alignment horizontal="left" wrapText="1"/>
    </xf>
    <xf numFmtId="4" fontId="32" fillId="5" borderId="70" xfId="11" applyNumberFormat="1" applyFont="1" applyFill="1" applyBorder="1" applyAlignment="1">
      <alignment horizontal="center" vertical="center"/>
    </xf>
    <xf numFmtId="4" fontId="32" fillId="5" borderId="72" xfId="11" applyNumberFormat="1" applyFont="1" applyFill="1" applyBorder="1" applyAlignment="1">
      <alignment horizontal="center" vertical="center"/>
    </xf>
    <xf numFmtId="4" fontId="32" fillId="5" borderId="106" xfId="11" applyNumberFormat="1" applyFont="1" applyFill="1" applyBorder="1" applyAlignment="1">
      <alignment horizontal="center" vertical="center"/>
    </xf>
    <xf numFmtId="4" fontId="32" fillId="5" borderId="107" xfId="11" applyNumberFormat="1" applyFont="1" applyFill="1" applyBorder="1" applyAlignment="1">
      <alignment horizontal="center" vertical="center"/>
    </xf>
    <xf numFmtId="4" fontId="32" fillId="5" borderId="108" xfId="11" applyNumberFormat="1" applyFont="1" applyFill="1" applyBorder="1" applyAlignment="1">
      <alignment horizontal="center" vertical="center"/>
    </xf>
    <xf numFmtId="4" fontId="32" fillId="5" borderId="97" xfId="11" applyNumberFormat="1" applyFont="1" applyFill="1" applyBorder="1" applyAlignment="1">
      <alignment horizontal="center" vertical="center"/>
    </xf>
    <xf numFmtId="4" fontId="32" fillId="5" borderId="109" xfId="11" applyNumberFormat="1" applyFont="1" applyFill="1" applyBorder="1" applyAlignment="1">
      <alignment horizontal="center" vertical="center"/>
    </xf>
    <xf numFmtId="4" fontId="32" fillId="5" borderId="98" xfId="11" applyNumberFormat="1" applyFont="1" applyFill="1" applyBorder="1" applyAlignment="1">
      <alignment horizontal="center" vertical="center"/>
    </xf>
    <xf numFmtId="0" fontId="87" fillId="8" borderId="120" xfId="32" applyFont="1" applyFill="1" applyBorder="1" applyAlignment="1">
      <alignment horizontal="left" wrapText="1"/>
    </xf>
    <xf numFmtId="0" fontId="87" fillId="8" borderId="121" xfId="32" applyFont="1" applyFill="1" applyBorder="1" applyAlignment="1">
      <alignment horizontal="left" wrapText="1"/>
    </xf>
    <xf numFmtId="0" fontId="87" fillId="8" borderId="91" xfId="32" applyFont="1" applyFill="1" applyBorder="1" applyAlignment="1">
      <alignment horizontal="left" wrapText="1"/>
    </xf>
    <xf numFmtId="0" fontId="87" fillId="8" borderId="92" xfId="32" applyFont="1" applyFill="1" applyBorder="1" applyAlignment="1">
      <alignment horizontal="left" wrapText="1"/>
    </xf>
    <xf numFmtId="168" fontId="30" fillId="5" borderId="2" xfId="0" applyFont="1" applyFill="1" applyBorder="1" applyAlignment="1">
      <alignment horizontal="left" vertical="top" wrapText="1"/>
    </xf>
    <xf numFmtId="168" fontId="30" fillId="5" borderId="0" xfId="0" applyFont="1" applyFill="1" applyBorder="1" applyAlignment="1">
      <alignment horizontal="left" vertical="top" wrapText="1"/>
    </xf>
    <xf numFmtId="188" fontId="30" fillId="5" borderId="17" xfId="0" applyNumberFormat="1" applyFont="1" applyFill="1" applyBorder="1" applyAlignment="1">
      <alignment horizontal="right"/>
    </xf>
    <xf numFmtId="168" fontId="30" fillId="5" borderId="19" xfId="0" applyFont="1" applyFill="1" applyBorder="1" applyAlignment="1">
      <alignment horizontal="center"/>
    </xf>
    <xf numFmtId="168" fontId="30" fillId="5" borderId="20" xfId="0" applyFont="1" applyFill="1" applyBorder="1" applyAlignment="1">
      <alignment horizontal="center"/>
    </xf>
    <xf numFmtId="168" fontId="30" fillId="5" borderId="16" xfId="0" applyFont="1" applyFill="1" applyBorder="1" applyAlignment="1">
      <alignment horizontal="center"/>
    </xf>
    <xf numFmtId="188" fontId="30" fillId="5" borderId="19" xfId="0" applyNumberFormat="1" applyFont="1" applyFill="1" applyBorder="1" applyAlignment="1">
      <alignment horizontal="right"/>
    </xf>
    <xf numFmtId="188" fontId="30" fillId="5" borderId="16" xfId="0" applyNumberFormat="1" applyFont="1" applyFill="1" applyBorder="1" applyAlignment="1">
      <alignment horizontal="right"/>
    </xf>
    <xf numFmtId="168" fontId="54" fillId="5" borderId="19" xfId="17" applyNumberFormat="1" applyFont="1" applyFill="1" applyBorder="1" applyAlignment="1" applyProtection="1">
      <alignment horizontal="center"/>
    </xf>
    <xf numFmtId="168" fontId="54" fillId="5" borderId="16" xfId="17" applyNumberFormat="1" applyFont="1" applyFill="1" applyBorder="1" applyAlignment="1" applyProtection="1">
      <alignment horizontal="center"/>
    </xf>
    <xf numFmtId="168" fontId="38" fillId="6" borderId="53" xfId="17" applyNumberFormat="1" applyFont="1" applyFill="1" applyBorder="1" applyAlignment="1" applyProtection="1">
      <alignment horizontal="center" vertical="center" wrapText="1"/>
    </xf>
    <xf numFmtId="168" fontId="38" fillId="6" borderId="54" xfId="17" applyNumberFormat="1" applyFont="1" applyFill="1" applyBorder="1" applyAlignment="1" applyProtection="1">
      <alignment horizontal="center" vertical="center" wrapText="1"/>
    </xf>
    <xf numFmtId="168" fontId="65" fillId="6" borderId="82" xfId="17" applyNumberFormat="1" applyFont="1" applyFill="1" applyBorder="1" applyAlignment="1" applyProtection="1">
      <alignment horizontal="center" vertical="center" wrapText="1"/>
    </xf>
    <xf numFmtId="168" fontId="65" fillId="6" borderId="83" xfId="17" applyNumberFormat="1" applyFont="1" applyFill="1" applyBorder="1" applyAlignment="1" applyProtection="1">
      <alignment horizontal="center" vertical="center" wrapText="1"/>
    </xf>
    <xf numFmtId="168" fontId="65" fillId="6" borderId="84" xfId="17" applyNumberFormat="1" applyFont="1" applyFill="1" applyBorder="1" applyAlignment="1" applyProtection="1">
      <alignment horizontal="center" vertical="center" wrapText="1"/>
    </xf>
    <xf numFmtId="168" fontId="65" fillId="6" borderId="85" xfId="17" applyNumberFormat="1" applyFont="1" applyFill="1" applyBorder="1" applyAlignment="1" applyProtection="1">
      <alignment horizontal="center" vertical="center" wrapText="1"/>
    </xf>
    <xf numFmtId="168" fontId="64" fillId="6" borderId="53" xfId="17" applyNumberFormat="1" applyFont="1" applyFill="1" applyBorder="1" applyAlignment="1" applyProtection="1">
      <alignment horizontal="center" vertical="center" wrapText="1"/>
    </xf>
    <xf numFmtId="168" fontId="64" fillId="6" borderId="54" xfId="17" applyNumberFormat="1" applyFont="1" applyFill="1" applyBorder="1" applyAlignment="1" applyProtection="1">
      <alignment horizontal="center" vertical="center" wrapText="1"/>
    </xf>
    <xf numFmtId="168" fontId="55" fillId="6" borderId="86" xfId="0" applyFont="1" applyFill="1" applyBorder="1" applyAlignment="1">
      <alignment horizontal="center"/>
    </xf>
    <xf numFmtId="168" fontId="55" fillId="6" borderId="87" xfId="0" applyFont="1" applyFill="1" applyBorder="1" applyAlignment="1">
      <alignment horizontal="center"/>
    </xf>
    <xf numFmtId="168" fontId="38" fillId="6" borderId="82" xfId="17" applyNumberFormat="1" applyFont="1" applyFill="1" applyBorder="1" applyAlignment="1" applyProtection="1">
      <alignment horizontal="center" vertical="center" wrapText="1"/>
    </xf>
    <xf numFmtId="168" fontId="38" fillId="6" borderId="83" xfId="17" applyNumberFormat="1" applyFont="1" applyFill="1" applyBorder="1" applyAlignment="1" applyProtection="1">
      <alignment horizontal="center" vertical="center" wrapText="1"/>
    </xf>
    <xf numFmtId="168" fontId="38" fillId="6" borderId="84" xfId="17" applyNumberFormat="1" applyFont="1" applyFill="1" applyBorder="1" applyAlignment="1" applyProtection="1">
      <alignment horizontal="center" vertical="center" wrapText="1"/>
    </xf>
    <xf numFmtId="168" fontId="38" fillId="6" borderId="85" xfId="17" applyNumberFormat="1" applyFont="1" applyFill="1" applyBorder="1" applyAlignment="1" applyProtection="1">
      <alignment horizontal="center" vertical="center" wrapText="1"/>
    </xf>
    <xf numFmtId="168" fontId="75" fillId="6" borderId="53" xfId="17" applyNumberFormat="1" applyFont="1" applyFill="1" applyBorder="1" applyAlignment="1" applyProtection="1">
      <alignment horizontal="center" vertical="center" wrapText="1"/>
    </xf>
    <xf numFmtId="168" fontId="75" fillId="6" borderId="54" xfId="17" applyNumberFormat="1" applyFont="1" applyFill="1" applyBorder="1" applyAlignment="1" applyProtection="1">
      <alignment horizontal="center" vertical="center" wrapText="1"/>
    </xf>
    <xf numFmtId="168" fontId="54" fillId="5" borderId="19" xfId="17" applyNumberFormat="1" applyFont="1" applyFill="1" applyBorder="1" applyAlignment="1" applyProtection="1">
      <alignment horizontal="center" vertical="center" wrapText="1"/>
    </xf>
    <xf numFmtId="168" fontId="54" fillId="5" borderId="16" xfId="17" applyNumberFormat="1" applyFont="1" applyFill="1" applyBorder="1" applyAlignment="1" applyProtection="1">
      <alignment horizontal="center" vertical="center" wrapText="1"/>
    </xf>
    <xf numFmtId="168" fontId="54" fillId="5" borderId="2" xfId="17" applyNumberFormat="1" applyFont="1" applyFill="1" applyBorder="1" applyAlignment="1" applyProtection="1">
      <alignment horizontal="center"/>
    </xf>
    <xf numFmtId="168" fontId="67" fillId="5" borderId="6" xfId="0" applyFont="1" applyFill="1" applyBorder="1" applyAlignment="1">
      <alignment horizontal="left" vertical="top"/>
    </xf>
    <xf numFmtId="168" fontId="67" fillId="5" borderId="4" xfId="0" applyFont="1" applyFill="1" applyBorder="1" applyAlignment="1">
      <alignment horizontal="left" vertical="top"/>
    </xf>
    <xf numFmtId="168" fontId="82" fillId="5" borderId="0" xfId="0" applyFont="1" applyFill="1" applyAlignment="1">
      <alignment horizontal="left" wrapText="1"/>
    </xf>
    <xf numFmtId="168" fontId="82" fillId="5" borderId="0" xfId="0" applyFont="1" applyFill="1" applyAlignment="1">
      <alignment horizontal="left" vertical="top" wrapText="1"/>
    </xf>
    <xf numFmtId="168" fontId="67" fillId="5" borderId="0" xfId="0" applyFont="1" applyFill="1" applyBorder="1" applyAlignment="1">
      <alignment horizontal="left" vertical="center"/>
    </xf>
    <xf numFmtId="168" fontId="67" fillId="5" borderId="4" xfId="0" applyFont="1" applyFill="1" applyBorder="1" applyAlignment="1">
      <alignment horizontal="left" vertical="top" wrapText="1"/>
    </xf>
    <xf numFmtId="168" fontId="67" fillId="5" borderId="0" xfId="0" applyFont="1" applyFill="1" applyBorder="1" applyAlignment="1">
      <alignment horizontal="left" vertical="top" wrapText="1"/>
    </xf>
    <xf numFmtId="168" fontId="137" fillId="5" borderId="0" xfId="0" applyFont="1" applyFill="1" applyAlignment="1">
      <alignment horizontal="center" vertical="center" wrapText="1"/>
    </xf>
    <xf numFmtId="168" fontId="67" fillId="5" borderId="0" xfId="0" applyFont="1" applyFill="1" applyBorder="1" applyAlignment="1">
      <alignment horizontal="left" vertical="top"/>
    </xf>
    <xf numFmtId="168" fontId="66" fillId="6" borderId="53" xfId="17" applyNumberFormat="1" applyFont="1" applyFill="1" applyBorder="1" applyAlignment="1" applyProtection="1">
      <alignment horizontal="center" vertical="center" wrapText="1"/>
    </xf>
    <xf numFmtId="168" fontId="66" fillId="6" borderId="90" xfId="17" applyNumberFormat="1" applyFont="1" applyFill="1" applyBorder="1" applyAlignment="1" applyProtection="1">
      <alignment horizontal="center" vertical="center" wrapText="1"/>
    </xf>
    <xf numFmtId="168" fontId="66" fillId="6" borderId="54" xfId="17" applyNumberFormat="1" applyFont="1" applyFill="1" applyBorder="1" applyAlignment="1" applyProtection="1">
      <alignment horizontal="center" vertical="center" wrapText="1"/>
    </xf>
    <xf numFmtId="168" fontId="37" fillId="6" borderId="17" xfId="0" applyFont="1" applyFill="1" applyBorder="1" applyAlignment="1">
      <alignment horizontal="center" vertical="center" wrapText="1"/>
    </xf>
    <xf numFmtId="168" fontId="76" fillId="6" borderId="19" xfId="17" applyNumberFormat="1" applyFont="1" applyFill="1" applyBorder="1" applyAlignment="1" applyProtection="1">
      <alignment horizontal="center" vertical="center" wrapText="1"/>
    </xf>
    <xf numFmtId="168" fontId="76" fillId="6" borderId="20" xfId="17" applyNumberFormat="1" applyFont="1" applyFill="1" applyBorder="1" applyAlignment="1" applyProtection="1">
      <alignment horizontal="center" vertical="center" wrapText="1"/>
    </xf>
    <xf numFmtId="168" fontId="76" fillId="6" borderId="16" xfId="17" applyNumberFormat="1" applyFont="1" applyFill="1" applyBorder="1" applyAlignment="1" applyProtection="1">
      <alignment horizontal="center" vertical="center" wrapText="1"/>
    </xf>
    <xf numFmtId="43" fontId="32" fillId="5" borderId="73" xfId="11" applyFont="1" applyFill="1" applyBorder="1" applyAlignment="1">
      <alignment horizontal="center" vertical="center"/>
    </xf>
    <xf numFmtId="43" fontId="32" fillId="5" borderId="91" xfId="11" applyFont="1" applyFill="1" applyBorder="1" applyAlignment="1">
      <alignment horizontal="center" vertical="center"/>
    </xf>
    <xf numFmtId="43" fontId="32" fillId="5" borderId="92" xfId="11" applyFont="1" applyFill="1" applyBorder="1" applyAlignment="1">
      <alignment horizontal="center" vertical="center"/>
    </xf>
    <xf numFmtId="2" fontId="36" fillId="6" borderId="17" xfId="0" applyNumberFormat="1" applyFont="1" applyFill="1" applyBorder="1" applyAlignment="1">
      <alignment horizontal="center" vertical="center" wrapText="1"/>
    </xf>
    <xf numFmtId="168" fontId="32" fillId="58" borderId="21" xfId="0" applyFont="1" applyFill="1" applyBorder="1" applyAlignment="1">
      <alignment horizontal="center"/>
    </xf>
    <xf numFmtId="168" fontId="0" fillId="10" borderId="17" xfId="0" applyFill="1" applyBorder="1" applyAlignment="1">
      <alignment horizontal="center"/>
    </xf>
    <xf numFmtId="168" fontId="30" fillId="0" borderId="0" xfId="0" applyFont="1" applyAlignment="1">
      <alignment horizontal="left" wrapText="1"/>
    </xf>
    <xf numFmtId="168" fontId="30" fillId="0" borderId="0" xfId="0" applyFont="1" applyAlignment="1">
      <alignment horizontal="left"/>
    </xf>
    <xf numFmtId="168" fontId="142" fillId="0" borderId="2" xfId="0" applyFont="1" applyBorder="1" applyAlignment="1">
      <alignment horizontal="left" wrapText="1"/>
    </xf>
    <xf numFmtId="9" fontId="0" fillId="14" borderId="17" xfId="27" applyFont="1" applyFill="1" applyBorder="1" applyAlignment="1">
      <alignment horizontal="center" vertical="center"/>
    </xf>
    <xf numFmtId="168" fontId="36" fillId="6" borderId="17" xfId="0" applyFont="1" applyFill="1" applyBorder="1" applyAlignment="1">
      <alignment horizontal="center"/>
    </xf>
    <xf numFmtId="168" fontId="140" fillId="0" borderId="0" xfId="0" applyFont="1" applyBorder="1" applyAlignment="1">
      <alignment horizontal="left" wrapText="1"/>
    </xf>
    <xf numFmtId="168" fontId="36" fillId="6" borderId="19" xfId="0" applyFont="1" applyFill="1" applyBorder="1" applyAlignment="1">
      <alignment horizontal="center"/>
    </xf>
    <xf numFmtId="168" fontId="36" fillId="6" borderId="20" xfId="0" applyFont="1" applyFill="1" applyBorder="1" applyAlignment="1">
      <alignment horizontal="center"/>
    </xf>
    <xf numFmtId="168" fontId="36" fillId="6" borderId="16" xfId="0" applyFont="1" applyFill="1" applyBorder="1" applyAlignment="1">
      <alignment horizontal="center"/>
    </xf>
    <xf numFmtId="168" fontId="37" fillId="6" borderId="36" xfId="0" applyFont="1" applyFill="1" applyBorder="1" applyAlignment="1">
      <alignment horizontal="center" vertical="center" wrapText="1"/>
    </xf>
    <xf numFmtId="168" fontId="37" fillId="6" borderId="2" xfId="0" applyFont="1" applyFill="1" applyBorder="1" applyAlignment="1">
      <alignment horizontal="center" vertical="center" wrapText="1"/>
    </xf>
    <xf numFmtId="168" fontId="37" fillId="6" borderId="37" xfId="0" applyFont="1" applyFill="1" applyBorder="1" applyAlignment="1">
      <alignment horizontal="center" vertical="center" wrapText="1"/>
    </xf>
    <xf numFmtId="168" fontId="45" fillId="0" borderId="23" xfId="0" applyFont="1" applyBorder="1" applyAlignment="1">
      <alignment horizontal="center" vertical="center"/>
    </xf>
    <xf numFmtId="168" fontId="37" fillId="6" borderId="23" xfId="0" applyFont="1" applyFill="1" applyBorder="1" applyAlignment="1">
      <alignment horizontal="center" vertical="center" wrapText="1"/>
    </xf>
    <xf numFmtId="168" fontId="37" fillId="5" borderId="17" xfId="0" applyFont="1" applyFill="1" applyBorder="1" applyAlignment="1">
      <alignment horizontal="center"/>
    </xf>
    <xf numFmtId="168" fontId="37" fillId="6" borderId="19" xfId="0" applyFont="1" applyFill="1" applyBorder="1" applyAlignment="1">
      <alignment horizontal="center"/>
    </xf>
    <xf numFmtId="168" fontId="37" fillId="6" borderId="20" xfId="0" applyFont="1" applyFill="1" applyBorder="1" applyAlignment="1">
      <alignment horizontal="center"/>
    </xf>
    <xf numFmtId="168" fontId="37" fillId="6" borderId="16" xfId="0" applyFont="1" applyFill="1" applyBorder="1" applyAlignment="1">
      <alignment horizontal="center"/>
    </xf>
    <xf numFmtId="168" fontId="32" fillId="5" borderId="0" xfId="0" applyFont="1" applyFill="1" applyBorder="1" applyAlignment="1">
      <alignment horizontal="center"/>
    </xf>
    <xf numFmtId="168" fontId="30" fillId="5" borderId="21" xfId="0" applyFont="1" applyFill="1" applyBorder="1" applyAlignment="1">
      <alignment horizontal="left" vertical="top" wrapText="1"/>
    </xf>
    <xf numFmtId="168" fontId="37" fillId="5" borderId="19" xfId="0" applyFont="1" applyFill="1" applyBorder="1" applyAlignment="1">
      <alignment horizontal="center"/>
    </xf>
    <xf numFmtId="168" fontId="37" fillId="5" borderId="20" xfId="0" applyFont="1" applyFill="1" applyBorder="1" applyAlignment="1">
      <alignment horizontal="center"/>
    </xf>
    <xf numFmtId="168" fontId="37" fillId="5" borderId="16" xfId="0" applyFont="1" applyFill="1" applyBorder="1" applyAlignment="1">
      <alignment horizontal="center"/>
    </xf>
    <xf numFmtId="168" fontId="30" fillId="5" borderId="20" xfId="0" applyFont="1" applyFill="1" applyBorder="1" applyAlignment="1">
      <alignment horizontal="left" vertical="top" wrapText="1"/>
    </xf>
    <xf numFmtId="168" fontId="35" fillId="2" borderId="110" xfId="17" applyNumberFormat="1" applyFont="1" applyFill="1" applyBorder="1" applyAlignment="1" applyProtection="1">
      <alignment horizontal="center"/>
    </xf>
    <xf numFmtId="2" fontId="31" fillId="6" borderId="22" xfId="0" applyNumberFormat="1" applyFont="1" applyFill="1" applyBorder="1" applyAlignment="1">
      <alignment horizontal="center" vertical="center" wrapText="1"/>
    </xf>
    <xf numFmtId="2" fontId="31" fillId="6" borderId="21" xfId="0" applyNumberFormat="1" applyFont="1" applyFill="1" applyBorder="1" applyAlignment="1">
      <alignment horizontal="center" vertical="center" wrapText="1"/>
    </xf>
    <xf numFmtId="168" fontId="36" fillId="6" borderId="4" xfId="0" applyFont="1" applyFill="1" applyBorder="1" applyAlignment="1">
      <alignment horizontal="center" vertical="center" wrapText="1"/>
    </xf>
    <xf numFmtId="168" fontId="36" fillId="6" borderId="0" xfId="0" applyFont="1" applyFill="1" applyBorder="1" applyAlignment="1">
      <alignment horizontal="center" vertical="center" wrapText="1"/>
    </xf>
    <xf numFmtId="168" fontId="31" fillId="6" borderId="111" xfId="0" applyFont="1" applyFill="1" applyBorder="1" applyAlignment="1">
      <alignment horizontal="center" vertical="center" wrapText="1"/>
    </xf>
    <xf numFmtId="168" fontId="31" fillId="6" borderId="20" xfId="0" applyFont="1" applyFill="1" applyBorder="1" applyAlignment="1">
      <alignment horizontal="center" vertical="center" wrapText="1"/>
    </xf>
    <xf numFmtId="168" fontId="31" fillId="6" borderId="16" xfId="0" applyFont="1" applyFill="1" applyBorder="1" applyAlignment="1">
      <alignment horizontal="center" vertical="center" wrapText="1"/>
    </xf>
    <xf numFmtId="168" fontId="36" fillId="6" borderId="38" xfId="0" applyFont="1" applyFill="1" applyBorder="1" applyAlignment="1">
      <alignment horizontal="center" vertical="center" wrapText="1"/>
    </xf>
    <xf numFmtId="168" fontId="36" fillId="6" borderId="21" xfId="0" applyFont="1" applyFill="1" applyBorder="1" applyAlignment="1">
      <alignment horizontal="center" vertical="center" wrapText="1"/>
    </xf>
    <xf numFmtId="168" fontId="36" fillId="6" borderId="29" xfId="0" applyFont="1" applyFill="1" applyBorder="1" applyAlignment="1">
      <alignment horizontal="center" vertical="center" wrapText="1"/>
    </xf>
    <xf numFmtId="2" fontId="31" fillId="6" borderId="29" xfId="0" applyNumberFormat="1" applyFont="1" applyFill="1" applyBorder="1" applyAlignment="1">
      <alignment horizontal="center" vertical="center" wrapText="1"/>
    </xf>
    <xf numFmtId="168" fontId="36" fillId="6" borderId="23" xfId="0" applyFont="1" applyFill="1" applyBorder="1" applyAlignment="1">
      <alignment horizontal="center" vertical="center" wrapText="1"/>
    </xf>
    <xf numFmtId="168" fontId="36" fillId="6" borderId="22" xfId="0" applyFont="1" applyFill="1" applyBorder="1" applyAlignment="1">
      <alignment horizontal="center" vertical="center" wrapText="1"/>
    </xf>
    <xf numFmtId="168" fontId="31" fillId="6" borderId="19" xfId="0" applyFont="1" applyFill="1" applyBorder="1" applyAlignment="1">
      <alignment horizontal="center" vertical="center" wrapText="1"/>
    </xf>
    <xf numFmtId="2" fontId="31" fillId="6" borderId="19" xfId="0" applyNumberFormat="1" applyFont="1" applyFill="1" applyBorder="1" applyAlignment="1">
      <alignment horizontal="center" vertical="center" wrapText="1"/>
    </xf>
    <xf numFmtId="2" fontId="31" fillId="6" borderId="20" xfId="0" applyNumberFormat="1" applyFont="1" applyFill="1" applyBorder="1" applyAlignment="1">
      <alignment horizontal="center" vertical="center" wrapText="1"/>
    </xf>
    <xf numFmtId="2" fontId="31" fillId="6" borderId="16" xfId="0" applyNumberFormat="1" applyFont="1" applyFill="1" applyBorder="1" applyAlignment="1">
      <alignment horizontal="center" vertical="center" wrapText="1"/>
    </xf>
    <xf numFmtId="168" fontId="32" fillId="5" borderId="19" xfId="0" applyFont="1" applyFill="1" applyBorder="1" applyAlignment="1">
      <alignment horizontal="center"/>
    </xf>
    <xf numFmtId="168" fontId="32" fillId="5" borderId="16" xfId="0" applyFont="1" applyFill="1" applyBorder="1" applyAlignment="1">
      <alignment horizontal="center"/>
    </xf>
    <xf numFmtId="168" fontId="51" fillId="5" borderId="19" xfId="0" applyFont="1" applyFill="1" applyBorder="1" applyAlignment="1">
      <alignment horizontal="center"/>
    </xf>
    <xf numFmtId="168" fontId="51" fillId="5" borderId="16" xfId="0" applyFont="1" applyFill="1" applyBorder="1" applyAlignment="1">
      <alignment horizontal="center"/>
    </xf>
    <xf numFmtId="168" fontId="36" fillId="6" borderId="17" xfId="0" applyFont="1" applyFill="1" applyBorder="1" applyAlignment="1">
      <alignment horizontal="center" vertical="center" wrapText="1"/>
    </xf>
    <xf numFmtId="0" fontId="145" fillId="0" borderId="19" xfId="0" applyNumberFormat="1" applyFont="1" applyFill="1" applyBorder="1" applyAlignment="1">
      <alignment horizontal="left" vertical="center" wrapText="1"/>
    </xf>
    <xf numFmtId="0" fontId="145" fillId="0" borderId="20" xfId="0" applyNumberFormat="1" applyFont="1" applyFill="1" applyBorder="1" applyAlignment="1">
      <alignment horizontal="left" vertical="center" wrapText="1"/>
    </xf>
    <xf numFmtId="0" fontId="145" fillId="0" borderId="16" xfId="0" applyNumberFormat="1" applyFont="1" applyFill="1" applyBorder="1" applyAlignment="1">
      <alignment horizontal="left" vertical="center" wrapText="1"/>
    </xf>
    <xf numFmtId="168" fontId="0" fillId="0" borderId="0" xfId="0" applyAlignment="1">
      <alignment horizontal="left" wrapText="1"/>
    </xf>
    <xf numFmtId="168" fontId="0" fillId="0" borderId="0" xfId="0" applyAlignment="1">
      <alignment horizontal="left"/>
    </xf>
    <xf numFmtId="0" fontId="145" fillId="0" borderId="17" xfId="0" applyNumberFormat="1" applyFont="1" applyFill="1" applyBorder="1" applyAlignment="1">
      <alignment horizontal="left" vertical="center" wrapText="1"/>
    </xf>
    <xf numFmtId="168" fontId="37" fillId="6" borderId="38" xfId="0" applyFont="1" applyFill="1" applyBorder="1" applyAlignment="1">
      <alignment horizontal="center" vertical="center" wrapText="1"/>
    </xf>
    <xf numFmtId="168" fontId="37" fillId="6" borderId="21" xfId="0" applyFont="1" applyFill="1" applyBorder="1" applyAlignment="1">
      <alignment horizontal="center" vertical="center" wrapText="1"/>
    </xf>
    <xf numFmtId="168" fontId="37" fillId="6" borderId="2" xfId="0" applyFont="1" applyFill="1" applyBorder="1" applyAlignment="1">
      <alignment horizontal="center" vertical="center"/>
    </xf>
    <xf numFmtId="168" fontId="37" fillId="6" borderId="37" xfId="0" applyFont="1" applyFill="1" applyBorder="1" applyAlignment="1">
      <alignment horizontal="center" vertical="center"/>
    </xf>
    <xf numFmtId="168" fontId="37" fillId="6" borderId="36" xfId="0" applyFont="1" applyFill="1" applyBorder="1" applyAlignment="1">
      <alignment horizontal="center" vertical="center"/>
    </xf>
  </cellXfs>
  <cellStyles count="1911">
    <cellStyle name=";;;" xfId="1" xr:uid="{00000000-0005-0000-0000-000000000000}"/>
    <cellStyle name="20% - Accent1" xfId="53" builtinId="30" customBuiltin="1"/>
    <cellStyle name="20% - Accent1 10" xfId="321" xr:uid="{00000000-0005-0000-0000-000002000000}"/>
    <cellStyle name="20% - Accent1 10 2" xfId="544" xr:uid="{00000000-0005-0000-0000-000003000000}"/>
    <cellStyle name="20% - Accent1 10 2 2" xfId="966" xr:uid="{00000000-0005-0000-0000-000004000000}"/>
    <cellStyle name="20% - Accent1 10 2 2 2" xfId="1840" xr:uid="{00000000-0005-0000-0000-000005000000}"/>
    <cellStyle name="20% - Accent1 10 2 3" xfId="1418" xr:uid="{00000000-0005-0000-0000-000006000000}"/>
    <cellStyle name="20% - Accent1 10 3" xfId="761" xr:uid="{00000000-0005-0000-0000-000007000000}"/>
    <cellStyle name="20% - Accent1 10 3 2" xfId="1635" xr:uid="{00000000-0005-0000-0000-000008000000}"/>
    <cellStyle name="20% - Accent1 10 4" xfId="1170" xr:uid="{00000000-0005-0000-0000-000009000000}"/>
    <cellStyle name="20% - Accent1 11" xfId="392" xr:uid="{00000000-0005-0000-0000-00000A000000}"/>
    <cellStyle name="20% - Accent1 11 2" xfId="609" xr:uid="{00000000-0005-0000-0000-00000B000000}"/>
    <cellStyle name="20% - Accent1 11 2 2" xfId="1483" xr:uid="{00000000-0005-0000-0000-00000C000000}"/>
    <cellStyle name="20% - Accent1 11 3" xfId="1266" xr:uid="{00000000-0005-0000-0000-00000D000000}"/>
    <cellStyle name="20% - Accent1 12" xfId="372" xr:uid="{00000000-0005-0000-0000-00000E000000}"/>
    <cellStyle name="20% - Accent1 12 2" xfId="812" xr:uid="{00000000-0005-0000-0000-00000F000000}"/>
    <cellStyle name="20% - Accent1 12 2 2" xfId="1686" xr:uid="{00000000-0005-0000-0000-000010000000}"/>
    <cellStyle name="20% - Accent1 12 3" xfId="1252" xr:uid="{00000000-0005-0000-0000-000011000000}"/>
    <cellStyle name="20% - Accent1 13" xfId="595" xr:uid="{00000000-0005-0000-0000-000012000000}"/>
    <cellStyle name="20% - Accent1 13 2" xfId="1469" xr:uid="{00000000-0005-0000-0000-000013000000}"/>
    <cellStyle name="20% - Accent1 14" xfId="1018" xr:uid="{00000000-0005-0000-0000-000014000000}"/>
    <cellStyle name="20% - Accent1 15" xfId="1893" xr:uid="{E4C888BA-8E63-4136-A537-E41909775379}"/>
    <cellStyle name="20% - Accent1 2" xfId="138" xr:uid="{00000000-0005-0000-0000-000015000000}"/>
    <cellStyle name="20% - Accent1 2 2" xfId="1239" xr:uid="{00000000-0005-0000-0000-000016000000}"/>
    <cellStyle name="20% - Accent1 3" xfId="167" xr:uid="{00000000-0005-0000-0000-000017000000}"/>
    <cellStyle name="20% - Accent1 3 2" xfId="262" xr:uid="{00000000-0005-0000-0000-000018000000}"/>
    <cellStyle name="20% - Accent1 3 2 2" xfId="486" xr:uid="{00000000-0005-0000-0000-000019000000}"/>
    <cellStyle name="20% - Accent1 3 2 2 2" xfId="908" xr:uid="{00000000-0005-0000-0000-00001A000000}"/>
    <cellStyle name="20% - Accent1 3 2 2 2 2" xfId="1782" xr:uid="{00000000-0005-0000-0000-00001B000000}"/>
    <cellStyle name="20% - Accent1 3 2 2 3" xfId="1360" xr:uid="{00000000-0005-0000-0000-00001C000000}"/>
    <cellStyle name="20% - Accent1 3 2 3" xfId="703" xr:uid="{00000000-0005-0000-0000-00001D000000}"/>
    <cellStyle name="20% - Accent1 3 2 3 2" xfId="1577" xr:uid="{00000000-0005-0000-0000-00001E000000}"/>
    <cellStyle name="20% - Accent1 3 2 4" xfId="1112" xr:uid="{00000000-0005-0000-0000-00001F000000}"/>
    <cellStyle name="20% - Accent1 3 3" xfId="341" xr:uid="{00000000-0005-0000-0000-000020000000}"/>
    <cellStyle name="20% - Accent1 3 3 2" xfId="564" xr:uid="{00000000-0005-0000-0000-000021000000}"/>
    <cellStyle name="20% - Accent1 3 3 2 2" xfId="986" xr:uid="{00000000-0005-0000-0000-000022000000}"/>
    <cellStyle name="20% - Accent1 3 3 2 2 2" xfId="1860" xr:uid="{00000000-0005-0000-0000-000023000000}"/>
    <cellStyle name="20% - Accent1 3 3 2 3" xfId="1438" xr:uid="{00000000-0005-0000-0000-000024000000}"/>
    <cellStyle name="20% - Accent1 3 3 3" xfId="781" xr:uid="{00000000-0005-0000-0000-000025000000}"/>
    <cellStyle name="20% - Accent1 3 3 3 2" xfId="1655" xr:uid="{00000000-0005-0000-0000-000026000000}"/>
    <cellStyle name="20% - Accent1 3 3 4" xfId="1190" xr:uid="{00000000-0005-0000-0000-000027000000}"/>
    <cellStyle name="20% - Accent1 3 4" xfId="410" xr:uid="{00000000-0005-0000-0000-000028000000}"/>
    <cellStyle name="20% - Accent1 3 4 2" xfId="832" xr:uid="{00000000-0005-0000-0000-000029000000}"/>
    <cellStyle name="20% - Accent1 3 4 2 2" xfId="1706" xr:uid="{00000000-0005-0000-0000-00002A000000}"/>
    <cellStyle name="20% - Accent1 3 4 3" xfId="1284" xr:uid="{00000000-0005-0000-0000-00002B000000}"/>
    <cellStyle name="20% - Accent1 3 5" xfId="627" xr:uid="{00000000-0005-0000-0000-00002C000000}"/>
    <cellStyle name="20% - Accent1 3 5 2" xfId="1501" xr:uid="{00000000-0005-0000-0000-00002D000000}"/>
    <cellStyle name="20% - Accent1 3 6" xfId="1036" xr:uid="{00000000-0005-0000-0000-00002E000000}"/>
    <cellStyle name="20% - Accent1 4" xfId="91" xr:uid="{00000000-0005-0000-0000-00002F000000}"/>
    <cellStyle name="20% - Accent1 4 2" xfId="1224" xr:uid="{00000000-0005-0000-0000-000030000000}"/>
    <cellStyle name="20% - Accent1 5" xfId="198" xr:uid="{00000000-0005-0000-0000-000031000000}"/>
    <cellStyle name="20% - Accent1 5 2" xfId="280" xr:uid="{00000000-0005-0000-0000-000032000000}"/>
    <cellStyle name="20% - Accent1 5 2 2" xfId="504" xr:uid="{00000000-0005-0000-0000-000033000000}"/>
    <cellStyle name="20% - Accent1 5 2 2 2" xfId="926" xr:uid="{00000000-0005-0000-0000-000034000000}"/>
    <cellStyle name="20% - Accent1 5 2 2 2 2" xfId="1800" xr:uid="{00000000-0005-0000-0000-000035000000}"/>
    <cellStyle name="20% - Accent1 5 2 2 3" xfId="1378" xr:uid="{00000000-0005-0000-0000-000036000000}"/>
    <cellStyle name="20% - Accent1 5 2 3" xfId="721" xr:uid="{00000000-0005-0000-0000-000037000000}"/>
    <cellStyle name="20% - Accent1 5 2 3 2" xfId="1595" xr:uid="{00000000-0005-0000-0000-000038000000}"/>
    <cellStyle name="20% - Accent1 5 2 4" xfId="1130" xr:uid="{00000000-0005-0000-0000-000039000000}"/>
    <cellStyle name="20% - Accent1 5 3" xfId="359" xr:uid="{00000000-0005-0000-0000-00003A000000}"/>
    <cellStyle name="20% - Accent1 5 3 2" xfId="582" xr:uid="{00000000-0005-0000-0000-00003B000000}"/>
    <cellStyle name="20% - Accent1 5 3 2 2" xfId="1004" xr:uid="{00000000-0005-0000-0000-00003C000000}"/>
    <cellStyle name="20% - Accent1 5 3 2 2 2" xfId="1878" xr:uid="{00000000-0005-0000-0000-00003D000000}"/>
    <cellStyle name="20% - Accent1 5 3 2 3" xfId="1456" xr:uid="{00000000-0005-0000-0000-00003E000000}"/>
    <cellStyle name="20% - Accent1 5 3 3" xfId="799" xr:uid="{00000000-0005-0000-0000-00003F000000}"/>
    <cellStyle name="20% - Accent1 5 3 3 2" xfId="1673" xr:uid="{00000000-0005-0000-0000-000040000000}"/>
    <cellStyle name="20% - Accent1 5 3 4" xfId="1208" xr:uid="{00000000-0005-0000-0000-000041000000}"/>
    <cellStyle name="20% - Accent1 5 4" xfId="428" xr:uid="{00000000-0005-0000-0000-000042000000}"/>
    <cellStyle name="20% - Accent1 5 4 2" xfId="850" xr:uid="{00000000-0005-0000-0000-000043000000}"/>
    <cellStyle name="20% - Accent1 5 4 2 2" xfId="1724" xr:uid="{00000000-0005-0000-0000-000044000000}"/>
    <cellStyle name="20% - Accent1 5 4 3" xfId="1302" xr:uid="{00000000-0005-0000-0000-000045000000}"/>
    <cellStyle name="20% - Accent1 5 5" xfId="645" xr:uid="{00000000-0005-0000-0000-000046000000}"/>
    <cellStyle name="20% - Accent1 5 5 2" xfId="1519" xr:uid="{00000000-0005-0000-0000-000047000000}"/>
    <cellStyle name="20% - Accent1 5 6" xfId="1054" xr:uid="{00000000-0005-0000-0000-000048000000}"/>
    <cellStyle name="20% - Accent1 6" xfId="211" xr:uid="{00000000-0005-0000-0000-000049000000}"/>
    <cellStyle name="20% - Accent1 6 2" xfId="293" xr:uid="{00000000-0005-0000-0000-00004A000000}"/>
    <cellStyle name="20% - Accent1 6 2 2" xfId="517" xr:uid="{00000000-0005-0000-0000-00004B000000}"/>
    <cellStyle name="20% - Accent1 6 2 2 2" xfId="939" xr:uid="{00000000-0005-0000-0000-00004C000000}"/>
    <cellStyle name="20% - Accent1 6 2 2 2 2" xfId="1813" xr:uid="{00000000-0005-0000-0000-00004D000000}"/>
    <cellStyle name="20% - Accent1 6 2 2 3" xfId="1391" xr:uid="{00000000-0005-0000-0000-00004E000000}"/>
    <cellStyle name="20% - Accent1 6 2 3" xfId="734" xr:uid="{00000000-0005-0000-0000-00004F000000}"/>
    <cellStyle name="20% - Accent1 6 2 3 2" xfId="1608" xr:uid="{00000000-0005-0000-0000-000050000000}"/>
    <cellStyle name="20% - Accent1 6 2 4" xfId="1143" xr:uid="{00000000-0005-0000-0000-000051000000}"/>
    <cellStyle name="20% - Accent1 6 3" xfId="441" xr:uid="{00000000-0005-0000-0000-000052000000}"/>
    <cellStyle name="20% - Accent1 6 3 2" xfId="863" xr:uid="{00000000-0005-0000-0000-000053000000}"/>
    <cellStyle name="20% - Accent1 6 3 2 2" xfId="1737" xr:uid="{00000000-0005-0000-0000-000054000000}"/>
    <cellStyle name="20% - Accent1 6 3 3" xfId="1315" xr:uid="{00000000-0005-0000-0000-000055000000}"/>
    <cellStyle name="20% - Accent1 6 4" xfId="658" xr:uid="{00000000-0005-0000-0000-000056000000}"/>
    <cellStyle name="20% - Accent1 6 4 2" xfId="1532" xr:uid="{00000000-0005-0000-0000-000057000000}"/>
    <cellStyle name="20% - Accent1 6 5" xfId="1067" xr:uid="{00000000-0005-0000-0000-000058000000}"/>
    <cellStyle name="20% - Accent1 7" xfId="224" xr:uid="{00000000-0005-0000-0000-000059000000}"/>
    <cellStyle name="20% - Accent1 7 2" xfId="454" xr:uid="{00000000-0005-0000-0000-00005A000000}"/>
    <cellStyle name="20% - Accent1 7 2 2" xfId="876" xr:uid="{00000000-0005-0000-0000-00005B000000}"/>
    <cellStyle name="20% - Accent1 7 2 2 2" xfId="1750" xr:uid="{00000000-0005-0000-0000-00005C000000}"/>
    <cellStyle name="20% - Accent1 7 2 3" xfId="1328" xr:uid="{00000000-0005-0000-0000-00005D000000}"/>
    <cellStyle name="20% - Accent1 7 3" xfId="671" xr:uid="{00000000-0005-0000-0000-00005E000000}"/>
    <cellStyle name="20% - Accent1 7 3 2" xfId="1545" xr:uid="{00000000-0005-0000-0000-00005F000000}"/>
    <cellStyle name="20% - Accent1 7 4" xfId="1080" xr:uid="{00000000-0005-0000-0000-000060000000}"/>
    <cellStyle name="20% - Accent1 8" xfId="244" xr:uid="{00000000-0005-0000-0000-000061000000}"/>
    <cellStyle name="20% - Accent1 8 2" xfId="468" xr:uid="{00000000-0005-0000-0000-000062000000}"/>
    <cellStyle name="20% - Accent1 8 2 2" xfId="890" xr:uid="{00000000-0005-0000-0000-000063000000}"/>
    <cellStyle name="20% - Accent1 8 2 2 2" xfId="1764" xr:uid="{00000000-0005-0000-0000-000064000000}"/>
    <cellStyle name="20% - Accent1 8 2 3" xfId="1342" xr:uid="{00000000-0005-0000-0000-000065000000}"/>
    <cellStyle name="20% - Accent1 8 3" xfId="685" xr:uid="{00000000-0005-0000-0000-000066000000}"/>
    <cellStyle name="20% - Accent1 8 3 2" xfId="1559" xr:uid="{00000000-0005-0000-0000-000067000000}"/>
    <cellStyle name="20% - Accent1 8 4" xfId="1094" xr:uid="{00000000-0005-0000-0000-000068000000}"/>
    <cellStyle name="20% - Accent1 9" xfId="307" xr:uid="{00000000-0005-0000-0000-000069000000}"/>
    <cellStyle name="20% - Accent1 9 2" xfId="531" xr:uid="{00000000-0005-0000-0000-00006A000000}"/>
    <cellStyle name="20% - Accent1 9 2 2" xfId="953" xr:uid="{00000000-0005-0000-0000-00006B000000}"/>
    <cellStyle name="20% - Accent1 9 2 2 2" xfId="1827" xr:uid="{00000000-0005-0000-0000-00006C000000}"/>
    <cellStyle name="20% - Accent1 9 2 3" xfId="1405" xr:uid="{00000000-0005-0000-0000-00006D000000}"/>
    <cellStyle name="20% - Accent1 9 3" xfId="748" xr:uid="{00000000-0005-0000-0000-00006E000000}"/>
    <cellStyle name="20% - Accent1 9 3 2" xfId="1622" xr:uid="{00000000-0005-0000-0000-00006F000000}"/>
    <cellStyle name="20% - Accent1 9 4" xfId="1157" xr:uid="{00000000-0005-0000-0000-000070000000}"/>
    <cellStyle name="20% - Accent2" xfId="57" builtinId="34" customBuiltin="1"/>
    <cellStyle name="20% - Accent2 10" xfId="323" xr:uid="{00000000-0005-0000-0000-000072000000}"/>
    <cellStyle name="20% - Accent2 10 2" xfId="546" xr:uid="{00000000-0005-0000-0000-000073000000}"/>
    <cellStyle name="20% - Accent2 10 2 2" xfId="968" xr:uid="{00000000-0005-0000-0000-000074000000}"/>
    <cellStyle name="20% - Accent2 10 2 2 2" xfId="1842" xr:uid="{00000000-0005-0000-0000-000075000000}"/>
    <cellStyle name="20% - Accent2 10 2 3" xfId="1420" xr:uid="{00000000-0005-0000-0000-000076000000}"/>
    <cellStyle name="20% - Accent2 10 3" xfId="763" xr:uid="{00000000-0005-0000-0000-000077000000}"/>
    <cellStyle name="20% - Accent2 10 3 2" xfId="1637" xr:uid="{00000000-0005-0000-0000-000078000000}"/>
    <cellStyle name="20% - Accent2 10 4" xfId="1172" xr:uid="{00000000-0005-0000-0000-000079000000}"/>
    <cellStyle name="20% - Accent2 11" xfId="394" xr:uid="{00000000-0005-0000-0000-00007A000000}"/>
    <cellStyle name="20% - Accent2 11 2" xfId="611" xr:uid="{00000000-0005-0000-0000-00007B000000}"/>
    <cellStyle name="20% - Accent2 11 2 2" xfId="1485" xr:uid="{00000000-0005-0000-0000-00007C000000}"/>
    <cellStyle name="20% - Accent2 11 3" xfId="1268" xr:uid="{00000000-0005-0000-0000-00007D000000}"/>
    <cellStyle name="20% - Accent2 12" xfId="374" xr:uid="{00000000-0005-0000-0000-00007E000000}"/>
    <cellStyle name="20% - Accent2 12 2" xfId="814" xr:uid="{00000000-0005-0000-0000-00007F000000}"/>
    <cellStyle name="20% - Accent2 12 2 2" xfId="1688" xr:uid="{00000000-0005-0000-0000-000080000000}"/>
    <cellStyle name="20% - Accent2 12 3" xfId="1254" xr:uid="{00000000-0005-0000-0000-000081000000}"/>
    <cellStyle name="20% - Accent2 13" xfId="597" xr:uid="{00000000-0005-0000-0000-000082000000}"/>
    <cellStyle name="20% - Accent2 13 2" xfId="1471" xr:uid="{00000000-0005-0000-0000-000083000000}"/>
    <cellStyle name="20% - Accent2 14" xfId="1020" xr:uid="{00000000-0005-0000-0000-000084000000}"/>
    <cellStyle name="20% - Accent2 15" xfId="1896" xr:uid="{B13ADFC7-1CE0-421A-B245-841C6B93C592}"/>
    <cellStyle name="20% - Accent2 2" xfId="140" xr:uid="{00000000-0005-0000-0000-000085000000}"/>
    <cellStyle name="20% - Accent2 2 2" xfId="1241" xr:uid="{00000000-0005-0000-0000-000086000000}"/>
    <cellStyle name="20% - Accent2 3" xfId="171" xr:uid="{00000000-0005-0000-0000-000087000000}"/>
    <cellStyle name="20% - Accent2 3 2" xfId="264" xr:uid="{00000000-0005-0000-0000-000088000000}"/>
    <cellStyle name="20% - Accent2 3 2 2" xfId="488" xr:uid="{00000000-0005-0000-0000-000089000000}"/>
    <cellStyle name="20% - Accent2 3 2 2 2" xfId="910" xr:uid="{00000000-0005-0000-0000-00008A000000}"/>
    <cellStyle name="20% - Accent2 3 2 2 2 2" xfId="1784" xr:uid="{00000000-0005-0000-0000-00008B000000}"/>
    <cellStyle name="20% - Accent2 3 2 2 3" xfId="1362" xr:uid="{00000000-0005-0000-0000-00008C000000}"/>
    <cellStyle name="20% - Accent2 3 2 3" xfId="705" xr:uid="{00000000-0005-0000-0000-00008D000000}"/>
    <cellStyle name="20% - Accent2 3 2 3 2" xfId="1579" xr:uid="{00000000-0005-0000-0000-00008E000000}"/>
    <cellStyle name="20% - Accent2 3 2 4" xfId="1114" xr:uid="{00000000-0005-0000-0000-00008F000000}"/>
    <cellStyle name="20% - Accent2 3 3" xfId="343" xr:uid="{00000000-0005-0000-0000-000090000000}"/>
    <cellStyle name="20% - Accent2 3 3 2" xfId="566" xr:uid="{00000000-0005-0000-0000-000091000000}"/>
    <cellStyle name="20% - Accent2 3 3 2 2" xfId="988" xr:uid="{00000000-0005-0000-0000-000092000000}"/>
    <cellStyle name="20% - Accent2 3 3 2 2 2" xfId="1862" xr:uid="{00000000-0005-0000-0000-000093000000}"/>
    <cellStyle name="20% - Accent2 3 3 2 3" xfId="1440" xr:uid="{00000000-0005-0000-0000-000094000000}"/>
    <cellStyle name="20% - Accent2 3 3 3" xfId="783" xr:uid="{00000000-0005-0000-0000-000095000000}"/>
    <cellStyle name="20% - Accent2 3 3 3 2" xfId="1657" xr:uid="{00000000-0005-0000-0000-000096000000}"/>
    <cellStyle name="20% - Accent2 3 3 4" xfId="1192" xr:uid="{00000000-0005-0000-0000-000097000000}"/>
    <cellStyle name="20% - Accent2 3 4" xfId="412" xr:uid="{00000000-0005-0000-0000-000098000000}"/>
    <cellStyle name="20% - Accent2 3 4 2" xfId="834" xr:uid="{00000000-0005-0000-0000-000099000000}"/>
    <cellStyle name="20% - Accent2 3 4 2 2" xfId="1708" xr:uid="{00000000-0005-0000-0000-00009A000000}"/>
    <cellStyle name="20% - Accent2 3 4 3" xfId="1286" xr:uid="{00000000-0005-0000-0000-00009B000000}"/>
    <cellStyle name="20% - Accent2 3 5" xfId="629" xr:uid="{00000000-0005-0000-0000-00009C000000}"/>
    <cellStyle name="20% - Accent2 3 5 2" xfId="1503" xr:uid="{00000000-0005-0000-0000-00009D000000}"/>
    <cellStyle name="20% - Accent2 3 6" xfId="1038" xr:uid="{00000000-0005-0000-0000-00009E000000}"/>
    <cellStyle name="20% - Accent2 4" xfId="102" xr:uid="{00000000-0005-0000-0000-00009F000000}"/>
    <cellStyle name="20% - Accent2 4 2" xfId="1225" xr:uid="{00000000-0005-0000-0000-0000A0000000}"/>
    <cellStyle name="20% - Accent2 5" xfId="200" xr:uid="{00000000-0005-0000-0000-0000A1000000}"/>
    <cellStyle name="20% - Accent2 5 2" xfId="282" xr:uid="{00000000-0005-0000-0000-0000A2000000}"/>
    <cellStyle name="20% - Accent2 5 2 2" xfId="506" xr:uid="{00000000-0005-0000-0000-0000A3000000}"/>
    <cellStyle name="20% - Accent2 5 2 2 2" xfId="928" xr:uid="{00000000-0005-0000-0000-0000A4000000}"/>
    <cellStyle name="20% - Accent2 5 2 2 2 2" xfId="1802" xr:uid="{00000000-0005-0000-0000-0000A5000000}"/>
    <cellStyle name="20% - Accent2 5 2 2 3" xfId="1380" xr:uid="{00000000-0005-0000-0000-0000A6000000}"/>
    <cellStyle name="20% - Accent2 5 2 3" xfId="723" xr:uid="{00000000-0005-0000-0000-0000A7000000}"/>
    <cellStyle name="20% - Accent2 5 2 3 2" xfId="1597" xr:uid="{00000000-0005-0000-0000-0000A8000000}"/>
    <cellStyle name="20% - Accent2 5 2 4" xfId="1132" xr:uid="{00000000-0005-0000-0000-0000A9000000}"/>
    <cellStyle name="20% - Accent2 5 3" xfId="361" xr:uid="{00000000-0005-0000-0000-0000AA000000}"/>
    <cellStyle name="20% - Accent2 5 3 2" xfId="584" xr:uid="{00000000-0005-0000-0000-0000AB000000}"/>
    <cellStyle name="20% - Accent2 5 3 2 2" xfId="1006" xr:uid="{00000000-0005-0000-0000-0000AC000000}"/>
    <cellStyle name="20% - Accent2 5 3 2 2 2" xfId="1880" xr:uid="{00000000-0005-0000-0000-0000AD000000}"/>
    <cellStyle name="20% - Accent2 5 3 2 3" xfId="1458" xr:uid="{00000000-0005-0000-0000-0000AE000000}"/>
    <cellStyle name="20% - Accent2 5 3 3" xfId="801" xr:uid="{00000000-0005-0000-0000-0000AF000000}"/>
    <cellStyle name="20% - Accent2 5 3 3 2" xfId="1675" xr:uid="{00000000-0005-0000-0000-0000B0000000}"/>
    <cellStyle name="20% - Accent2 5 3 4" xfId="1210" xr:uid="{00000000-0005-0000-0000-0000B1000000}"/>
    <cellStyle name="20% - Accent2 5 4" xfId="430" xr:uid="{00000000-0005-0000-0000-0000B2000000}"/>
    <cellStyle name="20% - Accent2 5 4 2" xfId="852" xr:uid="{00000000-0005-0000-0000-0000B3000000}"/>
    <cellStyle name="20% - Accent2 5 4 2 2" xfId="1726" xr:uid="{00000000-0005-0000-0000-0000B4000000}"/>
    <cellStyle name="20% - Accent2 5 4 3" xfId="1304" xr:uid="{00000000-0005-0000-0000-0000B5000000}"/>
    <cellStyle name="20% - Accent2 5 5" xfId="647" xr:uid="{00000000-0005-0000-0000-0000B6000000}"/>
    <cellStyle name="20% - Accent2 5 5 2" xfId="1521" xr:uid="{00000000-0005-0000-0000-0000B7000000}"/>
    <cellStyle name="20% - Accent2 5 6" xfId="1056" xr:uid="{00000000-0005-0000-0000-0000B8000000}"/>
    <cellStyle name="20% - Accent2 6" xfId="213" xr:uid="{00000000-0005-0000-0000-0000B9000000}"/>
    <cellStyle name="20% - Accent2 6 2" xfId="295" xr:uid="{00000000-0005-0000-0000-0000BA000000}"/>
    <cellStyle name="20% - Accent2 6 2 2" xfId="519" xr:uid="{00000000-0005-0000-0000-0000BB000000}"/>
    <cellStyle name="20% - Accent2 6 2 2 2" xfId="941" xr:uid="{00000000-0005-0000-0000-0000BC000000}"/>
    <cellStyle name="20% - Accent2 6 2 2 2 2" xfId="1815" xr:uid="{00000000-0005-0000-0000-0000BD000000}"/>
    <cellStyle name="20% - Accent2 6 2 2 3" xfId="1393" xr:uid="{00000000-0005-0000-0000-0000BE000000}"/>
    <cellStyle name="20% - Accent2 6 2 3" xfId="736" xr:uid="{00000000-0005-0000-0000-0000BF000000}"/>
    <cellStyle name="20% - Accent2 6 2 3 2" xfId="1610" xr:uid="{00000000-0005-0000-0000-0000C0000000}"/>
    <cellStyle name="20% - Accent2 6 2 4" xfId="1145" xr:uid="{00000000-0005-0000-0000-0000C1000000}"/>
    <cellStyle name="20% - Accent2 6 3" xfId="443" xr:uid="{00000000-0005-0000-0000-0000C2000000}"/>
    <cellStyle name="20% - Accent2 6 3 2" xfId="865" xr:uid="{00000000-0005-0000-0000-0000C3000000}"/>
    <cellStyle name="20% - Accent2 6 3 2 2" xfId="1739" xr:uid="{00000000-0005-0000-0000-0000C4000000}"/>
    <cellStyle name="20% - Accent2 6 3 3" xfId="1317" xr:uid="{00000000-0005-0000-0000-0000C5000000}"/>
    <cellStyle name="20% - Accent2 6 4" xfId="660" xr:uid="{00000000-0005-0000-0000-0000C6000000}"/>
    <cellStyle name="20% - Accent2 6 4 2" xfId="1534" xr:uid="{00000000-0005-0000-0000-0000C7000000}"/>
    <cellStyle name="20% - Accent2 6 5" xfId="1069" xr:uid="{00000000-0005-0000-0000-0000C8000000}"/>
    <cellStyle name="20% - Accent2 7" xfId="226" xr:uid="{00000000-0005-0000-0000-0000C9000000}"/>
    <cellStyle name="20% - Accent2 7 2" xfId="456" xr:uid="{00000000-0005-0000-0000-0000CA000000}"/>
    <cellStyle name="20% - Accent2 7 2 2" xfId="878" xr:uid="{00000000-0005-0000-0000-0000CB000000}"/>
    <cellStyle name="20% - Accent2 7 2 2 2" xfId="1752" xr:uid="{00000000-0005-0000-0000-0000CC000000}"/>
    <cellStyle name="20% - Accent2 7 2 3" xfId="1330" xr:uid="{00000000-0005-0000-0000-0000CD000000}"/>
    <cellStyle name="20% - Accent2 7 3" xfId="673" xr:uid="{00000000-0005-0000-0000-0000CE000000}"/>
    <cellStyle name="20% - Accent2 7 3 2" xfId="1547" xr:uid="{00000000-0005-0000-0000-0000CF000000}"/>
    <cellStyle name="20% - Accent2 7 4" xfId="1082" xr:uid="{00000000-0005-0000-0000-0000D0000000}"/>
    <cellStyle name="20% - Accent2 8" xfId="246" xr:uid="{00000000-0005-0000-0000-0000D1000000}"/>
    <cellStyle name="20% - Accent2 8 2" xfId="470" xr:uid="{00000000-0005-0000-0000-0000D2000000}"/>
    <cellStyle name="20% - Accent2 8 2 2" xfId="892" xr:uid="{00000000-0005-0000-0000-0000D3000000}"/>
    <cellStyle name="20% - Accent2 8 2 2 2" xfId="1766" xr:uid="{00000000-0005-0000-0000-0000D4000000}"/>
    <cellStyle name="20% - Accent2 8 2 3" xfId="1344" xr:uid="{00000000-0005-0000-0000-0000D5000000}"/>
    <cellStyle name="20% - Accent2 8 3" xfId="687" xr:uid="{00000000-0005-0000-0000-0000D6000000}"/>
    <cellStyle name="20% - Accent2 8 3 2" xfId="1561" xr:uid="{00000000-0005-0000-0000-0000D7000000}"/>
    <cellStyle name="20% - Accent2 8 4" xfId="1096" xr:uid="{00000000-0005-0000-0000-0000D8000000}"/>
    <cellStyle name="20% - Accent2 9" xfId="309" xr:uid="{00000000-0005-0000-0000-0000D9000000}"/>
    <cellStyle name="20% - Accent2 9 2" xfId="533" xr:uid="{00000000-0005-0000-0000-0000DA000000}"/>
    <cellStyle name="20% - Accent2 9 2 2" xfId="955" xr:uid="{00000000-0005-0000-0000-0000DB000000}"/>
    <cellStyle name="20% - Accent2 9 2 2 2" xfId="1829" xr:uid="{00000000-0005-0000-0000-0000DC000000}"/>
    <cellStyle name="20% - Accent2 9 2 3" xfId="1407" xr:uid="{00000000-0005-0000-0000-0000DD000000}"/>
    <cellStyle name="20% - Accent2 9 3" xfId="750" xr:uid="{00000000-0005-0000-0000-0000DE000000}"/>
    <cellStyle name="20% - Accent2 9 3 2" xfId="1624" xr:uid="{00000000-0005-0000-0000-0000DF000000}"/>
    <cellStyle name="20% - Accent2 9 4" xfId="1159" xr:uid="{00000000-0005-0000-0000-0000E0000000}"/>
    <cellStyle name="20% - Accent3" xfId="61" builtinId="38" customBuiltin="1"/>
    <cellStyle name="20% - Accent3 10" xfId="325" xr:uid="{00000000-0005-0000-0000-0000E2000000}"/>
    <cellStyle name="20% - Accent3 10 2" xfId="548" xr:uid="{00000000-0005-0000-0000-0000E3000000}"/>
    <cellStyle name="20% - Accent3 10 2 2" xfId="970" xr:uid="{00000000-0005-0000-0000-0000E4000000}"/>
    <cellStyle name="20% - Accent3 10 2 2 2" xfId="1844" xr:uid="{00000000-0005-0000-0000-0000E5000000}"/>
    <cellStyle name="20% - Accent3 10 2 3" xfId="1422" xr:uid="{00000000-0005-0000-0000-0000E6000000}"/>
    <cellStyle name="20% - Accent3 10 3" xfId="765" xr:uid="{00000000-0005-0000-0000-0000E7000000}"/>
    <cellStyle name="20% - Accent3 10 3 2" xfId="1639" xr:uid="{00000000-0005-0000-0000-0000E8000000}"/>
    <cellStyle name="20% - Accent3 10 4" xfId="1174" xr:uid="{00000000-0005-0000-0000-0000E9000000}"/>
    <cellStyle name="20% - Accent3 11" xfId="396" xr:uid="{00000000-0005-0000-0000-0000EA000000}"/>
    <cellStyle name="20% - Accent3 11 2" xfId="613" xr:uid="{00000000-0005-0000-0000-0000EB000000}"/>
    <cellStyle name="20% - Accent3 11 2 2" xfId="1487" xr:uid="{00000000-0005-0000-0000-0000EC000000}"/>
    <cellStyle name="20% - Accent3 11 3" xfId="1270" xr:uid="{00000000-0005-0000-0000-0000ED000000}"/>
    <cellStyle name="20% - Accent3 12" xfId="376" xr:uid="{00000000-0005-0000-0000-0000EE000000}"/>
    <cellStyle name="20% - Accent3 12 2" xfId="816" xr:uid="{00000000-0005-0000-0000-0000EF000000}"/>
    <cellStyle name="20% - Accent3 12 2 2" xfId="1690" xr:uid="{00000000-0005-0000-0000-0000F0000000}"/>
    <cellStyle name="20% - Accent3 12 3" xfId="1256" xr:uid="{00000000-0005-0000-0000-0000F1000000}"/>
    <cellStyle name="20% - Accent3 13" xfId="599" xr:uid="{00000000-0005-0000-0000-0000F2000000}"/>
    <cellStyle name="20% - Accent3 13 2" xfId="1473" xr:uid="{00000000-0005-0000-0000-0000F3000000}"/>
    <cellStyle name="20% - Accent3 14" xfId="1022" xr:uid="{00000000-0005-0000-0000-0000F4000000}"/>
    <cellStyle name="20% - Accent3 15" xfId="1899" xr:uid="{1824E6B0-BA47-4B20-ACC8-F490DA2689FA}"/>
    <cellStyle name="20% - Accent3 2" xfId="142" xr:uid="{00000000-0005-0000-0000-0000F5000000}"/>
    <cellStyle name="20% - Accent3 2 2" xfId="1243" xr:uid="{00000000-0005-0000-0000-0000F6000000}"/>
    <cellStyle name="20% - Accent3 3" xfId="175" xr:uid="{00000000-0005-0000-0000-0000F7000000}"/>
    <cellStyle name="20% - Accent3 3 2" xfId="266" xr:uid="{00000000-0005-0000-0000-0000F8000000}"/>
    <cellStyle name="20% - Accent3 3 2 2" xfId="490" xr:uid="{00000000-0005-0000-0000-0000F9000000}"/>
    <cellStyle name="20% - Accent3 3 2 2 2" xfId="912" xr:uid="{00000000-0005-0000-0000-0000FA000000}"/>
    <cellStyle name="20% - Accent3 3 2 2 2 2" xfId="1786" xr:uid="{00000000-0005-0000-0000-0000FB000000}"/>
    <cellStyle name="20% - Accent3 3 2 2 3" xfId="1364" xr:uid="{00000000-0005-0000-0000-0000FC000000}"/>
    <cellStyle name="20% - Accent3 3 2 3" xfId="707" xr:uid="{00000000-0005-0000-0000-0000FD000000}"/>
    <cellStyle name="20% - Accent3 3 2 3 2" xfId="1581" xr:uid="{00000000-0005-0000-0000-0000FE000000}"/>
    <cellStyle name="20% - Accent3 3 2 4" xfId="1116" xr:uid="{00000000-0005-0000-0000-0000FF000000}"/>
    <cellStyle name="20% - Accent3 3 3" xfId="345" xr:uid="{00000000-0005-0000-0000-000000010000}"/>
    <cellStyle name="20% - Accent3 3 3 2" xfId="568" xr:uid="{00000000-0005-0000-0000-000001010000}"/>
    <cellStyle name="20% - Accent3 3 3 2 2" xfId="990" xr:uid="{00000000-0005-0000-0000-000002010000}"/>
    <cellStyle name="20% - Accent3 3 3 2 2 2" xfId="1864" xr:uid="{00000000-0005-0000-0000-000003010000}"/>
    <cellStyle name="20% - Accent3 3 3 2 3" xfId="1442" xr:uid="{00000000-0005-0000-0000-000004010000}"/>
    <cellStyle name="20% - Accent3 3 3 3" xfId="785" xr:uid="{00000000-0005-0000-0000-000005010000}"/>
    <cellStyle name="20% - Accent3 3 3 3 2" xfId="1659" xr:uid="{00000000-0005-0000-0000-000006010000}"/>
    <cellStyle name="20% - Accent3 3 3 4" xfId="1194" xr:uid="{00000000-0005-0000-0000-000007010000}"/>
    <cellStyle name="20% - Accent3 3 4" xfId="414" xr:uid="{00000000-0005-0000-0000-000008010000}"/>
    <cellStyle name="20% - Accent3 3 4 2" xfId="836" xr:uid="{00000000-0005-0000-0000-000009010000}"/>
    <cellStyle name="20% - Accent3 3 4 2 2" xfId="1710" xr:uid="{00000000-0005-0000-0000-00000A010000}"/>
    <cellStyle name="20% - Accent3 3 4 3" xfId="1288" xr:uid="{00000000-0005-0000-0000-00000B010000}"/>
    <cellStyle name="20% - Accent3 3 5" xfId="631" xr:uid="{00000000-0005-0000-0000-00000C010000}"/>
    <cellStyle name="20% - Accent3 3 5 2" xfId="1505" xr:uid="{00000000-0005-0000-0000-00000D010000}"/>
    <cellStyle name="20% - Accent3 3 6" xfId="1040" xr:uid="{00000000-0005-0000-0000-00000E010000}"/>
    <cellStyle name="20% - Accent3 4" xfId="119" xr:uid="{00000000-0005-0000-0000-00000F010000}"/>
    <cellStyle name="20% - Accent3 4 2" xfId="1228" xr:uid="{00000000-0005-0000-0000-000010010000}"/>
    <cellStyle name="20% - Accent3 5" xfId="202" xr:uid="{00000000-0005-0000-0000-000011010000}"/>
    <cellStyle name="20% - Accent3 5 2" xfId="284" xr:uid="{00000000-0005-0000-0000-000012010000}"/>
    <cellStyle name="20% - Accent3 5 2 2" xfId="508" xr:uid="{00000000-0005-0000-0000-000013010000}"/>
    <cellStyle name="20% - Accent3 5 2 2 2" xfId="930" xr:uid="{00000000-0005-0000-0000-000014010000}"/>
    <cellStyle name="20% - Accent3 5 2 2 2 2" xfId="1804" xr:uid="{00000000-0005-0000-0000-000015010000}"/>
    <cellStyle name="20% - Accent3 5 2 2 3" xfId="1382" xr:uid="{00000000-0005-0000-0000-000016010000}"/>
    <cellStyle name="20% - Accent3 5 2 3" xfId="725" xr:uid="{00000000-0005-0000-0000-000017010000}"/>
    <cellStyle name="20% - Accent3 5 2 3 2" xfId="1599" xr:uid="{00000000-0005-0000-0000-000018010000}"/>
    <cellStyle name="20% - Accent3 5 2 4" xfId="1134" xr:uid="{00000000-0005-0000-0000-000019010000}"/>
    <cellStyle name="20% - Accent3 5 3" xfId="363" xr:uid="{00000000-0005-0000-0000-00001A010000}"/>
    <cellStyle name="20% - Accent3 5 3 2" xfId="586" xr:uid="{00000000-0005-0000-0000-00001B010000}"/>
    <cellStyle name="20% - Accent3 5 3 2 2" xfId="1008" xr:uid="{00000000-0005-0000-0000-00001C010000}"/>
    <cellStyle name="20% - Accent3 5 3 2 2 2" xfId="1882" xr:uid="{00000000-0005-0000-0000-00001D010000}"/>
    <cellStyle name="20% - Accent3 5 3 2 3" xfId="1460" xr:uid="{00000000-0005-0000-0000-00001E010000}"/>
    <cellStyle name="20% - Accent3 5 3 3" xfId="803" xr:uid="{00000000-0005-0000-0000-00001F010000}"/>
    <cellStyle name="20% - Accent3 5 3 3 2" xfId="1677" xr:uid="{00000000-0005-0000-0000-000020010000}"/>
    <cellStyle name="20% - Accent3 5 3 4" xfId="1212" xr:uid="{00000000-0005-0000-0000-000021010000}"/>
    <cellStyle name="20% - Accent3 5 4" xfId="432" xr:uid="{00000000-0005-0000-0000-000022010000}"/>
    <cellStyle name="20% - Accent3 5 4 2" xfId="854" xr:uid="{00000000-0005-0000-0000-000023010000}"/>
    <cellStyle name="20% - Accent3 5 4 2 2" xfId="1728" xr:uid="{00000000-0005-0000-0000-000024010000}"/>
    <cellStyle name="20% - Accent3 5 4 3" xfId="1306" xr:uid="{00000000-0005-0000-0000-000025010000}"/>
    <cellStyle name="20% - Accent3 5 5" xfId="649" xr:uid="{00000000-0005-0000-0000-000026010000}"/>
    <cellStyle name="20% - Accent3 5 5 2" xfId="1523" xr:uid="{00000000-0005-0000-0000-000027010000}"/>
    <cellStyle name="20% - Accent3 5 6" xfId="1058" xr:uid="{00000000-0005-0000-0000-000028010000}"/>
    <cellStyle name="20% - Accent3 6" xfId="215" xr:uid="{00000000-0005-0000-0000-000029010000}"/>
    <cellStyle name="20% - Accent3 6 2" xfId="297" xr:uid="{00000000-0005-0000-0000-00002A010000}"/>
    <cellStyle name="20% - Accent3 6 2 2" xfId="521" xr:uid="{00000000-0005-0000-0000-00002B010000}"/>
    <cellStyle name="20% - Accent3 6 2 2 2" xfId="943" xr:uid="{00000000-0005-0000-0000-00002C010000}"/>
    <cellStyle name="20% - Accent3 6 2 2 2 2" xfId="1817" xr:uid="{00000000-0005-0000-0000-00002D010000}"/>
    <cellStyle name="20% - Accent3 6 2 2 3" xfId="1395" xr:uid="{00000000-0005-0000-0000-00002E010000}"/>
    <cellStyle name="20% - Accent3 6 2 3" xfId="738" xr:uid="{00000000-0005-0000-0000-00002F010000}"/>
    <cellStyle name="20% - Accent3 6 2 3 2" xfId="1612" xr:uid="{00000000-0005-0000-0000-000030010000}"/>
    <cellStyle name="20% - Accent3 6 2 4" xfId="1147" xr:uid="{00000000-0005-0000-0000-000031010000}"/>
    <cellStyle name="20% - Accent3 6 3" xfId="445" xr:uid="{00000000-0005-0000-0000-000032010000}"/>
    <cellStyle name="20% - Accent3 6 3 2" xfId="867" xr:uid="{00000000-0005-0000-0000-000033010000}"/>
    <cellStyle name="20% - Accent3 6 3 2 2" xfId="1741" xr:uid="{00000000-0005-0000-0000-000034010000}"/>
    <cellStyle name="20% - Accent3 6 3 3" xfId="1319" xr:uid="{00000000-0005-0000-0000-000035010000}"/>
    <cellStyle name="20% - Accent3 6 4" xfId="662" xr:uid="{00000000-0005-0000-0000-000036010000}"/>
    <cellStyle name="20% - Accent3 6 4 2" xfId="1536" xr:uid="{00000000-0005-0000-0000-000037010000}"/>
    <cellStyle name="20% - Accent3 6 5" xfId="1071" xr:uid="{00000000-0005-0000-0000-000038010000}"/>
    <cellStyle name="20% - Accent3 7" xfId="228" xr:uid="{00000000-0005-0000-0000-000039010000}"/>
    <cellStyle name="20% - Accent3 7 2" xfId="458" xr:uid="{00000000-0005-0000-0000-00003A010000}"/>
    <cellStyle name="20% - Accent3 7 2 2" xfId="880" xr:uid="{00000000-0005-0000-0000-00003B010000}"/>
    <cellStyle name="20% - Accent3 7 2 2 2" xfId="1754" xr:uid="{00000000-0005-0000-0000-00003C010000}"/>
    <cellStyle name="20% - Accent3 7 2 3" xfId="1332" xr:uid="{00000000-0005-0000-0000-00003D010000}"/>
    <cellStyle name="20% - Accent3 7 3" xfId="675" xr:uid="{00000000-0005-0000-0000-00003E010000}"/>
    <cellStyle name="20% - Accent3 7 3 2" xfId="1549" xr:uid="{00000000-0005-0000-0000-00003F010000}"/>
    <cellStyle name="20% - Accent3 7 4" xfId="1084" xr:uid="{00000000-0005-0000-0000-000040010000}"/>
    <cellStyle name="20% - Accent3 8" xfId="248" xr:uid="{00000000-0005-0000-0000-000041010000}"/>
    <cellStyle name="20% - Accent3 8 2" xfId="472" xr:uid="{00000000-0005-0000-0000-000042010000}"/>
    <cellStyle name="20% - Accent3 8 2 2" xfId="894" xr:uid="{00000000-0005-0000-0000-000043010000}"/>
    <cellStyle name="20% - Accent3 8 2 2 2" xfId="1768" xr:uid="{00000000-0005-0000-0000-000044010000}"/>
    <cellStyle name="20% - Accent3 8 2 3" xfId="1346" xr:uid="{00000000-0005-0000-0000-000045010000}"/>
    <cellStyle name="20% - Accent3 8 3" xfId="689" xr:uid="{00000000-0005-0000-0000-000046010000}"/>
    <cellStyle name="20% - Accent3 8 3 2" xfId="1563" xr:uid="{00000000-0005-0000-0000-000047010000}"/>
    <cellStyle name="20% - Accent3 8 4" xfId="1098" xr:uid="{00000000-0005-0000-0000-000048010000}"/>
    <cellStyle name="20% - Accent3 9" xfId="311" xr:uid="{00000000-0005-0000-0000-000049010000}"/>
    <cellStyle name="20% - Accent3 9 2" xfId="535" xr:uid="{00000000-0005-0000-0000-00004A010000}"/>
    <cellStyle name="20% - Accent3 9 2 2" xfId="957" xr:uid="{00000000-0005-0000-0000-00004B010000}"/>
    <cellStyle name="20% - Accent3 9 2 2 2" xfId="1831" xr:uid="{00000000-0005-0000-0000-00004C010000}"/>
    <cellStyle name="20% - Accent3 9 2 3" xfId="1409" xr:uid="{00000000-0005-0000-0000-00004D010000}"/>
    <cellStyle name="20% - Accent3 9 3" xfId="752" xr:uid="{00000000-0005-0000-0000-00004E010000}"/>
    <cellStyle name="20% - Accent3 9 3 2" xfId="1626" xr:uid="{00000000-0005-0000-0000-00004F010000}"/>
    <cellStyle name="20% - Accent3 9 4" xfId="1161" xr:uid="{00000000-0005-0000-0000-000050010000}"/>
    <cellStyle name="20% - Accent4" xfId="65" builtinId="42" customBuiltin="1"/>
    <cellStyle name="20% - Accent4 10" xfId="327" xr:uid="{00000000-0005-0000-0000-000052010000}"/>
    <cellStyle name="20% - Accent4 10 2" xfId="550" xr:uid="{00000000-0005-0000-0000-000053010000}"/>
    <cellStyle name="20% - Accent4 10 2 2" xfId="972" xr:uid="{00000000-0005-0000-0000-000054010000}"/>
    <cellStyle name="20% - Accent4 10 2 2 2" xfId="1846" xr:uid="{00000000-0005-0000-0000-000055010000}"/>
    <cellStyle name="20% - Accent4 10 2 3" xfId="1424" xr:uid="{00000000-0005-0000-0000-000056010000}"/>
    <cellStyle name="20% - Accent4 10 3" xfId="767" xr:uid="{00000000-0005-0000-0000-000057010000}"/>
    <cellStyle name="20% - Accent4 10 3 2" xfId="1641" xr:uid="{00000000-0005-0000-0000-000058010000}"/>
    <cellStyle name="20% - Accent4 10 4" xfId="1176" xr:uid="{00000000-0005-0000-0000-000059010000}"/>
    <cellStyle name="20% - Accent4 11" xfId="398" xr:uid="{00000000-0005-0000-0000-00005A010000}"/>
    <cellStyle name="20% - Accent4 11 2" xfId="615" xr:uid="{00000000-0005-0000-0000-00005B010000}"/>
    <cellStyle name="20% - Accent4 11 2 2" xfId="1489" xr:uid="{00000000-0005-0000-0000-00005C010000}"/>
    <cellStyle name="20% - Accent4 11 3" xfId="1272" xr:uid="{00000000-0005-0000-0000-00005D010000}"/>
    <cellStyle name="20% - Accent4 12" xfId="378" xr:uid="{00000000-0005-0000-0000-00005E010000}"/>
    <cellStyle name="20% - Accent4 12 2" xfId="818" xr:uid="{00000000-0005-0000-0000-00005F010000}"/>
    <cellStyle name="20% - Accent4 12 2 2" xfId="1692" xr:uid="{00000000-0005-0000-0000-000060010000}"/>
    <cellStyle name="20% - Accent4 12 3" xfId="1258" xr:uid="{00000000-0005-0000-0000-000061010000}"/>
    <cellStyle name="20% - Accent4 13" xfId="601" xr:uid="{00000000-0005-0000-0000-000062010000}"/>
    <cellStyle name="20% - Accent4 13 2" xfId="1475" xr:uid="{00000000-0005-0000-0000-000063010000}"/>
    <cellStyle name="20% - Accent4 14" xfId="1024" xr:uid="{00000000-0005-0000-0000-000064010000}"/>
    <cellStyle name="20% - Accent4 15" xfId="1902" xr:uid="{D7981D40-42D4-400C-BFAD-7AAD19FE1653}"/>
    <cellStyle name="20% - Accent4 2" xfId="144" xr:uid="{00000000-0005-0000-0000-000065010000}"/>
    <cellStyle name="20% - Accent4 2 2" xfId="1245" xr:uid="{00000000-0005-0000-0000-000066010000}"/>
    <cellStyle name="20% - Accent4 3" xfId="179" xr:uid="{00000000-0005-0000-0000-000067010000}"/>
    <cellStyle name="20% - Accent4 3 2" xfId="268" xr:uid="{00000000-0005-0000-0000-000068010000}"/>
    <cellStyle name="20% - Accent4 3 2 2" xfId="492" xr:uid="{00000000-0005-0000-0000-000069010000}"/>
    <cellStyle name="20% - Accent4 3 2 2 2" xfId="914" xr:uid="{00000000-0005-0000-0000-00006A010000}"/>
    <cellStyle name="20% - Accent4 3 2 2 2 2" xfId="1788" xr:uid="{00000000-0005-0000-0000-00006B010000}"/>
    <cellStyle name="20% - Accent4 3 2 2 3" xfId="1366" xr:uid="{00000000-0005-0000-0000-00006C010000}"/>
    <cellStyle name="20% - Accent4 3 2 3" xfId="709" xr:uid="{00000000-0005-0000-0000-00006D010000}"/>
    <cellStyle name="20% - Accent4 3 2 3 2" xfId="1583" xr:uid="{00000000-0005-0000-0000-00006E010000}"/>
    <cellStyle name="20% - Accent4 3 2 4" xfId="1118" xr:uid="{00000000-0005-0000-0000-00006F010000}"/>
    <cellStyle name="20% - Accent4 3 3" xfId="347" xr:uid="{00000000-0005-0000-0000-000070010000}"/>
    <cellStyle name="20% - Accent4 3 3 2" xfId="570" xr:uid="{00000000-0005-0000-0000-000071010000}"/>
    <cellStyle name="20% - Accent4 3 3 2 2" xfId="992" xr:uid="{00000000-0005-0000-0000-000072010000}"/>
    <cellStyle name="20% - Accent4 3 3 2 2 2" xfId="1866" xr:uid="{00000000-0005-0000-0000-000073010000}"/>
    <cellStyle name="20% - Accent4 3 3 2 3" xfId="1444" xr:uid="{00000000-0005-0000-0000-000074010000}"/>
    <cellStyle name="20% - Accent4 3 3 3" xfId="787" xr:uid="{00000000-0005-0000-0000-000075010000}"/>
    <cellStyle name="20% - Accent4 3 3 3 2" xfId="1661" xr:uid="{00000000-0005-0000-0000-000076010000}"/>
    <cellStyle name="20% - Accent4 3 3 4" xfId="1196" xr:uid="{00000000-0005-0000-0000-000077010000}"/>
    <cellStyle name="20% - Accent4 3 4" xfId="416" xr:uid="{00000000-0005-0000-0000-000078010000}"/>
    <cellStyle name="20% - Accent4 3 4 2" xfId="838" xr:uid="{00000000-0005-0000-0000-000079010000}"/>
    <cellStyle name="20% - Accent4 3 4 2 2" xfId="1712" xr:uid="{00000000-0005-0000-0000-00007A010000}"/>
    <cellStyle name="20% - Accent4 3 4 3" xfId="1290" xr:uid="{00000000-0005-0000-0000-00007B010000}"/>
    <cellStyle name="20% - Accent4 3 5" xfId="633" xr:uid="{00000000-0005-0000-0000-00007C010000}"/>
    <cellStyle name="20% - Accent4 3 5 2" xfId="1507" xr:uid="{00000000-0005-0000-0000-00007D010000}"/>
    <cellStyle name="20% - Accent4 3 6" xfId="1042" xr:uid="{00000000-0005-0000-0000-00007E010000}"/>
    <cellStyle name="20% - Accent4 4" xfId="123" xr:uid="{00000000-0005-0000-0000-00007F010000}"/>
    <cellStyle name="20% - Accent4 4 2" xfId="1230" xr:uid="{00000000-0005-0000-0000-000080010000}"/>
    <cellStyle name="20% - Accent4 5" xfId="204" xr:uid="{00000000-0005-0000-0000-000081010000}"/>
    <cellStyle name="20% - Accent4 5 2" xfId="286" xr:uid="{00000000-0005-0000-0000-000082010000}"/>
    <cellStyle name="20% - Accent4 5 2 2" xfId="510" xr:uid="{00000000-0005-0000-0000-000083010000}"/>
    <cellStyle name="20% - Accent4 5 2 2 2" xfId="932" xr:uid="{00000000-0005-0000-0000-000084010000}"/>
    <cellStyle name="20% - Accent4 5 2 2 2 2" xfId="1806" xr:uid="{00000000-0005-0000-0000-000085010000}"/>
    <cellStyle name="20% - Accent4 5 2 2 3" xfId="1384" xr:uid="{00000000-0005-0000-0000-000086010000}"/>
    <cellStyle name="20% - Accent4 5 2 3" xfId="727" xr:uid="{00000000-0005-0000-0000-000087010000}"/>
    <cellStyle name="20% - Accent4 5 2 3 2" xfId="1601" xr:uid="{00000000-0005-0000-0000-000088010000}"/>
    <cellStyle name="20% - Accent4 5 2 4" xfId="1136" xr:uid="{00000000-0005-0000-0000-000089010000}"/>
    <cellStyle name="20% - Accent4 5 3" xfId="365" xr:uid="{00000000-0005-0000-0000-00008A010000}"/>
    <cellStyle name="20% - Accent4 5 3 2" xfId="588" xr:uid="{00000000-0005-0000-0000-00008B010000}"/>
    <cellStyle name="20% - Accent4 5 3 2 2" xfId="1010" xr:uid="{00000000-0005-0000-0000-00008C010000}"/>
    <cellStyle name="20% - Accent4 5 3 2 2 2" xfId="1884" xr:uid="{00000000-0005-0000-0000-00008D010000}"/>
    <cellStyle name="20% - Accent4 5 3 2 3" xfId="1462" xr:uid="{00000000-0005-0000-0000-00008E010000}"/>
    <cellStyle name="20% - Accent4 5 3 3" xfId="805" xr:uid="{00000000-0005-0000-0000-00008F010000}"/>
    <cellStyle name="20% - Accent4 5 3 3 2" xfId="1679" xr:uid="{00000000-0005-0000-0000-000090010000}"/>
    <cellStyle name="20% - Accent4 5 3 4" xfId="1214" xr:uid="{00000000-0005-0000-0000-000091010000}"/>
    <cellStyle name="20% - Accent4 5 4" xfId="434" xr:uid="{00000000-0005-0000-0000-000092010000}"/>
    <cellStyle name="20% - Accent4 5 4 2" xfId="856" xr:uid="{00000000-0005-0000-0000-000093010000}"/>
    <cellStyle name="20% - Accent4 5 4 2 2" xfId="1730" xr:uid="{00000000-0005-0000-0000-000094010000}"/>
    <cellStyle name="20% - Accent4 5 4 3" xfId="1308" xr:uid="{00000000-0005-0000-0000-000095010000}"/>
    <cellStyle name="20% - Accent4 5 5" xfId="651" xr:uid="{00000000-0005-0000-0000-000096010000}"/>
    <cellStyle name="20% - Accent4 5 5 2" xfId="1525" xr:uid="{00000000-0005-0000-0000-000097010000}"/>
    <cellStyle name="20% - Accent4 5 6" xfId="1060" xr:uid="{00000000-0005-0000-0000-000098010000}"/>
    <cellStyle name="20% - Accent4 6" xfId="217" xr:uid="{00000000-0005-0000-0000-000099010000}"/>
    <cellStyle name="20% - Accent4 6 2" xfId="299" xr:uid="{00000000-0005-0000-0000-00009A010000}"/>
    <cellStyle name="20% - Accent4 6 2 2" xfId="523" xr:uid="{00000000-0005-0000-0000-00009B010000}"/>
    <cellStyle name="20% - Accent4 6 2 2 2" xfId="945" xr:uid="{00000000-0005-0000-0000-00009C010000}"/>
    <cellStyle name="20% - Accent4 6 2 2 2 2" xfId="1819" xr:uid="{00000000-0005-0000-0000-00009D010000}"/>
    <cellStyle name="20% - Accent4 6 2 2 3" xfId="1397" xr:uid="{00000000-0005-0000-0000-00009E010000}"/>
    <cellStyle name="20% - Accent4 6 2 3" xfId="740" xr:uid="{00000000-0005-0000-0000-00009F010000}"/>
    <cellStyle name="20% - Accent4 6 2 3 2" xfId="1614" xr:uid="{00000000-0005-0000-0000-0000A0010000}"/>
    <cellStyle name="20% - Accent4 6 2 4" xfId="1149" xr:uid="{00000000-0005-0000-0000-0000A1010000}"/>
    <cellStyle name="20% - Accent4 6 3" xfId="447" xr:uid="{00000000-0005-0000-0000-0000A2010000}"/>
    <cellStyle name="20% - Accent4 6 3 2" xfId="869" xr:uid="{00000000-0005-0000-0000-0000A3010000}"/>
    <cellStyle name="20% - Accent4 6 3 2 2" xfId="1743" xr:uid="{00000000-0005-0000-0000-0000A4010000}"/>
    <cellStyle name="20% - Accent4 6 3 3" xfId="1321" xr:uid="{00000000-0005-0000-0000-0000A5010000}"/>
    <cellStyle name="20% - Accent4 6 4" xfId="664" xr:uid="{00000000-0005-0000-0000-0000A6010000}"/>
    <cellStyle name="20% - Accent4 6 4 2" xfId="1538" xr:uid="{00000000-0005-0000-0000-0000A7010000}"/>
    <cellStyle name="20% - Accent4 6 5" xfId="1073" xr:uid="{00000000-0005-0000-0000-0000A8010000}"/>
    <cellStyle name="20% - Accent4 7" xfId="230" xr:uid="{00000000-0005-0000-0000-0000A9010000}"/>
    <cellStyle name="20% - Accent4 7 2" xfId="460" xr:uid="{00000000-0005-0000-0000-0000AA010000}"/>
    <cellStyle name="20% - Accent4 7 2 2" xfId="882" xr:uid="{00000000-0005-0000-0000-0000AB010000}"/>
    <cellStyle name="20% - Accent4 7 2 2 2" xfId="1756" xr:uid="{00000000-0005-0000-0000-0000AC010000}"/>
    <cellStyle name="20% - Accent4 7 2 3" xfId="1334" xr:uid="{00000000-0005-0000-0000-0000AD010000}"/>
    <cellStyle name="20% - Accent4 7 3" xfId="677" xr:uid="{00000000-0005-0000-0000-0000AE010000}"/>
    <cellStyle name="20% - Accent4 7 3 2" xfId="1551" xr:uid="{00000000-0005-0000-0000-0000AF010000}"/>
    <cellStyle name="20% - Accent4 7 4" xfId="1086" xr:uid="{00000000-0005-0000-0000-0000B0010000}"/>
    <cellStyle name="20% - Accent4 8" xfId="250" xr:uid="{00000000-0005-0000-0000-0000B1010000}"/>
    <cellStyle name="20% - Accent4 8 2" xfId="474" xr:uid="{00000000-0005-0000-0000-0000B2010000}"/>
    <cellStyle name="20% - Accent4 8 2 2" xfId="896" xr:uid="{00000000-0005-0000-0000-0000B3010000}"/>
    <cellStyle name="20% - Accent4 8 2 2 2" xfId="1770" xr:uid="{00000000-0005-0000-0000-0000B4010000}"/>
    <cellStyle name="20% - Accent4 8 2 3" xfId="1348" xr:uid="{00000000-0005-0000-0000-0000B5010000}"/>
    <cellStyle name="20% - Accent4 8 3" xfId="691" xr:uid="{00000000-0005-0000-0000-0000B6010000}"/>
    <cellStyle name="20% - Accent4 8 3 2" xfId="1565" xr:uid="{00000000-0005-0000-0000-0000B7010000}"/>
    <cellStyle name="20% - Accent4 8 4" xfId="1100" xr:uid="{00000000-0005-0000-0000-0000B8010000}"/>
    <cellStyle name="20% - Accent4 9" xfId="313" xr:uid="{00000000-0005-0000-0000-0000B9010000}"/>
    <cellStyle name="20% - Accent4 9 2" xfId="537" xr:uid="{00000000-0005-0000-0000-0000BA010000}"/>
    <cellStyle name="20% - Accent4 9 2 2" xfId="959" xr:uid="{00000000-0005-0000-0000-0000BB010000}"/>
    <cellStyle name="20% - Accent4 9 2 2 2" xfId="1833" xr:uid="{00000000-0005-0000-0000-0000BC010000}"/>
    <cellStyle name="20% - Accent4 9 2 3" xfId="1411" xr:uid="{00000000-0005-0000-0000-0000BD010000}"/>
    <cellStyle name="20% - Accent4 9 3" xfId="754" xr:uid="{00000000-0005-0000-0000-0000BE010000}"/>
    <cellStyle name="20% - Accent4 9 3 2" xfId="1628" xr:uid="{00000000-0005-0000-0000-0000BF010000}"/>
    <cellStyle name="20% - Accent4 9 4" xfId="1163" xr:uid="{00000000-0005-0000-0000-0000C0010000}"/>
    <cellStyle name="20% - Accent5" xfId="69" builtinId="46" customBuiltin="1"/>
    <cellStyle name="20% - Accent5 10" xfId="329" xr:uid="{00000000-0005-0000-0000-0000C2010000}"/>
    <cellStyle name="20% - Accent5 10 2" xfId="552" xr:uid="{00000000-0005-0000-0000-0000C3010000}"/>
    <cellStyle name="20% - Accent5 10 2 2" xfId="974" xr:uid="{00000000-0005-0000-0000-0000C4010000}"/>
    <cellStyle name="20% - Accent5 10 2 2 2" xfId="1848" xr:uid="{00000000-0005-0000-0000-0000C5010000}"/>
    <cellStyle name="20% - Accent5 10 2 3" xfId="1426" xr:uid="{00000000-0005-0000-0000-0000C6010000}"/>
    <cellStyle name="20% - Accent5 10 3" xfId="769" xr:uid="{00000000-0005-0000-0000-0000C7010000}"/>
    <cellStyle name="20% - Accent5 10 3 2" xfId="1643" xr:uid="{00000000-0005-0000-0000-0000C8010000}"/>
    <cellStyle name="20% - Accent5 10 4" xfId="1178" xr:uid="{00000000-0005-0000-0000-0000C9010000}"/>
    <cellStyle name="20% - Accent5 11" xfId="400" xr:uid="{00000000-0005-0000-0000-0000CA010000}"/>
    <cellStyle name="20% - Accent5 11 2" xfId="617" xr:uid="{00000000-0005-0000-0000-0000CB010000}"/>
    <cellStyle name="20% - Accent5 11 2 2" xfId="1491" xr:uid="{00000000-0005-0000-0000-0000CC010000}"/>
    <cellStyle name="20% - Accent5 11 3" xfId="1274" xr:uid="{00000000-0005-0000-0000-0000CD010000}"/>
    <cellStyle name="20% - Accent5 12" xfId="380" xr:uid="{00000000-0005-0000-0000-0000CE010000}"/>
    <cellStyle name="20% - Accent5 12 2" xfId="820" xr:uid="{00000000-0005-0000-0000-0000CF010000}"/>
    <cellStyle name="20% - Accent5 12 2 2" xfId="1694" xr:uid="{00000000-0005-0000-0000-0000D0010000}"/>
    <cellStyle name="20% - Accent5 12 3" xfId="1260" xr:uid="{00000000-0005-0000-0000-0000D1010000}"/>
    <cellStyle name="20% - Accent5 13" xfId="603" xr:uid="{00000000-0005-0000-0000-0000D2010000}"/>
    <cellStyle name="20% - Accent5 13 2" xfId="1477" xr:uid="{00000000-0005-0000-0000-0000D3010000}"/>
    <cellStyle name="20% - Accent5 14" xfId="1026" xr:uid="{00000000-0005-0000-0000-0000D4010000}"/>
    <cellStyle name="20% - Accent5 15" xfId="1905" xr:uid="{989FAAE8-A763-4D25-A2F8-193A92CA594D}"/>
    <cellStyle name="20% - Accent5 2" xfId="146" xr:uid="{00000000-0005-0000-0000-0000D5010000}"/>
    <cellStyle name="20% - Accent5 2 2" xfId="1247" xr:uid="{00000000-0005-0000-0000-0000D6010000}"/>
    <cellStyle name="20% - Accent5 3" xfId="183" xr:uid="{00000000-0005-0000-0000-0000D7010000}"/>
    <cellStyle name="20% - Accent5 3 2" xfId="270" xr:uid="{00000000-0005-0000-0000-0000D8010000}"/>
    <cellStyle name="20% - Accent5 3 2 2" xfId="494" xr:uid="{00000000-0005-0000-0000-0000D9010000}"/>
    <cellStyle name="20% - Accent5 3 2 2 2" xfId="916" xr:uid="{00000000-0005-0000-0000-0000DA010000}"/>
    <cellStyle name="20% - Accent5 3 2 2 2 2" xfId="1790" xr:uid="{00000000-0005-0000-0000-0000DB010000}"/>
    <cellStyle name="20% - Accent5 3 2 2 3" xfId="1368" xr:uid="{00000000-0005-0000-0000-0000DC010000}"/>
    <cellStyle name="20% - Accent5 3 2 3" xfId="711" xr:uid="{00000000-0005-0000-0000-0000DD010000}"/>
    <cellStyle name="20% - Accent5 3 2 3 2" xfId="1585" xr:uid="{00000000-0005-0000-0000-0000DE010000}"/>
    <cellStyle name="20% - Accent5 3 2 4" xfId="1120" xr:uid="{00000000-0005-0000-0000-0000DF010000}"/>
    <cellStyle name="20% - Accent5 3 3" xfId="349" xr:uid="{00000000-0005-0000-0000-0000E0010000}"/>
    <cellStyle name="20% - Accent5 3 3 2" xfId="572" xr:uid="{00000000-0005-0000-0000-0000E1010000}"/>
    <cellStyle name="20% - Accent5 3 3 2 2" xfId="994" xr:uid="{00000000-0005-0000-0000-0000E2010000}"/>
    <cellStyle name="20% - Accent5 3 3 2 2 2" xfId="1868" xr:uid="{00000000-0005-0000-0000-0000E3010000}"/>
    <cellStyle name="20% - Accent5 3 3 2 3" xfId="1446" xr:uid="{00000000-0005-0000-0000-0000E4010000}"/>
    <cellStyle name="20% - Accent5 3 3 3" xfId="789" xr:uid="{00000000-0005-0000-0000-0000E5010000}"/>
    <cellStyle name="20% - Accent5 3 3 3 2" xfId="1663" xr:uid="{00000000-0005-0000-0000-0000E6010000}"/>
    <cellStyle name="20% - Accent5 3 3 4" xfId="1198" xr:uid="{00000000-0005-0000-0000-0000E7010000}"/>
    <cellStyle name="20% - Accent5 3 4" xfId="418" xr:uid="{00000000-0005-0000-0000-0000E8010000}"/>
    <cellStyle name="20% - Accent5 3 4 2" xfId="840" xr:uid="{00000000-0005-0000-0000-0000E9010000}"/>
    <cellStyle name="20% - Accent5 3 4 2 2" xfId="1714" xr:uid="{00000000-0005-0000-0000-0000EA010000}"/>
    <cellStyle name="20% - Accent5 3 4 3" xfId="1292" xr:uid="{00000000-0005-0000-0000-0000EB010000}"/>
    <cellStyle name="20% - Accent5 3 5" xfId="635" xr:uid="{00000000-0005-0000-0000-0000EC010000}"/>
    <cellStyle name="20% - Accent5 3 5 2" xfId="1509" xr:uid="{00000000-0005-0000-0000-0000ED010000}"/>
    <cellStyle name="20% - Accent5 3 6" xfId="1044" xr:uid="{00000000-0005-0000-0000-0000EE010000}"/>
    <cellStyle name="20% - Accent5 4" xfId="127" xr:uid="{00000000-0005-0000-0000-0000EF010000}"/>
    <cellStyle name="20% - Accent5 4 2" xfId="1232" xr:uid="{00000000-0005-0000-0000-0000F0010000}"/>
    <cellStyle name="20% - Accent5 5" xfId="206" xr:uid="{00000000-0005-0000-0000-0000F1010000}"/>
    <cellStyle name="20% - Accent5 5 2" xfId="288" xr:uid="{00000000-0005-0000-0000-0000F2010000}"/>
    <cellStyle name="20% - Accent5 5 2 2" xfId="512" xr:uid="{00000000-0005-0000-0000-0000F3010000}"/>
    <cellStyle name="20% - Accent5 5 2 2 2" xfId="934" xr:uid="{00000000-0005-0000-0000-0000F4010000}"/>
    <cellStyle name="20% - Accent5 5 2 2 2 2" xfId="1808" xr:uid="{00000000-0005-0000-0000-0000F5010000}"/>
    <cellStyle name="20% - Accent5 5 2 2 3" xfId="1386" xr:uid="{00000000-0005-0000-0000-0000F6010000}"/>
    <cellStyle name="20% - Accent5 5 2 3" xfId="729" xr:uid="{00000000-0005-0000-0000-0000F7010000}"/>
    <cellStyle name="20% - Accent5 5 2 3 2" xfId="1603" xr:uid="{00000000-0005-0000-0000-0000F8010000}"/>
    <cellStyle name="20% - Accent5 5 2 4" xfId="1138" xr:uid="{00000000-0005-0000-0000-0000F9010000}"/>
    <cellStyle name="20% - Accent5 5 3" xfId="367" xr:uid="{00000000-0005-0000-0000-0000FA010000}"/>
    <cellStyle name="20% - Accent5 5 3 2" xfId="590" xr:uid="{00000000-0005-0000-0000-0000FB010000}"/>
    <cellStyle name="20% - Accent5 5 3 2 2" xfId="1012" xr:uid="{00000000-0005-0000-0000-0000FC010000}"/>
    <cellStyle name="20% - Accent5 5 3 2 2 2" xfId="1886" xr:uid="{00000000-0005-0000-0000-0000FD010000}"/>
    <cellStyle name="20% - Accent5 5 3 2 3" xfId="1464" xr:uid="{00000000-0005-0000-0000-0000FE010000}"/>
    <cellStyle name="20% - Accent5 5 3 3" xfId="807" xr:uid="{00000000-0005-0000-0000-0000FF010000}"/>
    <cellStyle name="20% - Accent5 5 3 3 2" xfId="1681" xr:uid="{00000000-0005-0000-0000-000000020000}"/>
    <cellStyle name="20% - Accent5 5 3 4" xfId="1216" xr:uid="{00000000-0005-0000-0000-000001020000}"/>
    <cellStyle name="20% - Accent5 5 4" xfId="436" xr:uid="{00000000-0005-0000-0000-000002020000}"/>
    <cellStyle name="20% - Accent5 5 4 2" xfId="858" xr:uid="{00000000-0005-0000-0000-000003020000}"/>
    <cellStyle name="20% - Accent5 5 4 2 2" xfId="1732" xr:uid="{00000000-0005-0000-0000-000004020000}"/>
    <cellStyle name="20% - Accent5 5 4 3" xfId="1310" xr:uid="{00000000-0005-0000-0000-000005020000}"/>
    <cellStyle name="20% - Accent5 5 5" xfId="653" xr:uid="{00000000-0005-0000-0000-000006020000}"/>
    <cellStyle name="20% - Accent5 5 5 2" xfId="1527" xr:uid="{00000000-0005-0000-0000-000007020000}"/>
    <cellStyle name="20% - Accent5 5 6" xfId="1062" xr:uid="{00000000-0005-0000-0000-000008020000}"/>
    <cellStyle name="20% - Accent5 6" xfId="219" xr:uid="{00000000-0005-0000-0000-000009020000}"/>
    <cellStyle name="20% - Accent5 6 2" xfId="301" xr:uid="{00000000-0005-0000-0000-00000A020000}"/>
    <cellStyle name="20% - Accent5 6 2 2" xfId="525" xr:uid="{00000000-0005-0000-0000-00000B020000}"/>
    <cellStyle name="20% - Accent5 6 2 2 2" xfId="947" xr:uid="{00000000-0005-0000-0000-00000C020000}"/>
    <cellStyle name="20% - Accent5 6 2 2 2 2" xfId="1821" xr:uid="{00000000-0005-0000-0000-00000D020000}"/>
    <cellStyle name="20% - Accent5 6 2 2 3" xfId="1399" xr:uid="{00000000-0005-0000-0000-00000E020000}"/>
    <cellStyle name="20% - Accent5 6 2 3" xfId="742" xr:uid="{00000000-0005-0000-0000-00000F020000}"/>
    <cellStyle name="20% - Accent5 6 2 3 2" xfId="1616" xr:uid="{00000000-0005-0000-0000-000010020000}"/>
    <cellStyle name="20% - Accent5 6 2 4" xfId="1151" xr:uid="{00000000-0005-0000-0000-000011020000}"/>
    <cellStyle name="20% - Accent5 6 3" xfId="449" xr:uid="{00000000-0005-0000-0000-000012020000}"/>
    <cellStyle name="20% - Accent5 6 3 2" xfId="871" xr:uid="{00000000-0005-0000-0000-000013020000}"/>
    <cellStyle name="20% - Accent5 6 3 2 2" xfId="1745" xr:uid="{00000000-0005-0000-0000-000014020000}"/>
    <cellStyle name="20% - Accent5 6 3 3" xfId="1323" xr:uid="{00000000-0005-0000-0000-000015020000}"/>
    <cellStyle name="20% - Accent5 6 4" xfId="666" xr:uid="{00000000-0005-0000-0000-000016020000}"/>
    <cellStyle name="20% - Accent5 6 4 2" xfId="1540" xr:uid="{00000000-0005-0000-0000-000017020000}"/>
    <cellStyle name="20% - Accent5 6 5" xfId="1075" xr:uid="{00000000-0005-0000-0000-000018020000}"/>
    <cellStyle name="20% - Accent5 7" xfId="232" xr:uid="{00000000-0005-0000-0000-000019020000}"/>
    <cellStyle name="20% - Accent5 7 2" xfId="462" xr:uid="{00000000-0005-0000-0000-00001A020000}"/>
    <cellStyle name="20% - Accent5 7 2 2" xfId="884" xr:uid="{00000000-0005-0000-0000-00001B020000}"/>
    <cellStyle name="20% - Accent5 7 2 2 2" xfId="1758" xr:uid="{00000000-0005-0000-0000-00001C020000}"/>
    <cellStyle name="20% - Accent5 7 2 3" xfId="1336" xr:uid="{00000000-0005-0000-0000-00001D020000}"/>
    <cellStyle name="20% - Accent5 7 3" xfId="679" xr:uid="{00000000-0005-0000-0000-00001E020000}"/>
    <cellStyle name="20% - Accent5 7 3 2" xfId="1553" xr:uid="{00000000-0005-0000-0000-00001F020000}"/>
    <cellStyle name="20% - Accent5 7 4" xfId="1088" xr:uid="{00000000-0005-0000-0000-000020020000}"/>
    <cellStyle name="20% - Accent5 8" xfId="252" xr:uid="{00000000-0005-0000-0000-000021020000}"/>
    <cellStyle name="20% - Accent5 8 2" xfId="476" xr:uid="{00000000-0005-0000-0000-000022020000}"/>
    <cellStyle name="20% - Accent5 8 2 2" xfId="898" xr:uid="{00000000-0005-0000-0000-000023020000}"/>
    <cellStyle name="20% - Accent5 8 2 2 2" xfId="1772" xr:uid="{00000000-0005-0000-0000-000024020000}"/>
    <cellStyle name="20% - Accent5 8 2 3" xfId="1350" xr:uid="{00000000-0005-0000-0000-000025020000}"/>
    <cellStyle name="20% - Accent5 8 3" xfId="693" xr:uid="{00000000-0005-0000-0000-000026020000}"/>
    <cellStyle name="20% - Accent5 8 3 2" xfId="1567" xr:uid="{00000000-0005-0000-0000-000027020000}"/>
    <cellStyle name="20% - Accent5 8 4" xfId="1102" xr:uid="{00000000-0005-0000-0000-000028020000}"/>
    <cellStyle name="20% - Accent5 9" xfId="315" xr:uid="{00000000-0005-0000-0000-000029020000}"/>
    <cellStyle name="20% - Accent5 9 2" xfId="539" xr:uid="{00000000-0005-0000-0000-00002A020000}"/>
    <cellStyle name="20% - Accent5 9 2 2" xfId="961" xr:uid="{00000000-0005-0000-0000-00002B020000}"/>
    <cellStyle name="20% - Accent5 9 2 2 2" xfId="1835" xr:uid="{00000000-0005-0000-0000-00002C020000}"/>
    <cellStyle name="20% - Accent5 9 2 3" xfId="1413" xr:uid="{00000000-0005-0000-0000-00002D020000}"/>
    <cellStyle name="20% - Accent5 9 3" xfId="756" xr:uid="{00000000-0005-0000-0000-00002E020000}"/>
    <cellStyle name="20% - Accent5 9 3 2" xfId="1630" xr:uid="{00000000-0005-0000-0000-00002F020000}"/>
    <cellStyle name="20% - Accent5 9 4" xfId="1165" xr:uid="{00000000-0005-0000-0000-000030020000}"/>
    <cellStyle name="20% - Accent6" xfId="73" builtinId="50" customBuiltin="1"/>
    <cellStyle name="20% - Accent6 10" xfId="331" xr:uid="{00000000-0005-0000-0000-000032020000}"/>
    <cellStyle name="20% - Accent6 10 2" xfId="554" xr:uid="{00000000-0005-0000-0000-000033020000}"/>
    <cellStyle name="20% - Accent6 10 2 2" xfId="976" xr:uid="{00000000-0005-0000-0000-000034020000}"/>
    <cellStyle name="20% - Accent6 10 2 2 2" xfId="1850" xr:uid="{00000000-0005-0000-0000-000035020000}"/>
    <cellStyle name="20% - Accent6 10 2 3" xfId="1428" xr:uid="{00000000-0005-0000-0000-000036020000}"/>
    <cellStyle name="20% - Accent6 10 3" xfId="771" xr:uid="{00000000-0005-0000-0000-000037020000}"/>
    <cellStyle name="20% - Accent6 10 3 2" xfId="1645" xr:uid="{00000000-0005-0000-0000-000038020000}"/>
    <cellStyle name="20% - Accent6 10 4" xfId="1180" xr:uid="{00000000-0005-0000-0000-000039020000}"/>
    <cellStyle name="20% - Accent6 11" xfId="402" xr:uid="{00000000-0005-0000-0000-00003A020000}"/>
    <cellStyle name="20% - Accent6 11 2" xfId="619" xr:uid="{00000000-0005-0000-0000-00003B020000}"/>
    <cellStyle name="20% - Accent6 11 2 2" xfId="1493" xr:uid="{00000000-0005-0000-0000-00003C020000}"/>
    <cellStyle name="20% - Accent6 11 3" xfId="1276" xr:uid="{00000000-0005-0000-0000-00003D020000}"/>
    <cellStyle name="20% - Accent6 12" xfId="382" xr:uid="{00000000-0005-0000-0000-00003E020000}"/>
    <cellStyle name="20% - Accent6 12 2" xfId="822" xr:uid="{00000000-0005-0000-0000-00003F020000}"/>
    <cellStyle name="20% - Accent6 12 2 2" xfId="1696" xr:uid="{00000000-0005-0000-0000-000040020000}"/>
    <cellStyle name="20% - Accent6 12 3" xfId="1262" xr:uid="{00000000-0005-0000-0000-000041020000}"/>
    <cellStyle name="20% - Accent6 13" xfId="605" xr:uid="{00000000-0005-0000-0000-000042020000}"/>
    <cellStyle name="20% - Accent6 13 2" xfId="1479" xr:uid="{00000000-0005-0000-0000-000043020000}"/>
    <cellStyle name="20% - Accent6 14" xfId="1028" xr:uid="{00000000-0005-0000-0000-000044020000}"/>
    <cellStyle name="20% - Accent6 15" xfId="1908" xr:uid="{8FA36C21-63F8-414B-B8E4-1BCFC35CBF46}"/>
    <cellStyle name="20% - Accent6 2" xfId="148" xr:uid="{00000000-0005-0000-0000-000045020000}"/>
    <cellStyle name="20% - Accent6 2 2" xfId="1249" xr:uid="{00000000-0005-0000-0000-000046020000}"/>
    <cellStyle name="20% - Accent6 3" xfId="187" xr:uid="{00000000-0005-0000-0000-000047020000}"/>
    <cellStyle name="20% - Accent6 3 2" xfId="272" xr:uid="{00000000-0005-0000-0000-000048020000}"/>
    <cellStyle name="20% - Accent6 3 2 2" xfId="496" xr:uid="{00000000-0005-0000-0000-000049020000}"/>
    <cellStyle name="20% - Accent6 3 2 2 2" xfId="918" xr:uid="{00000000-0005-0000-0000-00004A020000}"/>
    <cellStyle name="20% - Accent6 3 2 2 2 2" xfId="1792" xr:uid="{00000000-0005-0000-0000-00004B020000}"/>
    <cellStyle name="20% - Accent6 3 2 2 3" xfId="1370" xr:uid="{00000000-0005-0000-0000-00004C020000}"/>
    <cellStyle name="20% - Accent6 3 2 3" xfId="713" xr:uid="{00000000-0005-0000-0000-00004D020000}"/>
    <cellStyle name="20% - Accent6 3 2 3 2" xfId="1587" xr:uid="{00000000-0005-0000-0000-00004E020000}"/>
    <cellStyle name="20% - Accent6 3 2 4" xfId="1122" xr:uid="{00000000-0005-0000-0000-00004F020000}"/>
    <cellStyle name="20% - Accent6 3 3" xfId="351" xr:uid="{00000000-0005-0000-0000-000050020000}"/>
    <cellStyle name="20% - Accent6 3 3 2" xfId="574" xr:uid="{00000000-0005-0000-0000-000051020000}"/>
    <cellStyle name="20% - Accent6 3 3 2 2" xfId="996" xr:uid="{00000000-0005-0000-0000-000052020000}"/>
    <cellStyle name="20% - Accent6 3 3 2 2 2" xfId="1870" xr:uid="{00000000-0005-0000-0000-000053020000}"/>
    <cellStyle name="20% - Accent6 3 3 2 3" xfId="1448" xr:uid="{00000000-0005-0000-0000-000054020000}"/>
    <cellStyle name="20% - Accent6 3 3 3" xfId="791" xr:uid="{00000000-0005-0000-0000-000055020000}"/>
    <cellStyle name="20% - Accent6 3 3 3 2" xfId="1665" xr:uid="{00000000-0005-0000-0000-000056020000}"/>
    <cellStyle name="20% - Accent6 3 3 4" xfId="1200" xr:uid="{00000000-0005-0000-0000-000057020000}"/>
    <cellStyle name="20% - Accent6 3 4" xfId="420" xr:uid="{00000000-0005-0000-0000-000058020000}"/>
    <cellStyle name="20% - Accent6 3 4 2" xfId="842" xr:uid="{00000000-0005-0000-0000-000059020000}"/>
    <cellStyle name="20% - Accent6 3 4 2 2" xfId="1716" xr:uid="{00000000-0005-0000-0000-00005A020000}"/>
    <cellStyle name="20% - Accent6 3 4 3" xfId="1294" xr:uid="{00000000-0005-0000-0000-00005B020000}"/>
    <cellStyle name="20% - Accent6 3 5" xfId="637" xr:uid="{00000000-0005-0000-0000-00005C020000}"/>
    <cellStyle name="20% - Accent6 3 5 2" xfId="1511" xr:uid="{00000000-0005-0000-0000-00005D020000}"/>
    <cellStyle name="20% - Accent6 3 6" xfId="1046" xr:uid="{00000000-0005-0000-0000-00005E020000}"/>
    <cellStyle name="20% - Accent6 4" xfId="131" xr:uid="{00000000-0005-0000-0000-00005F020000}"/>
    <cellStyle name="20% - Accent6 4 2" xfId="1234" xr:uid="{00000000-0005-0000-0000-000060020000}"/>
    <cellStyle name="20% - Accent6 5" xfId="208" xr:uid="{00000000-0005-0000-0000-000061020000}"/>
    <cellStyle name="20% - Accent6 5 2" xfId="290" xr:uid="{00000000-0005-0000-0000-000062020000}"/>
    <cellStyle name="20% - Accent6 5 2 2" xfId="514" xr:uid="{00000000-0005-0000-0000-000063020000}"/>
    <cellStyle name="20% - Accent6 5 2 2 2" xfId="936" xr:uid="{00000000-0005-0000-0000-000064020000}"/>
    <cellStyle name="20% - Accent6 5 2 2 2 2" xfId="1810" xr:uid="{00000000-0005-0000-0000-000065020000}"/>
    <cellStyle name="20% - Accent6 5 2 2 3" xfId="1388" xr:uid="{00000000-0005-0000-0000-000066020000}"/>
    <cellStyle name="20% - Accent6 5 2 3" xfId="731" xr:uid="{00000000-0005-0000-0000-000067020000}"/>
    <cellStyle name="20% - Accent6 5 2 3 2" xfId="1605" xr:uid="{00000000-0005-0000-0000-000068020000}"/>
    <cellStyle name="20% - Accent6 5 2 4" xfId="1140" xr:uid="{00000000-0005-0000-0000-000069020000}"/>
    <cellStyle name="20% - Accent6 5 3" xfId="369" xr:uid="{00000000-0005-0000-0000-00006A020000}"/>
    <cellStyle name="20% - Accent6 5 3 2" xfId="592" xr:uid="{00000000-0005-0000-0000-00006B020000}"/>
    <cellStyle name="20% - Accent6 5 3 2 2" xfId="1014" xr:uid="{00000000-0005-0000-0000-00006C020000}"/>
    <cellStyle name="20% - Accent6 5 3 2 2 2" xfId="1888" xr:uid="{00000000-0005-0000-0000-00006D020000}"/>
    <cellStyle name="20% - Accent6 5 3 2 3" xfId="1466" xr:uid="{00000000-0005-0000-0000-00006E020000}"/>
    <cellStyle name="20% - Accent6 5 3 3" xfId="809" xr:uid="{00000000-0005-0000-0000-00006F020000}"/>
    <cellStyle name="20% - Accent6 5 3 3 2" xfId="1683" xr:uid="{00000000-0005-0000-0000-000070020000}"/>
    <cellStyle name="20% - Accent6 5 3 4" xfId="1218" xr:uid="{00000000-0005-0000-0000-000071020000}"/>
    <cellStyle name="20% - Accent6 5 4" xfId="438" xr:uid="{00000000-0005-0000-0000-000072020000}"/>
    <cellStyle name="20% - Accent6 5 4 2" xfId="860" xr:uid="{00000000-0005-0000-0000-000073020000}"/>
    <cellStyle name="20% - Accent6 5 4 2 2" xfId="1734" xr:uid="{00000000-0005-0000-0000-000074020000}"/>
    <cellStyle name="20% - Accent6 5 4 3" xfId="1312" xr:uid="{00000000-0005-0000-0000-000075020000}"/>
    <cellStyle name="20% - Accent6 5 5" xfId="655" xr:uid="{00000000-0005-0000-0000-000076020000}"/>
    <cellStyle name="20% - Accent6 5 5 2" xfId="1529" xr:uid="{00000000-0005-0000-0000-000077020000}"/>
    <cellStyle name="20% - Accent6 5 6" xfId="1064" xr:uid="{00000000-0005-0000-0000-000078020000}"/>
    <cellStyle name="20% - Accent6 6" xfId="221" xr:uid="{00000000-0005-0000-0000-000079020000}"/>
    <cellStyle name="20% - Accent6 6 2" xfId="303" xr:uid="{00000000-0005-0000-0000-00007A020000}"/>
    <cellStyle name="20% - Accent6 6 2 2" xfId="527" xr:uid="{00000000-0005-0000-0000-00007B020000}"/>
    <cellStyle name="20% - Accent6 6 2 2 2" xfId="949" xr:uid="{00000000-0005-0000-0000-00007C020000}"/>
    <cellStyle name="20% - Accent6 6 2 2 2 2" xfId="1823" xr:uid="{00000000-0005-0000-0000-00007D020000}"/>
    <cellStyle name="20% - Accent6 6 2 2 3" xfId="1401" xr:uid="{00000000-0005-0000-0000-00007E020000}"/>
    <cellStyle name="20% - Accent6 6 2 3" xfId="744" xr:uid="{00000000-0005-0000-0000-00007F020000}"/>
    <cellStyle name="20% - Accent6 6 2 3 2" xfId="1618" xr:uid="{00000000-0005-0000-0000-000080020000}"/>
    <cellStyle name="20% - Accent6 6 2 4" xfId="1153" xr:uid="{00000000-0005-0000-0000-000081020000}"/>
    <cellStyle name="20% - Accent6 6 3" xfId="451" xr:uid="{00000000-0005-0000-0000-000082020000}"/>
    <cellStyle name="20% - Accent6 6 3 2" xfId="873" xr:uid="{00000000-0005-0000-0000-000083020000}"/>
    <cellStyle name="20% - Accent6 6 3 2 2" xfId="1747" xr:uid="{00000000-0005-0000-0000-000084020000}"/>
    <cellStyle name="20% - Accent6 6 3 3" xfId="1325" xr:uid="{00000000-0005-0000-0000-000085020000}"/>
    <cellStyle name="20% - Accent6 6 4" xfId="668" xr:uid="{00000000-0005-0000-0000-000086020000}"/>
    <cellStyle name="20% - Accent6 6 4 2" xfId="1542" xr:uid="{00000000-0005-0000-0000-000087020000}"/>
    <cellStyle name="20% - Accent6 6 5" xfId="1077" xr:uid="{00000000-0005-0000-0000-000088020000}"/>
    <cellStyle name="20% - Accent6 7" xfId="234" xr:uid="{00000000-0005-0000-0000-000089020000}"/>
    <cellStyle name="20% - Accent6 7 2" xfId="464" xr:uid="{00000000-0005-0000-0000-00008A020000}"/>
    <cellStyle name="20% - Accent6 7 2 2" xfId="886" xr:uid="{00000000-0005-0000-0000-00008B020000}"/>
    <cellStyle name="20% - Accent6 7 2 2 2" xfId="1760" xr:uid="{00000000-0005-0000-0000-00008C020000}"/>
    <cellStyle name="20% - Accent6 7 2 3" xfId="1338" xr:uid="{00000000-0005-0000-0000-00008D020000}"/>
    <cellStyle name="20% - Accent6 7 3" xfId="681" xr:uid="{00000000-0005-0000-0000-00008E020000}"/>
    <cellStyle name="20% - Accent6 7 3 2" xfId="1555" xr:uid="{00000000-0005-0000-0000-00008F020000}"/>
    <cellStyle name="20% - Accent6 7 4" xfId="1090" xr:uid="{00000000-0005-0000-0000-000090020000}"/>
    <cellStyle name="20% - Accent6 8" xfId="254" xr:uid="{00000000-0005-0000-0000-000091020000}"/>
    <cellStyle name="20% - Accent6 8 2" xfId="478" xr:uid="{00000000-0005-0000-0000-000092020000}"/>
    <cellStyle name="20% - Accent6 8 2 2" xfId="900" xr:uid="{00000000-0005-0000-0000-000093020000}"/>
    <cellStyle name="20% - Accent6 8 2 2 2" xfId="1774" xr:uid="{00000000-0005-0000-0000-000094020000}"/>
    <cellStyle name="20% - Accent6 8 2 3" xfId="1352" xr:uid="{00000000-0005-0000-0000-000095020000}"/>
    <cellStyle name="20% - Accent6 8 3" xfId="695" xr:uid="{00000000-0005-0000-0000-000096020000}"/>
    <cellStyle name="20% - Accent6 8 3 2" xfId="1569" xr:uid="{00000000-0005-0000-0000-000097020000}"/>
    <cellStyle name="20% - Accent6 8 4" xfId="1104" xr:uid="{00000000-0005-0000-0000-000098020000}"/>
    <cellStyle name="20% - Accent6 9" xfId="317" xr:uid="{00000000-0005-0000-0000-000099020000}"/>
    <cellStyle name="20% - Accent6 9 2" xfId="541" xr:uid="{00000000-0005-0000-0000-00009A020000}"/>
    <cellStyle name="20% - Accent6 9 2 2" xfId="963" xr:uid="{00000000-0005-0000-0000-00009B020000}"/>
    <cellStyle name="20% - Accent6 9 2 2 2" xfId="1837" xr:uid="{00000000-0005-0000-0000-00009C020000}"/>
    <cellStyle name="20% - Accent6 9 2 3" xfId="1415" xr:uid="{00000000-0005-0000-0000-00009D020000}"/>
    <cellStyle name="20% - Accent6 9 3" xfId="758" xr:uid="{00000000-0005-0000-0000-00009E020000}"/>
    <cellStyle name="20% - Accent6 9 3 2" xfId="1632" xr:uid="{00000000-0005-0000-0000-00009F020000}"/>
    <cellStyle name="20% - Accent6 9 4" xfId="1167" xr:uid="{00000000-0005-0000-0000-0000A0020000}"/>
    <cellStyle name="40% - Accent1" xfId="54" builtinId="31" customBuiltin="1"/>
    <cellStyle name="40% - Accent1 10" xfId="322" xr:uid="{00000000-0005-0000-0000-0000A2020000}"/>
    <cellStyle name="40% - Accent1 10 2" xfId="545" xr:uid="{00000000-0005-0000-0000-0000A3020000}"/>
    <cellStyle name="40% - Accent1 10 2 2" xfId="967" xr:uid="{00000000-0005-0000-0000-0000A4020000}"/>
    <cellStyle name="40% - Accent1 10 2 2 2" xfId="1841" xr:uid="{00000000-0005-0000-0000-0000A5020000}"/>
    <cellStyle name="40% - Accent1 10 2 3" xfId="1419" xr:uid="{00000000-0005-0000-0000-0000A6020000}"/>
    <cellStyle name="40% - Accent1 10 3" xfId="762" xr:uid="{00000000-0005-0000-0000-0000A7020000}"/>
    <cellStyle name="40% - Accent1 10 3 2" xfId="1636" xr:uid="{00000000-0005-0000-0000-0000A8020000}"/>
    <cellStyle name="40% - Accent1 10 4" xfId="1171" xr:uid="{00000000-0005-0000-0000-0000A9020000}"/>
    <cellStyle name="40% - Accent1 11" xfId="393" xr:uid="{00000000-0005-0000-0000-0000AA020000}"/>
    <cellStyle name="40% - Accent1 11 2" xfId="610" xr:uid="{00000000-0005-0000-0000-0000AB020000}"/>
    <cellStyle name="40% - Accent1 11 2 2" xfId="1484" xr:uid="{00000000-0005-0000-0000-0000AC020000}"/>
    <cellStyle name="40% - Accent1 11 3" xfId="1267" xr:uid="{00000000-0005-0000-0000-0000AD020000}"/>
    <cellStyle name="40% - Accent1 12" xfId="373" xr:uid="{00000000-0005-0000-0000-0000AE020000}"/>
    <cellStyle name="40% - Accent1 12 2" xfId="813" xr:uid="{00000000-0005-0000-0000-0000AF020000}"/>
    <cellStyle name="40% - Accent1 12 2 2" xfId="1687" xr:uid="{00000000-0005-0000-0000-0000B0020000}"/>
    <cellStyle name="40% - Accent1 12 3" xfId="1253" xr:uid="{00000000-0005-0000-0000-0000B1020000}"/>
    <cellStyle name="40% - Accent1 13" xfId="596" xr:uid="{00000000-0005-0000-0000-0000B2020000}"/>
    <cellStyle name="40% - Accent1 13 2" xfId="1470" xr:uid="{00000000-0005-0000-0000-0000B3020000}"/>
    <cellStyle name="40% - Accent1 14" xfId="1019" xr:uid="{00000000-0005-0000-0000-0000B4020000}"/>
    <cellStyle name="40% - Accent1 15" xfId="1894" xr:uid="{54496CA1-93FD-4E3C-9A22-A61EAF24D820}"/>
    <cellStyle name="40% - Accent1 2" xfId="139" xr:uid="{00000000-0005-0000-0000-0000B5020000}"/>
    <cellStyle name="40% - Accent1 2 2" xfId="1240" xr:uid="{00000000-0005-0000-0000-0000B6020000}"/>
    <cellStyle name="40% - Accent1 3" xfId="168" xr:uid="{00000000-0005-0000-0000-0000B7020000}"/>
    <cellStyle name="40% - Accent1 3 2" xfId="263" xr:uid="{00000000-0005-0000-0000-0000B8020000}"/>
    <cellStyle name="40% - Accent1 3 2 2" xfId="487" xr:uid="{00000000-0005-0000-0000-0000B9020000}"/>
    <cellStyle name="40% - Accent1 3 2 2 2" xfId="909" xr:uid="{00000000-0005-0000-0000-0000BA020000}"/>
    <cellStyle name="40% - Accent1 3 2 2 2 2" xfId="1783" xr:uid="{00000000-0005-0000-0000-0000BB020000}"/>
    <cellStyle name="40% - Accent1 3 2 2 3" xfId="1361" xr:uid="{00000000-0005-0000-0000-0000BC020000}"/>
    <cellStyle name="40% - Accent1 3 2 3" xfId="704" xr:uid="{00000000-0005-0000-0000-0000BD020000}"/>
    <cellStyle name="40% - Accent1 3 2 3 2" xfId="1578" xr:uid="{00000000-0005-0000-0000-0000BE020000}"/>
    <cellStyle name="40% - Accent1 3 2 4" xfId="1113" xr:uid="{00000000-0005-0000-0000-0000BF020000}"/>
    <cellStyle name="40% - Accent1 3 3" xfId="342" xr:uid="{00000000-0005-0000-0000-0000C0020000}"/>
    <cellStyle name="40% - Accent1 3 3 2" xfId="565" xr:uid="{00000000-0005-0000-0000-0000C1020000}"/>
    <cellStyle name="40% - Accent1 3 3 2 2" xfId="987" xr:uid="{00000000-0005-0000-0000-0000C2020000}"/>
    <cellStyle name="40% - Accent1 3 3 2 2 2" xfId="1861" xr:uid="{00000000-0005-0000-0000-0000C3020000}"/>
    <cellStyle name="40% - Accent1 3 3 2 3" xfId="1439" xr:uid="{00000000-0005-0000-0000-0000C4020000}"/>
    <cellStyle name="40% - Accent1 3 3 3" xfId="782" xr:uid="{00000000-0005-0000-0000-0000C5020000}"/>
    <cellStyle name="40% - Accent1 3 3 3 2" xfId="1656" xr:uid="{00000000-0005-0000-0000-0000C6020000}"/>
    <cellStyle name="40% - Accent1 3 3 4" xfId="1191" xr:uid="{00000000-0005-0000-0000-0000C7020000}"/>
    <cellStyle name="40% - Accent1 3 4" xfId="411" xr:uid="{00000000-0005-0000-0000-0000C8020000}"/>
    <cellStyle name="40% - Accent1 3 4 2" xfId="833" xr:uid="{00000000-0005-0000-0000-0000C9020000}"/>
    <cellStyle name="40% - Accent1 3 4 2 2" xfId="1707" xr:uid="{00000000-0005-0000-0000-0000CA020000}"/>
    <cellStyle name="40% - Accent1 3 4 3" xfId="1285" xr:uid="{00000000-0005-0000-0000-0000CB020000}"/>
    <cellStyle name="40% - Accent1 3 5" xfId="628" xr:uid="{00000000-0005-0000-0000-0000CC020000}"/>
    <cellStyle name="40% - Accent1 3 5 2" xfId="1502" xr:uid="{00000000-0005-0000-0000-0000CD020000}"/>
    <cellStyle name="40% - Accent1 3 6" xfId="1037" xr:uid="{00000000-0005-0000-0000-0000CE020000}"/>
    <cellStyle name="40% - Accent1 4" xfId="88" xr:uid="{00000000-0005-0000-0000-0000CF020000}"/>
    <cellStyle name="40% - Accent1 4 2" xfId="1223" xr:uid="{00000000-0005-0000-0000-0000D0020000}"/>
    <cellStyle name="40% - Accent1 5" xfId="199" xr:uid="{00000000-0005-0000-0000-0000D1020000}"/>
    <cellStyle name="40% - Accent1 5 2" xfId="281" xr:uid="{00000000-0005-0000-0000-0000D2020000}"/>
    <cellStyle name="40% - Accent1 5 2 2" xfId="505" xr:uid="{00000000-0005-0000-0000-0000D3020000}"/>
    <cellStyle name="40% - Accent1 5 2 2 2" xfId="927" xr:uid="{00000000-0005-0000-0000-0000D4020000}"/>
    <cellStyle name="40% - Accent1 5 2 2 2 2" xfId="1801" xr:uid="{00000000-0005-0000-0000-0000D5020000}"/>
    <cellStyle name="40% - Accent1 5 2 2 3" xfId="1379" xr:uid="{00000000-0005-0000-0000-0000D6020000}"/>
    <cellStyle name="40% - Accent1 5 2 3" xfId="722" xr:uid="{00000000-0005-0000-0000-0000D7020000}"/>
    <cellStyle name="40% - Accent1 5 2 3 2" xfId="1596" xr:uid="{00000000-0005-0000-0000-0000D8020000}"/>
    <cellStyle name="40% - Accent1 5 2 4" xfId="1131" xr:uid="{00000000-0005-0000-0000-0000D9020000}"/>
    <cellStyle name="40% - Accent1 5 3" xfId="360" xr:uid="{00000000-0005-0000-0000-0000DA020000}"/>
    <cellStyle name="40% - Accent1 5 3 2" xfId="583" xr:uid="{00000000-0005-0000-0000-0000DB020000}"/>
    <cellStyle name="40% - Accent1 5 3 2 2" xfId="1005" xr:uid="{00000000-0005-0000-0000-0000DC020000}"/>
    <cellStyle name="40% - Accent1 5 3 2 2 2" xfId="1879" xr:uid="{00000000-0005-0000-0000-0000DD020000}"/>
    <cellStyle name="40% - Accent1 5 3 2 3" xfId="1457" xr:uid="{00000000-0005-0000-0000-0000DE020000}"/>
    <cellStyle name="40% - Accent1 5 3 3" xfId="800" xr:uid="{00000000-0005-0000-0000-0000DF020000}"/>
    <cellStyle name="40% - Accent1 5 3 3 2" xfId="1674" xr:uid="{00000000-0005-0000-0000-0000E0020000}"/>
    <cellStyle name="40% - Accent1 5 3 4" xfId="1209" xr:uid="{00000000-0005-0000-0000-0000E1020000}"/>
    <cellStyle name="40% - Accent1 5 4" xfId="429" xr:uid="{00000000-0005-0000-0000-0000E2020000}"/>
    <cellStyle name="40% - Accent1 5 4 2" xfId="851" xr:uid="{00000000-0005-0000-0000-0000E3020000}"/>
    <cellStyle name="40% - Accent1 5 4 2 2" xfId="1725" xr:uid="{00000000-0005-0000-0000-0000E4020000}"/>
    <cellStyle name="40% - Accent1 5 4 3" xfId="1303" xr:uid="{00000000-0005-0000-0000-0000E5020000}"/>
    <cellStyle name="40% - Accent1 5 5" xfId="646" xr:uid="{00000000-0005-0000-0000-0000E6020000}"/>
    <cellStyle name="40% - Accent1 5 5 2" xfId="1520" xr:uid="{00000000-0005-0000-0000-0000E7020000}"/>
    <cellStyle name="40% - Accent1 5 6" xfId="1055" xr:uid="{00000000-0005-0000-0000-0000E8020000}"/>
    <cellStyle name="40% - Accent1 6" xfId="212" xr:uid="{00000000-0005-0000-0000-0000E9020000}"/>
    <cellStyle name="40% - Accent1 6 2" xfId="294" xr:uid="{00000000-0005-0000-0000-0000EA020000}"/>
    <cellStyle name="40% - Accent1 6 2 2" xfId="518" xr:uid="{00000000-0005-0000-0000-0000EB020000}"/>
    <cellStyle name="40% - Accent1 6 2 2 2" xfId="940" xr:uid="{00000000-0005-0000-0000-0000EC020000}"/>
    <cellStyle name="40% - Accent1 6 2 2 2 2" xfId="1814" xr:uid="{00000000-0005-0000-0000-0000ED020000}"/>
    <cellStyle name="40% - Accent1 6 2 2 3" xfId="1392" xr:uid="{00000000-0005-0000-0000-0000EE020000}"/>
    <cellStyle name="40% - Accent1 6 2 3" xfId="735" xr:uid="{00000000-0005-0000-0000-0000EF020000}"/>
    <cellStyle name="40% - Accent1 6 2 3 2" xfId="1609" xr:uid="{00000000-0005-0000-0000-0000F0020000}"/>
    <cellStyle name="40% - Accent1 6 2 4" xfId="1144" xr:uid="{00000000-0005-0000-0000-0000F1020000}"/>
    <cellStyle name="40% - Accent1 6 3" xfId="442" xr:uid="{00000000-0005-0000-0000-0000F2020000}"/>
    <cellStyle name="40% - Accent1 6 3 2" xfId="864" xr:uid="{00000000-0005-0000-0000-0000F3020000}"/>
    <cellStyle name="40% - Accent1 6 3 2 2" xfId="1738" xr:uid="{00000000-0005-0000-0000-0000F4020000}"/>
    <cellStyle name="40% - Accent1 6 3 3" xfId="1316" xr:uid="{00000000-0005-0000-0000-0000F5020000}"/>
    <cellStyle name="40% - Accent1 6 4" xfId="659" xr:uid="{00000000-0005-0000-0000-0000F6020000}"/>
    <cellStyle name="40% - Accent1 6 4 2" xfId="1533" xr:uid="{00000000-0005-0000-0000-0000F7020000}"/>
    <cellStyle name="40% - Accent1 6 5" xfId="1068" xr:uid="{00000000-0005-0000-0000-0000F8020000}"/>
    <cellStyle name="40% - Accent1 7" xfId="225" xr:uid="{00000000-0005-0000-0000-0000F9020000}"/>
    <cellStyle name="40% - Accent1 7 2" xfId="455" xr:uid="{00000000-0005-0000-0000-0000FA020000}"/>
    <cellStyle name="40% - Accent1 7 2 2" xfId="877" xr:uid="{00000000-0005-0000-0000-0000FB020000}"/>
    <cellStyle name="40% - Accent1 7 2 2 2" xfId="1751" xr:uid="{00000000-0005-0000-0000-0000FC020000}"/>
    <cellStyle name="40% - Accent1 7 2 3" xfId="1329" xr:uid="{00000000-0005-0000-0000-0000FD020000}"/>
    <cellStyle name="40% - Accent1 7 3" xfId="672" xr:uid="{00000000-0005-0000-0000-0000FE020000}"/>
    <cellStyle name="40% - Accent1 7 3 2" xfId="1546" xr:uid="{00000000-0005-0000-0000-0000FF020000}"/>
    <cellStyle name="40% - Accent1 7 4" xfId="1081" xr:uid="{00000000-0005-0000-0000-000000030000}"/>
    <cellStyle name="40% - Accent1 8" xfId="245" xr:uid="{00000000-0005-0000-0000-000001030000}"/>
    <cellStyle name="40% - Accent1 8 2" xfId="469" xr:uid="{00000000-0005-0000-0000-000002030000}"/>
    <cellStyle name="40% - Accent1 8 2 2" xfId="891" xr:uid="{00000000-0005-0000-0000-000003030000}"/>
    <cellStyle name="40% - Accent1 8 2 2 2" xfId="1765" xr:uid="{00000000-0005-0000-0000-000004030000}"/>
    <cellStyle name="40% - Accent1 8 2 3" xfId="1343" xr:uid="{00000000-0005-0000-0000-000005030000}"/>
    <cellStyle name="40% - Accent1 8 3" xfId="686" xr:uid="{00000000-0005-0000-0000-000006030000}"/>
    <cellStyle name="40% - Accent1 8 3 2" xfId="1560" xr:uid="{00000000-0005-0000-0000-000007030000}"/>
    <cellStyle name="40% - Accent1 8 4" xfId="1095" xr:uid="{00000000-0005-0000-0000-000008030000}"/>
    <cellStyle name="40% - Accent1 9" xfId="308" xr:uid="{00000000-0005-0000-0000-000009030000}"/>
    <cellStyle name="40% - Accent1 9 2" xfId="532" xr:uid="{00000000-0005-0000-0000-00000A030000}"/>
    <cellStyle name="40% - Accent1 9 2 2" xfId="954" xr:uid="{00000000-0005-0000-0000-00000B030000}"/>
    <cellStyle name="40% - Accent1 9 2 2 2" xfId="1828" xr:uid="{00000000-0005-0000-0000-00000C030000}"/>
    <cellStyle name="40% - Accent1 9 2 3" xfId="1406" xr:uid="{00000000-0005-0000-0000-00000D030000}"/>
    <cellStyle name="40% - Accent1 9 3" xfId="749" xr:uid="{00000000-0005-0000-0000-00000E030000}"/>
    <cellStyle name="40% - Accent1 9 3 2" xfId="1623" xr:uid="{00000000-0005-0000-0000-00000F030000}"/>
    <cellStyle name="40% - Accent1 9 4" xfId="1158" xr:uid="{00000000-0005-0000-0000-000010030000}"/>
    <cellStyle name="40% - Accent2" xfId="58" builtinId="35" customBuiltin="1"/>
    <cellStyle name="40% - Accent2 10" xfId="324" xr:uid="{00000000-0005-0000-0000-000012030000}"/>
    <cellStyle name="40% - Accent2 10 2" xfId="547" xr:uid="{00000000-0005-0000-0000-000013030000}"/>
    <cellStyle name="40% - Accent2 10 2 2" xfId="969" xr:uid="{00000000-0005-0000-0000-000014030000}"/>
    <cellStyle name="40% - Accent2 10 2 2 2" xfId="1843" xr:uid="{00000000-0005-0000-0000-000015030000}"/>
    <cellStyle name="40% - Accent2 10 2 3" xfId="1421" xr:uid="{00000000-0005-0000-0000-000016030000}"/>
    <cellStyle name="40% - Accent2 10 3" xfId="764" xr:uid="{00000000-0005-0000-0000-000017030000}"/>
    <cellStyle name="40% - Accent2 10 3 2" xfId="1638" xr:uid="{00000000-0005-0000-0000-000018030000}"/>
    <cellStyle name="40% - Accent2 10 4" xfId="1173" xr:uid="{00000000-0005-0000-0000-000019030000}"/>
    <cellStyle name="40% - Accent2 11" xfId="395" xr:uid="{00000000-0005-0000-0000-00001A030000}"/>
    <cellStyle name="40% - Accent2 11 2" xfId="612" xr:uid="{00000000-0005-0000-0000-00001B030000}"/>
    <cellStyle name="40% - Accent2 11 2 2" xfId="1486" xr:uid="{00000000-0005-0000-0000-00001C030000}"/>
    <cellStyle name="40% - Accent2 11 3" xfId="1269" xr:uid="{00000000-0005-0000-0000-00001D030000}"/>
    <cellStyle name="40% - Accent2 12" xfId="375" xr:uid="{00000000-0005-0000-0000-00001E030000}"/>
    <cellStyle name="40% - Accent2 12 2" xfId="815" xr:uid="{00000000-0005-0000-0000-00001F030000}"/>
    <cellStyle name="40% - Accent2 12 2 2" xfId="1689" xr:uid="{00000000-0005-0000-0000-000020030000}"/>
    <cellStyle name="40% - Accent2 12 3" xfId="1255" xr:uid="{00000000-0005-0000-0000-000021030000}"/>
    <cellStyle name="40% - Accent2 13" xfId="598" xr:uid="{00000000-0005-0000-0000-000022030000}"/>
    <cellStyle name="40% - Accent2 13 2" xfId="1472" xr:uid="{00000000-0005-0000-0000-000023030000}"/>
    <cellStyle name="40% - Accent2 14" xfId="1021" xr:uid="{00000000-0005-0000-0000-000024030000}"/>
    <cellStyle name="40% - Accent2 15" xfId="1897" xr:uid="{D3C3A327-5519-4661-87EB-38BC1FB3AA64}"/>
    <cellStyle name="40% - Accent2 2" xfId="141" xr:uid="{00000000-0005-0000-0000-000025030000}"/>
    <cellStyle name="40% - Accent2 2 2" xfId="1242" xr:uid="{00000000-0005-0000-0000-000026030000}"/>
    <cellStyle name="40% - Accent2 3" xfId="172" xr:uid="{00000000-0005-0000-0000-000027030000}"/>
    <cellStyle name="40% - Accent2 3 2" xfId="265" xr:uid="{00000000-0005-0000-0000-000028030000}"/>
    <cellStyle name="40% - Accent2 3 2 2" xfId="489" xr:uid="{00000000-0005-0000-0000-000029030000}"/>
    <cellStyle name="40% - Accent2 3 2 2 2" xfId="911" xr:uid="{00000000-0005-0000-0000-00002A030000}"/>
    <cellStyle name="40% - Accent2 3 2 2 2 2" xfId="1785" xr:uid="{00000000-0005-0000-0000-00002B030000}"/>
    <cellStyle name="40% - Accent2 3 2 2 3" xfId="1363" xr:uid="{00000000-0005-0000-0000-00002C030000}"/>
    <cellStyle name="40% - Accent2 3 2 3" xfId="706" xr:uid="{00000000-0005-0000-0000-00002D030000}"/>
    <cellStyle name="40% - Accent2 3 2 3 2" xfId="1580" xr:uid="{00000000-0005-0000-0000-00002E030000}"/>
    <cellStyle name="40% - Accent2 3 2 4" xfId="1115" xr:uid="{00000000-0005-0000-0000-00002F030000}"/>
    <cellStyle name="40% - Accent2 3 3" xfId="344" xr:uid="{00000000-0005-0000-0000-000030030000}"/>
    <cellStyle name="40% - Accent2 3 3 2" xfId="567" xr:uid="{00000000-0005-0000-0000-000031030000}"/>
    <cellStyle name="40% - Accent2 3 3 2 2" xfId="989" xr:uid="{00000000-0005-0000-0000-000032030000}"/>
    <cellStyle name="40% - Accent2 3 3 2 2 2" xfId="1863" xr:uid="{00000000-0005-0000-0000-000033030000}"/>
    <cellStyle name="40% - Accent2 3 3 2 3" xfId="1441" xr:uid="{00000000-0005-0000-0000-000034030000}"/>
    <cellStyle name="40% - Accent2 3 3 3" xfId="784" xr:uid="{00000000-0005-0000-0000-000035030000}"/>
    <cellStyle name="40% - Accent2 3 3 3 2" xfId="1658" xr:uid="{00000000-0005-0000-0000-000036030000}"/>
    <cellStyle name="40% - Accent2 3 3 4" xfId="1193" xr:uid="{00000000-0005-0000-0000-000037030000}"/>
    <cellStyle name="40% - Accent2 3 4" xfId="413" xr:uid="{00000000-0005-0000-0000-000038030000}"/>
    <cellStyle name="40% - Accent2 3 4 2" xfId="835" xr:uid="{00000000-0005-0000-0000-000039030000}"/>
    <cellStyle name="40% - Accent2 3 4 2 2" xfId="1709" xr:uid="{00000000-0005-0000-0000-00003A030000}"/>
    <cellStyle name="40% - Accent2 3 4 3" xfId="1287" xr:uid="{00000000-0005-0000-0000-00003B030000}"/>
    <cellStyle name="40% - Accent2 3 5" xfId="630" xr:uid="{00000000-0005-0000-0000-00003C030000}"/>
    <cellStyle name="40% - Accent2 3 5 2" xfId="1504" xr:uid="{00000000-0005-0000-0000-00003D030000}"/>
    <cellStyle name="40% - Accent2 3 6" xfId="1039" xr:uid="{00000000-0005-0000-0000-00003E030000}"/>
    <cellStyle name="40% - Accent2 4" xfId="116" xr:uid="{00000000-0005-0000-0000-00003F030000}"/>
    <cellStyle name="40% - Accent2 4 2" xfId="1227" xr:uid="{00000000-0005-0000-0000-000040030000}"/>
    <cellStyle name="40% - Accent2 5" xfId="201" xr:uid="{00000000-0005-0000-0000-000041030000}"/>
    <cellStyle name="40% - Accent2 5 2" xfId="283" xr:uid="{00000000-0005-0000-0000-000042030000}"/>
    <cellStyle name="40% - Accent2 5 2 2" xfId="507" xr:uid="{00000000-0005-0000-0000-000043030000}"/>
    <cellStyle name="40% - Accent2 5 2 2 2" xfId="929" xr:uid="{00000000-0005-0000-0000-000044030000}"/>
    <cellStyle name="40% - Accent2 5 2 2 2 2" xfId="1803" xr:uid="{00000000-0005-0000-0000-000045030000}"/>
    <cellStyle name="40% - Accent2 5 2 2 3" xfId="1381" xr:uid="{00000000-0005-0000-0000-000046030000}"/>
    <cellStyle name="40% - Accent2 5 2 3" xfId="724" xr:uid="{00000000-0005-0000-0000-000047030000}"/>
    <cellStyle name="40% - Accent2 5 2 3 2" xfId="1598" xr:uid="{00000000-0005-0000-0000-000048030000}"/>
    <cellStyle name="40% - Accent2 5 2 4" xfId="1133" xr:uid="{00000000-0005-0000-0000-000049030000}"/>
    <cellStyle name="40% - Accent2 5 3" xfId="362" xr:uid="{00000000-0005-0000-0000-00004A030000}"/>
    <cellStyle name="40% - Accent2 5 3 2" xfId="585" xr:uid="{00000000-0005-0000-0000-00004B030000}"/>
    <cellStyle name="40% - Accent2 5 3 2 2" xfId="1007" xr:uid="{00000000-0005-0000-0000-00004C030000}"/>
    <cellStyle name="40% - Accent2 5 3 2 2 2" xfId="1881" xr:uid="{00000000-0005-0000-0000-00004D030000}"/>
    <cellStyle name="40% - Accent2 5 3 2 3" xfId="1459" xr:uid="{00000000-0005-0000-0000-00004E030000}"/>
    <cellStyle name="40% - Accent2 5 3 3" xfId="802" xr:uid="{00000000-0005-0000-0000-00004F030000}"/>
    <cellStyle name="40% - Accent2 5 3 3 2" xfId="1676" xr:uid="{00000000-0005-0000-0000-000050030000}"/>
    <cellStyle name="40% - Accent2 5 3 4" xfId="1211" xr:uid="{00000000-0005-0000-0000-000051030000}"/>
    <cellStyle name="40% - Accent2 5 4" xfId="431" xr:uid="{00000000-0005-0000-0000-000052030000}"/>
    <cellStyle name="40% - Accent2 5 4 2" xfId="853" xr:uid="{00000000-0005-0000-0000-000053030000}"/>
    <cellStyle name="40% - Accent2 5 4 2 2" xfId="1727" xr:uid="{00000000-0005-0000-0000-000054030000}"/>
    <cellStyle name="40% - Accent2 5 4 3" xfId="1305" xr:uid="{00000000-0005-0000-0000-000055030000}"/>
    <cellStyle name="40% - Accent2 5 5" xfId="648" xr:uid="{00000000-0005-0000-0000-000056030000}"/>
    <cellStyle name="40% - Accent2 5 5 2" xfId="1522" xr:uid="{00000000-0005-0000-0000-000057030000}"/>
    <cellStyle name="40% - Accent2 5 6" xfId="1057" xr:uid="{00000000-0005-0000-0000-000058030000}"/>
    <cellStyle name="40% - Accent2 6" xfId="214" xr:uid="{00000000-0005-0000-0000-000059030000}"/>
    <cellStyle name="40% - Accent2 6 2" xfId="296" xr:uid="{00000000-0005-0000-0000-00005A030000}"/>
    <cellStyle name="40% - Accent2 6 2 2" xfId="520" xr:uid="{00000000-0005-0000-0000-00005B030000}"/>
    <cellStyle name="40% - Accent2 6 2 2 2" xfId="942" xr:uid="{00000000-0005-0000-0000-00005C030000}"/>
    <cellStyle name="40% - Accent2 6 2 2 2 2" xfId="1816" xr:uid="{00000000-0005-0000-0000-00005D030000}"/>
    <cellStyle name="40% - Accent2 6 2 2 3" xfId="1394" xr:uid="{00000000-0005-0000-0000-00005E030000}"/>
    <cellStyle name="40% - Accent2 6 2 3" xfId="737" xr:uid="{00000000-0005-0000-0000-00005F030000}"/>
    <cellStyle name="40% - Accent2 6 2 3 2" xfId="1611" xr:uid="{00000000-0005-0000-0000-000060030000}"/>
    <cellStyle name="40% - Accent2 6 2 4" xfId="1146" xr:uid="{00000000-0005-0000-0000-000061030000}"/>
    <cellStyle name="40% - Accent2 6 3" xfId="444" xr:uid="{00000000-0005-0000-0000-000062030000}"/>
    <cellStyle name="40% - Accent2 6 3 2" xfId="866" xr:uid="{00000000-0005-0000-0000-000063030000}"/>
    <cellStyle name="40% - Accent2 6 3 2 2" xfId="1740" xr:uid="{00000000-0005-0000-0000-000064030000}"/>
    <cellStyle name="40% - Accent2 6 3 3" xfId="1318" xr:uid="{00000000-0005-0000-0000-000065030000}"/>
    <cellStyle name="40% - Accent2 6 4" xfId="661" xr:uid="{00000000-0005-0000-0000-000066030000}"/>
    <cellStyle name="40% - Accent2 6 4 2" xfId="1535" xr:uid="{00000000-0005-0000-0000-000067030000}"/>
    <cellStyle name="40% - Accent2 6 5" xfId="1070" xr:uid="{00000000-0005-0000-0000-000068030000}"/>
    <cellStyle name="40% - Accent2 7" xfId="227" xr:uid="{00000000-0005-0000-0000-000069030000}"/>
    <cellStyle name="40% - Accent2 7 2" xfId="457" xr:uid="{00000000-0005-0000-0000-00006A030000}"/>
    <cellStyle name="40% - Accent2 7 2 2" xfId="879" xr:uid="{00000000-0005-0000-0000-00006B030000}"/>
    <cellStyle name="40% - Accent2 7 2 2 2" xfId="1753" xr:uid="{00000000-0005-0000-0000-00006C030000}"/>
    <cellStyle name="40% - Accent2 7 2 3" xfId="1331" xr:uid="{00000000-0005-0000-0000-00006D030000}"/>
    <cellStyle name="40% - Accent2 7 3" xfId="674" xr:uid="{00000000-0005-0000-0000-00006E030000}"/>
    <cellStyle name="40% - Accent2 7 3 2" xfId="1548" xr:uid="{00000000-0005-0000-0000-00006F030000}"/>
    <cellStyle name="40% - Accent2 7 4" xfId="1083" xr:uid="{00000000-0005-0000-0000-000070030000}"/>
    <cellStyle name="40% - Accent2 8" xfId="247" xr:uid="{00000000-0005-0000-0000-000071030000}"/>
    <cellStyle name="40% - Accent2 8 2" xfId="471" xr:uid="{00000000-0005-0000-0000-000072030000}"/>
    <cellStyle name="40% - Accent2 8 2 2" xfId="893" xr:uid="{00000000-0005-0000-0000-000073030000}"/>
    <cellStyle name="40% - Accent2 8 2 2 2" xfId="1767" xr:uid="{00000000-0005-0000-0000-000074030000}"/>
    <cellStyle name="40% - Accent2 8 2 3" xfId="1345" xr:uid="{00000000-0005-0000-0000-000075030000}"/>
    <cellStyle name="40% - Accent2 8 3" xfId="688" xr:uid="{00000000-0005-0000-0000-000076030000}"/>
    <cellStyle name="40% - Accent2 8 3 2" xfId="1562" xr:uid="{00000000-0005-0000-0000-000077030000}"/>
    <cellStyle name="40% - Accent2 8 4" xfId="1097" xr:uid="{00000000-0005-0000-0000-000078030000}"/>
    <cellStyle name="40% - Accent2 9" xfId="310" xr:uid="{00000000-0005-0000-0000-000079030000}"/>
    <cellStyle name="40% - Accent2 9 2" xfId="534" xr:uid="{00000000-0005-0000-0000-00007A030000}"/>
    <cellStyle name="40% - Accent2 9 2 2" xfId="956" xr:uid="{00000000-0005-0000-0000-00007B030000}"/>
    <cellStyle name="40% - Accent2 9 2 2 2" xfId="1830" xr:uid="{00000000-0005-0000-0000-00007C030000}"/>
    <cellStyle name="40% - Accent2 9 2 3" xfId="1408" xr:uid="{00000000-0005-0000-0000-00007D030000}"/>
    <cellStyle name="40% - Accent2 9 3" xfId="751" xr:uid="{00000000-0005-0000-0000-00007E030000}"/>
    <cellStyle name="40% - Accent2 9 3 2" xfId="1625" xr:uid="{00000000-0005-0000-0000-00007F030000}"/>
    <cellStyle name="40% - Accent2 9 4" xfId="1160" xr:uid="{00000000-0005-0000-0000-000080030000}"/>
    <cellStyle name="40% - Accent3" xfId="62" builtinId="39" customBuiltin="1"/>
    <cellStyle name="40% - Accent3 10" xfId="326" xr:uid="{00000000-0005-0000-0000-000082030000}"/>
    <cellStyle name="40% - Accent3 10 2" xfId="549" xr:uid="{00000000-0005-0000-0000-000083030000}"/>
    <cellStyle name="40% - Accent3 10 2 2" xfId="971" xr:uid="{00000000-0005-0000-0000-000084030000}"/>
    <cellStyle name="40% - Accent3 10 2 2 2" xfId="1845" xr:uid="{00000000-0005-0000-0000-000085030000}"/>
    <cellStyle name="40% - Accent3 10 2 3" xfId="1423" xr:uid="{00000000-0005-0000-0000-000086030000}"/>
    <cellStyle name="40% - Accent3 10 3" xfId="766" xr:uid="{00000000-0005-0000-0000-000087030000}"/>
    <cellStyle name="40% - Accent3 10 3 2" xfId="1640" xr:uid="{00000000-0005-0000-0000-000088030000}"/>
    <cellStyle name="40% - Accent3 10 4" xfId="1175" xr:uid="{00000000-0005-0000-0000-000089030000}"/>
    <cellStyle name="40% - Accent3 11" xfId="397" xr:uid="{00000000-0005-0000-0000-00008A030000}"/>
    <cellStyle name="40% - Accent3 11 2" xfId="614" xr:uid="{00000000-0005-0000-0000-00008B030000}"/>
    <cellStyle name="40% - Accent3 11 2 2" xfId="1488" xr:uid="{00000000-0005-0000-0000-00008C030000}"/>
    <cellStyle name="40% - Accent3 11 3" xfId="1271" xr:uid="{00000000-0005-0000-0000-00008D030000}"/>
    <cellStyle name="40% - Accent3 12" xfId="377" xr:uid="{00000000-0005-0000-0000-00008E030000}"/>
    <cellStyle name="40% - Accent3 12 2" xfId="817" xr:uid="{00000000-0005-0000-0000-00008F030000}"/>
    <cellStyle name="40% - Accent3 12 2 2" xfId="1691" xr:uid="{00000000-0005-0000-0000-000090030000}"/>
    <cellStyle name="40% - Accent3 12 3" xfId="1257" xr:uid="{00000000-0005-0000-0000-000091030000}"/>
    <cellStyle name="40% - Accent3 13" xfId="600" xr:uid="{00000000-0005-0000-0000-000092030000}"/>
    <cellStyle name="40% - Accent3 13 2" xfId="1474" xr:uid="{00000000-0005-0000-0000-000093030000}"/>
    <cellStyle name="40% - Accent3 14" xfId="1023" xr:uid="{00000000-0005-0000-0000-000094030000}"/>
    <cellStyle name="40% - Accent3 15" xfId="1900" xr:uid="{29207134-5D21-4AA5-B50F-3F02C4FAA3A8}"/>
    <cellStyle name="40% - Accent3 2" xfId="143" xr:uid="{00000000-0005-0000-0000-000095030000}"/>
    <cellStyle name="40% - Accent3 2 2" xfId="1244" xr:uid="{00000000-0005-0000-0000-000096030000}"/>
    <cellStyle name="40% - Accent3 3" xfId="176" xr:uid="{00000000-0005-0000-0000-000097030000}"/>
    <cellStyle name="40% - Accent3 3 2" xfId="267" xr:uid="{00000000-0005-0000-0000-000098030000}"/>
    <cellStyle name="40% - Accent3 3 2 2" xfId="491" xr:uid="{00000000-0005-0000-0000-000099030000}"/>
    <cellStyle name="40% - Accent3 3 2 2 2" xfId="913" xr:uid="{00000000-0005-0000-0000-00009A030000}"/>
    <cellStyle name="40% - Accent3 3 2 2 2 2" xfId="1787" xr:uid="{00000000-0005-0000-0000-00009B030000}"/>
    <cellStyle name="40% - Accent3 3 2 2 3" xfId="1365" xr:uid="{00000000-0005-0000-0000-00009C030000}"/>
    <cellStyle name="40% - Accent3 3 2 3" xfId="708" xr:uid="{00000000-0005-0000-0000-00009D030000}"/>
    <cellStyle name="40% - Accent3 3 2 3 2" xfId="1582" xr:uid="{00000000-0005-0000-0000-00009E030000}"/>
    <cellStyle name="40% - Accent3 3 2 4" xfId="1117" xr:uid="{00000000-0005-0000-0000-00009F030000}"/>
    <cellStyle name="40% - Accent3 3 3" xfId="346" xr:uid="{00000000-0005-0000-0000-0000A0030000}"/>
    <cellStyle name="40% - Accent3 3 3 2" xfId="569" xr:uid="{00000000-0005-0000-0000-0000A1030000}"/>
    <cellStyle name="40% - Accent3 3 3 2 2" xfId="991" xr:uid="{00000000-0005-0000-0000-0000A2030000}"/>
    <cellStyle name="40% - Accent3 3 3 2 2 2" xfId="1865" xr:uid="{00000000-0005-0000-0000-0000A3030000}"/>
    <cellStyle name="40% - Accent3 3 3 2 3" xfId="1443" xr:uid="{00000000-0005-0000-0000-0000A4030000}"/>
    <cellStyle name="40% - Accent3 3 3 3" xfId="786" xr:uid="{00000000-0005-0000-0000-0000A5030000}"/>
    <cellStyle name="40% - Accent3 3 3 3 2" xfId="1660" xr:uid="{00000000-0005-0000-0000-0000A6030000}"/>
    <cellStyle name="40% - Accent3 3 3 4" xfId="1195" xr:uid="{00000000-0005-0000-0000-0000A7030000}"/>
    <cellStyle name="40% - Accent3 3 4" xfId="415" xr:uid="{00000000-0005-0000-0000-0000A8030000}"/>
    <cellStyle name="40% - Accent3 3 4 2" xfId="837" xr:uid="{00000000-0005-0000-0000-0000A9030000}"/>
    <cellStyle name="40% - Accent3 3 4 2 2" xfId="1711" xr:uid="{00000000-0005-0000-0000-0000AA030000}"/>
    <cellStyle name="40% - Accent3 3 4 3" xfId="1289" xr:uid="{00000000-0005-0000-0000-0000AB030000}"/>
    <cellStyle name="40% - Accent3 3 5" xfId="632" xr:uid="{00000000-0005-0000-0000-0000AC030000}"/>
    <cellStyle name="40% - Accent3 3 5 2" xfId="1506" xr:uid="{00000000-0005-0000-0000-0000AD030000}"/>
    <cellStyle name="40% - Accent3 3 6" xfId="1041" xr:uid="{00000000-0005-0000-0000-0000AE030000}"/>
    <cellStyle name="40% - Accent3 4" xfId="120" xr:uid="{00000000-0005-0000-0000-0000AF030000}"/>
    <cellStyle name="40% - Accent3 4 2" xfId="1229" xr:uid="{00000000-0005-0000-0000-0000B0030000}"/>
    <cellStyle name="40% - Accent3 5" xfId="203" xr:uid="{00000000-0005-0000-0000-0000B1030000}"/>
    <cellStyle name="40% - Accent3 5 2" xfId="285" xr:uid="{00000000-0005-0000-0000-0000B2030000}"/>
    <cellStyle name="40% - Accent3 5 2 2" xfId="509" xr:uid="{00000000-0005-0000-0000-0000B3030000}"/>
    <cellStyle name="40% - Accent3 5 2 2 2" xfId="931" xr:uid="{00000000-0005-0000-0000-0000B4030000}"/>
    <cellStyle name="40% - Accent3 5 2 2 2 2" xfId="1805" xr:uid="{00000000-0005-0000-0000-0000B5030000}"/>
    <cellStyle name="40% - Accent3 5 2 2 3" xfId="1383" xr:uid="{00000000-0005-0000-0000-0000B6030000}"/>
    <cellStyle name="40% - Accent3 5 2 3" xfId="726" xr:uid="{00000000-0005-0000-0000-0000B7030000}"/>
    <cellStyle name="40% - Accent3 5 2 3 2" xfId="1600" xr:uid="{00000000-0005-0000-0000-0000B8030000}"/>
    <cellStyle name="40% - Accent3 5 2 4" xfId="1135" xr:uid="{00000000-0005-0000-0000-0000B9030000}"/>
    <cellStyle name="40% - Accent3 5 3" xfId="364" xr:uid="{00000000-0005-0000-0000-0000BA030000}"/>
    <cellStyle name="40% - Accent3 5 3 2" xfId="587" xr:uid="{00000000-0005-0000-0000-0000BB030000}"/>
    <cellStyle name="40% - Accent3 5 3 2 2" xfId="1009" xr:uid="{00000000-0005-0000-0000-0000BC030000}"/>
    <cellStyle name="40% - Accent3 5 3 2 2 2" xfId="1883" xr:uid="{00000000-0005-0000-0000-0000BD030000}"/>
    <cellStyle name="40% - Accent3 5 3 2 3" xfId="1461" xr:uid="{00000000-0005-0000-0000-0000BE030000}"/>
    <cellStyle name="40% - Accent3 5 3 3" xfId="804" xr:uid="{00000000-0005-0000-0000-0000BF030000}"/>
    <cellStyle name="40% - Accent3 5 3 3 2" xfId="1678" xr:uid="{00000000-0005-0000-0000-0000C0030000}"/>
    <cellStyle name="40% - Accent3 5 3 4" xfId="1213" xr:uid="{00000000-0005-0000-0000-0000C1030000}"/>
    <cellStyle name="40% - Accent3 5 4" xfId="433" xr:uid="{00000000-0005-0000-0000-0000C2030000}"/>
    <cellStyle name="40% - Accent3 5 4 2" xfId="855" xr:uid="{00000000-0005-0000-0000-0000C3030000}"/>
    <cellStyle name="40% - Accent3 5 4 2 2" xfId="1729" xr:uid="{00000000-0005-0000-0000-0000C4030000}"/>
    <cellStyle name="40% - Accent3 5 4 3" xfId="1307" xr:uid="{00000000-0005-0000-0000-0000C5030000}"/>
    <cellStyle name="40% - Accent3 5 5" xfId="650" xr:uid="{00000000-0005-0000-0000-0000C6030000}"/>
    <cellStyle name="40% - Accent3 5 5 2" xfId="1524" xr:uid="{00000000-0005-0000-0000-0000C7030000}"/>
    <cellStyle name="40% - Accent3 5 6" xfId="1059" xr:uid="{00000000-0005-0000-0000-0000C8030000}"/>
    <cellStyle name="40% - Accent3 6" xfId="216" xr:uid="{00000000-0005-0000-0000-0000C9030000}"/>
    <cellStyle name="40% - Accent3 6 2" xfId="298" xr:uid="{00000000-0005-0000-0000-0000CA030000}"/>
    <cellStyle name="40% - Accent3 6 2 2" xfId="522" xr:uid="{00000000-0005-0000-0000-0000CB030000}"/>
    <cellStyle name="40% - Accent3 6 2 2 2" xfId="944" xr:uid="{00000000-0005-0000-0000-0000CC030000}"/>
    <cellStyle name="40% - Accent3 6 2 2 2 2" xfId="1818" xr:uid="{00000000-0005-0000-0000-0000CD030000}"/>
    <cellStyle name="40% - Accent3 6 2 2 3" xfId="1396" xr:uid="{00000000-0005-0000-0000-0000CE030000}"/>
    <cellStyle name="40% - Accent3 6 2 3" xfId="739" xr:uid="{00000000-0005-0000-0000-0000CF030000}"/>
    <cellStyle name="40% - Accent3 6 2 3 2" xfId="1613" xr:uid="{00000000-0005-0000-0000-0000D0030000}"/>
    <cellStyle name="40% - Accent3 6 2 4" xfId="1148" xr:uid="{00000000-0005-0000-0000-0000D1030000}"/>
    <cellStyle name="40% - Accent3 6 3" xfId="446" xr:uid="{00000000-0005-0000-0000-0000D2030000}"/>
    <cellStyle name="40% - Accent3 6 3 2" xfId="868" xr:uid="{00000000-0005-0000-0000-0000D3030000}"/>
    <cellStyle name="40% - Accent3 6 3 2 2" xfId="1742" xr:uid="{00000000-0005-0000-0000-0000D4030000}"/>
    <cellStyle name="40% - Accent3 6 3 3" xfId="1320" xr:uid="{00000000-0005-0000-0000-0000D5030000}"/>
    <cellStyle name="40% - Accent3 6 4" xfId="663" xr:uid="{00000000-0005-0000-0000-0000D6030000}"/>
    <cellStyle name="40% - Accent3 6 4 2" xfId="1537" xr:uid="{00000000-0005-0000-0000-0000D7030000}"/>
    <cellStyle name="40% - Accent3 6 5" xfId="1072" xr:uid="{00000000-0005-0000-0000-0000D8030000}"/>
    <cellStyle name="40% - Accent3 7" xfId="229" xr:uid="{00000000-0005-0000-0000-0000D9030000}"/>
    <cellStyle name="40% - Accent3 7 2" xfId="459" xr:uid="{00000000-0005-0000-0000-0000DA030000}"/>
    <cellStyle name="40% - Accent3 7 2 2" xfId="881" xr:uid="{00000000-0005-0000-0000-0000DB030000}"/>
    <cellStyle name="40% - Accent3 7 2 2 2" xfId="1755" xr:uid="{00000000-0005-0000-0000-0000DC030000}"/>
    <cellStyle name="40% - Accent3 7 2 3" xfId="1333" xr:uid="{00000000-0005-0000-0000-0000DD030000}"/>
    <cellStyle name="40% - Accent3 7 3" xfId="676" xr:uid="{00000000-0005-0000-0000-0000DE030000}"/>
    <cellStyle name="40% - Accent3 7 3 2" xfId="1550" xr:uid="{00000000-0005-0000-0000-0000DF030000}"/>
    <cellStyle name="40% - Accent3 7 4" xfId="1085" xr:uid="{00000000-0005-0000-0000-0000E0030000}"/>
    <cellStyle name="40% - Accent3 8" xfId="249" xr:uid="{00000000-0005-0000-0000-0000E1030000}"/>
    <cellStyle name="40% - Accent3 8 2" xfId="473" xr:uid="{00000000-0005-0000-0000-0000E2030000}"/>
    <cellStyle name="40% - Accent3 8 2 2" xfId="895" xr:uid="{00000000-0005-0000-0000-0000E3030000}"/>
    <cellStyle name="40% - Accent3 8 2 2 2" xfId="1769" xr:uid="{00000000-0005-0000-0000-0000E4030000}"/>
    <cellStyle name="40% - Accent3 8 2 3" xfId="1347" xr:uid="{00000000-0005-0000-0000-0000E5030000}"/>
    <cellStyle name="40% - Accent3 8 3" xfId="690" xr:uid="{00000000-0005-0000-0000-0000E6030000}"/>
    <cellStyle name="40% - Accent3 8 3 2" xfId="1564" xr:uid="{00000000-0005-0000-0000-0000E7030000}"/>
    <cellStyle name="40% - Accent3 8 4" xfId="1099" xr:uid="{00000000-0005-0000-0000-0000E8030000}"/>
    <cellStyle name="40% - Accent3 9" xfId="312" xr:uid="{00000000-0005-0000-0000-0000E9030000}"/>
    <cellStyle name="40% - Accent3 9 2" xfId="536" xr:uid="{00000000-0005-0000-0000-0000EA030000}"/>
    <cellStyle name="40% - Accent3 9 2 2" xfId="958" xr:uid="{00000000-0005-0000-0000-0000EB030000}"/>
    <cellStyle name="40% - Accent3 9 2 2 2" xfId="1832" xr:uid="{00000000-0005-0000-0000-0000EC030000}"/>
    <cellStyle name="40% - Accent3 9 2 3" xfId="1410" xr:uid="{00000000-0005-0000-0000-0000ED030000}"/>
    <cellStyle name="40% - Accent3 9 3" xfId="753" xr:uid="{00000000-0005-0000-0000-0000EE030000}"/>
    <cellStyle name="40% - Accent3 9 3 2" xfId="1627" xr:uid="{00000000-0005-0000-0000-0000EF030000}"/>
    <cellStyle name="40% - Accent3 9 4" xfId="1162" xr:uid="{00000000-0005-0000-0000-0000F0030000}"/>
    <cellStyle name="40% - Accent4" xfId="66" builtinId="43" customBuiltin="1"/>
    <cellStyle name="40% - Accent4 10" xfId="328" xr:uid="{00000000-0005-0000-0000-0000F2030000}"/>
    <cellStyle name="40% - Accent4 10 2" xfId="551" xr:uid="{00000000-0005-0000-0000-0000F3030000}"/>
    <cellStyle name="40% - Accent4 10 2 2" xfId="973" xr:uid="{00000000-0005-0000-0000-0000F4030000}"/>
    <cellStyle name="40% - Accent4 10 2 2 2" xfId="1847" xr:uid="{00000000-0005-0000-0000-0000F5030000}"/>
    <cellStyle name="40% - Accent4 10 2 3" xfId="1425" xr:uid="{00000000-0005-0000-0000-0000F6030000}"/>
    <cellStyle name="40% - Accent4 10 3" xfId="768" xr:uid="{00000000-0005-0000-0000-0000F7030000}"/>
    <cellStyle name="40% - Accent4 10 3 2" xfId="1642" xr:uid="{00000000-0005-0000-0000-0000F8030000}"/>
    <cellStyle name="40% - Accent4 10 4" xfId="1177" xr:uid="{00000000-0005-0000-0000-0000F9030000}"/>
    <cellStyle name="40% - Accent4 11" xfId="399" xr:uid="{00000000-0005-0000-0000-0000FA030000}"/>
    <cellStyle name="40% - Accent4 11 2" xfId="616" xr:uid="{00000000-0005-0000-0000-0000FB030000}"/>
    <cellStyle name="40% - Accent4 11 2 2" xfId="1490" xr:uid="{00000000-0005-0000-0000-0000FC030000}"/>
    <cellStyle name="40% - Accent4 11 3" xfId="1273" xr:uid="{00000000-0005-0000-0000-0000FD030000}"/>
    <cellStyle name="40% - Accent4 12" xfId="379" xr:uid="{00000000-0005-0000-0000-0000FE030000}"/>
    <cellStyle name="40% - Accent4 12 2" xfId="819" xr:uid="{00000000-0005-0000-0000-0000FF030000}"/>
    <cellStyle name="40% - Accent4 12 2 2" xfId="1693" xr:uid="{00000000-0005-0000-0000-000000040000}"/>
    <cellStyle name="40% - Accent4 12 3" xfId="1259" xr:uid="{00000000-0005-0000-0000-000001040000}"/>
    <cellStyle name="40% - Accent4 13" xfId="602" xr:uid="{00000000-0005-0000-0000-000002040000}"/>
    <cellStyle name="40% - Accent4 13 2" xfId="1476" xr:uid="{00000000-0005-0000-0000-000003040000}"/>
    <cellStyle name="40% - Accent4 14" xfId="1025" xr:uid="{00000000-0005-0000-0000-000004040000}"/>
    <cellStyle name="40% - Accent4 15" xfId="1903" xr:uid="{5095D690-5295-42F1-8824-F34E0FE1724D}"/>
    <cellStyle name="40% - Accent4 2" xfId="145" xr:uid="{00000000-0005-0000-0000-000005040000}"/>
    <cellStyle name="40% - Accent4 2 2" xfId="1246" xr:uid="{00000000-0005-0000-0000-000006040000}"/>
    <cellStyle name="40% - Accent4 3" xfId="180" xr:uid="{00000000-0005-0000-0000-000007040000}"/>
    <cellStyle name="40% - Accent4 3 2" xfId="269" xr:uid="{00000000-0005-0000-0000-000008040000}"/>
    <cellStyle name="40% - Accent4 3 2 2" xfId="493" xr:uid="{00000000-0005-0000-0000-000009040000}"/>
    <cellStyle name="40% - Accent4 3 2 2 2" xfId="915" xr:uid="{00000000-0005-0000-0000-00000A040000}"/>
    <cellStyle name="40% - Accent4 3 2 2 2 2" xfId="1789" xr:uid="{00000000-0005-0000-0000-00000B040000}"/>
    <cellStyle name="40% - Accent4 3 2 2 3" xfId="1367" xr:uid="{00000000-0005-0000-0000-00000C040000}"/>
    <cellStyle name="40% - Accent4 3 2 3" xfId="710" xr:uid="{00000000-0005-0000-0000-00000D040000}"/>
    <cellStyle name="40% - Accent4 3 2 3 2" xfId="1584" xr:uid="{00000000-0005-0000-0000-00000E040000}"/>
    <cellStyle name="40% - Accent4 3 2 4" xfId="1119" xr:uid="{00000000-0005-0000-0000-00000F040000}"/>
    <cellStyle name="40% - Accent4 3 3" xfId="348" xr:uid="{00000000-0005-0000-0000-000010040000}"/>
    <cellStyle name="40% - Accent4 3 3 2" xfId="571" xr:uid="{00000000-0005-0000-0000-000011040000}"/>
    <cellStyle name="40% - Accent4 3 3 2 2" xfId="993" xr:uid="{00000000-0005-0000-0000-000012040000}"/>
    <cellStyle name="40% - Accent4 3 3 2 2 2" xfId="1867" xr:uid="{00000000-0005-0000-0000-000013040000}"/>
    <cellStyle name="40% - Accent4 3 3 2 3" xfId="1445" xr:uid="{00000000-0005-0000-0000-000014040000}"/>
    <cellStyle name="40% - Accent4 3 3 3" xfId="788" xr:uid="{00000000-0005-0000-0000-000015040000}"/>
    <cellStyle name="40% - Accent4 3 3 3 2" xfId="1662" xr:uid="{00000000-0005-0000-0000-000016040000}"/>
    <cellStyle name="40% - Accent4 3 3 4" xfId="1197" xr:uid="{00000000-0005-0000-0000-000017040000}"/>
    <cellStyle name="40% - Accent4 3 4" xfId="417" xr:uid="{00000000-0005-0000-0000-000018040000}"/>
    <cellStyle name="40% - Accent4 3 4 2" xfId="839" xr:uid="{00000000-0005-0000-0000-000019040000}"/>
    <cellStyle name="40% - Accent4 3 4 2 2" xfId="1713" xr:uid="{00000000-0005-0000-0000-00001A040000}"/>
    <cellStyle name="40% - Accent4 3 4 3" xfId="1291" xr:uid="{00000000-0005-0000-0000-00001B040000}"/>
    <cellStyle name="40% - Accent4 3 5" xfId="634" xr:uid="{00000000-0005-0000-0000-00001C040000}"/>
    <cellStyle name="40% - Accent4 3 5 2" xfId="1508" xr:uid="{00000000-0005-0000-0000-00001D040000}"/>
    <cellStyle name="40% - Accent4 3 6" xfId="1043" xr:uid="{00000000-0005-0000-0000-00001E040000}"/>
    <cellStyle name="40% - Accent4 4" xfId="124" xr:uid="{00000000-0005-0000-0000-00001F040000}"/>
    <cellStyle name="40% - Accent4 4 2" xfId="1231" xr:uid="{00000000-0005-0000-0000-000020040000}"/>
    <cellStyle name="40% - Accent4 5" xfId="205" xr:uid="{00000000-0005-0000-0000-000021040000}"/>
    <cellStyle name="40% - Accent4 5 2" xfId="287" xr:uid="{00000000-0005-0000-0000-000022040000}"/>
    <cellStyle name="40% - Accent4 5 2 2" xfId="511" xr:uid="{00000000-0005-0000-0000-000023040000}"/>
    <cellStyle name="40% - Accent4 5 2 2 2" xfId="933" xr:uid="{00000000-0005-0000-0000-000024040000}"/>
    <cellStyle name="40% - Accent4 5 2 2 2 2" xfId="1807" xr:uid="{00000000-0005-0000-0000-000025040000}"/>
    <cellStyle name="40% - Accent4 5 2 2 3" xfId="1385" xr:uid="{00000000-0005-0000-0000-000026040000}"/>
    <cellStyle name="40% - Accent4 5 2 3" xfId="728" xr:uid="{00000000-0005-0000-0000-000027040000}"/>
    <cellStyle name="40% - Accent4 5 2 3 2" xfId="1602" xr:uid="{00000000-0005-0000-0000-000028040000}"/>
    <cellStyle name="40% - Accent4 5 2 4" xfId="1137" xr:uid="{00000000-0005-0000-0000-000029040000}"/>
    <cellStyle name="40% - Accent4 5 3" xfId="366" xr:uid="{00000000-0005-0000-0000-00002A040000}"/>
    <cellStyle name="40% - Accent4 5 3 2" xfId="589" xr:uid="{00000000-0005-0000-0000-00002B040000}"/>
    <cellStyle name="40% - Accent4 5 3 2 2" xfId="1011" xr:uid="{00000000-0005-0000-0000-00002C040000}"/>
    <cellStyle name="40% - Accent4 5 3 2 2 2" xfId="1885" xr:uid="{00000000-0005-0000-0000-00002D040000}"/>
    <cellStyle name="40% - Accent4 5 3 2 3" xfId="1463" xr:uid="{00000000-0005-0000-0000-00002E040000}"/>
    <cellStyle name="40% - Accent4 5 3 3" xfId="806" xr:uid="{00000000-0005-0000-0000-00002F040000}"/>
    <cellStyle name="40% - Accent4 5 3 3 2" xfId="1680" xr:uid="{00000000-0005-0000-0000-000030040000}"/>
    <cellStyle name="40% - Accent4 5 3 4" xfId="1215" xr:uid="{00000000-0005-0000-0000-000031040000}"/>
    <cellStyle name="40% - Accent4 5 4" xfId="435" xr:uid="{00000000-0005-0000-0000-000032040000}"/>
    <cellStyle name="40% - Accent4 5 4 2" xfId="857" xr:uid="{00000000-0005-0000-0000-000033040000}"/>
    <cellStyle name="40% - Accent4 5 4 2 2" xfId="1731" xr:uid="{00000000-0005-0000-0000-000034040000}"/>
    <cellStyle name="40% - Accent4 5 4 3" xfId="1309" xr:uid="{00000000-0005-0000-0000-000035040000}"/>
    <cellStyle name="40% - Accent4 5 5" xfId="652" xr:uid="{00000000-0005-0000-0000-000036040000}"/>
    <cellStyle name="40% - Accent4 5 5 2" xfId="1526" xr:uid="{00000000-0005-0000-0000-000037040000}"/>
    <cellStyle name="40% - Accent4 5 6" xfId="1061" xr:uid="{00000000-0005-0000-0000-000038040000}"/>
    <cellStyle name="40% - Accent4 6" xfId="218" xr:uid="{00000000-0005-0000-0000-000039040000}"/>
    <cellStyle name="40% - Accent4 6 2" xfId="300" xr:uid="{00000000-0005-0000-0000-00003A040000}"/>
    <cellStyle name="40% - Accent4 6 2 2" xfId="524" xr:uid="{00000000-0005-0000-0000-00003B040000}"/>
    <cellStyle name="40% - Accent4 6 2 2 2" xfId="946" xr:uid="{00000000-0005-0000-0000-00003C040000}"/>
    <cellStyle name="40% - Accent4 6 2 2 2 2" xfId="1820" xr:uid="{00000000-0005-0000-0000-00003D040000}"/>
    <cellStyle name="40% - Accent4 6 2 2 3" xfId="1398" xr:uid="{00000000-0005-0000-0000-00003E040000}"/>
    <cellStyle name="40% - Accent4 6 2 3" xfId="741" xr:uid="{00000000-0005-0000-0000-00003F040000}"/>
    <cellStyle name="40% - Accent4 6 2 3 2" xfId="1615" xr:uid="{00000000-0005-0000-0000-000040040000}"/>
    <cellStyle name="40% - Accent4 6 2 4" xfId="1150" xr:uid="{00000000-0005-0000-0000-000041040000}"/>
    <cellStyle name="40% - Accent4 6 3" xfId="448" xr:uid="{00000000-0005-0000-0000-000042040000}"/>
    <cellStyle name="40% - Accent4 6 3 2" xfId="870" xr:uid="{00000000-0005-0000-0000-000043040000}"/>
    <cellStyle name="40% - Accent4 6 3 2 2" xfId="1744" xr:uid="{00000000-0005-0000-0000-000044040000}"/>
    <cellStyle name="40% - Accent4 6 3 3" xfId="1322" xr:uid="{00000000-0005-0000-0000-000045040000}"/>
    <cellStyle name="40% - Accent4 6 4" xfId="665" xr:uid="{00000000-0005-0000-0000-000046040000}"/>
    <cellStyle name="40% - Accent4 6 4 2" xfId="1539" xr:uid="{00000000-0005-0000-0000-000047040000}"/>
    <cellStyle name="40% - Accent4 6 5" xfId="1074" xr:uid="{00000000-0005-0000-0000-000048040000}"/>
    <cellStyle name="40% - Accent4 7" xfId="231" xr:uid="{00000000-0005-0000-0000-000049040000}"/>
    <cellStyle name="40% - Accent4 7 2" xfId="461" xr:uid="{00000000-0005-0000-0000-00004A040000}"/>
    <cellStyle name="40% - Accent4 7 2 2" xfId="883" xr:uid="{00000000-0005-0000-0000-00004B040000}"/>
    <cellStyle name="40% - Accent4 7 2 2 2" xfId="1757" xr:uid="{00000000-0005-0000-0000-00004C040000}"/>
    <cellStyle name="40% - Accent4 7 2 3" xfId="1335" xr:uid="{00000000-0005-0000-0000-00004D040000}"/>
    <cellStyle name="40% - Accent4 7 3" xfId="678" xr:uid="{00000000-0005-0000-0000-00004E040000}"/>
    <cellStyle name="40% - Accent4 7 3 2" xfId="1552" xr:uid="{00000000-0005-0000-0000-00004F040000}"/>
    <cellStyle name="40% - Accent4 7 4" xfId="1087" xr:uid="{00000000-0005-0000-0000-000050040000}"/>
    <cellStyle name="40% - Accent4 8" xfId="251" xr:uid="{00000000-0005-0000-0000-000051040000}"/>
    <cellStyle name="40% - Accent4 8 2" xfId="475" xr:uid="{00000000-0005-0000-0000-000052040000}"/>
    <cellStyle name="40% - Accent4 8 2 2" xfId="897" xr:uid="{00000000-0005-0000-0000-000053040000}"/>
    <cellStyle name="40% - Accent4 8 2 2 2" xfId="1771" xr:uid="{00000000-0005-0000-0000-000054040000}"/>
    <cellStyle name="40% - Accent4 8 2 3" xfId="1349" xr:uid="{00000000-0005-0000-0000-000055040000}"/>
    <cellStyle name="40% - Accent4 8 3" xfId="692" xr:uid="{00000000-0005-0000-0000-000056040000}"/>
    <cellStyle name="40% - Accent4 8 3 2" xfId="1566" xr:uid="{00000000-0005-0000-0000-000057040000}"/>
    <cellStyle name="40% - Accent4 8 4" xfId="1101" xr:uid="{00000000-0005-0000-0000-000058040000}"/>
    <cellStyle name="40% - Accent4 9" xfId="314" xr:uid="{00000000-0005-0000-0000-000059040000}"/>
    <cellStyle name="40% - Accent4 9 2" xfId="538" xr:uid="{00000000-0005-0000-0000-00005A040000}"/>
    <cellStyle name="40% - Accent4 9 2 2" xfId="960" xr:uid="{00000000-0005-0000-0000-00005B040000}"/>
    <cellStyle name="40% - Accent4 9 2 2 2" xfId="1834" xr:uid="{00000000-0005-0000-0000-00005C040000}"/>
    <cellStyle name="40% - Accent4 9 2 3" xfId="1412" xr:uid="{00000000-0005-0000-0000-00005D040000}"/>
    <cellStyle name="40% - Accent4 9 3" xfId="755" xr:uid="{00000000-0005-0000-0000-00005E040000}"/>
    <cellStyle name="40% - Accent4 9 3 2" xfId="1629" xr:uid="{00000000-0005-0000-0000-00005F040000}"/>
    <cellStyle name="40% - Accent4 9 4" xfId="1164" xr:uid="{00000000-0005-0000-0000-000060040000}"/>
    <cellStyle name="40% - Accent5" xfId="70" builtinId="47" customBuiltin="1"/>
    <cellStyle name="40% - Accent5 10" xfId="330" xr:uid="{00000000-0005-0000-0000-000062040000}"/>
    <cellStyle name="40% - Accent5 10 2" xfId="553" xr:uid="{00000000-0005-0000-0000-000063040000}"/>
    <cellStyle name="40% - Accent5 10 2 2" xfId="975" xr:uid="{00000000-0005-0000-0000-000064040000}"/>
    <cellStyle name="40% - Accent5 10 2 2 2" xfId="1849" xr:uid="{00000000-0005-0000-0000-000065040000}"/>
    <cellStyle name="40% - Accent5 10 2 3" xfId="1427" xr:uid="{00000000-0005-0000-0000-000066040000}"/>
    <cellStyle name="40% - Accent5 10 3" xfId="770" xr:uid="{00000000-0005-0000-0000-000067040000}"/>
    <cellStyle name="40% - Accent5 10 3 2" xfId="1644" xr:uid="{00000000-0005-0000-0000-000068040000}"/>
    <cellStyle name="40% - Accent5 10 4" xfId="1179" xr:uid="{00000000-0005-0000-0000-000069040000}"/>
    <cellStyle name="40% - Accent5 11" xfId="401" xr:uid="{00000000-0005-0000-0000-00006A040000}"/>
    <cellStyle name="40% - Accent5 11 2" xfId="618" xr:uid="{00000000-0005-0000-0000-00006B040000}"/>
    <cellStyle name="40% - Accent5 11 2 2" xfId="1492" xr:uid="{00000000-0005-0000-0000-00006C040000}"/>
    <cellStyle name="40% - Accent5 11 3" xfId="1275" xr:uid="{00000000-0005-0000-0000-00006D040000}"/>
    <cellStyle name="40% - Accent5 12" xfId="381" xr:uid="{00000000-0005-0000-0000-00006E040000}"/>
    <cellStyle name="40% - Accent5 12 2" xfId="821" xr:uid="{00000000-0005-0000-0000-00006F040000}"/>
    <cellStyle name="40% - Accent5 12 2 2" xfId="1695" xr:uid="{00000000-0005-0000-0000-000070040000}"/>
    <cellStyle name="40% - Accent5 12 3" xfId="1261" xr:uid="{00000000-0005-0000-0000-000071040000}"/>
    <cellStyle name="40% - Accent5 13" xfId="604" xr:uid="{00000000-0005-0000-0000-000072040000}"/>
    <cellStyle name="40% - Accent5 13 2" xfId="1478" xr:uid="{00000000-0005-0000-0000-000073040000}"/>
    <cellStyle name="40% - Accent5 14" xfId="1027" xr:uid="{00000000-0005-0000-0000-000074040000}"/>
    <cellStyle name="40% - Accent5 15" xfId="1906" xr:uid="{F8C7A1B9-4C8D-4E2E-A8E8-B1A46D2877AA}"/>
    <cellStyle name="40% - Accent5 2" xfId="147" xr:uid="{00000000-0005-0000-0000-000075040000}"/>
    <cellStyle name="40% - Accent5 2 2" xfId="1248" xr:uid="{00000000-0005-0000-0000-000076040000}"/>
    <cellStyle name="40% - Accent5 3" xfId="184" xr:uid="{00000000-0005-0000-0000-000077040000}"/>
    <cellStyle name="40% - Accent5 3 2" xfId="271" xr:uid="{00000000-0005-0000-0000-000078040000}"/>
    <cellStyle name="40% - Accent5 3 2 2" xfId="495" xr:uid="{00000000-0005-0000-0000-000079040000}"/>
    <cellStyle name="40% - Accent5 3 2 2 2" xfId="917" xr:uid="{00000000-0005-0000-0000-00007A040000}"/>
    <cellStyle name="40% - Accent5 3 2 2 2 2" xfId="1791" xr:uid="{00000000-0005-0000-0000-00007B040000}"/>
    <cellStyle name="40% - Accent5 3 2 2 3" xfId="1369" xr:uid="{00000000-0005-0000-0000-00007C040000}"/>
    <cellStyle name="40% - Accent5 3 2 3" xfId="712" xr:uid="{00000000-0005-0000-0000-00007D040000}"/>
    <cellStyle name="40% - Accent5 3 2 3 2" xfId="1586" xr:uid="{00000000-0005-0000-0000-00007E040000}"/>
    <cellStyle name="40% - Accent5 3 2 4" xfId="1121" xr:uid="{00000000-0005-0000-0000-00007F040000}"/>
    <cellStyle name="40% - Accent5 3 3" xfId="350" xr:uid="{00000000-0005-0000-0000-000080040000}"/>
    <cellStyle name="40% - Accent5 3 3 2" xfId="573" xr:uid="{00000000-0005-0000-0000-000081040000}"/>
    <cellStyle name="40% - Accent5 3 3 2 2" xfId="995" xr:uid="{00000000-0005-0000-0000-000082040000}"/>
    <cellStyle name="40% - Accent5 3 3 2 2 2" xfId="1869" xr:uid="{00000000-0005-0000-0000-000083040000}"/>
    <cellStyle name="40% - Accent5 3 3 2 3" xfId="1447" xr:uid="{00000000-0005-0000-0000-000084040000}"/>
    <cellStyle name="40% - Accent5 3 3 3" xfId="790" xr:uid="{00000000-0005-0000-0000-000085040000}"/>
    <cellStyle name="40% - Accent5 3 3 3 2" xfId="1664" xr:uid="{00000000-0005-0000-0000-000086040000}"/>
    <cellStyle name="40% - Accent5 3 3 4" xfId="1199" xr:uid="{00000000-0005-0000-0000-000087040000}"/>
    <cellStyle name="40% - Accent5 3 4" xfId="419" xr:uid="{00000000-0005-0000-0000-000088040000}"/>
    <cellStyle name="40% - Accent5 3 4 2" xfId="841" xr:uid="{00000000-0005-0000-0000-000089040000}"/>
    <cellStyle name="40% - Accent5 3 4 2 2" xfId="1715" xr:uid="{00000000-0005-0000-0000-00008A040000}"/>
    <cellStyle name="40% - Accent5 3 4 3" xfId="1293" xr:uid="{00000000-0005-0000-0000-00008B040000}"/>
    <cellStyle name="40% - Accent5 3 5" xfId="636" xr:uid="{00000000-0005-0000-0000-00008C040000}"/>
    <cellStyle name="40% - Accent5 3 5 2" xfId="1510" xr:uid="{00000000-0005-0000-0000-00008D040000}"/>
    <cellStyle name="40% - Accent5 3 6" xfId="1045" xr:uid="{00000000-0005-0000-0000-00008E040000}"/>
    <cellStyle name="40% - Accent5 4" xfId="128" xr:uid="{00000000-0005-0000-0000-00008F040000}"/>
    <cellStyle name="40% - Accent5 4 2" xfId="1233" xr:uid="{00000000-0005-0000-0000-000090040000}"/>
    <cellStyle name="40% - Accent5 5" xfId="207" xr:uid="{00000000-0005-0000-0000-000091040000}"/>
    <cellStyle name="40% - Accent5 5 2" xfId="289" xr:uid="{00000000-0005-0000-0000-000092040000}"/>
    <cellStyle name="40% - Accent5 5 2 2" xfId="513" xr:uid="{00000000-0005-0000-0000-000093040000}"/>
    <cellStyle name="40% - Accent5 5 2 2 2" xfId="935" xr:uid="{00000000-0005-0000-0000-000094040000}"/>
    <cellStyle name="40% - Accent5 5 2 2 2 2" xfId="1809" xr:uid="{00000000-0005-0000-0000-000095040000}"/>
    <cellStyle name="40% - Accent5 5 2 2 3" xfId="1387" xr:uid="{00000000-0005-0000-0000-000096040000}"/>
    <cellStyle name="40% - Accent5 5 2 3" xfId="730" xr:uid="{00000000-0005-0000-0000-000097040000}"/>
    <cellStyle name="40% - Accent5 5 2 3 2" xfId="1604" xr:uid="{00000000-0005-0000-0000-000098040000}"/>
    <cellStyle name="40% - Accent5 5 2 4" xfId="1139" xr:uid="{00000000-0005-0000-0000-000099040000}"/>
    <cellStyle name="40% - Accent5 5 3" xfId="368" xr:uid="{00000000-0005-0000-0000-00009A040000}"/>
    <cellStyle name="40% - Accent5 5 3 2" xfId="591" xr:uid="{00000000-0005-0000-0000-00009B040000}"/>
    <cellStyle name="40% - Accent5 5 3 2 2" xfId="1013" xr:uid="{00000000-0005-0000-0000-00009C040000}"/>
    <cellStyle name="40% - Accent5 5 3 2 2 2" xfId="1887" xr:uid="{00000000-0005-0000-0000-00009D040000}"/>
    <cellStyle name="40% - Accent5 5 3 2 3" xfId="1465" xr:uid="{00000000-0005-0000-0000-00009E040000}"/>
    <cellStyle name="40% - Accent5 5 3 3" xfId="808" xr:uid="{00000000-0005-0000-0000-00009F040000}"/>
    <cellStyle name="40% - Accent5 5 3 3 2" xfId="1682" xr:uid="{00000000-0005-0000-0000-0000A0040000}"/>
    <cellStyle name="40% - Accent5 5 3 4" xfId="1217" xr:uid="{00000000-0005-0000-0000-0000A1040000}"/>
    <cellStyle name="40% - Accent5 5 4" xfId="437" xr:uid="{00000000-0005-0000-0000-0000A2040000}"/>
    <cellStyle name="40% - Accent5 5 4 2" xfId="859" xr:uid="{00000000-0005-0000-0000-0000A3040000}"/>
    <cellStyle name="40% - Accent5 5 4 2 2" xfId="1733" xr:uid="{00000000-0005-0000-0000-0000A4040000}"/>
    <cellStyle name="40% - Accent5 5 4 3" xfId="1311" xr:uid="{00000000-0005-0000-0000-0000A5040000}"/>
    <cellStyle name="40% - Accent5 5 5" xfId="654" xr:uid="{00000000-0005-0000-0000-0000A6040000}"/>
    <cellStyle name="40% - Accent5 5 5 2" xfId="1528" xr:uid="{00000000-0005-0000-0000-0000A7040000}"/>
    <cellStyle name="40% - Accent5 5 6" xfId="1063" xr:uid="{00000000-0005-0000-0000-0000A8040000}"/>
    <cellStyle name="40% - Accent5 6" xfId="220" xr:uid="{00000000-0005-0000-0000-0000A9040000}"/>
    <cellStyle name="40% - Accent5 6 2" xfId="302" xr:uid="{00000000-0005-0000-0000-0000AA040000}"/>
    <cellStyle name="40% - Accent5 6 2 2" xfId="526" xr:uid="{00000000-0005-0000-0000-0000AB040000}"/>
    <cellStyle name="40% - Accent5 6 2 2 2" xfId="948" xr:uid="{00000000-0005-0000-0000-0000AC040000}"/>
    <cellStyle name="40% - Accent5 6 2 2 2 2" xfId="1822" xr:uid="{00000000-0005-0000-0000-0000AD040000}"/>
    <cellStyle name="40% - Accent5 6 2 2 3" xfId="1400" xr:uid="{00000000-0005-0000-0000-0000AE040000}"/>
    <cellStyle name="40% - Accent5 6 2 3" xfId="743" xr:uid="{00000000-0005-0000-0000-0000AF040000}"/>
    <cellStyle name="40% - Accent5 6 2 3 2" xfId="1617" xr:uid="{00000000-0005-0000-0000-0000B0040000}"/>
    <cellStyle name="40% - Accent5 6 2 4" xfId="1152" xr:uid="{00000000-0005-0000-0000-0000B1040000}"/>
    <cellStyle name="40% - Accent5 6 3" xfId="450" xr:uid="{00000000-0005-0000-0000-0000B2040000}"/>
    <cellStyle name="40% - Accent5 6 3 2" xfId="872" xr:uid="{00000000-0005-0000-0000-0000B3040000}"/>
    <cellStyle name="40% - Accent5 6 3 2 2" xfId="1746" xr:uid="{00000000-0005-0000-0000-0000B4040000}"/>
    <cellStyle name="40% - Accent5 6 3 3" xfId="1324" xr:uid="{00000000-0005-0000-0000-0000B5040000}"/>
    <cellStyle name="40% - Accent5 6 4" xfId="667" xr:uid="{00000000-0005-0000-0000-0000B6040000}"/>
    <cellStyle name="40% - Accent5 6 4 2" xfId="1541" xr:uid="{00000000-0005-0000-0000-0000B7040000}"/>
    <cellStyle name="40% - Accent5 6 5" xfId="1076" xr:uid="{00000000-0005-0000-0000-0000B8040000}"/>
    <cellStyle name="40% - Accent5 7" xfId="233" xr:uid="{00000000-0005-0000-0000-0000B9040000}"/>
    <cellStyle name="40% - Accent5 7 2" xfId="463" xr:uid="{00000000-0005-0000-0000-0000BA040000}"/>
    <cellStyle name="40% - Accent5 7 2 2" xfId="885" xr:uid="{00000000-0005-0000-0000-0000BB040000}"/>
    <cellStyle name="40% - Accent5 7 2 2 2" xfId="1759" xr:uid="{00000000-0005-0000-0000-0000BC040000}"/>
    <cellStyle name="40% - Accent5 7 2 3" xfId="1337" xr:uid="{00000000-0005-0000-0000-0000BD040000}"/>
    <cellStyle name="40% - Accent5 7 3" xfId="680" xr:uid="{00000000-0005-0000-0000-0000BE040000}"/>
    <cellStyle name="40% - Accent5 7 3 2" xfId="1554" xr:uid="{00000000-0005-0000-0000-0000BF040000}"/>
    <cellStyle name="40% - Accent5 7 4" xfId="1089" xr:uid="{00000000-0005-0000-0000-0000C0040000}"/>
    <cellStyle name="40% - Accent5 8" xfId="253" xr:uid="{00000000-0005-0000-0000-0000C1040000}"/>
    <cellStyle name="40% - Accent5 8 2" xfId="477" xr:uid="{00000000-0005-0000-0000-0000C2040000}"/>
    <cellStyle name="40% - Accent5 8 2 2" xfId="899" xr:uid="{00000000-0005-0000-0000-0000C3040000}"/>
    <cellStyle name="40% - Accent5 8 2 2 2" xfId="1773" xr:uid="{00000000-0005-0000-0000-0000C4040000}"/>
    <cellStyle name="40% - Accent5 8 2 3" xfId="1351" xr:uid="{00000000-0005-0000-0000-0000C5040000}"/>
    <cellStyle name="40% - Accent5 8 3" xfId="694" xr:uid="{00000000-0005-0000-0000-0000C6040000}"/>
    <cellStyle name="40% - Accent5 8 3 2" xfId="1568" xr:uid="{00000000-0005-0000-0000-0000C7040000}"/>
    <cellStyle name="40% - Accent5 8 4" xfId="1103" xr:uid="{00000000-0005-0000-0000-0000C8040000}"/>
    <cellStyle name="40% - Accent5 9" xfId="316" xr:uid="{00000000-0005-0000-0000-0000C9040000}"/>
    <cellStyle name="40% - Accent5 9 2" xfId="540" xr:uid="{00000000-0005-0000-0000-0000CA040000}"/>
    <cellStyle name="40% - Accent5 9 2 2" xfId="962" xr:uid="{00000000-0005-0000-0000-0000CB040000}"/>
    <cellStyle name="40% - Accent5 9 2 2 2" xfId="1836" xr:uid="{00000000-0005-0000-0000-0000CC040000}"/>
    <cellStyle name="40% - Accent5 9 2 3" xfId="1414" xr:uid="{00000000-0005-0000-0000-0000CD040000}"/>
    <cellStyle name="40% - Accent5 9 3" xfId="757" xr:uid="{00000000-0005-0000-0000-0000CE040000}"/>
    <cellStyle name="40% - Accent5 9 3 2" xfId="1631" xr:uid="{00000000-0005-0000-0000-0000CF040000}"/>
    <cellStyle name="40% - Accent5 9 4" xfId="1166" xr:uid="{00000000-0005-0000-0000-0000D0040000}"/>
    <cellStyle name="40% - Accent6" xfId="74" builtinId="51" customBuiltin="1"/>
    <cellStyle name="40% - Accent6 10" xfId="332" xr:uid="{00000000-0005-0000-0000-0000D2040000}"/>
    <cellStyle name="40% - Accent6 10 2" xfId="555" xr:uid="{00000000-0005-0000-0000-0000D3040000}"/>
    <cellStyle name="40% - Accent6 10 2 2" xfId="977" xr:uid="{00000000-0005-0000-0000-0000D4040000}"/>
    <cellStyle name="40% - Accent6 10 2 2 2" xfId="1851" xr:uid="{00000000-0005-0000-0000-0000D5040000}"/>
    <cellStyle name="40% - Accent6 10 2 3" xfId="1429" xr:uid="{00000000-0005-0000-0000-0000D6040000}"/>
    <cellStyle name="40% - Accent6 10 3" xfId="772" xr:uid="{00000000-0005-0000-0000-0000D7040000}"/>
    <cellStyle name="40% - Accent6 10 3 2" xfId="1646" xr:uid="{00000000-0005-0000-0000-0000D8040000}"/>
    <cellStyle name="40% - Accent6 10 4" xfId="1181" xr:uid="{00000000-0005-0000-0000-0000D9040000}"/>
    <cellStyle name="40% - Accent6 11" xfId="403" xr:uid="{00000000-0005-0000-0000-0000DA040000}"/>
    <cellStyle name="40% - Accent6 11 2" xfId="620" xr:uid="{00000000-0005-0000-0000-0000DB040000}"/>
    <cellStyle name="40% - Accent6 11 2 2" xfId="1494" xr:uid="{00000000-0005-0000-0000-0000DC040000}"/>
    <cellStyle name="40% - Accent6 11 3" xfId="1277" xr:uid="{00000000-0005-0000-0000-0000DD040000}"/>
    <cellStyle name="40% - Accent6 12" xfId="383" xr:uid="{00000000-0005-0000-0000-0000DE040000}"/>
    <cellStyle name="40% - Accent6 12 2" xfId="823" xr:uid="{00000000-0005-0000-0000-0000DF040000}"/>
    <cellStyle name="40% - Accent6 12 2 2" xfId="1697" xr:uid="{00000000-0005-0000-0000-0000E0040000}"/>
    <cellStyle name="40% - Accent6 12 3" xfId="1263" xr:uid="{00000000-0005-0000-0000-0000E1040000}"/>
    <cellStyle name="40% - Accent6 13" xfId="606" xr:uid="{00000000-0005-0000-0000-0000E2040000}"/>
    <cellStyle name="40% - Accent6 13 2" xfId="1480" xr:uid="{00000000-0005-0000-0000-0000E3040000}"/>
    <cellStyle name="40% - Accent6 14" xfId="1029" xr:uid="{00000000-0005-0000-0000-0000E4040000}"/>
    <cellStyle name="40% - Accent6 15" xfId="1909" xr:uid="{529279AE-B2AF-47B5-B78A-A7475596D2B8}"/>
    <cellStyle name="40% - Accent6 2" xfId="149" xr:uid="{00000000-0005-0000-0000-0000E5040000}"/>
    <cellStyle name="40% - Accent6 2 2" xfId="1250" xr:uid="{00000000-0005-0000-0000-0000E6040000}"/>
    <cellStyle name="40% - Accent6 3" xfId="188" xr:uid="{00000000-0005-0000-0000-0000E7040000}"/>
    <cellStyle name="40% - Accent6 3 2" xfId="273" xr:uid="{00000000-0005-0000-0000-0000E8040000}"/>
    <cellStyle name="40% - Accent6 3 2 2" xfId="497" xr:uid="{00000000-0005-0000-0000-0000E9040000}"/>
    <cellStyle name="40% - Accent6 3 2 2 2" xfId="919" xr:uid="{00000000-0005-0000-0000-0000EA040000}"/>
    <cellStyle name="40% - Accent6 3 2 2 2 2" xfId="1793" xr:uid="{00000000-0005-0000-0000-0000EB040000}"/>
    <cellStyle name="40% - Accent6 3 2 2 3" xfId="1371" xr:uid="{00000000-0005-0000-0000-0000EC040000}"/>
    <cellStyle name="40% - Accent6 3 2 3" xfId="714" xr:uid="{00000000-0005-0000-0000-0000ED040000}"/>
    <cellStyle name="40% - Accent6 3 2 3 2" xfId="1588" xr:uid="{00000000-0005-0000-0000-0000EE040000}"/>
    <cellStyle name="40% - Accent6 3 2 4" xfId="1123" xr:uid="{00000000-0005-0000-0000-0000EF040000}"/>
    <cellStyle name="40% - Accent6 3 3" xfId="352" xr:uid="{00000000-0005-0000-0000-0000F0040000}"/>
    <cellStyle name="40% - Accent6 3 3 2" xfId="575" xr:uid="{00000000-0005-0000-0000-0000F1040000}"/>
    <cellStyle name="40% - Accent6 3 3 2 2" xfId="997" xr:uid="{00000000-0005-0000-0000-0000F2040000}"/>
    <cellStyle name="40% - Accent6 3 3 2 2 2" xfId="1871" xr:uid="{00000000-0005-0000-0000-0000F3040000}"/>
    <cellStyle name="40% - Accent6 3 3 2 3" xfId="1449" xr:uid="{00000000-0005-0000-0000-0000F4040000}"/>
    <cellStyle name="40% - Accent6 3 3 3" xfId="792" xr:uid="{00000000-0005-0000-0000-0000F5040000}"/>
    <cellStyle name="40% - Accent6 3 3 3 2" xfId="1666" xr:uid="{00000000-0005-0000-0000-0000F6040000}"/>
    <cellStyle name="40% - Accent6 3 3 4" xfId="1201" xr:uid="{00000000-0005-0000-0000-0000F7040000}"/>
    <cellStyle name="40% - Accent6 3 4" xfId="421" xr:uid="{00000000-0005-0000-0000-0000F8040000}"/>
    <cellStyle name="40% - Accent6 3 4 2" xfId="843" xr:uid="{00000000-0005-0000-0000-0000F9040000}"/>
    <cellStyle name="40% - Accent6 3 4 2 2" xfId="1717" xr:uid="{00000000-0005-0000-0000-0000FA040000}"/>
    <cellStyle name="40% - Accent6 3 4 3" xfId="1295" xr:uid="{00000000-0005-0000-0000-0000FB040000}"/>
    <cellStyle name="40% - Accent6 3 5" xfId="638" xr:uid="{00000000-0005-0000-0000-0000FC040000}"/>
    <cellStyle name="40% - Accent6 3 5 2" xfId="1512" xr:uid="{00000000-0005-0000-0000-0000FD040000}"/>
    <cellStyle name="40% - Accent6 3 6" xfId="1047" xr:uid="{00000000-0005-0000-0000-0000FE040000}"/>
    <cellStyle name="40% - Accent6 4" xfId="132" xr:uid="{00000000-0005-0000-0000-0000FF040000}"/>
    <cellStyle name="40% - Accent6 4 2" xfId="1235" xr:uid="{00000000-0005-0000-0000-000000050000}"/>
    <cellStyle name="40% - Accent6 5" xfId="209" xr:uid="{00000000-0005-0000-0000-000001050000}"/>
    <cellStyle name="40% - Accent6 5 2" xfId="291" xr:uid="{00000000-0005-0000-0000-000002050000}"/>
    <cellStyle name="40% - Accent6 5 2 2" xfId="515" xr:uid="{00000000-0005-0000-0000-000003050000}"/>
    <cellStyle name="40% - Accent6 5 2 2 2" xfId="937" xr:uid="{00000000-0005-0000-0000-000004050000}"/>
    <cellStyle name="40% - Accent6 5 2 2 2 2" xfId="1811" xr:uid="{00000000-0005-0000-0000-000005050000}"/>
    <cellStyle name="40% - Accent6 5 2 2 3" xfId="1389" xr:uid="{00000000-0005-0000-0000-000006050000}"/>
    <cellStyle name="40% - Accent6 5 2 3" xfId="732" xr:uid="{00000000-0005-0000-0000-000007050000}"/>
    <cellStyle name="40% - Accent6 5 2 3 2" xfId="1606" xr:uid="{00000000-0005-0000-0000-000008050000}"/>
    <cellStyle name="40% - Accent6 5 2 4" xfId="1141" xr:uid="{00000000-0005-0000-0000-000009050000}"/>
    <cellStyle name="40% - Accent6 5 3" xfId="370" xr:uid="{00000000-0005-0000-0000-00000A050000}"/>
    <cellStyle name="40% - Accent6 5 3 2" xfId="593" xr:uid="{00000000-0005-0000-0000-00000B050000}"/>
    <cellStyle name="40% - Accent6 5 3 2 2" xfId="1015" xr:uid="{00000000-0005-0000-0000-00000C050000}"/>
    <cellStyle name="40% - Accent6 5 3 2 2 2" xfId="1889" xr:uid="{00000000-0005-0000-0000-00000D050000}"/>
    <cellStyle name="40% - Accent6 5 3 2 3" xfId="1467" xr:uid="{00000000-0005-0000-0000-00000E050000}"/>
    <cellStyle name="40% - Accent6 5 3 3" xfId="810" xr:uid="{00000000-0005-0000-0000-00000F050000}"/>
    <cellStyle name="40% - Accent6 5 3 3 2" xfId="1684" xr:uid="{00000000-0005-0000-0000-000010050000}"/>
    <cellStyle name="40% - Accent6 5 3 4" xfId="1219" xr:uid="{00000000-0005-0000-0000-000011050000}"/>
    <cellStyle name="40% - Accent6 5 4" xfId="439" xr:uid="{00000000-0005-0000-0000-000012050000}"/>
    <cellStyle name="40% - Accent6 5 4 2" xfId="861" xr:uid="{00000000-0005-0000-0000-000013050000}"/>
    <cellStyle name="40% - Accent6 5 4 2 2" xfId="1735" xr:uid="{00000000-0005-0000-0000-000014050000}"/>
    <cellStyle name="40% - Accent6 5 4 3" xfId="1313" xr:uid="{00000000-0005-0000-0000-000015050000}"/>
    <cellStyle name="40% - Accent6 5 5" xfId="656" xr:uid="{00000000-0005-0000-0000-000016050000}"/>
    <cellStyle name="40% - Accent6 5 5 2" xfId="1530" xr:uid="{00000000-0005-0000-0000-000017050000}"/>
    <cellStyle name="40% - Accent6 5 6" xfId="1065" xr:uid="{00000000-0005-0000-0000-000018050000}"/>
    <cellStyle name="40% - Accent6 6" xfId="222" xr:uid="{00000000-0005-0000-0000-000019050000}"/>
    <cellStyle name="40% - Accent6 6 2" xfId="304" xr:uid="{00000000-0005-0000-0000-00001A050000}"/>
    <cellStyle name="40% - Accent6 6 2 2" xfId="528" xr:uid="{00000000-0005-0000-0000-00001B050000}"/>
    <cellStyle name="40% - Accent6 6 2 2 2" xfId="950" xr:uid="{00000000-0005-0000-0000-00001C050000}"/>
    <cellStyle name="40% - Accent6 6 2 2 2 2" xfId="1824" xr:uid="{00000000-0005-0000-0000-00001D050000}"/>
    <cellStyle name="40% - Accent6 6 2 2 3" xfId="1402" xr:uid="{00000000-0005-0000-0000-00001E050000}"/>
    <cellStyle name="40% - Accent6 6 2 3" xfId="745" xr:uid="{00000000-0005-0000-0000-00001F050000}"/>
    <cellStyle name="40% - Accent6 6 2 3 2" xfId="1619" xr:uid="{00000000-0005-0000-0000-000020050000}"/>
    <cellStyle name="40% - Accent6 6 2 4" xfId="1154" xr:uid="{00000000-0005-0000-0000-000021050000}"/>
    <cellStyle name="40% - Accent6 6 3" xfId="452" xr:uid="{00000000-0005-0000-0000-000022050000}"/>
    <cellStyle name="40% - Accent6 6 3 2" xfId="874" xr:uid="{00000000-0005-0000-0000-000023050000}"/>
    <cellStyle name="40% - Accent6 6 3 2 2" xfId="1748" xr:uid="{00000000-0005-0000-0000-000024050000}"/>
    <cellStyle name="40% - Accent6 6 3 3" xfId="1326" xr:uid="{00000000-0005-0000-0000-000025050000}"/>
    <cellStyle name="40% - Accent6 6 4" xfId="669" xr:uid="{00000000-0005-0000-0000-000026050000}"/>
    <cellStyle name="40% - Accent6 6 4 2" xfId="1543" xr:uid="{00000000-0005-0000-0000-000027050000}"/>
    <cellStyle name="40% - Accent6 6 5" xfId="1078" xr:uid="{00000000-0005-0000-0000-000028050000}"/>
    <cellStyle name="40% - Accent6 7" xfId="235" xr:uid="{00000000-0005-0000-0000-000029050000}"/>
    <cellStyle name="40% - Accent6 7 2" xfId="465" xr:uid="{00000000-0005-0000-0000-00002A050000}"/>
    <cellStyle name="40% - Accent6 7 2 2" xfId="887" xr:uid="{00000000-0005-0000-0000-00002B050000}"/>
    <cellStyle name="40% - Accent6 7 2 2 2" xfId="1761" xr:uid="{00000000-0005-0000-0000-00002C050000}"/>
    <cellStyle name="40% - Accent6 7 2 3" xfId="1339" xr:uid="{00000000-0005-0000-0000-00002D050000}"/>
    <cellStyle name="40% - Accent6 7 3" xfId="682" xr:uid="{00000000-0005-0000-0000-00002E050000}"/>
    <cellStyle name="40% - Accent6 7 3 2" xfId="1556" xr:uid="{00000000-0005-0000-0000-00002F050000}"/>
    <cellStyle name="40% - Accent6 7 4" xfId="1091" xr:uid="{00000000-0005-0000-0000-000030050000}"/>
    <cellStyle name="40% - Accent6 8" xfId="255" xr:uid="{00000000-0005-0000-0000-000031050000}"/>
    <cellStyle name="40% - Accent6 8 2" xfId="479" xr:uid="{00000000-0005-0000-0000-000032050000}"/>
    <cellStyle name="40% - Accent6 8 2 2" xfId="901" xr:uid="{00000000-0005-0000-0000-000033050000}"/>
    <cellStyle name="40% - Accent6 8 2 2 2" xfId="1775" xr:uid="{00000000-0005-0000-0000-000034050000}"/>
    <cellStyle name="40% - Accent6 8 2 3" xfId="1353" xr:uid="{00000000-0005-0000-0000-000035050000}"/>
    <cellStyle name="40% - Accent6 8 3" xfId="696" xr:uid="{00000000-0005-0000-0000-000036050000}"/>
    <cellStyle name="40% - Accent6 8 3 2" xfId="1570" xr:uid="{00000000-0005-0000-0000-000037050000}"/>
    <cellStyle name="40% - Accent6 8 4" xfId="1105" xr:uid="{00000000-0005-0000-0000-000038050000}"/>
    <cellStyle name="40% - Accent6 9" xfId="318" xr:uid="{00000000-0005-0000-0000-000039050000}"/>
    <cellStyle name="40% - Accent6 9 2" xfId="542" xr:uid="{00000000-0005-0000-0000-00003A050000}"/>
    <cellStyle name="40% - Accent6 9 2 2" xfId="964" xr:uid="{00000000-0005-0000-0000-00003B050000}"/>
    <cellStyle name="40% - Accent6 9 2 2 2" xfId="1838" xr:uid="{00000000-0005-0000-0000-00003C050000}"/>
    <cellStyle name="40% - Accent6 9 2 3" xfId="1416" xr:uid="{00000000-0005-0000-0000-00003D050000}"/>
    <cellStyle name="40% - Accent6 9 3" xfId="759" xr:uid="{00000000-0005-0000-0000-00003E050000}"/>
    <cellStyle name="40% - Accent6 9 3 2" xfId="1633" xr:uid="{00000000-0005-0000-0000-00003F050000}"/>
    <cellStyle name="40% - Accent6 9 4" xfId="1168" xr:uid="{00000000-0005-0000-0000-000040050000}"/>
    <cellStyle name="60% - Accent1" xfId="55" builtinId="32" customBuiltin="1"/>
    <cellStyle name="60% - Accent1 2" xfId="169" xr:uid="{00000000-0005-0000-0000-000042050000}"/>
    <cellStyle name="60% - Accent1 3" xfId="85" xr:uid="{00000000-0005-0000-0000-000043050000}"/>
    <cellStyle name="60% - Accent1 4" xfId="1895" xr:uid="{3A6FEF31-DDC1-4BC6-A498-3068096772D9}"/>
    <cellStyle name="60% - Accent2" xfId="59" builtinId="36" customBuiltin="1"/>
    <cellStyle name="60% - Accent2 2" xfId="173" xr:uid="{00000000-0005-0000-0000-000045050000}"/>
    <cellStyle name="60% - Accent2 3" xfId="117" xr:uid="{00000000-0005-0000-0000-000046050000}"/>
    <cellStyle name="60% - Accent2 4" xfId="1898" xr:uid="{3A93B2E2-14B9-4D4F-8A84-BD0FB4AE6367}"/>
    <cellStyle name="60% - Accent3" xfId="63" builtinId="40" customBuiltin="1"/>
    <cellStyle name="60% - Accent3 2" xfId="177" xr:uid="{00000000-0005-0000-0000-000048050000}"/>
    <cellStyle name="60% - Accent3 3" xfId="121" xr:uid="{00000000-0005-0000-0000-000049050000}"/>
    <cellStyle name="60% - Accent3 4" xfId="1901" xr:uid="{8092EDDD-AADD-4DE4-9E92-B29D9F29704C}"/>
    <cellStyle name="60% - Accent4" xfId="67" builtinId="44" customBuiltin="1"/>
    <cellStyle name="60% - Accent4 2" xfId="181" xr:uid="{00000000-0005-0000-0000-00004B050000}"/>
    <cellStyle name="60% - Accent4 3" xfId="125" xr:uid="{00000000-0005-0000-0000-00004C050000}"/>
    <cellStyle name="60% - Accent4 4" xfId="1904" xr:uid="{70D830D4-2C38-40DE-9F49-C26B00A62EC5}"/>
    <cellStyle name="60% - Accent5" xfId="71" builtinId="48" customBuiltin="1"/>
    <cellStyle name="60% - Accent5 2" xfId="185" xr:uid="{00000000-0005-0000-0000-00004E050000}"/>
    <cellStyle name="60% - Accent5 3" xfId="129" xr:uid="{00000000-0005-0000-0000-00004F050000}"/>
    <cellStyle name="60% - Accent5 4" xfId="1907" xr:uid="{27DA9932-3E4D-4B42-A184-C152D3FCE976}"/>
    <cellStyle name="60% - Accent6" xfId="75" builtinId="52" customBuiltin="1"/>
    <cellStyle name="60% - Accent6 2" xfId="189" xr:uid="{00000000-0005-0000-0000-000051050000}"/>
    <cellStyle name="60% - Accent6 3" xfId="133" xr:uid="{00000000-0005-0000-0000-000052050000}"/>
    <cellStyle name="60% - Accent6 4" xfId="1910" xr:uid="{8C632AF9-256C-4895-870D-9938B5A4396B}"/>
    <cellStyle name="Accent1" xfId="52" builtinId="29" customBuiltin="1"/>
    <cellStyle name="Accent1 2" xfId="166" xr:uid="{00000000-0005-0000-0000-000054050000}"/>
    <cellStyle name="Accent1 3" xfId="94" xr:uid="{00000000-0005-0000-0000-000055050000}"/>
    <cellStyle name="Accent2" xfId="56" builtinId="33" customBuiltin="1"/>
    <cellStyle name="Accent2 2" xfId="170" xr:uid="{00000000-0005-0000-0000-000057050000}"/>
    <cellStyle name="Accent2 3" xfId="81" xr:uid="{00000000-0005-0000-0000-000058050000}"/>
    <cellStyle name="Accent3" xfId="60" builtinId="37" customBuiltin="1"/>
    <cellStyle name="Accent3 2" xfId="174" xr:uid="{00000000-0005-0000-0000-00005A050000}"/>
    <cellStyle name="Accent3 3" xfId="118" xr:uid="{00000000-0005-0000-0000-00005B050000}"/>
    <cellStyle name="Accent4" xfId="64" builtinId="41" customBuiltin="1"/>
    <cellStyle name="Accent4 2" xfId="178" xr:uid="{00000000-0005-0000-0000-00005D050000}"/>
    <cellStyle name="Accent4 3" xfId="122" xr:uid="{00000000-0005-0000-0000-00005E050000}"/>
    <cellStyle name="Accent5" xfId="68" builtinId="45" customBuiltin="1"/>
    <cellStyle name="Accent5 2" xfId="182" xr:uid="{00000000-0005-0000-0000-000060050000}"/>
    <cellStyle name="Accent5 3" xfId="126" xr:uid="{00000000-0005-0000-0000-000061050000}"/>
    <cellStyle name="Accent6" xfId="72" builtinId="49" customBuiltin="1"/>
    <cellStyle name="Accent6 2" xfId="186" xr:uid="{00000000-0005-0000-0000-000063050000}"/>
    <cellStyle name="Accent6 3" xfId="130" xr:uid="{00000000-0005-0000-0000-000064050000}"/>
    <cellStyle name="Bad" xfId="42" builtinId="27" customBuiltin="1"/>
    <cellStyle name="Bad 2" xfId="155" xr:uid="{00000000-0005-0000-0000-000066050000}"/>
    <cellStyle name="Bad 3" xfId="90" xr:uid="{00000000-0005-0000-0000-000067050000}"/>
    <cellStyle name="Body: normal cell" xfId="33" xr:uid="{00000000-0005-0000-0000-000068050000}"/>
    <cellStyle name="Body: normal cell 2" xfId="112" xr:uid="{00000000-0005-0000-0000-000069050000}"/>
    <cellStyle name="Body: normal cell 3" xfId="242" xr:uid="{00000000-0005-0000-0000-00006A050000}"/>
    <cellStyle name="Body: normal cell 4" xfId="390" xr:uid="{00000000-0005-0000-0000-00006B050000}"/>
    <cellStyle name="Calc MMM-YYYY" xfId="2" xr:uid="{00000000-0005-0000-0000-00006C050000}"/>
    <cellStyle name="Calc-Centerable" xfId="3" xr:uid="{00000000-0005-0000-0000-00006D050000}"/>
    <cellStyle name="Calculated $" xfId="4" xr:uid="{00000000-0005-0000-0000-00006E050000}"/>
    <cellStyle name="Calculated .00" xfId="5" xr:uid="{00000000-0005-0000-0000-00006F050000}"/>
    <cellStyle name="Calculated Cell" xfId="6" xr:uid="{00000000-0005-0000-0000-000070050000}"/>
    <cellStyle name="Calculated Cell (000)" xfId="7" xr:uid="{00000000-0005-0000-0000-000071050000}"/>
    <cellStyle name="Calculated Percent" xfId="8" xr:uid="{00000000-0005-0000-0000-000072050000}"/>
    <cellStyle name="Calculated Right Align" xfId="9" xr:uid="{00000000-0005-0000-0000-000073050000}"/>
    <cellStyle name="Calculated Year" xfId="10" xr:uid="{00000000-0005-0000-0000-000074050000}"/>
    <cellStyle name="Calculation" xfId="46" builtinId="22" customBuiltin="1"/>
    <cellStyle name="Calculation 2" xfId="159" xr:uid="{00000000-0005-0000-0000-000076050000}"/>
    <cellStyle name="Calculation 3" xfId="95" xr:uid="{00000000-0005-0000-0000-000077050000}"/>
    <cellStyle name="Check Cell" xfId="48" builtinId="23" customBuiltin="1"/>
    <cellStyle name="Check Cell 2" xfId="161" xr:uid="{00000000-0005-0000-0000-000079050000}"/>
    <cellStyle name="Check Cell 3" xfId="89" xr:uid="{00000000-0005-0000-0000-00007A050000}"/>
    <cellStyle name="Comma" xfId="11" builtinId="3"/>
    <cellStyle name="Comma 2" xfId="111" xr:uid="{00000000-0005-0000-0000-00007C050000}"/>
    <cellStyle name="Comma 3" xfId="237" xr:uid="{00000000-0005-0000-0000-00007D050000}"/>
    <cellStyle name="Comma 4" xfId="385" xr:uid="{00000000-0005-0000-0000-00007E050000}"/>
    <cellStyle name="Currency" xfId="12" builtinId="4"/>
    <cellStyle name="Currency 2" xfId="109" xr:uid="{00000000-0005-0000-0000-000080050000}"/>
    <cellStyle name="Currency 3" xfId="238" xr:uid="{00000000-0005-0000-0000-000081050000}"/>
    <cellStyle name="Currency 4" xfId="386" xr:uid="{00000000-0005-0000-0000-000082050000}"/>
    <cellStyle name="Explanatory Text" xfId="50" builtinId="53" customBuiltin="1"/>
    <cellStyle name="Explanatory Text 2" xfId="164" xr:uid="{00000000-0005-0000-0000-000084050000}"/>
    <cellStyle name="Explanatory Text 3" xfId="82" xr:uid="{00000000-0005-0000-0000-000085050000}"/>
    <cellStyle name="Font: Calibri, 9pt regular" xfId="107" xr:uid="{00000000-0005-0000-0000-000086050000}"/>
    <cellStyle name="Footnotes: top row" xfId="108" xr:uid="{00000000-0005-0000-0000-000087050000}"/>
    <cellStyle name="Good" xfId="41" builtinId="26" customBuiltin="1"/>
    <cellStyle name="Good 2" xfId="154" xr:uid="{00000000-0005-0000-0000-000089050000}"/>
    <cellStyle name="Good 3" xfId="93" xr:uid="{00000000-0005-0000-0000-00008A050000}"/>
    <cellStyle name="Greyed-Out" xfId="13" xr:uid="{00000000-0005-0000-0000-00008B050000}"/>
    <cellStyle name="Header: bottom row" xfId="106" xr:uid="{00000000-0005-0000-0000-00008C050000}"/>
    <cellStyle name="Heading" xfId="14" xr:uid="{00000000-0005-0000-0000-00008D050000}"/>
    <cellStyle name="Heading 1" xfId="37" builtinId="16" customBuiltin="1"/>
    <cellStyle name="Heading 1 2" xfId="150" xr:uid="{00000000-0005-0000-0000-00008F050000}"/>
    <cellStyle name="Heading 1 3" xfId="84" xr:uid="{00000000-0005-0000-0000-000090050000}"/>
    <cellStyle name="Heading 2" xfId="38" builtinId="17" customBuiltin="1"/>
    <cellStyle name="Heading 2 2" xfId="151" xr:uid="{00000000-0005-0000-0000-000092050000}"/>
    <cellStyle name="Heading 2 3" xfId="80" xr:uid="{00000000-0005-0000-0000-000093050000}"/>
    <cellStyle name="Heading 3" xfId="39" builtinId="18" customBuiltin="1"/>
    <cellStyle name="Heading 3 2" xfId="152" xr:uid="{00000000-0005-0000-0000-000095050000}"/>
    <cellStyle name="Heading 3 3" xfId="100" xr:uid="{00000000-0005-0000-0000-000096050000}"/>
    <cellStyle name="Heading 4" xfId="40" builtinId="19" customBuiltin="1"/>
    <cellStyle name="Heading 4 2" xfId="153" xr:uid="{00000000-0005-0000-0000-000098050000}"/>
    <cellStyle name="Heading 4 3" xfId="96" xr:uid="{00000000-0005-0000-0000-000099050000}"/>
    <cellStyle name="Hidden Error Message" xfId="15" xr:uid="{00000000-0005-0000-0000-00009A050000}"/>
    <cellStyle name="hide contents" xfId="16" xr:uid="{00000000-0005-0000-0000-00009B050000}"/>
    <cellStyle name="Hyperlink" xfId="17" builtinId="8"/>
    <cellStyle name="Hyperlink 2" xfId="136" xr:uid="{00000000-0005-0000-0000-00009D050000}"/>
    <cellStyle name="Hyperlink 3" xfId="190" xr:uid="{00000000-0005-0000-0000-00009E050000}"/>
    <cellStyle name="Hyperlink 4" xfId="239" xr:uid="{00000000-0005-0000-0000-00009F050000}"/>
    <cellStyle name="Hyperlink 5" xfId="387" xr:uid="{00000000-0005-0000-0000-0000A0050000}"/>
    <cellStyle name="Hyperlink 6" xfId="1221" xr:uid="{00000000-0005-0000-0000-0000A1050000}"/>
    <cellStyle name="Imported Cell" xfId="18" xr:uid="{00000000-0005-0000-0000-0000A2050000}"/>
    <cellStyle name="Imported Date" xfId="19" xr:uid="{00000000-0005-0000-0000-0000A3050000}"/>
    <cellStyle name="Imported Internal Cell" xfId="20" xr:uid="{00000000-0005-0000-0000-0000A4050000}"/>
    <cellStyle name="Imported Internal Year" xfId="21" xr:uid="{00000000-0005-0000-0000-0000A5050000}"/>
    <cellStyle name="Imported Percent" xfId="22" xr:uid="{00000000-0005-0000-0000-0000A6050000}"/>
    <cellStyle name="Imported Text" xfId="23" xr:uid="{00000000-0005-0000-0000-0000A7050000}"/>
    <cellStyle name="Input" xfId="44" builtinId="20" customBuiltin="1"/>
    <cellStyle name="Input 2" xfId="157" xr:uid="{00000000-0005-0000-0000-0000A9050000}"/>
    <cellStyle name="Input 3" xfId="83" xr:uid="{00000000-0005-0000-0000-0000AA050000}"/>
    <cellStyle name="Linked Cell" xfId="47" builtinId="24" customBuiltin="1"/>
    <cellStyle name="Linked Cell 2" xfId="160" xr:uid="{00000000-0005-0000-0000-0000AC050000}"/>
    <cellStyle name="Linked Cell 3" xfId="92" xr:uid="{00000000-0005-0000-0000-0000AD050000}"/>
    <cellStyle name="Locked Range" xfId="24" xr:uid="{00000000-0005-0000-0000-0000AE050000}"/>
    <cellStyle name="Narrow Right" xfId="25" xr:uid="{00000000-0005-0000-0000-0000AF050000}"/>
    <cellStyle name="Neutral" xfId="43" builtinId="28" customBuiltin="1"/>
    <cellStyle name="Neutral 2" xfId="156" xr:uid="{00000000-0005-0000-0000-0000B1050000}"/>
    <cellStyle name="Neutral 3" xfId="87" xr:uid="{00000000-0005-0000-0000-0000B2050000}"/>
    <cellStyle name="Neutral 4" xfId="1891" xr:uid="{535EF793-F8F6-4CD2-8FB0-B6EF33534089}"/>
    <cellStyle name="Normal" xfId="0" builtinId="0"/>
    <cellStyle name="Normal 2" xfId="32" xr:uid="{00000000-0005-0000-0000-0000B4050000}"/>
    <cellStyle name="Normal 2 10" xfId="1222" xr:uid="{00000000-0005-0000-0000-0000B5050000}"/>
    <cellStyle name="Normal 2 2" xfId="35" xr:uid="{00000000-0005-0000-0000-0000B6050000}"/>
    <cellStyle name="Normal 2 2 2" xfId="114" xr:uid="{00000000-0005-0000-0000-0000B7050000}"/>
    <cellStyle name="Normal 2 2 2 2" xfId="259" xr:uid="{00000000-0005-0000-0000-0000B8050000}"/>
    <cellStyle name="Normal 2 2 2 2 2" xfId="483" xr:uid="{00000000-0005-0000-0000-0000B9050000}"/>
    <cellStyle name="Normal 2 2 2 2 2 2" xfId="905" xr:uid="{00000000-0005-0000-0000-0000BA050000}"/>
    <cellStyle name="Normal 2 2 2 2 2 2 2" xfId="1779" xr:uid="{00000000-0005-0000-0000-0000BB050000}"/>
    <cellStyle name="Normal 2 2 2 2 2 3" xfId="1357" xr:uid="{00000000-0005-0000-0000-0000BC050000}"/>
    <cellStyle name="Normal 2 2 2 2 3" xfId="700" xr:uid="{00000000-0005-0000-0000-0000BD050000}"/>
    <cellStyle name="Normal 2 2 2 2 3 2" xfId="1574" xr:uid="{00000000-0005-0000-0000-0000BE050000}"/>
    <cellStyle name="Normal 2 2 2 2 4" xfId="1109" xr:uid="{00000000-0005-0000-0000-0000BF050000}"/>
    <cellStyle name="Normal 2 2 2 3" xfId="338" xr:uid="{00000000-0005-0000-0000-0000C0050000}"/>
    <cellStyle name="Normal 2 2 2 3 2" xfId="561" xr:uid="{00000000-0005-0000-0000-0000C1050000}"/>
    <cellStyle name="Normal 2 2 2 3 2 2" xfId="983" xr:uid="{00000000-0005-0000-0000-0000C2050000}"/>
    <cellStyle name="Normal 2 2 2 3 2 2 2" xfId="1857" xr:uid="{00000000-0005-0000-0000-0000C3050000}"/>
    <cellStyle name="Normal 2 2 2 3 2 3" xfId="1435" xr:uid="{00000000-0005-0000-0000-0000C4050000}"/>
    <cellStyle name="Normal 2 2 2 3 3" xfId="778" xr:uid="{00000000-0005-0000-0000-0000C5050000}"/>
    <cellStyle name="Normal 2 2 2 3 3 2" xfId="1652" xr:uid="{00000000-0005-0000-0000-0000C6050000}"/>
    <cellStyle name="Normal 2 2 2 3 4" xfId="1187" xr:uid="{00000000-0005-0000-0000-0000C7050000}"/>
    <cellStyle name="Normal 2 2 2 4" xfId="407" xr:uid="{00000000-0005-0000-0000-0000C8050000}"/>
    <cellStyle name="Normal 2 2 2 4 2" xfId="829" xr:uid="{00000000-0005-0000-0000-0000C9050000}"/>
    <cellStyle name="Normal 2 2 2 4 2 2" xfId="1703" xr:uid="{00000000-0005-0000-0000-0000CA050000}"/>
    <cellStyle name="Normal 2 2 2 4 3" xfId="1281" xr:uid="{00000000-0005-0000-0000-0000CB050000}"/>
    <cellStyle name="Normal 2 2 2 5" xfId="624" xr:uid="{00000000-0005-0000-0000-0000CC050000}"/>
    <cellStyle name="Normal 2 2 2 5 2" xfId="1498" xr:uid="{00000000-0005-0000-0000-0000CD050000}"/>
    <cellStyle name="Normal 2 2 2 6" xfId="1033" xr:uid="{00000000-0005-0000-0000-0000CE050000}"/>
    <cellStyle name="Normal 2 2 3" xfId="191" xr:uid="{00000000-0005-0000-0000-0000CF050000}"/>
    <cellStyle name="Normal 2 2 3 2" xfId="274" xr:uid="{00000000-0005-0000-0000-0000D0050000}"/>
    <cellStyle name="Normal 2 2 3 2 2" xfId="498" xr:uid="{00000000-0005-0000-0000-0000D1050000}"/>
    <cellStyle name="Normal 2 2 3 2 2 2" xfId="920" xr:uid="{00000000-0005-0000-0000-0000D2050000}"/>
    <cellStyle name="Normal 2 2 3 2 2 2 2" xfId="1794" xr:uid="{00000000-0005-0000-0000-0000D3050000}"/>
    <cellStyle name="Normal 2 2 3 2 2 3" xfId="1372" xr:uid="{00000000-0005-0000-0000-0000D4050000}"/>
    <cellStyle name="Normal 2 2 3 2 3" xfId="715" xr:uid="{00000000-0005-0000-0000-0000D5050000}"/>
    <cellStyle name="Normal 2 2 3 2 3 2" xfId="1589" xr:uid="{00000000-0005-0000-0000-0000D6050000}"/>
    <cellStyle name="Normal 2 2 3 2 4" xfId="1124" xr:uid="{00000000-0005-0000-0000-0000D7050000}"/>
    <cellStyle name="Normal 2 2 3 3" xfId="353" xr:uid="{00000000-0005-0000-0000-0000D8050000}"/>
    <cellStyle name="Normal 2 2 3 3 2" xfId="576" xr:uid="{00000000-0005-0000-0000-0000D9050000}"/>
    <cellStyle name="Normal 2 2 3 3 2 2" xfId="998" xr:uid="{00000000-0005-0000-0000-0000DA050000}"/>
    <cellStyle name="Normal 2 2 3 3 2 2 2" xfId="1872" xr:uid="{00000000-0005-0000-0000-0000DB050000}"/>
    <cellStyle name="Normal 2 2 3 3 2 3" xfId="1450" xr:uid="{00000000-0005-0000-0000-0000DC050000}"/>
    <cellStyle name="Normal 2 2 3 3 3" xfId="793" xr:uid="{00000000-0005-0000-0000-0000DD050000}"/>
    <cellStyle name="Normal 2 2 3 3 3 2" xfId="1667" xr:uid="{00000000-0005-0000-0000-0000DE050000}"/>
    <cellStyle name="Normal 2 2 3 3 4" xfId="1202" xr:uid="{00000000-0005-0000-0000-0000DF050000}"/>
    <cellStyle name="Normal 2 2 3 4" xfId="422" xr:uid="{00000000-0005-0000-0000-0000E0050000}"/>
    <cellStyle name="Normal 2 2 3 4 2" xfId="844" xr:uid="{00000000-0005-0000-0000-0000E1050000}"/>
    <cellStyle name="Normal 2 2 3 4 2 2" xfId="1718" xr:uid="{00000000-0005-0000-0000-0000E2050000}"/>
    <cellStyle name="Normal 2 2 3 4 3" xfId="1296" xr:uid="{00000000-0005-0000-0000-0000E3050000}"/>
    <cellStyle name="Normal 2 2 3 5" xfId="639" xr:uid="{00000000-0005-0000-0000-0000E4050000}"/>
    <cellStyle name="Normal 2 2 3 5 2" xfId="1513" xr:uid="{00000000-0005-0000-0000-0000E5050000}"/>
    <cellStyle name="Normal 2 2 3 6" xfId="1048" xr:uid="{00000000-0005-0000-0000-0000E6050000}"/>
    <cellStyle name="Normal 2 2 4" xfId="243" xr:uid="{00000000-0005-0000-0000-0000E7050000}"/>
    <cellStyle name="Normal 2 2 4 2" xfId="467" xr:uid="{00000000-0005-0000-0000-0000E8050000}"/>
    <cellStyle name="Normal 2 2 4 2 2" xfId="889" xr:uid="{00000000-0005-0000-0000-0000E9050000}"/>
    <cellStyle name="Normal 2 2 4 2 2 2" xfId="1763" xr:uid="{00000000-0005-0000-0000-0000EA050000}"/>
    <cellStyle name="Normal 2 2 4 2 3" xfId="1341" xr:uid="{00000000-0005-0000-0000-0000EB050000}"/>
    <cellStyle name="Normal 2 2 4 3" xfId="684" xr:uid="{00000000-0005-0000-0000-0000EC050000}"/>
    <cellStyle name="Normal 2 2 4 3 2" xfId="1558" xr:uid="{00000000-0005-0000-0000-0000ED050000}"/>
    <cellStyle name="Normal 2 2 4 4" xfId="1093" xr:uid="{00000000-0005-0000-0000-0000EE050000}"/>
    <cellStyle name="Normal 2 2 5" xfId="334" xr:uid="{00000000-0005-0000-0000-0000EF050000}"/>
    <cellStyle name="Normal 2 2 5 2" xfId="557" xr:uid="{00000000-0005-0000-0000-0000F0050000}"/>
    <cellStyle name="Normal 2 2 5 2 2" xfId="979" xr:uid="{00000000-0005-0000-0000-0000F1050000}"/>
    <cellStyle name="Normal 2 2 5 2 2 2" xfId="1853" xr:uid="{00000000-0005-0000-0000-0000F2050000}"/>
    <cellStyle name="Normal 2 2 5 2 3" xfId="1431" xr:uid="{00000000-0005-0000-0000-0000F3050000}"/>
    <cellStyle name="Normal 2 2 5 3" xfId="774" xr:uid="{00000000-0005-0000-0000-0000F4050000}"/>
    <cellStyle name="Normal 2 2 5 3 2" xfId="1648" xr:uid="{00000000-0005-0000-0000-0000F5050000}"/>
    <cellStyle name="Normal 2 2 5 4" xfId="1183" xr:uid="{00000000-0005-0000-0000-0000F6050000}"/>
    <cellStyle name="Normal 2 2 6" xfId="391" xr:uid="{00000000-0005-0000-0000-0000F7050000}"/>
    <cellStyle name="Normal 2 2 6 2" xfId="825" xr:uid="{00000000-0005-0000-0000-0000F8050000}"/>
    <cellStyle name="Normal 2 2 6 2 2" xfId="1699" xr:uid="{00000000-0005-0000-0000-0000F9050000}"/>
    <cellStyle name="Normal 2 2 6 3" xfId="1265" xr:uid="{00000000-0005-0000-0000-0000FA050000}"/>
    <cellStyle name="Normal 2 2 7" xfId="608" xr:uid="{00000000-0005-0000-0000-0000FB050000}"/>
    <cellStyle name="Normal 2 2 7 2" xfId="1482" xr:uid="{00000000-0005-0000-0000-0000FC050000}"/>
    <cellStyle name="Normal 2 2 8" xfId="1017" xr:uid="{00000000-0005-0000-0000-0000FD050000}"/>
    <cellStyle name="Normal 2 3" xfId="110" xr:uid="{00000000-0005-0000-0000-0000FE050000}"/>
    <cellStyle name="Normal 2 3 2" xfId="258" xr:uid="{00000000-0005-0000-0000-0000FF050000}"/>
    <cellStyle name="Normal 2 3 2 2" xfId="482" xr:uid="{00000000-0005-0000-0000-000000060000}"/>
    <cellStyle name="Normal 2 3 2 2 2" xfId="904" xr:uid="{00000000-0005-0000-0000-000001060000}"/>
    <cellStyle name="Normal 2 3 2 2 2 2" xfId="1778" xr:uid="{00000000-0005-0000-0000-000002060000}"/>
    <cellStyle name="Normal 2 3 2 2 3" xfId="1356" xr:uid="{00000000-0005-0000-0000-000003060000}"/>
    <cellStyle name="Normal 2 3 2 3" xfId="699" xr:uid="{00000000-0005-0000-0000-000004060000}"/>
    <cellStyle name="Normal 2 3 2 3 2" xfId="1573" xr:uid="{00000000-0005-0000-0000-000005060000}"/>
    <cellStyle name="Normal 2 3 2 4" xfId="1108" xr:uid="{00000000-0005-0000-0000-000006060000}"/>
    <cellStyle name="Normal 2 3 3" xfId="337" xr:uid="{00000000-0005-0000-0000-000007060000}"/>
    <cellStyle name="Normal 2 3 3 2" xfId="560" xr:uid="{00000000-0005-0000-0000-000008060000}"/>
    <cellStyle name="Normal 2 3 3 2 2" xfId="982" xr:uid="{00000000-0005-0000-0000-000009060000}"/>
    <cellStyle name="Normal 2 3 3 2 2 2" xfId="1856" xr:uid="{00000000-0005-0000-0000-00000A060000}"/>
    <cellStyle name="Normal 2 3 3 2 3" xfId="1434" xr:uid="{00000000-0005-0000-0000-00000B060000}"/>
    <cellStyle name="Normal 2 3 3 3" xfId="777" xr:uid="{00000000-0005-0000-0000-00000C060000}"/>
    <cellStyle name="Normal 2 3 3 3 2" xfId="1651" xr:uid="{00000000-0005-0000-0000-00000D060000}"/>
    <cellStyle name="Normal 2 3 3 4" xfId="1186" xr:uid="{00000000-0005-0000-0000-00000E060000}"/>
    <cellStyle name="Normal 2 3 4" xfId="406" xr:uid="{00000000-0005-0000-0000-00000F060000}"/>
    <cellStyle name="Normal 2 3 4 2" xfId="828" xr:uid="{00000000-0005-0000-0000-000010060000}"/>
    <cellStyle name="Normal 2 3 4 2 2" xfId="1702" xr:uid="{00000000-0005-0000-0000-000011060000}"/>
    <cellStyle name="Normal 2 3 4 3" xfId="1280" xr:uid="{00000000-0005-0000-0000-000012060000}"/>
    <cellStyle name="Normal 2 3 5" xfId="623" xr:uid="{00000000-0005-0000-0000-000013060000}"/>
    <cellStyle name="Normal 2 3 5 2" xfId="1497" xr:uid="{00000000-0005-0000-0000-000014060000}"/>
    <cellStyle name="Normal 2 3 6" xfId="1032" xr:uid="{00000000-0005-0000-0000-000015060000}"/>
    <cellStyle name="Normal 2 4" xfId="192" xr:uid="{00000000-0005-0000-0000-000016060000}"/>
    <cellStyle name="Normal 2 4 2" xfId="275" xr:uid="{00000000-0005-0000-0000-000017060000}"/>
    <cellStyle name="Normal 2 4 2 2" xfId="499" xr:uid="{00000000-0005-0000-0000-000018060000}"/>
    <cellStyle name="Normal 2 4 2 2 2" xfId="921" xr:uid="{00000000-0005-0000-0000-000019060000}"/>
    <cellStyle name="Normal 2 4 2 2 2 2" xfId="1795" xr:uid="{00000000-0005-0000-0000-00001A060000}"/>
    <cellStyle name="Normal 2 4 2 2 3" xfId="1373" xr:uid="{00000000-0005-0000-0000-00001B060000}"/>
    <cellStyle name="Normal 2 4 2 3" xfId="716" xr:uid="{00000000-0005-0000-0000-00001C060000}"/>
    <cellStyle name="Normal 2 4 2 3 2" xfId="1590" xr:uid="{00000000-0005-0000-0000-00001D060000}"/>
    <cellStyle name="Normal 2 4 2 4" xfId="1125" xr:uid="{00000000-0005-0000-0000-00001E060000}"/>
    <cellStyle name="Normal 2 4 3" xfId="354" xr:uid="{00000000-0005-0000-0000-00001F060000}"/>
    <cellStyle name="Normal 2 4 3 2" xfId="577" xr:uid="{00000000-0005-0000-0000-000020060000}"/>
    <cellStyle name="Normal 2 4 3 2 2" xfId="999" xr:uid="{00000000-0005-0000-0000-000021060000}"/>
    <cellStyle name="Normal 2 4 3 2 2 2" xfId="1873" xr:uid="{00000000-0005-0000-0000-000022060000}"/>
    <cellStyle name="Normal 2 4 3 2 3" xfId="1451" xr:uid="{00000000-0005-0000-0000-000023060000}"/>
    <cellStyle name="Normal 2 4 3 3" xfId="794" xr:uid="{00000000-0005-0000-0000-000024060000}"/>
    <cellStyle name="Normal 2 4 3 3 2" xfId="1668" xr:uid="{00000000-0005-0000-0000-000025060000}"/>
    <cellStyle name="Normal 2 4 3 4" xfId="1203" xr:uid="{00000000-0005-0000-0000-000026060000}"/>
    <cellStyle name="Normal 2 4 4" xfId="423" xr:uid="{00000000-0005-0000-0000-000027060000}"/>
    <cellStyle name="Normal 2 4 4 2" xfId="845" xr:uid="{00000000-0005-0000-0000-000028060000}"/>
    <cellStyle name="Normal 2 4 4 2 2" xfId="1719" xr:uid="{00000000-0005-0000-0000-000029060000}"/>
    <cellStyle name="Normal 2 4 4 3" xfId="1297" xr:uid="{00000000-0005-0000-0000-00002A060000}"/>
    <cellStyle name="Normal 2 4 5" xfId="640" xr:uid="{00000000-0005-0000-0000-00002B060000}"/>
    <cellStyle name="Normal 2 4 5 2" xfId="1514" xr:uid="{00000000-0005-0000-0000-00002C060000}"/>
    <cellStyle name="Normal 2 4 6" xfId="1049" xr:uid="{00000000-0005-0000-0000-00002D060000}"/>
    <cellStyle name="Normal 2 5" xfId="241" xr:uid="{00000000-0005-0000-0000-00002E060000}"/>
    <cellStyle name="Normal 2 5 2" xfId="466" xr:uid="{00000000-0005-0000-0000-00002F060000}"/>
    <cellStyle name="Normal 2 5 2 2" xfId="888" xr:uid="{00000000-0005-0000-0000-000030060000}"/>
    <cellStyle name="Normal 2 5 2 2 2" xfId="1762" xr:uid="{00000000-0005-0000-0000-000031060000}"/>
    <cellStyle name="Normal 2 5 2 3" xfId="1340" xr:uid="{00000000-0005-0000-0000-000032060000}"/>
    <cellStyle name="Normal 2 5 3" xfId="683" xr:uid="{00000000-0005-0000-0000-000033060000}"/>
    <cellStyle name="Normal 2 5 3 2" xfId="1557" xr:uid="{00000000-0005-0000-0000-000034060000}"/>
    <cellStyle name="Normal 2 5 4" xfId="1092" xr:uid="{00000000-0005-0000-0000-000035060000}"/>
    <cellStyle name="Normal 2 6" xfId="333" xr:uid="{00000000-0005-0000-0000-000036060000}"/>
    <cellStyle name="Normal 2 6 2" xfId="556" xr:uid="{00000000-0005-0000-0000-000037060000}"/>
    <cellStyle name="Normal 2 6 2 2" xfId="978" xr:uid="{00000000-0005-0000-0000-000038060000}"/>
    <cellStyle name="Normal 2 6 2 2 2" xfId="1852" xr:uid="{00000000-0005-0000-0000-000039060000}"/>
    <cellStyle name="Normal 2 6 2 3" xfId="1430" xr:uid="{00000000-0005-0000-0000-00003A060000}"/>
    <cellStyle name="Normal 2 6 3" xfId="773" xr:uid="{00000000-0005-0000-0000-00003B060000}"/>
    <cellStyle name="Normal 2 6 3 2" xfId="1647" xr:uid="{00000000-0005-0000-0000-00003C060000}"/>
    <cellStyle name="Normal 2 6 4" xfId="1182" xr:uid="{00000000-0005-0000-0000-00003D060000}"/>
    <cellStyle name="Normal 2 7" xfId="389" xr:uid="{00000000-0005-0000-0000-00003E060000}"/>
    <cellStyle name="Normal 2 7 2" xfId="824" xr:uid="{00000000-0005-0000-0000-00003F060000}"/>
    <cellStyle name="Normal 2 7 2 2" xfId="1698" xr:uid="{00000000-0005-0000-0000-000040060000}"/>
    <cellStyle name="Normal 2 7 3" xfId="1264" xr:uid="{00000000-0005-0000-0000-000041060000}"/>
    <cellStyle name="Normal 2 8" xfId="607" xr:uid="{00000000-0005-0000-0000-000042060000}"/>
    <cellStyle name="Normal 2 8 2" xfId="1481" xr:uid="{00000000-0005-0000-0000-000043060000}"/>
    <cellStyle name="Normal 2 9" xfId="1016" xr:uid="{00000000-0005-0000-0000-000044060000}"/>
    <cellStyle name="Normal 3" xfId="103" xr:uid="{00000000-0005-0000-0000-000045060000}"/>
    <cellStyle name="Normal 3 2" xfId="195" xr:uid="{00000000-0005-0000-0000-000046060000}"/>
    <cellStyle name="Normal 3 3" xfId="101" xr:uid="{00000000-0005-0000-0000-000047060000}"/>
    <cellStyle name="Normal 4" xfId="76" xr:uid="{00000000-0005-0000-0000-000048060000}"/>
    <cellStyle name="Normal 4 2" xfId="193" xr:uid="{00000000-0005-0000-0000-000049060000}"/>
    <cellStyle name="Normal 4 2 2" xfId="276" xr:uid="{00000000-0005-0000-0000-00004A060000}"/>
    <cellStyle name="Normal 4 2 2 2" xfId="500" xr:uid="{00000000-0005-0000-0000-00004B060000}"/>
    <cellStyle name="Normal 4 2 2 2 2" xfId="922" xr:uid="{00000000-0005-0000-0000-00004C060000}"/>
    <cellStyle name="Normal 4 2 2 2 2 2" xfId="1796" xr:uid="{00000000-0005-0000-0000-00004D060000}"/>
    <cellStyle name="Normal 4 2 2 2 3" xfId="1374" xr:uid="{00000000-0005-0000-0000-00004E060000}"/>
    <cellStyle name="Normal 4 2 2 3" xfId="717" xr:uid="{00000000-0005-0000-0000-00004F060000}"/>
    <cellStyle name="Normal 4 2 2 3 2" xfId="1591" xr:uid="{00000000-0005-0000-0000-000050060000}"/>
    <cellStyle name="Normal 4 2 2 4" xfId="1126" xr:uid="{00000000-0005-0000-0000-000051060000}"/>
    <cellStyle name="Normal 4 2 3" xfId="355" xr:uid="{00000000-0005-0000-0000-000052060000}"/>
    <cellStyle name="Normal 4 2 3 2" xfId="578" xr:uid="{00000000-0005-0000-0000-000053060000}"/>
    <cellStyle name="Normal 4 2 3 2 2" xfId="1000" xr:uid="{00000000-0005-0000-0000-000054060000}"/>
    <cellStyle name="Normal 4 2 3 2 2 2" xfId="1874" xr:uid="{00000000-0005-0000-0000-000055060000}"/>
    <cellStyle name="Normal 4 2 3 2 3" xfId="1452" xr:uid="{00000000-0005-0000-0000-000056060000}"/>
    <cellStyle name="Normal 4 2 3 3" xfId="795" xr:uid="{00000000-0005-0000-0000-000057060000}"/>
    <cellStyle name="Normal 4 2 3 3 2" xfId="1669" xr:uid="{00000000-0005-0000-0000-000058060000}"/>
    <cellStyle name="Normal 4 2 3 4" xfId="1204" xr:uid="{00000000-0005-0000-0000-000059060000}"/>
    <cellStyle name="Normal 4 2 4" xfId="424" xr:uid="{00000000-0005-0000-0000-00005A060000}"/>
    <cellStyle name="Normal 4 2 4 2" xfId="846" xr:uid="{00000000-0005-0000-0000-00005B060000}"/>
    <cellStyle name="Normal 4 2 4 2 2" xfId="1720" xr:uid="{00000000-0005-0000-0000-00005C060000}"/>
    <cellStyle name="Normal 4 2 4 3" xfId="1298" xr:uid="{00000000-0005-0000-0000-00005D060000}"/>
    <cellStyle name="Normal 4 2 5" xfId="641" xr:uid="{00000000-0005-0000-0000-00005E060000}"/>
    <cellStyle name="Normal 4 2 5 2" xfId="1515" xr:uid="{00000000-0005-0000-0000-00005F060000}"/>
    <cellStyle name="Normal 4 2 6" xfId="1050" xr:uid="{00000000-0005-0000-0000-000060060000}"/>
    <cellStyle name="Normal 4 3" xfId="105" xr:uid="{00000000-0005-0000-0000-000061060000}"/>
    <cellStyle name="Normal 4 4" xfId="256" xr:uid="{00000000-0005-0000-0000-000062060000}"/>
    <cellStyle name="Normal 4 4 2" xfId="480" xr:uid="{00000000-0005-0000-0000-000063060000}"/>
    <cellStyle name="Normal 4 4 2 2" xfId="902" xr:uid="{00000000-0005-0000-0000-000064060000}"/>
    <cellStyle name="Normal 4 4 2 2 2" xfId="1776" xr:uid="{00000000-0005-0000-0000-000065060000}"/>
    <cellStyle name="Normal 4 4 2 3" xfId="1354" xr:uid="{00000000-0005-0000-0000-000066060000}"/>
    <cellStyle name="Normal 4 4 3" xfId="697" xr:uid="{00000000-0005-0000-0000-000067060000}"/>
    <cellStyle name="Normal 4 4 3 2" xfId="1571" xr:uid="{00000000-0005-0000-0000-000068060000}"/>
    <cellStyle name="Normal 4 4 4" xfId="1106" xr:uid="{00000000-0005-0000-0000-000069060000}"/>
    <cellStyle name="Normal 4 5" xfId="335" xr:uid="{00000000-0005-0000-0000-00006A060000}"/>
    <cellStyle name="Normal 4 5 2" xfId="558" xr:uid="{00000000-0005-0000-0000-00006B060000}"/>
    <cellStyle name="Normal 4 5 2 2" xfId="980" xr:uid="{00000000-0005-0000-0000-00006C060000}"/>
    <cellStyle name="Normal 4 5 2 2 2" xfId="1854" xr:uid="{00000000-0005-0000-0000-00006D060000}"/>
    <cellStyle name="Normal 4 5 2 3" xfId="1432" xr:uid="{00000000-0005-0000-0000-00006E060000}"/>
    <cellStyle name="Normal 4 5 3" xfId="775" xr:uid="{00000000-0005-0000-0000-00006F060000}"/>
    <cellStyle name="Normal 4 5 3 2" xfId="1649" xr:uid="{00000000-0005-0000-0000-000070060000}"/>
    <cellStyle name="Normal 4 5 4" xfId="1184" xr:uid="{00000000-0005-0000-0000-000071060000}"/>
    <cellStyle name="Normal 4 6" xfId="404" xr:uid="{00000000-0005-0000-0000-000072060000}"/>
    <cellStyle name="Normal 4 6 2" xfId="826" xr:uid="{00000000-0005-0000-0000-000073060000}"/>
    <cellStyle name="Normal 4 6 2 2" xfId="1700" xr:uid="{00000000-0005-0000-0000-000074060000}"/>
    <cellStyle name="Normal 4 6 3" xfId="1278" xr:uid="{00000000-0005-0000-0000-000075060000}"/>
    <cellStyle name="Normal 4 7" xfId="621" xr:uid="{00000000-0005-0000-0000-000076060000}"/>
    <cellStyle name="Normal 4 7 2" xfId="1495" xr:uid="{00000000-0005-0000-0000-000077060000}"/>
    <cellStyle name="Normal 4 8" xfId="1030" xr:uid="{00000000-0005-0000-0000-000078060000}"/>
    <cellStyle name="Normal 5" xfId="79" xr:uid="{00000000-0005-0000-0000-000079060000}"/>
    <cellStyle name="Normal 6" xfId="104" xr:uid="{00000000-0005-0000-0000-00007A060000}"/>
    <cellStyle name="Normal 6 2" xfId="134" xr:uid="{00000000-0005-0000-0000-00007B060000}"/>
    <cellStyle name="Normal 6 2 2" xfId="1236" xr:uid="{00000000-0005-0000-0000-00007C060000}"/>
    <cellStyle name="Normal 6 3" xfId="1226" xr:uid="{00000000-0005-0000-0000-00007D060000}"/>
    <cellStyle name="Normal 7" xfId="236" xr:uid="{00000000-0005-0000-0000-00007E060000}"/>
    <cellStyle name="Normal 8" xfId="384" xr:uid="{00000000-0005-0000-0000-00007F060000}"/>
    <cellStyle name="Normal 9" xfId="1220" xr:uid="{00000000-0005-0000-0000-000080060000}"/>
    <cellStyle name="Note 10" xfId="371" xr:uid="{00000000-0005-0000-0000-000081060000}"/>
    <cellStyle name="Note 10 2" xfId="811" xr:uid="{00000000-0005-0000-0000-000082060000}"/>
    <cellStyle name="Note 10 2 2" xfId="1685" xr:uid="{00000000-0005-0000-0000-000083060000}"/>
    <cellStyle name="Note 10 3" xfId="1251" xr:uid="{00000000-0005-0000-0000-000084060000}"/>
    <cellStyle name="Note 11" xfId="594" xr:uid="{00000000-0005-0000-0000-000085060000}"/>
    <cellStyle name="Note 11 2" xfId="1468" xr:uid="{00000000-0005-0000-0000-000086060000}"/>
    <cellStyle name="Note 12" xfId="1892" xr:uid="{5F0EA6EF-259D-4738-A12D-9118B1CEBA28}"/>
    <cellStyle name="Note 2" xfId="78" xr:uid="{00000000-0005-0000-0000-000087060000}"/>
    <cellStyle name="Note 2 2" xfId="194" xr:uid="{00000000-0005-0000-0000-000088060000}"/>
    <cellStyle name="Note 2 2 2" xfId="277" xr:uid="{00000000-0005-0000-0000-000089060000}"/>
    <cellStyle name="Note 2 2 2 2" xfId="501" xr:uid="{00000000-0005-0000-0000-00008A060000}"/>
    <cellStyle name="Note 2 2 2 2 2" xfId="923" xr:uid="{00000000-0005-0000-0000-00008B060000}"/>
    <cellStyle name="Note 2 2 2 2 2 2" xfId="1797" xr:uid="{00000000-0005-0000-0000-00008C060000}"/>
    <cellStyle name="Note 2 2 2 2 3" xfId="1375" xr:uid="{00000000-0005-0000-0000-00008D060000}"/>
    <cellStyle name="Note 2 2 2 3" xfId="718" xr:uid="{00000000-0005-0000-0000-00008E060000}"/>
    <cellStyle name="Note 2 2 2 3 2" xfId="1592" xr:uid="{00000000-0005-0000-0000-00008F060000}"/>
    <cellStyle name="Note 2 2 2 4" xfId="1127" xr:uid="{00000000-0005-0000-0000-000090060000}"/>
    <cellStyle name="Note 2 2 3" xfId="356" xr:uid="{00000000-0005-0000-0000-000091060000}"/>
    <cellStyle name="Note 2 2 3 2" xfId="579" xr:uid="{00000000-0005-0000-0000-000092060000}"/>
    <cellStyle name="Note 2 2 3 2 2" xfId="1001" xr:uid="{00000000-0005-0000-0000-000093060000}"/>
    <cellStyle name="Note 2 2 3 2 2 2" xfId="1875" xr:uid="{00000000-0005-0000-0000-000094060000}"/>
    <cellStyle name="Note 2 2 3 2 3" xfId="1453" xr:uid="{00000000-0005-0000-0000-000095060000}"/>
    <cellStyle name="Note 2 2 3 3" xfId="796" xr:uid="{00000000-0005-0000-0000-000096060000}"/>
    <cellStyle name="Note 2 2 3 3 2" xfId="1670" xr:uid="{00000000-0005-0000-0000-000097060000}"/>
    <cellStyle name="Note 2 2 3 4" xfId="1205" xr:uid="{00000000-0005-0000-0000-000098060000}"/>
    <cellStyle name="Note 2 2 4" xfId="425" xr:uid="{00000000-0005-0000-0000-000099060000}"/>
    <cellStyle name="Note 2 2 4 2" xfId="847" xr:uid="{00000000-0005-0000-0000-00009A060000}"/>
    <cellStyle name="Note 2 2 4 2 2" xfId="1721" xr:uid="{00000000-0005-0000-0000-00009B060000}"/>
    <cellStyle name="Note 2 2 4 3" xfId="1299" xr:uid="{00000000-0005-0000-0000-00009C060000}"/>
    <cellStyle name="Note 2 2 5" xfId="642" xr:uid="{00000000-0005-0000-0000-00009D060000}"/>
    <cellStyle name="Note 2 2 5 2" xfId="1516" xr:uid="{00000000-0005-0000-0000-00009E060000}"/>
    <cellStyle name="Note 2 2 6" xfId="1051" xr:uid="{00000000-0005-0000-0000-00009F060000}"/>
    <cellStyle name="Note 2 3" xfId="135" xr:uid="{00000000-0005-0000-0000-0000A0060000}"/>
    <cellStyle name="Note 2 3 2" xfId="1237" xr:uid="{00000000-0005-0000-0000-0000A1060000}"/>
    <cellStyle name="Note 2 4" xfId="257" xr:uid="{00000000-0005-0000-0000-0000A2060000}"/>
    <cellStyle name="Note 2 4 2" xfId="481" xr:uid="{00000000-0005-0000-0000-0000A3060000}"/>
    <cellStyle name="Note 2 4 2 2" xfId="903" xr:uid="{00000000-0005-0000-0000-0000A4060000}"/>
    <cellStyle name="Note 2 4 2 2 2" xfId="1777" xr:uid="{00000000-0005-0000-0000-0000A5060000}"/>
    <cellStyle name="Note 2 4 2 3" xfId="1355" xr:uid="{00000000-0005-0000-0000-0000A6060000}"/>
    <cellStyle name="Note 2 4 3" xfId="698" xr:uid="{00000000-0005-0000-0000-0000A7060000}"/>
    <cellStyle name="Note 2 4 3 2" xfId="1572" xr:uid="{00000000-0005-0000-0000-0000A8060000}"/>
    <cellStyle name="Note 2 4 4" xfId="1107" xr:uid="{00000000-0005-0000-0000-0000A9060000}"/>
    <cellStyle name="Note 2 5" xfId="336" xr:uid="{00000000-0005-0000-0000-0000AA060000}"/>
    <cellStyle name="Note 2 5 2" xfId="559" xr:uid="{00000000-0005-0000-0000-0000AB060000}"/>
    <cellStyle name="Note 2 5 2 2" xfId="981" xr:uid="{00000000-0005-0000-0000-0000AC060000}"/>
    <cellStyle name="Note 2 5 2 2 2" xfId="1855" xr:uid="{00000000-0005-0000-0000-0000AD060000}"/>
    <cellStyle name="Note 2 5 2 3" xfId="1433" xr:uid="{00000000-0005-0000-0000-0000AE060000}"/>
    <cellStyle name="Note 2 5 3" xfId="776" xr:uid="{00000000-0005-0000-0000-0000AF060000}"/>
    <cellStyle name="Note 2 5 3 2" xfId="1650" xr:uid="{00000000-0005-0000-0000-0000B0060000}"/>
    <cellStyle name="Note 2 5 4" xfId="1185" xr:uid="{00000000-0005-0000-0000-0000B1060000}"/>
    <cellStyle name="Note 2 6" xfId="405" xr:uid="{00000000-0005-0000-0000-0000B2060000}"/>
    <cellStyle name="Note 2 6 2" xfId="827" xr:uid="{00000000-0005-0000-0000-0000B3060000}"/>
    <cellStyle name="Note 2 6 2 2" xfId="1701" xr:uid="{00000000-0005-0000-0000-0000B4060000}"/>
    <cellStyle name="Note 2 6 3" xfId="1279" xr:uid="{00000000-0005-0000-0000-0000B5060000}"/>
    <cellStyle name="Note 2 7" xfId="622" xr:uid="{00000000-0005-0000-0000-0000B6060000}"/>
    <cellStyle name="Note 2 7 2" xfId="1496" xr:uid="{00000000-0005-0000-0000-0000B7060000}"/>
    <cellStyle name="Note 2 8" xfId="1031" xr:uid="{00000000-0005-0000-0000-0000B8060000}"/>
    <cellStyle name="Note 3" xfId="137" xr:uid="{00000000-0005-0000-0000-0000B9060000}"/>
    <cellStyle name="Note 3 2" xfId="1238" xr:uid="{00000000-0005-0000-0000-0000BA060000}"/>
    <cellStyle name="Note 4" xfId="163" xr:uid="{00000000-0005-0000-0000-0000BB060000}"/>
    <cellStyle name="Note 4 2" xfId="261" xr:uid="{00000000-0005-0000-0000-0000BC060000}"/>
    <cellStyle name="Note 4 2 2" xfId="485" xr:uid="{00000000-0005-0000-0000-0000BD060000}"/>
    <cellStyle name="Note 4 2 2 2" xfId="907" xr:uid="{00000000-0005-0000-0000-0000BE060000}"/>
    <cellStyle name="Note 4 2 2 2 2" xfId="1781" xr:uid="{00000000-0005-0000-0000-0000BF060000}"/>
    <cellStyle name="Note 4 2 2 3" xfId="1359" xr:uid="{00000000-0005-0000-0000-0000C0060000}"/>
    <cellStyle name="Note 4 2 3" xfId="702" xr:uid="{00000000-0005-0000-0000-0000C1060000}"/>
    <cellStyle name="Note 4 2 3 2" xfId="1576" xr:uid="{00000000-0005-0000-0000-0000C2060000}"/>
    <cellStyle name="Note 4 2 4" xfId="1111" xr:uid="{00000000-0005-0000-0000-0000C3060000}"/>
    <cellStyle name="Note 4 3" xfId="340" xr:uid="{00000000-0005-0000-0000-0000C4060000}"/>
    <cellStyle name="Note 4 3 2" xfId="563" xr:uid="{00000000-0005-0000-0000-0000C5060000}"/>
    <cellStyle name="Note 4 3 2 2" xfId="985" xr:uid="{00000000-0005-0000-0000-0000C6060000}"/>
    <cellStyle name="Note 4 3 2 2 2" xfId="1859" xr:uid="{00000000-0005-0000-0000-0000C7060000}"/>
    <cellStyle name="Note 4 3 2 3" xfId="1437" xr:uid="{00000000-0005-0000-0000-0000C8060000}"/>
    <cellStyle name="Note 4 3 3" xfId="780" xr:uid="{00000000-0005-0000-0000-0000C9060000}"/>
    <cellStyle name="Note 4 3 3 2" xfId="1654" xr:uid="{00000000-0005-0000-0000-0000CA060000}"/>
    <cellStyle name="Note 4 3 4" xfId="1189" xr:uid="{00000000-0005-0000-0000-0000CB060000}"/>
    <cellStyle name="Note 4 4" xfId="409" xr:uid="{00000000-0005-0000-0000-0000CC060000}"/>
    <cellStyle name="Note 4 4 2" xfId="831" xr:uid="{00000000-0005-0000-0000-0000CD060000}"/>
    <cellStyle name="Note 4 4 2 2" xfId="1705" xr:uid="{00000000-0005-0000-0000-0000CE060000}"/>
    <cellStyle name="Note 4 4 3" xfId="1283" xr:uid="{00000000-0005-0000-0000-0000CF060000}"/>
    <cellStyle name="Note 4 5" xfId="626" xr:uid="{00000000-0005-0000-0000-0000D0060000}"/>
    <cellStyle name="Note 4 5 2" xfId="1500" xr:uid="{00000000-0005-0000-0000-0000D1060000}"/>
    <cellStyle name="Note 4 6" xfId="1035" xr:uid="{00000000-0005-0000-0000-0000D2060000}"/>
    <cellStyle name="Note 5" xfId="197" xr:uid="{00000000-0005-0000-0000-0000D3060000}"/>
    <cellStyle name="Note 5 2" xfId="279" xr:uid="{00000000-0005-0000-0000-0000D4060000}"/>
    <cellStyle name="Note 5 2 2" xfId="503" xr:uid="{00000000-0005-0000-0000-0000D5060000}"/>
    <cellStyle name="Note 5 2 2 2" xfId="925" xr:uid="{00000000-0005-0000-0000-0000D6060000}"/>
    <cellStyle name="Note 5 2 2 2 2" xfId="1799" xr:uid="{00000000-0005-0000-0000-0000D7060000}"/>
    <cellStyle name="Note 5 2 2 3" xfId="1377" xr:uid="{00000000-0005-0000-0000-0000D8060000}"/>
    <cellStyle name="Note 5 2 3" xfId="720" xr:uid="{00000000-0005-0000-0000-0000D9060000}"/>
    <cellStyle name="Note 5 2 3 2" xfId="1594" xr:uid="{00000000-0005-0000-0000-0000DA060000}"/>
    <cellStyle name="Note 5 2 4" xfId="1129" xr:uid="{00000000-0005-0000-0000-0000DB060000}"/>
    <cellStyle name="Note 5 3" xfId="358" xr:uid="{00000000-0005-0000-0000-0000DC060000}"/>
    <cellStyle name="Note 5 3 2" xfId="581" xr:uid="{00000000-0005-0000-0000-0000DD060000}"/>
    <cellStyle name="Note 5 3 2 2" xfId="1003" xr:uid="{00000000-0005-0000-0000-0000DE060000}"/>
    <cellStyle name="Note 5 3 2 2 2" xfId="1877" xr:uid="{00000000-0005-0000-0000-0000DF060000}"/>
    <cellStyle name="Note 5 3 2 3" xfId="1455" xr:uid="{00000000-0005-0000-0000-0000E0060000}"/>
    <cellStyle name="Note 5 3 3" xfId="798" xr:uid="{00000000-0005-0000-0000-0000E1060000}"/>
    <cellStyle name="Note 5 3 3 2" xfId="1672" xr:uid="{00000000-0005-0000-0000-0000E2060000}"/>
    <cellStyle name="Note 5 3 4" xfId="1207" xr:uid="{00000000-0005-0000-0000-0000E3060000}"/>
    <cellStyle name="Note 5 4" xfId="427" xr:uid="{00000000-0005-0000-0000-0000E4060000}"/>
    <cellStyle name="Note 5 4 2" xfId="849" xr:uid="{00000000-0005-0000-0000-0000E5060000}"/>
    <cellStyle name="Note 5 4 2 2" xfId="1723" xr:uid="{00000000-0005-0000-0000-0000E6060000}"/>
    <cellStyle name="Note 5 4 3" xfId="1301" xr:uid="{00000000-0005-0000-0000-0000E7060000}"/>
    <cellStyle name="Note 5 5" xfId="644" xr:uid="{00000000-0005-0000-0000-0000E8060000}"/>
    <cellStyle name="Note 5 5 2" xfId="1518" xr:uid="{00000000-0005-0000-0000-0000E9060000}"/>
    <cellStyle name="Note 5 6" xfId="1053" xr:uid="{00000000-0005-0000-0000-0000EA060000}"/>
    <cellStyle name="Note 6" xfId="210" xr:uid="{00000000-0005-0000-0000-0000EB060000}"/>
    <cellStyle name="Note 6 2" xfId="292" xr:uid="{00000000-0005-0000-0000-0000EC060000}"/>
    <cellStyle name="Note 6 2 2" xfId="516" xr:uid="{00000000-0005-0000-0000-0000ED060000}"/>
    <cellStyle name="Note 6 2 2 2" xfId="938" xr:uid="{00000000-0005-0000-0000-0000EE060000}"/>
    <cellStyle name="Note 6 2 2 2 2" xfId="1812" xr:uid="{00000000-0005-0000-0000-0000EF060000}"/>
    <cellStyle name="Note 6 2 2 3" xfId="1390" xr:uid="{00000000-0005-0000-0000-0000F0060000}"/>
    <cellStyle name="Note 6 2 3" xfId="733" xr:uid="{00000000-0005-0000-0000-0000F1060000}"/>
    <cellStyle name="Note 6 2 3 2" xfId="1607" xr:uid="{00000000-0005-0000-0000-0000F2060000}"/>
    <cellStyle name="Note 6 2 4" xfId="1142" xr:uid="{00000000-0005-0000-0000-0000F3060000}"/>
    <cellStyle name="Note 6 3" xfId="440" xr:uid="{00000000-0005-0000-0000-0000F4060000}"/>
    <cellStyle name="Note 6 3 2" xfId="862" xr:uid="{00000000-0005-0000-0000-0000F5060000}"/>
    <cellStyle name="Note 6 3 2 2" xfId="1736" xr:uid="{00000000-0005-0000-0000-0000F6060000}"/>
    <cellStyle name="Note 6 3 3" xfId="1314" xr:uid="{00000000-0005-0000-0000-0000F7060000}"/>
    <cellStyle name="Note 6 4" xfId="657" xr:uid="{00000000-0005-0000-0000-0000F8060000}"/>
    <cellStyle name="Note 6 4 2" xfId="1531" xr:uid="{00000000-0005-0000-0000-0000F9060000}"/>
    <cellStyle name="Note 6 5" xfId="1066" xr:uid="{00000000-0005-0000-0000-0000FA060000}"/>
    <cellStyle name="Note 7" xfId="223" xr:uid="{00000000-0005-0000-0000-0000FB060000}"/>
    <cellStyle name="Note 7 2" xfId="453" xr:uid="{00000000-0005-0000-0000-0000FC060000}"/>
    <cellStyle name="Note 7 2 2" xfId="875" xr:uid="{00000000-0005-0000-0000-0000FD060000}"/>
    <cellStyle name="Note 7 2 2 2" xfId="1749" xr:uid="{00000000-0005-0000-0000-0000FE060000}"/>
    <cellStyle name="Note 7 2 3" xfId="1327" xr:uid="{00000000-0005-0000-0000-0000FF060000}"/>
    <cellStyle name="Note 7 3" xfId="670" xr:uid="{00000000-0005-0000-0000-000000070000}"/>
    <cellStyle name="Note 7 3 2" xfId="1544" xr:uid="{00000000-0005-0000-0000-000001070000}"/>
    <cellStyle name="Note 7 4" xfId="1079" xr:uid="{00000000-0005-0000-0000-000002070000}"/>
    <cellStyle name="Note 8" xfId="306" xr:uid="{00000000-0005-0000-0000-000003070000}"/>
    <cellStyle name="Note 8 2" xfId="530" xr:uid="{00000000-0005-0000-0000-000004070000}"/>
    <cellStyle name="Note 8 2 2" xfId="952" xr:uid="{00000000-0005-0000-0000-000005070000}"/>
    <cellStyle name="Note 8 2 2 2" xfId="1826" xr:uid="{00000000-0005-0000-0000-000006070000}"/>
    <cellStyle name="Note 8 2 3" xfId="1404" xr:uid="{00000000-0005-0000-0000-000007070000}"/>
    <cellStyle name="Note 8 3" xfId="747" xr:uid="{00000000-0005-0000-0000-000008070000}"/>
    <cellStyle name="Note 8 3 2" xfId="1621" xr:uid="{00000000-0005-0000-0000-000009070000}"/>
    <cellStyle name="Note 8 4" xfId="1156" xr:uid="{00000000-0005-0000-0000-00000A070000}"/>
    <cellStyle name="Note 9" xfId="320" xr:uid="{00000000-0005-0000-0000-00000B070000}"/>
    <cellStyle name="Note 9 2" xfId="543" xr:uid="{00000000-0005-0000-0000-00000C070000}"/>
    <cellStyle name="Note 9 2 2" xfId="965" xr:uid="{00000000-0005-0000-0000-00000D070000}"/>
    <cellStyle name="Note 9 2 2 2" xfId="1839" xr:uid="{00000000-0005-0000-0000-00000E070000}"/>
    <cellStyle name="Note 9 2 3" xfId="1417" xr:uid="{00000000-0005-0000-0000-00000F070000}"/>
    <cellStyle name="Note 9 3" xfId="760" xr:uid="{00000000-0005-0000-0000-000010070000}"/>
    <cellStyle name="Note 9 3 2" xfId="1634" xr:uid="{00000000-0005-0000-0000-000011070000}"/>
    <cellStyle name="Note 9 4" xfId="1169" xr:uid="{00000000-0005-0000-0000-000012070000}"/>
    <cellStyle name="ok" xfId="26" xr:uid="{00000000-0005-0000-0000-000013070000}"/>
    <cellStyle name="Output" xfId="45" builtinId="21" customBuiltin="1"/>
    <cellStyle name="Output 2" xfId="158" xr:uid="{00000000-0005-0000-0000-000015070000}"/>
    <cellStyle name="Output 3" xfId="99" xr:uid="{00000000-0005-0000-0000-000016070000}"/>
    <cellStyle name="Parent row" xfId="77" xr:uid="{00000000-0005-0000-0000-000017070000}"/>
    <cellStyle name="Percent" xfId="27" builtinId="5"/>
    <cellStyle name="Percent 2" xfId="113" xr:uid="{00000000-0005-0000-0000-000019070000}"/>
    <cellStyle name="Percent 3" xfId="115" xr:uid="{00000000-0005-0000-0000-00001A070000}"/>
    <cellStyle name="Percent 3 2" xfId="196" xr:uid="{00000000-0005-0000-0000-00001B070000}"/>
    <cellStyle name="Percent 3 2 2" xfId="278" xr:uid="{00000000-0005-0000-0000-00001C070000}"/>
    <cellStyle name="Percent 3 2 2 2" xfId="502" xr:uid="{00000000-0005-0000-0000-00001D070000}"/>
    <cellStyle name="Percent 3 2 2 2 2" xfId="924" xr:uid="{00000000-0005-0000-0000-00001E070000}"/>
    <cellStyle name="Percent 3 2 2 2 2 2" xfId="1798" xr:uid="{00000000-0005-0000-0000-00001F070000}"/>
    <cellStyle name="Percent 3 2 2 2 3" xfId="1376" xr:uid="{00000000-0005-0000-0000-000020070000}"/>
    <cellStyle name="Percent 3 2 2 3" xfId="719" xr:uid="{00000000-0005-0000-0000-000021070000}"/>
    <cellStyle name="Percent 3 2 2 3 2" xfId="1593" xr:uid="{00000000-0005-0000-0000-000022070000}"/>
    <cellStyle name="Percent 3 2 2 4" xfId="1128" xr:uid="{00000000-0005-0000-0000-000023070000}"/>
    <cellStyle name="Percent 3 2 3" xfId="357" xr:uid="{00000000-0005-0000-0000-000024070000}"/>
    <cellStyle name="Percent 3 2 3 2" xfId="580" xr:uid="{00000000-0005-0000-0000-000025070000}"/>
    <cellStyle name="Percent 3 2 3 2 2" xfId="1002" xr:uid="{00000000-0005-0000-0000-000026070000}"/>
    <cellStyle name="Percent 3 2 3 2 2 2" xfId="1876" xr:uid="{00000000-0005-0000-0000-000027070000}"/>
    <cellStyle name="Percent 3 2 3 2 3" xfId="1454" xr:uid="{00000000-0005-0000-0000-000028070000}"/>
    <cellStyle name="Percent 3 2 3 3" xfId="797" xr:uid="{00000000-0005-0000-0000-000029070000}"/>
    <cellStyle name="Percent 3 2 3 3 2" xfId="1671" xr:uid="{00000000-0005-0000-0000-00002A070000}"/>
    <cellStyle name="Percent 3 2 3 4" xfId="1206" xr:uid="{00000000-0005-0000-0000-00002B070000}"/>
    <cellStyle name="Percent 3 2 4" xfId="426" xr:uid="{00000000-0005-0000-0000-00002C070000}"/>
    <cellStyle name="Percent 3 2 4 2" xfId="848" xr:uid="{00000000-0005-0000-0000-00002D070000}"/>
    <cellStyle name="Percent 3 2 4 2 2" xfId="1722" xr:uid="{00000000-0005-0000-0000-00002E070000}"/>
    <cellStyle name="Percent 3 2 4 3" xfId="1300" xr:uid="{00000000-0005-0000-0000-00002F070000}"/>
    <cellStyle name="Percent 3 2 5" xfId="643" xr:uid="{00000000-0005-0000-0000-000030070000}"/>
    <cellStyle name="Percent 3 2 5 2" xfId="1517" xr:uid="{00000000-0005-0000-0000-000031070000}"/>
    <cellStyle name="Percent 3 2 6" xfId="1052" xr:uid="{00000000-0005-0000-0000-000032070000}"/>
    <cellStyle name="Percent 3 3" xfId="260" xr:uid="{00000000-0005-0000-0000-000033070000}"/>
    <cellStyle name="Percent 3 3 2" xfId="484" xr:uid="{00000000-0005-0000-0000-000034070000}"/>
    <cellStyle name="Percent 3 3 2 2" xfId="906" xr:uid="{00000000-0005-0000-0000-000035070000}"/>
    <cellStyle name="Percent 3 3 2 2 2" xfId="1780" xr:uid="{00000000-0005-0000-0000-000036070000}"/>
    <cellStyle name="Percent 3 3 2 3" xfId="1358" xr:uid="{00000000-0005-0000-0000-000037070000}"/>
    <cellStyle name="Percent 3 3 3" xfId="701" xr:uid="{00000000-0005-0000-0000-000038070000}"/>
    <cellStyle name="Percent 3 3 3 2" xfId="1575" xr:uid="{00000000-0005-0000-0000-000039070000}"/>
    <cellStyle name="Percent 3 3 4" xfId="1110" xr:uid="{00000000-0005-0000-0000-00003A070000}"/>
    <cellStyle name="Percent 3 4" xfId="339" xr:uid="{00000000-0005-0000-0000-00003B070000}"/>
    <cellStyle name="Percent 3 4 2" xfId="562" xr:uid="{00000000-0005-0000-0000-00003C070000}"/>
    <cellStyle name="Percent 3 4 2 2" xfId="984" xr:uid="{00000000-0005-0000-0000-00003D070000}"/>
    <cellStyle name="Percent 3 4 2 2 2" xfId="1858" xr:uid="{00000000-0005-0000-0000-00003E070000}"/>
    <cellStyle name="Percent 3 4 2 3" xfId="1436" xr:uid="{00000000-0005-0000-0000-00003F070000}"/>
    <cellStyle name="Percent 3 4 3" xfId="779" xr:uid="{00000000-0005-0000-0000-000040070000}"/>
    <cellStyle name="Percent 3 4 3 2" xfId="1653" xr:uid="{00000000-0005-0000-0000-000041070000}"/>
    <cellStyle name="Percent 3 4 4" xfId="1188" xr:uid="{00000000-0005-0000-0000-000042070000}"/>
    <cellStyle name="Percent 3 5" xfId="408" xr:uid="{00000000-0005-0000-0000-000043070000}"/>
    <cellStyle name="Percent 3 5 2" xfId="830" xr:uid="{00000000-0005-0000-0000-000044070000}"/>
    <cellStyle name="Percent 3 5 2 2" xfId="1704" xr:uid="{00000000-0005-0000-0000-000045070000}"/>
    <cellStyle name="Percent 3 5 3" xfId="1282" xr:uid="{00000000-0005-0000-0000-000046070000}"/>
    <cellStyle name="Percent 3 6" xfId="625" xr:uid="{00000000-0005-0000-0000-000047070000}"/>
    <cellStyle name="Percent 3 6 2" xfId="1499" xr:uid="{00000000-0005-0000-0000-000048070000}"/>
    <cellStyle name="Percent 3 7" xfId="1034" xr:uid="{00000000-0005-0000-0000-000049070000}"/>
    <cellStyle name="Percent 4" xfId="240" xr:uid="{00000000-0005-0000-0000-00004A070000}"/>
    <cellStyle name="Percent 5" xfId="305" xr:uid="{00000000-0005-0000-0000-00004B070000}"/>
    <cellStyle name="Percent 5 2" xfId="529" xr:uid="{00000000-0005-0000-0000-00004C070000}"/>
    <cellStyle name="Percent 5 2 2" xfId="951" xr:uid="{00000000-0005-0000-0000-00004D070000}"/>
    <cellStyle name="Percent 5 2 2 2" xfId="1825" xr:uid="{00000000-0005-0000-0000-00004E070000}"/>
    <cellStyle name="Percent 5 2 3" xfId="1403" xr:uid="{00000000-0005-0000-0000-00004F070000}"/>
    <cellStyle name="Percent 5 3" xfId="746" xr:uid="{00000000-0005-0000-0000-000050070000}"/>
    <cellStyle name="Percent 5 3 2" xfId="1620" xr:uid="{00000000-0005-0000-0000-000051070000}"/>
    <cellStyle name="Percent 5 4" xfId="1155" xr:uid="{00000000-0005-0000-0000-000052070000}"/>
    <cellStyle name="Percent 6" xfId="319" xr:uid="{00000000-0005-0000-0000-000053070000}"/>
    <cellStyle name="Percent 7" xfId="388" xr:uid="{00000000-0005-0000-0000-000054070000}"/>
    <cellStyle name="Percent Dash Zero" xfId="28" xr:uid="{00000000-0005-0000-0000-000055070000}"/>
    <cellStyle name="Percent Dash Zero 2" xfId="34" xr:uid="{00000000-0005-0000-0000-000056070000}"/>
    <cellStyle name="Something different" xfId="29" xr:uid="{00000000-0005-0000-0000-000057070000}"/>
    <cellStyle name="Table title" xfId="97" xr:uid="{00000000-0005-0000-0000-000058070000}"/>
    <cellStyle name="Title" xfId="36" builtinId="15" customBuiltin="1"/>
    <cellStyle name="Title 2" xfId="1890" xr:uid="{C525374C-3B1A-45B0-939F-B10E2672BDEA}"/>
    <cellStyle name="Total" xfId="51" builtinId="25" customBuiltin="1"/>
    <cellStyle name="Total 2" xfId="165" xr:uid="{00000000-0005-0000-0000-00005B070000}"/>
    <cellStyle name="Total 3" xfId="98" xr:uid="{00000000-0005-0000-0000-00005C070000}"/>
    <cellStyle name="User Input Cell" xfId="30" xr:uid="{00000000-0005-0000-0000-00005D070000}"/>
    <cellStyle name="User Input Percent" xfId="31" xr:uid="{00000000-0005-0000-0000-00005E070000}"/>
    <cellStyle name="Warning Text" xfId="49" builtinId="11" customBuiltin="1"/>
    <cellStyle name="Warning Text 2" xfId="162" xr:uid="{00000000-0005-0000-0000-000060070000}"/>
    <cellStyle name="Warning Text 3" xfId="86" xr:uid="{00000000-0005-0000-0000-000061070000}"/>
  </cellStyles>
  <dxfs count="148">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lor theme="0"/>
      </font>
      <fill>
        <patternFill>
          <bgColor rgb="FF00B050"/>
        </patternFill>
      </fill>
    </dxf>
    <dxf>
      <font>
        <color theme="0"/>
      </font>
      <fill>
        <patternFill>
          <bgColor theme="3"/>
        </patternFill>
      </fill>
    </dxf>
    <dxf>
      <font>
        <color theme="0"/>
      </font>
      <fill>
        <patternFill>
          <bgColor theme="7"/>
        </patternFill>
      </fill>
    </dxf>
    <dxf>
      <font>
        <color theme="0"/>
      </font>
      <fill>
        <patternFill>
          <bgColor rgb="FF00B0F0"/>
        </patternFill>
      </fill>
    </dxf>
    <dxf>
      <font>
        <condense val="0"/>
        <extend val="0"/>
        <color indexed="9"/>
      </font>
    </dxf>
    <dxf>
      <font>
        <color theme="0"/>
      </font>
      <fill>
        <patternFill>
          <bgColor rgb="FF00B050"/>
        </patternFill>
      </fill>
    </dxf>
    <dxf>
      <font>
        <color theme="0"/>
      </font>
      <fill>
        <patternFill>
          <bgColor theme="3"/>
        </patternFill>
      </fill>
    </dxf>
    <dxf>
      <font>
        <color theme="0"/>
      </font>
      <fill>
        <patternFill>
          <bgColor theme="7"/>
        </patternFill>
      </fill>
    </dxf>
    <dxf>
      <font>
        <color theme="0"/>
      </font>
      <fill>
        <patternFill>
          <bgColor rgb="FF00B0F0"/>
        </patternFill>
      </fill>
    </dxf>
    <dxf>
      <font>
        <condense val="0"/>
        <extend val="0"/>
        <color indexed="9"/>
      </font>
    </dxf>
    <dxf>
      <font>
        <color theme="0"/>
      </font>
      <fill>
        <patternFill>
          <bgColor rgb="FF00B050"/>
        </patternFill>
      </fill>
    </dxf>
    <dxf>
      <font>
        <color theme="0"/>
      </font>
      <fill>
        <patternFill>
          <bgColor theme="3"/>
        </patternFill>
      </fill>
    </dxf>
    <dxf>
      <font>
        <color theme="0"/>
      </font>
      <fill>
        <patternFill>
          <bgColor theme="7"/>
        </patternFill>
      </fill>
    </dxf>
    <dxf>
      <font>
        <color theme="0"/>
      </font>
      <fill>
        <patternFill>
          <bgColor rgb="FF00B0F0"/>
        </patternFill>
      </fill>
    </dxf>
    <dxf>
      <font>
        <condense val="0"/>
        <extend val="0"/>
        <color indexed="9"/>
      </font>
    </dxf>
    <dxf>
      <font>
        <color theme="0"/>
      </font>
      <fill>
        <patternFill>
          <bgColor rgb="FF00B050"/>
        </patternFill>
      </fill>
    </dxf>
    <dxf>
      <font>
        <color theme="0"/>
      </font>
      <fill>
        <patternFill>
          <bgColor theme="3"/>
        </patternFill>
      </fill>
    </dxf>
    <dxf>
      <font>
        <color theme="0"/>
      </font>
      <fill>
        <patternFill>
          <bgColor theme="7"/>
        </patternFill>
      </fill>
    </dxf>
    <dxf>
      <font>
        <color theme="0"/>
      </font>
      <fill>
        <patternFill>
          <bgColor rgb="FF00B0F0"/>
        </patternFill>
      </fill>
    </dxf>
    <dxf>
      <font>
        <condense val="0"/>
        <extend val="0"/>
        <color indexed="9"/>
      </font>
    </dxf>
    <dxf>
      <font>
        <color theme="0"/>
      </font>
      <fill>
        <patternFill>
          <bgColor rgb="FF00B050"/>
        </patternFill>
      </fill>
    </dxf>
    <dxf>
      <font>
        <color theme="0"/>
      </font>
      <fill>
        <patternFill>
          <bgColor theme="3"/>
        </patternFill>
      </fill>
    </dxf>
    <dxf>
      <font>
        <color theme="0"/>
      </font>
      <fill>
        <patternFill>
          <bgColor theme="7"/>
        </patternFill>
      </fill>
    </dxf>
    <dxf>
      <font>
        <color theme="0"/>
      </font>
      <fill>
        <patternFill>
          <bgColor rgb="FF00B0F0"/>
        </patternFill>
      </fill>
    </dxf>
    <dxf>
      <font>
        <condense val="0"/>
        <extend val="0"/>
        <color indexed="9"/>
      </font>
    </dxf>
    <dxf>
      <font>
        <color theme="0"/>
      </font>
      <fill>
        <patternFill>
          <bgColor rgb="FF00B050"/>
        </patternFill>
      </fill>
    </dxf>
    <dxf>
      <font>
        <color theme="0"/>
      </font>
      <fill>
        <patternFill>
          <bgColor theme="3"/>
        </patternFill>
      </fill>
    </dxf>
    <dxf>
      <font>
        <color theme="0"/>
      </font>
      <fill>
        <patternFill>
          <bgColor theme="7"/>
        </patternFill>
      </fill>
    </dxf>
    <dxf>
      <font>
        <color theme="0"/>
      </font>
      <fill>
        <patternFill>
          <bgColor rgb="FF00B0F0"/>
        </patternFill>
      </fill>
    </dxf>
    <dxf>
      <font>
        <condense val="0"/>
        <extend val="0"/>
        <color indexed="9"/>
      </font>
    </dxf>
    <dxf>
      <font>
        <color theme="0"/>
      </font>
      <fill>
        <patternFill>
          <bgColor rgb="FF00B050"/>
        </patternFill>
      </fill>
    </dxf>
    <dxf>
      <font>
        <color theme="0"/>
      </font>
      <fill>
        <patternFill>
          <bgColor theme="3"/>
        </patternFill>
      </fill>
    </dxf>
    <dxf>
      <font>
        <color theme="0"/>
      </font>
      <fill>
        <patternFill>
          <bgColor theme="7"/>
        </patternFill>
      </fill>
    </dxf>
    <dxf>
      <font>
        <color theme="0"/>
      </font>
      <fill>
        <patternFill>
          <bgColor rgb="FF00B0F0"/>
        </patternFill>
      </fill>
    </dxf>
    <dxf>
      <font>
        <condense val="0"/>
        <extend val="0"/>
        <color indexed="9"/>
      </font>
    </dxf>
    <dxf>
      <font>
        <color theme="0"/>
      </font>
      <fill>
        <patternFill>
          <bgColor rgb="FF00B050"/>
        </patternFill>
      </fill>
    </dxf>
    <dxf>
      <font>
        <color theme="0"/>
      </font>
      <fill>
        <patternFill>
          <bgColor theme="3"/>
        </patternFill>
      </fill>
    </dxf>
    <dxf>
      <font>
        <color theme="0"/>
      </font>
      <fill>
        <patternFill>
          <bgColor theme="7"/>
        </patternFill>
      </fill>
    </dxf>
    <dxf>
      <font>
        <color theme="0"/>
      </font>
      <fill>
        <patternFill>
          <bgColor rgb="FF00B0F0"/>
        </patternFill>
      </fill>
    </dxf>
    <dxf>
      <font>
        <condense val="0"/>
        <extend val="0"/>
        <color indexed="9"/>
      </font>
    </dxf>
    <dxf>
      <font>
        <color theme="0"/>
      </font>
      <fill>
        <patternFill>
          <bgColor rgb="FF00B050"/>
        </patternFill>
      </fill>
    </dxf>
    <dxf>
      <font>
        <color theme="0"/>
      </font>
      <fill>
        <patternFill>
          <bgColor theme="3"/>
        </patternFill>
      </fill>
    </dxf>
    <dxf>
      <font>
        <color theme="0"/>
      </font>
      <fill>
        <patternFill>
          <bgColor theme="7"/>
        </patternFill>
      </fill>
    </dxf>
    <dxf>
      <font>
        <color theme="0"/>
      </font>
      <fill>
        <patternFill>
          <bgColor rgb="FF00B0F0"/>
        </patternFill>
      </fill>
    </dxf>
    <dxf>
      <font>
        <condense val="0"/>
        <extend val="0"/>
        <color indexed="9"/>
      </font>
    </dxf>
    <dxf>
      <font>
        <color theme="0"/>
      </font>
      <fill>
        <patternFill>
          <bgColor rgb="FF00B050"/>
        </patternFill>
      </fill>
    </dxf>
    <dxf>
      <font>
        <color theme="0"/>
      </font>
      <fill>
        <patternFill>
          <bgColor theme="3"/>
        </patternFill>
      </fill>
    </dxf>
    <dxf>
      <font>
        <color theme="0"/>
      </font>
      <fill>
        <patternFill>
          <bgColor theme="7"/>
        </patternFill>
      </fill>
    </dxf>
    <dxf>
      <font>
        <color theme="0"/>
      </font>
      <fill>
        <patternFill>
          <bgColor rgb="FF00B0F0"/>
        </patternFill>
      </fill>
    </dxf>
    <dxf>
      <font>
        <condense val="0"/>
        <extend val="0"/>
        <color indexed="9"/>
      </font>
    </dxf>
    <dxf>
      <font>
        <color theme="0"/>
      </font>
      <fill>
        <patternFill>
          <bgColor rgb="FF00B050"/>
        </patternFill>
      </fill>
    </dxf>
    <dxf>
      <font>
        <color theme="0"/>
      </font>
      <fill>
        <patternFill>
          <bgColor theme="3"/>
        </patternFill>
      </fill>
    </dxf>
    <dxf>
      <font>
        <color theme="0"/>
      </font>
      <fill>
        <patternFill>
          <bgColor theme="7"/>
        </patternFill>
      </fill>
    </dxf>
    <dxf>
      <font>
        <color theme="0"/>
      </font>
      <fill>
        <patternFill>
          <bgColor rgb="FF00B0F0"/>
        </patternFill>
      </fill>
    </dxf>
    <dxf>
      <font>
        <condense val="0"/>
        <extend val="0"/>
        <color indexed="9"/>
      </font>
    </dxf>
    <dxf>
      <font>
        <color theme="0"/>
      </font>
      <fill>
        <patternFill>
          <bgColor rgb="FF00B050"/>
        </patternFill>
      </fill>
    </dxf>
    <dxf>
      <font>
        <color theme="0"/>
      </font>
      <fill>
        <patternFill>
          <bgColor theme="3"/>
        </patternFill>
      </fill>
    </dxf>
    <dxf>
      <font>
        <color theme="0"/>
      </font>
      <fill>
        <patternFill>
          <bgColor theme="7"/>
        </patternFill>
      </fill>
    </dxf>
    <dxf>
      <font>
        <color theme="0"/>
      </font>
      <fill>
        <patternFill>
          <bgColor rgb="FF00B0F0"/>
        </patternFill>
      </fill>
    </dxf>
    <dxf>
      <font>
        <color theme="0"/>
      </font>
      <fill>
        <patternFill>
          <bgColor rgb="FF00B050"/>
        </patternFill>
      </fill>
    </dxf>
    <dxf>
      <font>
        <color theme="0"/>
      </font>
      <fill>
        <patternFill>
          <bgColor theme="3"/>
        </patternFill>
      </fill>
    </dxf>
    <dxf>
      <font>
        <color theme="0"/>
      </font>
      <fill>
        <patternFill>
          <bgColor theme="7"/>
        </patternFill>
      </fill>
    </dxf>
    <dxf>
      <font>
        <color theme="0"/>
      </font>
      <fill>
        <patternFill>
          <bgColor rgb="FF00B0F0"/>
        </patternFill>
      </fill>
    </dxf>
    <dxf>
      <font>
        <color theme="0"/>
      </font>
      <fill>
        <patternFill>
          <bgColor rgb="FF00B050"/>
        </patternFill>
      </fill>
    </dxf>
    <dxf>
      <font>
        <color theme="0"/>
      </font>
      <fill>
        <patternFill>
          <bgColor theme="3"/>
        </patternFill>
      </fill>
    </dxf>
    <dxf>
      <font>
        <color theme="0"/>
      </font>
      <fill>
        <patternFill>
          <bgColor theme="7"/>
        </patternFill>
      </fill>
    </dxf>
    <dxf>
      <font>
        <color theme="0"/>
      </font>
      <fill>
        <patternFill>
          <bgColor rgb="FF00B0F0"/>
        </patternFill>
      </fill>
    </dxf>
    <dxf>
      <font>
        <color theme="0"/>
      </font>
      <fill>
        <patternFill>
          <bgColor rgb="FF00B050"/>
        </patternFill>
      </fill>
    </dxf>
    <dxf>
      <font>
        <color theme="0"/>
      </font>
      <fill>
        <patternFill>
          <bgColor theme="3"/>
        </patternFill>
      </fill>
    </dxf>
    <dxf>
      <font>
        <color theme="0"/>
      </font>
      <fill>
        <patternFill>
          <bgColor theme="7"/>
        </patternFill>
      </fill>
    </dxf>
    <dxf>
      <font>
        <color theme="0"/>
      </font>
      <fill>
        <patternFill>
          <bgColor rgb="FF00B0F0"/>
        </patternFill>
      </fill>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22"/>
      </font>
    </dxf>
    <dxf>
      <font>
        <condense val="0"/>
        <extend val="0"/>
        <color indexed="22"/>
      </font>
    </dxf>
    <dxf>
      <font>
        <condense val="0"/>
        <extend val="0"/>
        <color indexed="22"/>
      </font>
    </dxf>
    <dxf>
      <font>
        <condense val="0"/>
        <extend val="0"/>
        <color indexed="22"/>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b/>
        <i val="0"/>
        <condense val="0"/>
        <extend val="0"/>
        <color indexed="57"/>
      </font>
    </dxf>
    <dxf>
      <font>
        <b/>
        <i val="0"/>
        <condense val="0"/>
        <extend val="0"/>
        <color indexed="10"/>
      </font>
    </dxf>
    <dxf>
      <font>
        <b/>
        <i val="0"/>
        <condense val="0"/>
        <extend val="0"/>
        <color indexed="57"/>
      </font>
    </dxf>
    <dxf>
      <font>
        <b/>
        <i val="0"/>
        <condense val="0"/>
        <extend val="0"/>
        <color indexed="10"/>
      </font>
    </dxf>
    <dxf>
      <font>
        <condense val="0"/>
        <extend val="0"/>
        <color indexed="39"/>
      </font>
    </dxf>
    <dxf>
      <font>
        <condense val="0"/>
        <extend val="0"/>
        <color indexed="39"/>
      </font>
    </dxf>
    <dxf>
      <font>
        <condense val="0"/>
        <extend val="0"/>
        <color indexed="39"/>
      </font>
    </dxf>
    <dxf>
      <font>
        <b/>
        <i val="0"/>
        <condense val="0"/>
        <extend val="0"/>
        <color indexed="10"/>
      </font>
    </dxf>
    <dxf>
      <font>
        <b/>
        <i val="0"/>
        <condense val="0"/>
        <extend val="0"/>
        <color indexed="57"/>
      </font>
    </dxf>
    <dxf>
      <font>
        <b/>
        <i val="0"/>
        <condense val="0"/>
        <extend val="0"/>
        <color indexed="10"/>
      </font>
    </dxf>
    <dxf>
      <font>
        <b/>
        <i val="0"/>
        <condense val="0"/>
        <extend val="0"/>
        <color indexed="57"/>
      </font>
    </dxf>
    <dxf>
      <font>
        <condense val="0"/>
        <extend val="0"/>
        <color indexed="39"/>
      </font>
    </dxf>
    <dxf>
      <font>
        <b/>
        <i val="0"/>
        <condense val="0"/>
        <extend val="0"/>
        <color indexed="10"/>
      </font>
    </dxf>
    <dxf>
      <font>
        <b/>
        <i val="0"/>
        <condense val="0"/>
        <extend val="0"/>
        <color indexed="57"/>
      </font>
    </dxf>
    <dxf>
      <font>
        <b/>
        <i val="0"/>
        <condense val="0"/>
        <extend val="0"/>
        <color indexed="10"/>
      </font>
    </dxf>
    <dxf>
      <font>
        <b/>
        <i val="0"/>
        <condense val="0"/>
        <extend val="0"/>
        <color indexed="57"/>
      </font>
    </dxf>
    <dxf>
      <font>
        <condense val="0"/>
        <extend val="0"/>
        <color indexed="39"/>
      </font>
    </dxf>
    <dxf>
      <font>
        <condense val="0"/>
        <extend val="0"/>
        <color indexed="39"/>
      </font>
    </dxf>
    <dxf>
      <border>
        <bottom style="thin">
          <color indexed="64"/>
        </bottom>
      </border>
    </dxf>
    <dxf>
      <font>
        <condense val="0"/>
        <extend val="0"/>
        <color indexed="9"/>
      </font>
      <fill>
        <patternFill>
          <bgColor indexed="9"/>
        </patternFill>
      </fill>
      <border>
        <left/>
        <right/>
        <top/>
        <bottom/>
      </border>
    </dxf>
    <dxf>
      <font>
        <condense val="0"/>
        <extend val="0"/>
        <color indexed="9"/>
      </font>
      <border>
        <left/>
        <right/>
        <top/>
        <bottom/>
      </border>
    </dxf>
    <dxf>
      <font>
        <condense val="0"/>
        <extend val="0"/>
        <color indexed="39"/>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EAEAEA"/>
      <rgbColor rgb="0000CCFF"/>
      <rgbColor rgb="00DDEBF9"/>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99"/>
      <color rgb="FFCCFFFF"/>
      <color rgb="FF31869B"/>
      <color rgb="FFDDEBF9"/>
      <color rgb="FF003366"/>
      <color rgb="FFC5D9F1"/>
      <color rgb="FF9678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eetMetadata" Target="metadata.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Radio" firstButton="1" fmlaLink="$H$46"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GBox" noThreeD="1"/>
</file>

<file path=xl/ctrlProps/ctrlProp9.xml><?xml version="1.0" encoding="utf-8"?>
<formControlPr xmlns="http://schemas.microsoft.com/office/spreadsheetml/2009/9/main" objectType="Radio" firstButton="1" fmlaLink="$H$47" lockText="1"/>
</file>

<file path=xl/ctrlProps/ctrlProp10.xml><?xml version="1.0" encoding="utf-8"?>
<formControlPr xmlns="http://schemas.microsoft.com/office/spreadsheetml/2009/9/main" objectType="Radio" checked="Checked"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Radio" firstButton="1" fmlaLink="$K$7" lockText="1"/>
</file>

<file path=xl/ctrlProps/ctrlProp14.xml><?xml version="1.0" encoding="utf-8"?>
<formControlPr xmlns="http://schemas.microsoft.com/office/spreadsheetml/2009/9/main" objectType="Radio" checked="Checked"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ctrlProps/ctrlProp25.xml><?xml version="1.0" encoding="utf-8"?>
<formControlPr xmlns="http://schemas.microsoft.com/office/spreadsheetml/2009/9/main" objectType="Button" lockText="1"/>
</file>

<file path=xl/ctrlProps/ctrlProp26.xml><?xml version="1.0" encoding="utf-8"?>
<formControlPr xmlns="http://schemas.microsoft.com/office/spreadsheetml/2009/9/main" objectType="Button" lockText="1"/>
</file>

<file path=xl/ctrlProps/ctrlProp27.xml><?xml version="1.0" encoding="utf-8"?>
<formControlPr xmlns="http://schemas.microsoft.com/office/spreadsheetml/2009/9/main" objectType="Button" lockText="1"/>
</file>

<file path=xl/ctrlProps/ctrlProp28.xml><?xml version="1.0" encoding="utf-8"?>
<formControlPr xmlns="http://schemas.microsoft.com/office/spreadsheetml/2009/9/main" objectType="Button" lockText="1"/>
</file>

<file path=xl/ctrlProps/ctrlProp29.xml><?xml version="1.0" encoding="utf-8"?>
<formControlPr xmlns="http://schemas.microsoft.com/office/spreadsheetml/2009/9/main" objectType="Button" lockText="1"/>
</file>

<file path=xl/ctrlProps/ctrlProp30.xml><?xml version="1.0" encoding="utf-8"?>
<formControlPr xmlns="http://schemas.microsoft.com/office/spreadsheetml/2009/9/main" objectType="Button" lockText="1"/>
</file>

<file path=xl/ctrlProps/ctrlProp31.xml><?xml version="1.0" encoding="utf-8"?>
<formControlPr xmlns="http://schemas.microsoft.com/office/spreadsheetml/2009/9/main" objectType="Button" lockText="1"/>
</file>

<file path=xl/ctrlProps/ctrlProp32.xml><?xml version="1.0" encoding="utf-8"?>
<formControlPr xmlns="http://schemas.microsoft.com/office/spreadsheetml/2009/9/main" objectType="Button" lockText="1"/>
</file>

<file path=xl/ctrlProps/ctrlProp33.xml><?xml version="1.0" encoding="utf-8"?>
<formControlPr xmlns="http://schemas.microsoft.com/office/spreadsheetml/2009/9/main" objectType="Button" lockText="1"/>
</file>

<file path=xl/ctrlProps/ctrlProp34.xml><?xml version="1.0" encoding="utf-8"?>
<formControlPr xmlns="http://schemas.microsoft.com/office/spreadsheetml/2009/9/main" objectType="Button" lockText="1"/>
</file>

<file path=xl/ctrlProps/ctrlProp35.xml><?xml version="1.0" encoding="utf-8"?>
<formControlPr xmlns="http://schemas.microsoft.com/office/spreadsheetml/2009/9/main" objectType="Button" lockText="1"/>
</file>

<file path=xl/ctrlProps/ctrlProp36.xml><?xml version="1.0" encoding="utf-8"?>
<formControlPr xmlns="http://schemas.microsoft.com/office/spreadsheetml/2009/9/main" objectType="Button" lockText="1"/>
</file>

<file path=xl/ctrlProps/ctrlProp37.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5</xdr:col>
      <xdr:colOff>142875</xdr:colOff>
      <xdr:row>1</xdr:row>
      <xdr:rowOff>57150</xdr:rowOff>
    </xdr:from>
    <xdr:to>
      <xdr:col>6</xdr:col>
      <xdr:colOff>742950</xdr:colOff>
      <xdr:row>7</xdr:row>
      <xdr:rowOff>76200</xdr:rowOff>
    </xdr:to>
    <xdr:pic>
      <xdr:nvPicPr>
        <xdr:cNvPr id="1067" name="Picture 3" descr="US-DeptOfTheInterior-Seal">
          <a:extLst>
            <a:ext uri="{FF2B5EF4-FFF2-40B4-BE49-F238E27FC236}">
              <a16:creationId xmlns:a16="http://schemas.microsoft.com/office/drawing/2014/main" id="{00000000-0008-0000-0000-00002B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24275" y="152400"/>
          <a:ext cx="1495425"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0</xdr:colOff>
          <xdr:row>39</xdr:row>
          <xdr:rowOff>0</xdr:rowOff>
        </xdr:from>
        <xdr:to>
          <xdr:col>10</xdr:col>
          <xdr:colOff>38100</xdr:colOff>
          <xdr:row>41</xdr:row>
          <xdr:rowOff>142875</xdr:rowOff>
        </xdr:to>
        <xdr:sp macro="" textlink="">
          <xdr:nvSpPr>
            <xdr:cNvPr id="99329" name="Button 1" hidden="1">
              <a:extLst>
                <a:ext uri="{63B3BB69-23CF-44E3-9099-C40C66FF867C}">
                  <a14:compatExt spid="_x0000_s99329"/>
                </a:ext>
                <a:ext uri="{FF2B5EF4-FFF2-40B4-BE49-F238E27FC236}">
                  <a16:creationId xmlns:a16="http://schemas.microsoft.com/office/drawing/2014/main" id="{00000000-0008-0000-0100-0000018401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200" b="1" i="0" u="none" strike="noStrike" baseline="0">
                  <a:solidFill>
                    <a:srgbClr val="000000"/>
                  </a:solidFill>
                  <a:latin typeface="Arial"/>
                  <a:cs typeface="Arial"/>
                </a:rPr>
                <a:t>Extrapolate to years beyond AEO timeline. </a:t>
              </a:r>
              <a:endParaRPr lang="en-US" sz="1200" b="0" i="0" u="none" strike="noStrike" baseline="0">
                <a:solidFill>
                  <a:srgbClr val="000000"/>
                </a:solidFill>
                <a:latin typeface="Arial"/>
                <a:cs typeface="Arial"/>
              </a:endParaRPr>
            </a:p>
            <a:p>
              <a:pPr algn="ctr" rtl="0">
                <a:defRPr sz="1000"/>
              </a:pPr>
              <a:r>
                <a:rPr lang="en-US" sz="1200" b="0" i="0" u="none" strike="noStrike" baseline="0">
                  <a:solidFill>
                    <a:srgbClr val="000000"/>
                  </a:solidFill>
                  <a:latin typeface="Arial"/>
                  <a:cs typeface="Arial"/>
                </a:rPr>
                <a:t>(Be sure to update whenever new data have been entered into the model)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895350</xdr:colOff>
          <xdr:row>6</xdr:row>
          <xdr:rowOff>257175</xdr:rowOff>
        </xdr:from>
        <xdr:to>
          <xdr:col>11</xdr:col>
          <xdr:colOff>295275</xdr:colOff>
          <xdr:row>7</xdr:row>
          <xdr:rowOff>371475</xdr:rowOff>
        </xdr:to>
        <xdr:sp macro="" textlink="">
          <xdr:nvSpPr>
            <xdr:cNvPr id="99331" name="Button 3" hidden="1">
              <a:extLst>
                <a:ext uri="{63B3BB69-23CF-44E3-9099-C40C66FF867C}">
                  <a14:compatExt spid="_x0000_s99331"/>
                </a:ext>
                <a:ext uri="{FF2B5EF4-FFF2-40B4-BE49-F238E27FC236}">
                  <a16:creationId xmlns:a16="http://schemas.microsoft.com/office/drawing/2014/main" id="{00000000-0008-0000-0100-0000038401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200" b="1" i="0" u="none" strike="noStrike" baseline="0">
                  <a:solidFill>
                    <a:srgbClr val="000000"/>
                  </a:solidFill>
                  <a:latin typeface="Arial"/>
                  <a:cs typeface="Arial"/>
                </a:rPr>
                <a:t>Clear Existing Baseline Data</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781050</xdr:colOff>
          <xdr:row>42</xdr:row>
          <xdr:rowOff>95250</xdr:rowOff>
        </xdr:from>
        <xdr:to>
          <xdr:col>4</xdr:col>
          <xdr:colOff>219075</xdr:colOff>
          <xdr:row>44</xdr:row>
          <xdr:rowOff>104775</xdr:rowOff>
        </xdr:to>
        <xdr:sp macro="" textlink="">
          <xdr:nvSpPr>
            <xdr:cNvPr id="31750" name="Button 1030" hidden="1">
              <a:extLst>
                <a:ext uri="{63B3BB69-23CF-44E3-9099-C40C66FF867C}">
                  <a14:compatExt spid="_x0000_s31750"/>
                </a:ext>
                <a:ext uri="{FF2B5EF4-FFF2-40B4-BE49-F238E27FC236}">
                  <a16:creationId xmlns:a16="http://schemas.microsoft.com/office/drawing/2014/main" id="{00000000-0008-0000-0200-0000067C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400" b="1" i="0" u="none" strike="noStrike" baseline="0">
                  <a:solidFill>
                    <a:srgbClr val="000080"/>
                  </a:solidFill>
                  <a:latin typeface="Trebuchet MS"/>
                </a:rPr>
                <a:t>Calculate equilibrium  prices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371475</xdr:colOff>
          <xdr:row>7</xdr:row>
          <xdr:rowOff>219075</xdr:rowOff>
        </xdr:from>
        <xdr:to>
          <xdr:col>6</xdr:col>
          <xdr:colOff>95250</xdr:colOff>
          <xdr:row>10</xdr:row>
          <xdr:rowOff>38100</xdr:rowOff>
        </xdr:to>
        <xdr:sp macro="" textlink="">
          <xdr:nvSpPr>
            <xdr:cNvPr id="31754" name="Button 1034" hidden="1">
              <a:extLst>
                <a:ext uri="{63B3BB69-23CF-44E3-9099-C40C66FF867C}">
                  <a14:compatExt spid="_x0000_s31754"/>
                </a:ext>
                <a:ext uri="{FF2B5EF4-FFF2-40B4-BE49-F238E27FC236}">
                  <a16:creationId xmlns:a16="http://schemas.microsoft.com/office/drawing/2014/main" id="{00000000-0008-0000-0200-00000A7C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400" b="1" i="0" u="none" strike="noStrike" baseline="0">
                  <a:solidFill>
                    <a:srgbClr val="000080"/>
                  </a:solidFill>
                  <a:latin typeface="Trebuchet MS"/>
                </a:rPr>
                <a:t>Import OECM E&amp;D Matrix Scenario  </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1066800</xdr:colOff>
          <xdr:row>5</xdr:row>
          <xdr:rowOff>66675</xdr:rowOff>
        </xdr:from>
        <xdr:to>
          <xdr:col>4</xdr:col>
          <xdr:colOff>561975</xdr:colOff>
          <xdr:row>6</xdr:row>
          <xdr:rowOff>171450</xdr:rowOff>
        </xdr:to>
        <xdr:sp macro="" textlink="">
          <xdr:nvSpPr>
            <xdr:cNvPr id="83981" name="Group Box 13" hidden="1">
              <a:extLst>
                <a:ext uri="{63B3BB69-23CF-44E3-9099-C40C66FF867C}">
                  <a14:compatExt spid="_x0000_s83981"/>
                </a:ext>
                <a:ext uri="{FF2B5EF4-FFF2-40B4-BE49-F238E27FC236}">
                  <a16:creationId xmlns:a16="http://schemas.microsoft.com/office/drawing/2014/main" id="{00000000-0008-0000-0300-00000D4801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Discounting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1162050</xdr:colOff>
          <xdr:row>5</xdr:row>
          <xdr:rowOff>133350</xdr:rowOff>
        </xdr:from>
        <xdr:to>
          <xdr:col>3</xdr:col>
          <xdr:colOff>561975</xdr:colOff>
          <xdr:row>6</xdr:row>
          <xdr:rowOff>133350</xdr:rowOff>
        </xdr:to>
        <xdr:sp macro="" textlink="">
          <xdr:nvSpPr>
            <xdr:cNvPr id="83982" name="Option Button 14" hidden="1">
              <a:extLst>
                <a:ext uri="{63B3BB69-23CF-44E3-9099-C40C66FF867C}">
                  <a14:compatExt spid="_x0000_s83982"/>
                </a:ext>
                <a:ext uri="{FF2B5EF4-FFF2-40B4-BE49-F238E27FC236}">
                  <a16:creationId xmlns:a16="http://schemas.microsoft.com/office/drawing/2014/main" id="{00000000-0008-0000-0300-00000E4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Nominal Value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609600</xdr:colOff>
          <xdr:row>5</xdr:row>
          <xdr:rowOff>171450</xdr:rowOff>
        </xdr:from>
        <xdr:to>
          <xdr:col>4</xdr:col>
          <xdr:colOff>438150</xdr:colOff>
          <xdr:row>6</xdr:row>
          <xdr:rowOff>95250</xdr:rowOff>
        </xdr:to>
        <xdr:sp macro="" textlink="">
          <xdr:nvSpPr>
            <xdr:cNvPr id="83984" name="Option Button 16" hidden="1">
              <a:extLst>
                <a:ext uri="{63B3BB69-23CF-44E3-9099-C40C66FF867C}">
                  <a14:compatExt spid="_x0000_s83984"/>
                </a:ext>
                <a:ext uri="{FF2B5EF4-FFF2-40B4-BE49-F238E27FC236}">
                  <a16:creationId xmlns:a16="http://schemas.microsoft.com/office/drawing/2014/main" id="{00000000-0008-0000-0300-0000104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Present Value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1066800</xdr:colOff>
          <xdr:row>5</xdr:row>
          <xdr:rowOff>57150</xdr:rowOff>
        </xdr:from>
        <xdr:to>
          <xdr:col>6</xdr:col>
          <xdr:colOff>990600</xdr:colOff>
          <xdr:row>6</xdr:row>
          <xdr:rowOff>190500</xdr:rowOff>
        </xdr:to>
        <xdr:sp macro="" textlink="">
          <xdr:nvSpPr>
            <xdr:cNvPr id="83985" name="Group Box 17" hidden="1">
              <a:extLst>
                <a:ext uri="{63B3BB69-23CF-44E3-9099-C40C66FF867C}">
                  <a14:compatExt spid="_x0000_s83985"/>
                </a:ext>
                <a:ext uri="{FF2B5EF4-FFF2-40B4-BE49-F238E27FC236}">
                  <a16:creationId xmlns:a16="http://schemas.microsoft.com/office/drawing/2014/main" id="{00000000-0008-0000-0300-0000114801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Domestic Producer Transfer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1171575</xdr:colOff>
          <xdr:row>5</xdr:row>
          <xdr:rowOff>171450</xdr:rowOff>
        </xdr:from>
        <xdr:to>
          <xdr:col>5</xdr:col>
          <xdr:colOff>1123950</xdr:colOff>
          <xdr:row>6</xdr:row>
          <xdr:rowOff>76200</xdr:rowOff>
        </xdr:to>
        <xdr:sp macro="" textlink="">
          <xdr:nvSpPr>
            <xdr:cNvPr id="83986" name="Option Button 18" hidden="1">
              <a:extLst>
                <a:ext uri="{63B3BB69-23CF-44E3-9099-C40C66FF867C}">
                  <a14:compatExt spid="_x0000_s83986"/>
                </a:ext>
                <a:ext uri="{FF2B5EF4-FFF2-40B4-BE49-F238E27FC236}">
                  <a16:creationId xmlns:a16="http://schemas.microsoft.com/office/drawing/2014/main" id="{00000000-0008-0000-0300-0000124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All CS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952500</xdr:colOff>
          <xdr:row>5</xdr:row>
          <xdr:rowOff>142875</xdr:rowOff>
        </xdr:from>
        <xdr:to>
          <xdr:col>6</xdr:col>
          <xdr:colOff>638175</xdr:colOff>
          <xdr:row>6</xdr:row>
          <xdr:rowOff>104775</xdr:rowOff>
        </xdr:to>
        <xdr:sp macro="" textlink="">
          <xdr:nvSpPr>
            <xdr:cNvPr id="83987" name="Option Button 19" hidden="1">
              <a:extLst>
                <a:ext uri="{63B3BB69-23CF-44E3-9099-C40C66FF867C}">
                  <a14:compatExt spid="_x0000_s83987"/>
                </a:ext>
                <a:ext uri="{FF2B5EF4-FFF2-40B4-BE49-F238E27FC236}">
                  <a16:creationId xmlns:a16="http://schemas.microsoft.com/office/drawing/2014/main" id="{00000000-0008-0000-0300-0000134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CS Net of Domestic Producer Transfer</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57150</xdr:colOff>
          <xdr:row>2</xdr:row>
          <xdr:rowOff>180975</xdr:rowOff>
        </xdr:from>
        <xdr:to>
          <xdr:col>7</xdr:col>
          <xdr:colOff>514350</xdr:colOff>
          <xdr:row>4</xdr:row>
          <xdr:rowOff>57150</xdr:rowOff>
        </xdr:to>
        <xdr:sp macro="" textlink="">
          <xdr:nvSpPr>
            <xdr:cNvPr id="68609" name="Button 1" hidden="1">
              <a:extLst>
                <a:ext uri="{63B3BB69-23CF-44E3-9099-C40C66FF867C}">
                  <a14:compatExt spid="_x0000_s68609"/>
                </a:ext>
                <a:ext uri="{FF2B5EF4-FFF2-40B4-BE49-F238E27FC236}">
                  <a16:creationId xmlns:a16="http://schemas.microsoft.com/office/drawing/2014/main" id="{00000000-0008-0000-0700-0000010C01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333399"/>
                  </a:solidFill>
                  <a:latin typeface="Trebuchet MS"/>
                </a:rPr>
                <a:t>Equilibrate electricity</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95250</xdr:colOff>
          <xdr:row>2</xdr:row>
          <xdr:rowOff>171450</xdr:rowOff>
        </xdr:from>
        <xdr:to>
          <xdr:col>7</xdr:col>
          <xdr:colOff>533400</xdr:colOff>
          <xdr:row>4</xdr:row>
          <xdr:rowOff>66675</xdr:rowOff>
        </xdr:to>
        <xdr:sp macro="" textlink="">
          <xdr:nvSpPr>
            <xdr:cNvPr id="67585" name="Button 1" hidden="1">
              <a:extLst>
                <a:ext uri="{63B3BB69-23CF-44E3-9099-C40C66FF867C}">
                  <a14:compatExt spid="_x0000_s67585"/>
                </a:ext>
                <a:ext uri="{FF2B5EF4-FFF2-40B4-BE49-F238E27FC236}">
                  <a16:creationId xmlns:a16="http://schemas.microsoft.com/office/drawing/2014/main" id="{00000000-0008-0000-0B00-0000010801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80"/>
                  </a:solidFill>
                  <a:latin typeface="Trebuchet MS"/>
                </a:rPr>
                <a:t>Equilibrate electricity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6</xdr:row>
          <xdr:rowOff>19050</xdr:rowOff>
        </xdr:from>
        <xdr:to>
          <xdr:col>4</xdr:col>
          <xdr:colOff>142875</xdr:colOff>
          <xdr:row>7</xdr:row>
          <xdr:rowOff>0</xdr:rowOff>
        </xdr:to>
        <xdr:sp macro="" textlink="">
          <xdr:nvSpPr>
            <xdr:cNvPr id="67589" name="Option Button 5" hidden="1">
              <a:extLst>
                <a:ext uri="{63B3BB69-23CF-44E3-9099-C40C66FF867C}">
                  <a14:compatExt spid="_x0000_s67589"/>
                </a:ext>
                <a:ext uri="{FF2B5EF4-FFF2-40B4-BE49-F238E27FC236}">
                  <a16:creationId xmlns:a16="http://schemas.microsoft.com/office/drawing/2014/main" id="{00000000-0008-0000-0B00-0000050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AEO Baseline Data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514350</xdr:colOff>
          <xdr:row>6</xdr:row>
          <xdr:rowOff>19050</xdr:rowOff>
        </xdr:from>
        <xdr:to>
          <xdr:col>5</xdr:col>
          <xdr:colOff>876300</xdr:colOff>
          <xdr:row>7</xdr:row>
          <xdr:rowOff>0</xdr:rowOff>
        </xdr:to>
        <xdr:sp macro="" textlink="">
          <xdr:nvSpPr>
            <xdr:cNvPr id="67590" name="Option Button 6" hidden="1">
              <a:extLst>
                <a:ext uri="{63B3BB69-23CF-44E3-9099-C40C66FF867C}">
                  <a14:compatExt spid="_x0000_s67590"/>
                </a:ext>
                <a:ext uri="{FF2B5EF4-FFF2-40B4-BE49-F238E27FC236}">
                  <a16:creationId xmlns:a16="http://schemas.microsoft.com/office/drawing/2014/main" id="{00000000-0008-0000-0B00-0000060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Equilibrium Calculated Data*</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400050</xdr:colOff>
          <xdr:row>5</xdr:row>
          <xdr:rowOff>247650</xdr:rowOff>
        </xdr:from>
        <xdr:to>
          <xdr:col>7</xdr:col>
          <xdr:colOff>457200</xdr:colOff>
          <xdr:row>6</xdr:row>
          <xdr:rowOff>209550</xdr:rowOff>
        </xdr:to>
        <xdr:sp macro="" textlink="">
          <xdr:nvSpPr>
            <xdr:cNvPr id="67591" name="Button 7" hidden="1">
              <a:extLst>
                <a:ext uri="{63B3BB69-23CF-44E3-9099-C40C66FF867C}">
                  <a14:compatExt spid="_x0000_s67591"/>
                </a:ext>
                <a:ext uri="{FF2B5EF4-FFF2-40B4-BE49-F238E27FC236}">
                  <a16:creationId xmlns:a16="http://schemas.microsoft.com/office/drawing/2014/main" id="{00000000-0008-0000-0B00-0000070801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80"/>
                  </a:solidFill>
                  <a:latin typeface="Trebuchet MS"/>
                </a:rPr>
                <a:t>Clear all data</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276225</xdr:colOff>
      <xdr:row>14</xdr:row>
      <xdr:rowOff>133350</xdr:rowOff>
    </xdr:from>
    <xdr:to>
      <xdr:col>3</xdr:col>
      <xdr:colOff>103908</xdr:colOff>
      <xdr:row>29</xdr:row>
      <xdr:rowOff>13804</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276225" y="2857500"/>
          <a:ext cx="5352183" cy="233790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0</xdr:colOff>
          <xdr:row>2</xdr:row>
          <xdr:rowOff>76200</xdr:rowOff>
        </xdr:from>
        <xdr:to>
          <xdr:col>8</xdr:col>
          <xdr:colOff>666750</xdr:colOff>
          <xdr:row>4</xdr:row>
          <xdr:rowOff>114300</xdr:rowOff>
        </xdr:to>
        <xdr:sp macro="" textlink="">
          <xdr:nvSpPr>
            <xdr:cNvPr id="71681" name="Button 1" hidden="1">
              <a:extLst>
                <a:ext uri="{63B3BB69-23CF-44E3-9099-C40C66FF867C}">
                  <a14:compatExt spid="_x0000_s71681"/>
                </a:ext>
                <a:ext uri="{FF2B5EF4-FFF2-40B4-BE49-F238E27FC236}">
                  <a16:creationId xmlns:a16="http://schemas.microsoft.com/office/drawing/2014/main" id="{00000000-0008-0000-1600-0000011801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80"/>
                  </a:solidFill>
                  <a:latin typeface="Trebuchet MS"/>
                </a:rPr>
                <a:t>Import Scenario from OECM E&amp;D Matrix</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304800</xdr:colOff>
          <xdr:row>2</xdr:row>
          <xdr:rowOff>95250</xdr:rowOff>
        </xdr:from>
        <xdr:to>
          <xdr:col>10</xdr:col>
          <xdr:colOff>438150</xdr:colOff>
          <xdr:row>4</xdr:row>
          <xdr:rowOff>57150</xdr:rowOff>
        </xdr:to>
        <xdr:sp macro="" textlink="">
          <xdr:nvSpPr>
            <xdr:cNvPr id="71683" name="Button 3" hidden="1">
              <a:extLst>
                <a:ext uri="{63B3BB69-23CF-44E3-9099-C40C66FF867C}">
                  <a14:compatExt spid="_x0000_s71683"/>
                </a:ext>
                <a:ext uri="{FF2B5EF4-FFF2-40B4-BE49-F238E27FC236}">
                  <a16:creationId xmlns:a16="http://schemas.microsoft.com/office/drawing/2014/main" id="{00000000-0008-0000-1600-0000031801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80"/>
                  </a:solidFill>
                  <a:latin typeface="Trebuchet MS"/>
                </a:rPr>
                <a:t>Clear Oil &amp; Gas Scenario</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0</xdr:colOff>
          <xdr:row>2</xdr:row>
          <xdr:rowOff>76200</xdr:rowOff>
        </xdr:from>
        <xdr:to>
          <xdr:col>8</xdr:col>
          <xdr:colOff>666750</xdr:colOff>
          <xdr:row>4</xdr:row>
          <xdr:rowOff>114300</xdr:rowOff>
        </xdr:to>
        <xdr:sp macro="" textlink="">
          <xdr:nvSpPr>
            <xdr:cNvPr id="69635" name="Button 3" hidden="1">
              <a:extLst>
                <a:ext uri="{63B3BB69-23CF-44E3-9099-C40C66FF867C}">
                  <a14:compatExt spid="_x0000_s69635"/>
                </a:ext>
                <a:ext uri="{FF2B5EF4-FFF2-40B4-BE49-F238E27FC236}">
                  <a16:creationId xmlns:a16="http://schemas.microsoft.com/office/drawing/2014/main" id="{00000000-0008-0000-1700-0000031001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80"/>
                  </a:solidFill>
                  <a:latin typeface="Trebuchet MS"/>
                </a:rPr>
                <a:t>Import Scenario from OECM E&amp;D Matrix</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323850</xdr:colOff>
          <xdr:row>2</xdr:row>
          <xdr:rowOff>95250</xdr:rowOff>
        </xdr:from>
        <xdr:to>
          <xdr:col>10</xdr:col>
          <xdr:colOff>447675</xdr:colOff>
          <xdr:row>4</xdr:row>
          <xdr:rowOff>57150</xdr:rowOff>
        </xdr:to>
        <xdr:sp macro="" textlink="">
          <xdr:nvSpPr>
            <xdr:cNvPr id="69636" name="Button 4" hidden="1">
              <a:extLst>
                <a:ext uri="{63B3BB69-23CF-44E3-9099-C40C66FF867C}">
                  <a14:compatExt spid="_x0000_s69636"/>
                </a:ext>
                <a:ext uri="{FF2B5EF4-FFF2-40B4-BE49-F238E27FC236}">
                  <a16:creationId xmlns:a16="http://schemas.microsoft.com/office/drawing/2014/main" id="{00000000-0008-0000-1700-0000041001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80"/>
                  </a:solidFill>
                  <a:latin typeface="Trebuchet MS"/>
                </a:rPr>
                <a:t>Clear Oil &amp; Gas Scenario</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5</xdr:col>
      <xdr:colOff>0</xdr:colOff>
      <xdr:row>7</xdr:row>
      <xdr:rowOff>0</xdr:rowOff>
    </xdr:from>
    <xdr:to>
      <xdr:col>5</xdr:col>
      <xdr:colOff>0</xdr:colOff>
      <xdr:row>7</xdr:row>
      <xdr:rowOff>0</xdr:rowOff>
    </xdr:to>
    <xdr:pic>
      <xdr:nvPicPr>
        <xdr:cNvPr id="55386" name="Picture 1" descr="Clip">
          <a:extLst>
            <a:ext uri="{FF2B5EF4-FFF2-40B4-BE49-F238E27FC236}">
              <a16:creationId xmlns:a16="http://schemas.microsoft.com/office/drawing/2014/main" id="{00000000-0008-0000-1D00-00005AD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29100" y="17716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18</xdr:row>
      <xdr:rowOff>0</xdr:rowOff>
    </xdr:from>
    <xdr:to>
      <xdr:col>5</xdr:col>
      <xdr:colOff>0</xdr:colOff>
      <xdr:row>18</xdr:row>
      <xdr:rowOff>0</xdr:rowOff>
    </xdr:to>
    <xdr:pic>
      <xdr:nvPicPr>
        <xdr:cNvPr id="55387" name="Picture 2" descr="Clip">
          <a:extLst>
            <a:ext uri="{FF2B5EF4-FFF2-40B4-BE49-F238E27FC236}">
              <a16:creationId xmlns:a16="http://schemas.microsoft.com/office/drawing/2014/main" id="{00000000-0008-0000-1D00-00005BD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29100" y="6219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4</xdr:col>
          <xdr:colOff>0</xdr:colOff>
          <xdr:row>1</xdr:row>
          <xdr:rowOff>0</xdr:rowOff>
        </xdr:from>
        <xdr:to>
          <xdr:col>5</xdr:col>
          <xdr:colOff>400050</xdr:colOff>
          <xdr:row>3</xdr:row>
          <xdr:rowOff>57150</xdr:rowOff>
        </xdr:to>
        <xdr:sp macro="" textlink="">
          <xdr:nvSpPr>
            <xdr:cNvPr id="55300" name="Button 4" hidden="1">
              <a:extLst>
                <a:ext uri="{63B3BB69-23CF-44E3-9099-C40C66FF867C}">
                  <a14:compatExt spid="_x0000_s55300"/>
                </a:ext>
                <a:ext uri="{FF2B5EF4-FFF2-40B4-BE49-F238E27FC236}">
                  <a16:creationId xmlns:a16="http://schemas.microsoft.com/office/drawing/2014/main" id="{00000000-0008-0000-1D00-000004D8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00"/>
                  </a:solidFill>
                  <a:latin typeface="Trebuchet MS"/>
                </a:rPr>
                <a:t>Restore THIS TAB's default elasticities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628650</xdr:colOff>
          <xdr:row>1</xdr:row>
          <xdr:rowOff>0</xdr:rowOff>
        </xdr:from>
        <xdr:to>
          <xdr:col>6</xdr:col>
          <xdr:colOff>1028700</xdr:colOff>
          <xdr:row>3</xdr:row>
          <xdr:rowOff>57150</xdr:rowOff>
        </xdr:to>
        <xdr:sp macro="" textlink="">
          <xdr:nvSpPr>
            <xdr:cNvPr id="55301" name="Button 5" hidden="1">
              <a:extLst>
                <a:ext uri="{63B3BB69-23CF-44E3-9099-C40C66FF867C}">
                  <a14:compatExt spid="_x0000_s55301"/>
                </a:ext>
                <a:ext uri="{FF2B5EF4-FFF2-40B4-BE49-F238E27FC236}">
                  <a16:creationId xmlns:a16="http://schemas.microsoft.com/office/drawing/2014/main" id="{00000000-0008-0000-1D00-000005D8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00"/>
                  </a:solidFill>
                  <a:latin typeface="Trebuchet MS"/>
                </a:rPr>
                <a:t>Restore ALL default elasticities</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0</xdr:rowOff>
    </xdr:from>
    <xdr:to>
      <xdr:col>6</xdr:col>
      <xdr:colOff>0</xdr:colOff>
      <xdr:row>7</xdr:row>
      <xdr:rowOff>0</xdr:rowOff>
    </xdr:to>
    <xdr:pic>
      <xdr:nvPicPr>
        <xdr:cNvPr id="54362" name="Picture 1" descr="Clip">
          <a:extLst>
            <a:ext uri="{FF2B5EF4-FFF2-40B4-BE49-F238E27FC236}">
              <a16:creationId xmlns:a16="http://schemas.microsoft.com/office/drawing/2014/main" id="{00000000-0008-0000-1E00-00005AD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7716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18</xdr:row>
      <xdr:rowOff>0</xdr:rowOff>
    </xdr:from>
    <xdr:to>
      <xdr:col>6</xdr:col>
      <xdr:colOff>0</xdr:colOff>
      <xdr:row>18</xdr:row>
      <xdr:rowOff>0</xdr:rowOff>
    </xdr:to>
    <xdr:pic>
      <xdr:nvPicPr>
        <xdr:cNvPr id="54363" name="Picture 2" descr="Clip">
          <a:extLst>
            <a:ext uri="{FF2B5EF4-FFF2-40B4-BE49-F238E27FC236}">
              <a16:creationId xmlns:a16="http://schemas.microsoft.com/office/drawing/2014/main" id="{00000000-0008-0000-1E00-00005BD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64103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4</xdr:col>
          <xdr:colOff>19050</xdr:colOff>
          <xdr:row>0</xdr:row>
          <xdr:rowOff>190500</xdr:rowOff>
        </xdr:from>
        <xdr:to>
          <xdr:col>5</xdr:col>
          <xdr:colOff>371475</xdr:colOff>
          <xdr:row>3</xdr:row>
          <xdr:rowOff>38100</xdr:rowOff>
        </xdr:to>
        <xdr:sp macro="" textlink="">
          <xdr:nvSpPr>
            <xdr:cNvPr id="54276" name="Button 4" hidden="1">
              <a:extLst>
                <a:ext uri="{63B3BB69-23CF-44E3-9099-C40C66FF867C}">
                  <a14:compatExt spid="_x0000_s54276"/>
                </a:ext>
                <a:ext uri="{FF2B5EF4-FFF2-40B4-BE49-F238E27FC236}">
                  <a16:creationId xmlns:a16="http://schemas.microsoft.com/office/drawing/2014/main" id="{00000000-0008-0000-1E00-000004D4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00"/>
                  </a:solidFill>
                  <a:latin typeface="Trebuchet MS"/>
                </a:rPr>
                <a:t>Restore THIS TAB's default elasticities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552450</xdr:colOff>
          <xdr:row>0</xdr:row>
          <xdr:rowOff>190500</xdr:rowOff>
        </xdr:from>
        <xdr:to>
          <xdr:col>7</xdr:col>
          <xdr:colOff>333375</xdr:colOff>
          <xdr:row>3</xdr:row>
          <xdr:rowOff>38100</xdr:rowOff>
        </xdr:to>
        <xdr:sp macro="" textlink="">
          <xdr:nvSpPr>
            <xdr:cNvPr id="54277" name="Button 5" hidden="1">
              <a:extLst>
                <a:ext uri="{63B3BB69-23CF-44E3-9099-C40C66FF867C}">
                  <a14:compatExt spid="_x0000_s54277"/>
                </a:ext>
                <a:ext uri="{FF2B5EF4-FFF2-40B4-BE49-F238E27FC236}">
                  <a16:creationId xmlns:a16="http://schemas.microsoft.com/office/drawing/2014/main" id="{00000000-0008-0000-1E00-000005D4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00"/>
                  </a:solidFill>
                  <a:latin typeface="Trebuchet MS"/>
                </a:rPr>
                <a:t>Restore ALL default elasticities</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xdr:twoCellAnchor>
    <xdr:from>
      <xdr:col>4</xdr:col>
      <xdr:colOff>0</xdr:colOff>
      <xdr:row>7</xdr:row>
      <xdr:rowOff>0</xdr:rowOff>
    </xdr:from>
    <xdr:to>
      <xdr:col>4</xdr:col>
      <xdr:colOff>0</xdr:colOff>
      <xdr:row>7</xdr:row>
      <xdr:rowOff>0</xdr:rowOff>
    </xdr:to>
    <xdr:pic>
      <xdr:nvPicPr>
        <xdr:cNvPr id="59482" name="Picture 1" descr="Clip">
          <a:extLst>
            <a:ext uri="{FF2B5EF4-FFF2-40B4-BE49-F238E27FC236}">
              <a16:creationId xmlns:a16="http://schemas.microsoft.com/office/drawing/2014/main" id="{00000000-0008-0000-1F00-00005AE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7550" y="17716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18</xdr:row>
      <xdr:rowOff>0</xdr:rowOff>
    </xdr:from>
    <xdr:to>
      <xdr:col>4</xdr:col>
      <xdr:colOff>0</xdr:colOff>
      <xdr:row>18</xdr:row>
      <xdr:rowOff>0</xdr:rowOff>
    </xdr:to>
    <xdr:pic>
      <xdr:nvPicPr>
        <xdr:cNvPr id="59483" name="Picture 2" descr="Clip">
          <a:extLst>
            <a:ext uri="{FF2B5EF4-FFF2-40B4-BE49-F238E27FC236}">
              <a16:creationId xmlns:a16="http://schemas.microsoft.com/office/drawing/2014/main" id="{00000000-0008-0000-1F00-00005BE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7550" y="6219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4</xdr:col>
          <xdr:colOff>19050</xdr:colOff>
          <xdr:row>0</xdr:row>
          <xdr:rowOff>171450</xdr:rowOff>
        </xdr:from>
        <xdr:to>
          <xdr:col>5</xdr:col>
          <xdr:colOff>400050</xdr:colOff>
          <xdr:row>3</xdr:row>
          <xdr:rowOff>19050</xdr:rowOff>
        </xdr:to>
        <xdr:sp macro="" textlink="">
          <xdr:nvSpPr>
            <xdr:cNvPr id="59396" name="Button 4" hidden="1">
              <a:extLst>
                <a:ext uri="{63B3BB69-23CF-44E3-9099-C40C66FF867C}">
                  <a14:compatExt spid="_x0000_s59396"/>
                </a:ext>
                <a:ext uri="{FF2B5EF4-FFF2-40B4-BE49-F238E27FC236}">
                  <a16:creationId xmlns:a16="http://schemas.microsoft.com/office/drawing/2014/main" id="{00000000-0008-0000-1F00-000004E8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00"/>
                  </a:solidFill>
                  <a:latin typeface="Trebuchet MS"/>
                </a:rPr>
                <a:t>Restore THIS TAB's default elasticities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590550</xdr:colOff>
          <xdr:row>0</xdr:row>
          <xdr:rowOff>171450</xdr:rowOff>
        </xdr:from>
        <xdr:to>
          <xdr:col>7</xdr:col>
          <xdr:colOff>19050</xdr:colOff>
          <xdr:row>3</xdr:row>
          <xdr:rowOff>19050</xdr:rowOff>
        </xdr:to>
        <xdr:sp macro="" textlink="">
          <xdr:nvSpPr>
            <xdr:cNvPr id="59397" name="Button 5" hidden="1">
              <a:extLst>
                <a:ext uri="{63B3BB69-23CF-44E3-9099-C40C66FF867C}">
                  <a14:compatExt spid="_x0000_s59397"/>
                </a:ext>
                <a:ext uri="{FF2B5EF4-FFF2-40B4-BE49-F238E27FC236}">
                  <a16:creationId xmlns:a16="http://schemas.microsoft.com/office/drawing/2014/main" id="{00000000-0008-0000-1F00-000005E8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00"/>
                  </a:solidFill>
                  <a:latin typeface="Trebuchet MS"/>
                </a:rPr>
                <a:t>Restore ALL default elasticities</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xdr:twoCellAnchor>
    <xdr:from>
      <xdr:col>4</xdr:col>
      <xdr:colOff>0</xdr:colOff>
      <xdr:row>7</xdr:row>
      <xdr:rowOff>0</xdr:rowOff>
    </xdr:from>
    <xdr:to>
      <xdr:col>4</xdr:col>
      <xdr:colOff>0</xdr:colOff>
      <xdr:row>7</xdr:row>
      <xdr:rowOff>0</xdr:rowOff>
    </xdr:to>
    <xdr:pic>
      <xdr:nvPicPr>
        <xdr:cNvPr id="58458" name="Picture 1" descr="Clip">
          <a:extLst>
            <a:ext uri="{FF2B5EF4-FFF2-40B4-BE49-F238E27FC236}">
              <a16:creationId xmlns:a16="http://schemas.microsoft.com/office/drawing/2014/main" id="{00000000-0008-0000-2000-00005AE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7550" y="17716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18</xdr:row>
      <xdr:rowOff>0</xdr:rowOff>
    </xdr:from>
    <xdr:to>
      <xdr:col>4</xdr:col>
      <xdr:colOff>0</xdr:colOff>
      <xdr:row>18</xdr:row>
      <xdr:rowOff>0</xdr:rowOff>
    </xdr:to>
    <xdr:pic>
      <xdr:nvPicPr>
        <xdr:cNvPr id="58459" name="Picture 2" descr="Clip">
          <a:extLst>
            <a:ext uri="{FF2B5EF4-FFF2-40B4-BE49-F238E27FC236}">
              <a16:creationId xmlns:a16="http://schemas.microsoft.com/office/drawing/2014/main" id="{00000000-0008-0000-2000-00005BE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7550" y="6219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3</xdr:col>
          <xdr:colOff>952500</xdr:colOff>
          <xdr:row>0</xdr:row>
          <xdr:rowOff>171450</xdr:rowOff>
        </xdr:from>
        <xdr:to>
          <xdr:col>5</xdr:col>
          <xdr:colOff>371475</xdr:colOff>
          <xdr:row>3</xdr:row>
          <xdr:rowOff>19050</xdr:rowOff>
        </xdr:to>
        <xdr:sp macro="" textlink="">
          <xdr:nvSpPr>
            <xdr:cNvPr id="58372" name="Button 4" hidden="1">
              <a:extLst>
                <a:ext uri="{63B3BB69-23CF-44E3-9099-C40C66FF867C}">
                  <a14:compatExt spid="_x0000_s58372"/>
                </a:ext>
                <a:ext uri="{FF2B5EF4-FFF2-40B4-BE49-F238E27FC236}">
                  <a16:creationId xmlns:a16="http://schemas.microsoft.com/office/drawing/2014/main" id="{00000000-0008-0000-2000-000004E4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00"/>
                  </a:solidFill>
                  <a:latin typeface="Trebuchet MS"/>
                </a:rPr>
                <a:t>Restore THIS TAB's default elasticities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552450</xdr:colOff>
          <xdr:row>0</xdr:row>
          <xdr:rowOff>171450</xdr:rowOff>
        </xdr:from>
        <xdr:to>
          <xdr:col>6</xdr:col>
          <xdr:colOff>942975</xdr:colOff>
          <xdr:row>3</xdr:row>
          <xdr:rowOff>19050</xdr:rowOff>
        </xdr:to>
        <xdr:sp macro="" textlink="">
          <xdr:nvSpPr>
            <xdr:cNvPr id="58373" name="Button 5" hidden="1">
              <a:extLst>
                <a:ext uri="{63B3BB69-23CF-44E3-9099-C40C66FF867C}">
                  <a14:compatExt spid="_x0000_s58373"/>
                </a:ext>
                <a:ext uri="{FF2B5EF4-FFF2-40B4-BE49-F238E27FC236}">
                  <a16:creationId xmlns:a16="http://schemas.microsoft.com/office/drawing/2014/main" id="{00000000-0008-0000-2000-000005E4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00"/>
                  </a:solidFill>
                  <a:latin typeface="Trebuchet MS"/>
                </a:rPr>
                <a:t>Restore ALL default elasticities</a:t>
              </a:r>
            </a:p>
          </xdr:txBody>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xdr:twoCellAnchor>
    <xdr:from>
      <xdr:col>1</xdr:col>
      <xdr:colOff>0</xdr:colOff>
      <xdr:row>7</xdr:row>
      <xdr:rowOff>0</xdr:rowOff>
    </xdr:from>
    <xdr:to>
      <xdr:col>1</xdr:col>
      <xdr:colOff>0</xdr:colOff>
      <xdr:row>7</xdr:row>
      <xdr:rowOff>0</xdr:rowOff>
    </xdr:to>
    <xdr:pic>
      <xdr:nvPicPr>
        <xdr:cNvPr id="61530" name="Picture 1" descr="Clip">
          <a:extLst>
            <a:ext uri="{FF2B5EF4-FFF2-40B4-BE49-F238E27FC236}">
              <a16:creationId xmlns:a16="http://schemas.microsoft.com/office/drawing/2014/main" id="{00000000-0008-0000-2200-00005AF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325" y="17716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13</xdr:row>
      <xdr:rowOff>0</xdr:rowOff>
    </xdr:from>
    <xdr:to>
      <xdr:col>6</xdr:col>
      <xdr:colOff>0</xdr:colOff>
      <xdr:row>13</xdr:row>
      <xdr:rowOff>0</xdr:rowOff>
    </xdr:to>
    <xdr:pic>
      <xdr:nvPicPr>
        <xdr:cNvPr id="61531" name="Picture 2" descr="Clip">
          <a:extLst>
            <a:ext uri="{FF2B5EF4-FFF2-40B4-BE49-F238E27FC236}">
              <a16:creationId xmlns:a16="http://schemas.microsoft.com/office/drawing/2014/main" id="{00000000-0008-0000-2200-00005BF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7550" y="44958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6</xdr:col>
          <xdr:colOff>19050</xdr:colOff>
          <xdr:row>0</xdr:row>
          <xdr:rowOff>180975</xdr:rowOff>
        </xdr:from>
        <xdr:to>
          <xdr:col>7</xdr:col>
          <xdr:colOff>409575</xdr:colOff>
          <xdr:row>3</xdr:row>
          <xdr:rowOff>28575</xdr:rowOff>
        </xdr:to>
        <xdr:sp macro="" textlink="">
          <xdr:nvSpPr>
            <xdr:cNvPr id="61444" name="Button 4" hidden="1">
              <a:extLst>
                <a:ext uri="{63B3BB69-23CF-44E3-9099-C40C66FF867C}">
                  <a14:compatExt spid="_x0000_s61444"/>
                </a:ext>
                <a:ext uri="{FF2B5EF4-FFF2-40B4-BE49-F238E27FC236}">
                  <a16:creationId xmlns:a16="http://schemas.microsoft.com/office/drawing/2014/main" id="{00000000-0008-0000-2200-000004F0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00"/>
                  </a:solidFill>
                  <a:latin typeface="Trebuchet MS"/>
                </a:rPr>
                <a:t>Restore THIS TAB's default elasticities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590550</xdr:colOff>
          <xdr:row>0</xdr:row>
          <xdr:rowOff>180975</xdr:rowOff>
        </xdr:from>
        <xdr:to>
          <xdr:col>9</xdr:col>
          <xdr:colOff>19050</xdr:colOff>
          <xdr:row>3</xdr:row>
          <xdr:rowOff>28575</xdr:rowOff>
        </xdr:to>
        <xdr:sp macro="" textlink="">
          <xdr:nvSpPr>
            <xdr:cNvPr id="61445" name="Button 5" hidden="1">
              <a:extLst>
                <a:ext uri="{63B3BB69-23CF-44E3-9099-C40C66FF867C}">
                  <a14:compatExt spid="_x0000_s61445"/>
                </a:ext>
                <a:ext uri="{FF2B5EF4-FFF2-40B4-BE49-F238E27FC236}">
                  <a16:creationId xmlns:a16="http://schemas.microsoft.com/office/drawing/2014/main" id="{00000000-0008-0000-2200-000005F0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00"/>
                  </a:solidFill>
                  <a:latin typeface="Trebuchet MS"/>
                </a:rPr>
                <a:t>Restore ALL default elasticities</a:t>
              </a:r>
            </a:p>
          </xdr:txBody>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1</xdr:col>
      <xdr:colOff>0</xdr:colOff>
      <xdr:row>7</xdr:row>
      <xdr:rowOff>0</xdr:rowOff>
    </xdr:from>
    <xdr:to>
      <xdr:col>1</xdr:col>
      <xdr:colOff>0</xdr:colOff>
      <xdr:row>7</xdr:row>
      <xdr:rowOff>0</xdr:rowOff>
    </xdr:to>
    <xdr:pic>
      <xdr:nvPicPr>
        <xdr:cNvPr id="62554" name="Picture 1" descr="Clip">
          <a:extLst>
            <a:ext uri="{FF2B5EF4-FFF2-40B4-BE49-F238E27FC236}">
              <a16:creationId xmlns:a16="http://schemas.microsoft.com/office/drawing/2014/main" id="{00000000-0008-0000-2300-00005AF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325" y="17716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13</xdr:row>
      <xdr:rowOff>0</xdr:rowOff>
    </xdr:from>
    <xdr:to>
      <xdr:col>5</xdr:col>
      <xdr:colOff>0</xdr:colOff>
      <xdr:row>13</xdr:row>
      <xdr:rowOff>0</xdr:rowOff>
    </xdr:to>
    <xdr:pic>
      <xdr:nvPicPr>
        <xdr:cNvPr id="62555" name="Picture 2" descr="Clip">
          <a:extLst>
            <a:ext uri="{FF2B5EF4-FFF2-40B4-BE49-F238E27FC236}">
              <a16:creationId xmlns:a16="http://schemas.microsoft.com/office/drawing/2014/main" id="{00000000-0008-0000-2300-00005BF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95650" y="44958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5</xdr:col>
          <xdr:colOff>19050</xdr:colOff>
          <xdr:row>0</xdr:row>
          <xdr:rowOff>180975</xdr:rowOff>
        </xdr:from>
        <xdr:to>
          <xdr:col>6</xdr:col>
          <xdr:colOff>400050</xdr:colOff>
          <xdr:row>3</xdr:row>
          <xdr:rowOff>28575</xdr:rowOff>
        </xdr:to>
        <xdr:sp macro="" textlink="">
          <xdr:nvSpPr>
            <xdr:cNvPr id="62468" name="Button 4" hidden="1">
              <a:extLst>
                <a:ext uri="{63B3BB69-23CF-44E3-9099-C40C66FF867C}">
                  <a14:compatExt spid="_x0000_s62468"/>
                </a:ext>
                <a:ext uri="{FF2B5EF4-FFF2-40B4-BE49-F238E27FC236}">
                  <a16:creationId xmlns:a16="http://schemas.microsoft.com/office/drawing/2014/main" id="{00000000-0008-0000-2300-000004F4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00"/>
                  </a:solidFill>
                  <a:latin typeface="Trebuchet MS"/>
                </a:rPr>
                <a:t>Restore THIS TAB's default elasticities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590550</xdr:colOff>
          <xdr:row>0</xdr:row>
          <xdr:rowOff>180975</xdr:rowOff>
        </xdr:from>
        <xdr:to>
          <xdr:col>8</xdr:col>
          <xdr:colOff>0</xdr:colOff>
          <xdr:row>3</xdr:row>
          <xdr:rowOff>28575</xdr:rowOff>
        </xdr:to>
        <xdr:sp macro="" textlink="">
          <xdr:nvSpPr>
            <xdr:cNvPr id="62469" name="Button 5" hidden="1">
              <a:extLst>
                <a:ext uri="{63B3BB69-23CF-44E3-9099-C40C66FF867C}">
                  <a14:compatExt spid="_x0000_s62469"/>
                </a:ext>
                <a:ext uri="{FF2B5EF4-FFF2-40B4-BE49-F238E27FC236}">
                  <a16:creationId xmlns:a16="http://schemas.microsoft.com/office/drawing/2014/main" id="{00000000-0008-0000-2300-000005F4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00"/>
                  </a:solidFill>
                  <a:latin typeface="Trebuchet MS"/>
                </a:rPr>
                <a:t>Restore ALL default elasticities</a:t>
              </a:r>
            </a:p>
          </xdr:txBody>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xdr:twoCellAnchor>
    <xdr:from>
      <xdr:col>4</xdr:col>
      <xdr:colOff>0</xdr:colOff>
      <xdr:row>7</xdr:row>
      <xdr:rowOff>0</xdr:rowOff>
    </xdr:from>
    <xdr:to>
      <xdr:col>4</xdr:col>
      <xdr:colOff>0</xdr:colOff>
      <xdr:row>7</xdr:row>
      <xdr:rowOff>0</xdr:rowOff>
    </xdr:to>
    <xdr:pic>
      <xdr:nvPicPr>
        <xdr:cNvPr id="64602" name="Picture 1" descr="Clip">
          <a:extLst>
            <a:ext uri="{FF2B5EF4-FFF2-40B4-BE49-F238E27FC236}">
              <a16:creationId xmlns:a16="http://schemas.microsoft.com/office/drawing/2014/main" id="{00000000-0008-0000-2400-00005AF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7550" y="17716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13</xdr:row>
      <xdr:rowOff>0</xdr:rowOff>
    </xdr:from>
    <xdr:to>
      <xdr:col>4</xdr:col>
      <xdr:colOff>0</xdr:colOff>
      <xdr:row>13</xdr:row>
      <xdr:rowOff>0</xdr:rowOff>
    </xdr:to>
    <xdr:pic>
      <xdr:nvPicPr>
        <xdr:cNvPr id="64603" name="Picture 2" descr="Clip">
          <a:extLst>
            <a:ext uri="{FF2B5EF4-FFF2-40B4-BE49-F238E27FC236}">
              <a16:creationId xmlns:a16="http://schemas.microsoft.com/office/drawing/2014/main" id="{00000000-0008-0000-2400-00005BF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7550" y="47529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3</xdr:col>
          <xdr:colOff>971550</xdr:colOff>
          <xdr:row>0</xdr:row>
          <xdr:rowOff>190500</xdr:rowOff>
        </xdr:from>
        <xdr:to>
          <xdr:col>5</xdr:col>
          <xdr:colOff>381000</xdr:colOff>
          <xdr:row>3</xdr:row>
          <xdr:rowOff>38100</xdr:rowOff>
        </xdr:to>
        <xdr:sp macro="" textlink="">
          <xdr:nvSpPr>
            <xdr:cNvPr id="64516" name="Button 4" hidden="1">
              <a:extLst>
                <a:ext uri="{63B3BB69-23CF-44E3-9099-C40C66FF867C}">
                  <a14:compatExt spid="_x0000_s64516"/>
                </a:ext>
                <a:ext uri="{FF2B5EF4-FFF2-40B4-BE49-F238E27FC236}">
                  <a16:creationId xmlns:a16="http://schemas.microsoft.com/office/drawing/2014/main" id="{00000000-0008-0000-2400-000004FC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00"/>
                  </a:solidFill>
                  <a:latin typeface="Trebuchet MS"/>
                </a:rPr>
                <a:t>Restore THIS TAB's default elasticities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561975</xdr:colOff>
          <xdr:row>0</xdr:row>
          <xdr:rowOff>190500</xdr:rowOff>
        </xdr:from>
        <xdr:to>
          <xdr:col>6</xdr:col>
          <xdr:colOff>952500</xdr:colOff>
          <xdr:row>3</xdr:row>
          <xdr:rowOff>38100</xdr:rowOff>
        </xdr:to>
        <xdr:sp macro="" textlink="">
          <xdr:nvSpPr>
            <xdr:cNvPr id="64517" name="Button 5" hidden="1">
              <a:extLst>
                <a:ext uri="{63B3BB69-23CF-44E3-9099-C40C66FF867C}">
                  <a14:compatExt spid="_x0000_s64517"/>
                </a:ext>
                <a:ext uri="{FF2B5EF4-FFF2-40B4-BE49-F238E27FC236}">
                  <a16:creationId xmlns:a16="http://schemas.microsoft.com/office/drawing/2014/main" id="{00000000-0008-0000-2400-000005FC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00"/>
                  </a:solidFill>
                  <a:latin typeface="Trebuchet MS"/>
                </a:rPr>
                <a:t>Restore ALL default elasticities</a:t>
              </a:r>
            </a:p>
          </xdr:txBody>
        </xdr:sp>
        <xdr:clientData fPrintsWithSheet="0"/>
      </xdr:twoCellAnchor>
    </mc:Choice>
    <mc:Fallback/>
  </mc:AlternateContent>
</xdr:wsDr>
</file>

<file path=xl/drawings/drawing17.xml><?xml version="1.0" encoding="utf-8"?>
<xdr:wsDr xmlns:xdr="http://schemas.openxmlformats.org/drawingml/2006/spreadsheetDrawing" xmlns:a="http://schemas.openxmlformats.org/drawingml/2006/main">
  <xdr:twoCellAnchor>
    <xdr:from>
      <xdr:col>3</xdr:col>
      <xdr:colOff>0</xdr:colOff>
      <xdr:row>7</xdr:row>
      <xdr:rowOff>0</xdr:rowOff>
    </xdr:from>
    <xdr:to>
      <xdr:col>3</xdr:col>
      <xdr:colOff>0</xdr:colOff>
      <xdr:row>7</xdr:row>
      <xdr:rowOff>0</xdr:rowOff>
    </xdr:to>
    <xdr:pic>
      <xdr:nvPicPr>
        <xdr:cNvPr id="63620" name="Picture 1" descr="Clip">
          <a:extLst>
            <a:ext uri="{FF2B5EF4-FFF2-40B4-BE49-F238E27FC236}">
              <a16:creationId xmlns:a16="http://schemas.microsoft.com/office/drawing/2014/main" id="{00000000-0008-0000-2500-000084F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0" y="17716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13</xdr:row>
      <xdr:rowOff>0</xdr:rowOff>
    </xdr:from>
    <xdr:to>
      <xdr:col>3</xdr:col>
      <xdr:colOff>0</xdr:colOff>
      <xdr:row>13</xdr:row>
      <xdr:rowOff>0</xdr:rowOff>
    </xdr:to>
    <xdr:pic>
      <xdr:nvPicPr>
        <xdr:cNvPr id="63621" name="Picture 2" descr="Clip">
          <a:extLst>
            <a:ext uri="{FF2B5EF4-FFF2-40B4-BE49-F238E27FC236}">
              <a16:creationId xmlns:a16="http://schemas.microsoft.com/office/drawing/2014/main" id="{00000000-0008-0000-2500-000085F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0" y="46672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304800</xdr:colOff>
      <xdr:row>14</xdr:row>
      <xdr:rowOff>0</xdr:rowOff>
    </xdr:from>
    <xdr:to>
      <xdr:col>13</xdr:col>
      <xdr:colOff>304800</xdr:colOff>
      <xdr:row>14</xdr:row>
      <xdr:rowOff>0</xdr:rowOff>
    </xdr:to>
    <xdr:pic>
      <xdr:nvPicPr>
        <xdr:cNvPr id="63622" name="Picture 3" descr="Clip">
          <a:extLst>
            <a:ext uri="{FF2B5EF4-FFF2-40B4-BE49-F238E27FC236}">
              <a16:creationId xmlns:a16="http://schemas.microsoft.com/office/drawing/2014/main" id="{00000000-0008-0000-2500-000086F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86950" y="5048250"/>
          <a:ext cx="609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4</xdr:col>
          <xdr:colOff>19050</xdr:colOff>
          <xdr:row>1</xdr:row>
          <xdr:rowOff>57150</xdr:rowOff>
        </xdr:from>
        <xdr:to>
          <xdr:col>5</xdr:col>
          <xdr:colOff>400050</xdr:colOff>
          <xdr:row>3</xdr:row>
          <xdr:rowOff>95250</xdr:rowOff>
        </xdr:to>
        <xdr:sp macro="" textlink="">
          <xdr:nvSpPr>
            <xdr:cNvPr id="63492" name="Button 4" hidden="1">
              <a:extLst>
                <a:ext uri="{63B3BB69-23CF-44E3-9099-C40C66FF867C}">
                  <a14:compatExt spid="_x0000_s63492"/>
                </a:ext>
                <a:ext uri="{FF2B5EF4-FFF2-40B4-BE49-F238E27FC236}">
                  <a16:creationId xmlns:a16="http://schemas.microsoft.com/office/drawing/2014/main" id="{00000000-0008-0000-2500-000004F8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00"/>
                  </a:solidFill>
                  <a:latin typeface="Trebuchet MS"/>
                </a:rPr>
                <a:t>Restore THIS TAB's default elasticities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590550</xdr:colOff>
          <xdr:row>1</xdr:row>
          <xdr:rowOff>57150</xdr:rowOff>
        </xdr:from>
        <xdr:to>
          <xdr:col>7</xdr:col>
          <xdr:colOff>0</xdr:colOff>
          <xdr:row>3</xdr:row>
          <xdr:rowOff>95250</xdr:rowOff>
        </xdr:to>
        <xdr:sp macro="" textlink="">
          <xdr:nvSpPr>
            <xdr:cNvPr id="63493" name="Button 5" hidden="1">
              <a:extLst>
                <a:ext uri="{63B3BB69-23CF-44E3-9099-C40C66FF867C}">
                  <a14:compatExt spid="_x0000_s63493"/>
                </a:ext>
                <a:ext uri="{FF2B5EF4-FFF2-40B4-BE49-F238E27FC236}">
                  <a16:creationId xmlns:a16="http://schemas.microsoft.com/office/drawing/2014/main" id="{00000000-0008-0000-2500-000005F8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00"/>
                  </a:solidFill>
                  <a:latin typeface="Trebuchet MS"/>
                </a:rPr>
                <a:t>Restore ALL default elasticities</a:t>
              </a:r>
            </a:p>
          </xdr:txBody>
        </xdr:sp>
        <xdr:clientData fPrintsWithSheet="0"/>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104775</xdr:colOff>
          <xdr:row>0</xdr:row>
          <xdr:rowOff>95250</xdr:rowOff>
        </xdr:from>
        <xdr:to>
          <xdr:col>8</xdr:col>
          <xdr:colOff>38100</xdr:colOff>
          <xdr:row>2</xdr:row>
          <xdr:rowOff>133350</xdr:rowOff>
        </xdr:to>
        <xdr:sp macro="" textlink="">
          <xdr:nvSpPr>
            <xdr:cNvPr id="66561" name="Button 1" hidden="1">
              <a:extLst>
                <a:ext uri="{63B3BB69-23CF-44E3-9099-C40C66FF867C}">
                  <a14:compatExt spid="_x0000_s66561"/>
                </a:ext>
                <a:ext uri="{FF2B5EF4-FFF2-40B4-BE49-F238E27FC236}">
                  <a16:creationId xmlns:a16="http://schemas.microsoft.com/office/drawing/2014/main" id="{00000000-0008-0000-2700-0000010401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80"/>
                  </a:solidFill>
                  <a:latin typeface="Trebuchet MS"/>
                </a:rPr>
                <a:t>Calculate equilibrium  prices</a:t>
              </a:r>
            </a:p>
          </xdr:txBody>
        </xdr:sp>
        <xdr:clientData fPrintsWithSheet="0"/>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723900</xdr:colOff>
          <xdr:row>0</xdr:row>
          <xdr:rowOff>152400</xdr:rowOff>
        </xdr:from>
        <xdr:to>
          <xdr:col>5</xdr:col>
          <xdr:colOff>1009650</xdr:colOff>
          <xdr:row>3</xdr:row>
          <xdr:rowOff>38100</xdr:rowOff>
        </xdr:to>
        <xdr:sp macro="" textlink="">
          <xdr:nvSpPr>
            <xdr:cNvPr id="70657" name="Button 1" hidden="1">
              <a:extLst>
                <a:ext uri="{63B3BB69-23CF-44E3-9099-C40C66FF867C}">
                  <a14:compatExt spid="_x0000_s70657"/>
                </a:ext>
                <a:ext uri="{FF2B5EF4-FFF2-40B4-BE49-F238E27FC236}">
                  <a16:creationId xmlns:a16="http://schemas.microsoft.com/office/drawing/2014/main" id="{00000000-0008-0000-2800-0000011401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en-US" sz="1000" b="1" i="0" u="none" strike="noStrike" baseline="0">
                  <a:solidFill>
                    <a:srgbClr val="000000"/>
                  </a:solidFill>
                  <a:latin typeface="Trebuchet MS"/>
                </a:rPr>
                <a:t>Restore default adjustment rates</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imspp-my.sharepoint.com/Users/mkonopka/AppData/Local/Microsoft/Windows/Temporary%20Internet%20Files/Content.Outlook/G29UU67K/NEMS_2009_run_constrained_supply(revised_08%2014%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il Supply"/>
      <sheetName val="Gas Supply"/>
      <sheetName val="Electricity Supply"/>
      <sheetName val="Coal Supply"/>
      <sheetName val="noaction.0528a"/>
      <sheetName val="Prices"/>
      <sheetName val="Oil Demand"/>
      <sheetName val="Gas Demand"/>
      <sheetName val="Electricity Demand"/>
      <sheetName val="Coal Demand"/>
    </sheetNames>
    <sheetDataSet>
      <sheetData sheetId="0" refreshError="1"/>
      <sheetData sheetId="1" refreshError="1"/>
      <sheetData sheetId="2" refreshError="1"/>
      <sheetData sheetId="3" refreshError="1"/>
      <sheetData sheetId="4"/>
      <sheetData sheetId="5" refreshError="1"/>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printerSettings" Target="../printerSettings/printerSettings4.bin"/><Relationship Id="rId7" Type="http://schemas.openxmlformats.org/officeDocument/2006/relationships/ctrlProp" Target="../ctrlProps/ctrlProp6.xml"/><Relationship Id="rId2" Type="http://schemas.openxmlformats.org/officeDocument/2006/relationships/hyperlink" Target="http://www.eia.gov/forecasts/aeo/er/early_production.cfm" TargetMode="External"/><Relationship Id="rId1" Type="http://schemas.openxmlformats.org/officeDocument/2006/relationships/hyperlink" Target="http://www.extension.iastate.edu/agdm/wholefarm/pdf/c6-86.pdf" TargetMode="External"/><Relationship Id="rId6" Type="http://schemas.openxmlformats.org/officeDocument/2006/relationships/ctrlProp" Target="../ctrlProps/ctrlProp5.xml"/><Relationship Id="rId11" Type="http://schemas.openxmlformats.org/officeDocument/2006/relationships/ctrlProp" Target="../ctrlProps/ctrlProp10.xml"/><Relationship Id="rId5" Type="http://schemas.openxmlformats.org/officeDocument/2006/relationships/vmlDrawing" Target="../drawings/vmlDrawing3.vml"/><Relationship Id="rId10" Type="http://schemas.openxmlformats.org/officeDocument/2006/relationships/ctrlProp" Target="../ctrlProps/ctrlProp9.xml"/><Relationship Id="rId4" Type="http://schemas.openxmlformats.org/officeDocument/2006/relationships/drawing" Target="../drawings/drawing4.xml"/><Relationship Id="rId9" Type="http://schemas.openxmlformats.org/officeDocument/2006/relationships/ctrlProp" Target="../ctrlProps/ctrlProp8.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trlProp" Target="../ctrlProps/ctrlProp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7" Type="http://schemas.openxmlformats.org/officeDocument/2006/relationships/ctrlProp" Target="../ctrlProps/ctrlProp15.xml"/><Relationship Id="rId2" Type="http://schemas.openxmlformats.org/officeDocument/2006/relationships/drawing" Target="../drawings/drawing6.xml"/><Relationship Id="rId1" Type="http://schemas.openxmlformats.org/officeDocument/2006/relationships/printerSettings" Target="../printerSettings/printerSettings11.bin"/><Relationship Id="rId6" Type="http://schemas.openxmlformats.org/officeDocument/2006/relationships/ctrlProp" Target="../ctrlProps/ctrlProp14.xml"/><Relationship Id="rId5" Type="http://schemas.openxmlformats.org/officeDocument/2006/relationships/ctrlProp" Target="../ctrlProps/ctrlProp13.xml"/><Relationship Id="rId4" Type="http://schemas.openxmlformats.org/officeDocument/2006/relationships/ctrlProp" Target="../ctrlProps/ctrlProp1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17.bin"/><Relationship Id="rId5" Type="http://schemas.openxmlformats.org/officeDocument/2006/relationships/ctrlProp" Target="../ctrlProps/ctrlProp17.xml"/><Relationship Id="rId4" Type="http://schemas.openxmlformats.org/officeDocument/2006/relationships/ctrlProp" Target="../ctrlProps/ctrlProp16.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18.bin"/><Relationship Id="rId5" Type="http://schemas.openxmlformats.org/officeDocument/2006/relationships/ctrlProp" Target="../ctrlProps/ctrlProp19.xml"/><Relationship Id="rId4" Type="http://schemas.openxmlformats.org/officeDocument/2006/relationships/ctrlProp" Target="../ctrlProps/ctrlProp18.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0.xml"/><Relationship Id="rId1" Type="http://schemas.openxmlformats.org/officeDocument/2006/relationships/printerSettings" Target="../printerSettings/printerSettings24.bin"/><Relationship Id="rId5" Type="http://schemas.openxmlformats.org/officeDocument/2006/relationships/ctrlProp" Target="../ctrlProps/ctrlProp21.xml"/><Relationship Id="rId4" Type="http://schemas.openxmlformats.org/officeDocument/2006/relationships/ctrlProp" Target="../ctrlProps/ctrlProp20.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1.xml"/><Relationship Id="rId1" Type="http://schemas.openxmlformats.org/officeDocument/2006/relationships/printerSettings" Target="../printerSettings/printerSettings25.bin"/><Relationship Id="rId5" Type="http://schemas.openxmlformats.org/officeDocument/2006/relationships/ctrlProp" Target="../ctrlProps/ctrlProp23.xml"/><Relationship Id="rId4" Type="http://schemas.openxmlformats.org/officeDocument/2006/relationships/ctrlProp" Target="../ctrlProps/ctrlProp22.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printerSettings" Target="../printerSettings/printerSettings26.bin"/><Relationship Id="rId5" Type="http://schemas.openxmlformats.org/officeDocument/2006/relationships/ctrlProp" Target="../ctrlProps/ctrlProp25.xml"/><Relationship Id="rId4" Type="http://schemas.openxmlformats.org/officeDocument/2006/relationships/ctrlProp" Target="../ctrlProps/ctrlProp24.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3.xml"/><Relationship Id="rId1" Type="http://schemas.openxmlformats.org/officeDocument/2006/relationships/printerSettings" Target="../printerSettings/printerSettings27.bin"/><Relationship Id="rId5" Type="http://schemas.openxmlformats.org/officeDocument/2006/relationships/ctrlProp" Target="../ctrlProps/ctrlProp27.xml"/><Relationship Id="rId4" Type="http://schemas.openxmlformats.org/officeDocument/2006/relationships/ctrlProp" Target="../ctrlProps/ctrlProp26.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4.xml"/><Relationship Id="rId1" Type="http://schemas.openxmlformats.org/officeDocument/2006/relationships/printerSettings" Target="../printerSettings/printerSettings28.bin"/><Relationship Id="rId5" Type="http://schemas.openxmlformats.org/officeDocument/2006/relationships/ctrlProp" Target="../ctrlProps/ctrlProp29.xml"/><Relationship Id="rId4" Type="http://schemas.openxmlformats.org/officeDocument/2006/relationships/ctrlProp" Target="../ctrlProps/ctrlProp28.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5.xml"/><Relationship Id="rId1" Type="http://schemas.openxmlformats.org/officeDocument/2006/relationships/printerSettings" Target="../printerSettings/printerSettings29.bin"/><Relationship Id="rId5" Type="http://schemas.openxmlformats.org/officeDocument/2006/relationships/ctrlProp" Target="../ctrlProps/ctrlProp31.xml"/><Relationship Id="rId4" Type="http://schemas.openxmlformats.org/officeDocument/2006/relationships/ctrlProp" Target="../ctrlProps/ctrlProp30.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6.xml"/><Relationship Id="rId1" Type="http://schemas.openxmlformats.org/officeDocument/2006/relationships/printerSettings" Target="../printerSettings/printerSettings30.bin"/><Relationship Id="rId5" Type="http://schemas.openxmlformats.org/officeDocument/2006/relationships/ctrlProp" Target="../ctrlProps/ctrlProp33.xml"/><Relationship Id="rId4" Type="http://schemas.openxmlformats.org/officeDocument/2006/relationships/ctrlProp" Target="../ctrlProps/ctrlProp32.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7.xml"/><Relationship Id="rId1" Type="http://schemas.openxmlformats.org/officeDocument/2006/relationships/printerSettings" Target="../printerSettings/printerSettings31.bin"/><Relationship Id="rId5" Type="http://schemas.openxmlformats.org/officeDocument/2006/relationships/ctrlProp" Target="../ctrlProps/ctrlProp35.xml"/><Relationship Id="rId4" Type="http://schemas.openxmlformats.org/officeDocument/2006/relationships/ctrlProp" Target="../ctrlProps/ctrlProp34.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8.xml"/><Relationship Id="rId1" Type="http://schemas.openxmlformats.org/officeDocument/2006/relationships/printerSettings" Target="../printerSettings/printerSettings33.bin"/><Relationship Id="rId4" Type="http://schemas.openxmlformats.org/officeDocument/2006/relationships/ctrlProp" Target="../ctrlProps/ctrlProp36.xml"/></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9.xml"/><Relationship Id="rId1" Type="http://schemas.openxmlformats.org/officeDocument/2006/relationships/printerSettings" Target="../printerSettings/printerSettings34.bin"/><Relationship Id="rId4" Type="http://schemas.openxmlformats.org/officeDocument/2006/relationships/ctrlProp" Target="../ctrlProps/ctrlProp37.xm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tabColor indexed="26"/>
    <pageSetUpPr fitToPage="1"/>
  </sheetPr>
  <dimension ref="A1:G30"/>
  <sheetViews>
    <sheetView tabSelected="1" zoomScaleNormal="100" workbookViewId="0">
      <selection activeCell="C20" sqref="C20:D21"/>
    </sheetView>
  </sheetViews>
  <sheetFormatPr defaultColWidth="9.28515625" defaultRowHeight="15"/>
  <cols>
    <col min="1" max="1" width="1.42578125" style="56" customWidth="1"/>
    <col min="2" max="2" width="10.7109375" style="56" customWidth="1"/>
    <col min="3" max="4" width="15.42578125" style="56" customWidth="1"/>
    <col min="5" max="5" width="10.7109375" style="56" customWidth="1"/>
    <col min="6" max="7" width="13.42578125" style="56" customWidth="1"/>
    <col min="8" max="16384" width="9.28515625" style="56"/>
  </cols>
  <sheetData>
    <row r="1" spans="1:7" ht="7.5" customHeight="1">
      <c r="A1" s="56" t="s">
        <v>0</v>
      </c>
    </row>
    <row r="2" spans="1:7" ht="33" customHeight="1">
      <c r="B2" s="70" t="s">
        <v>1</v>
      </c>
      <c r="C2" s="70"/>
      <c r="D2" s="70"/>
      <c r="E2" s="70"/>
    </row>
    <row r="3" spans="1:7">
      <c r="B3" s="69" t="s">
        <v>2</v>
      </c>
      <c r="C3" s="69"/>
      <c r="D3" s="69"/>
      <c r="E3" s="69"/>
    </row>
    <row r="4" spans="1:7" ht="15.75" thickBot="1">
      <c r="B4" s="69"/>
      <c r="E4" s="69"/>
    </row>
    <row r="5" spans="1:7" ht="16.5" customHeight="1" thickTop="1">
      <c r="B5" s="223"/>
      <c r="C5" s="746" t="s">
        <v>3</v>
      </c>
      <c r="D5" s="747"/>
      <c r="E5" s="69"/>
    </row>
    <row r="6" spans="1:7" ht="15" customHeight="1" thickBot="1">
      <c r="C6" s="748"/>
      <c r="D6" s="749"/>
    </row>
    <row r="7" spans="1:7" ht="20.25" customHeight="1" thickTop="1" thickBot="1">
      <c r="C7" s="750" t="s">
        <v>4</v>
      </c>
      <c r="D7" s="751"/>
    </row>
    <row r="8" spans="1:7" ht="20.25" customHeight="1" thickTop="1" thickBot="1">
      <c r="C8" s="265"/>
      <c r="D8" s="265"/>
    </row>
    <row r="9" spans="1:7" ht="15" customHeight="1" thickTop="1" thickBot="1">
      <c r="B9" s="223"/>
      <c r="C9" s="224" t="s">
        <v>5</v>
      </c>
      <c r="D9" s="225"/>
      <c r="F9" s="218" t="s">
        <v>6</v>
      </c>
      <c r="G9" s="219"/>
    </row>
    <row r="10" spans="1:7" ht="16.5" customHeight="1" thickTop="1" thickBot="1">
      <c r="C10" s="224" t="s">
        <v>7</v>
      </c>
      <c r="D10" s="225"/>
      <c r="F10" s="220" t="s">
        <v>8</v>
      </c>
      <c r="G10" s="220" t="s">
        <v>9</v>
      </c>
    </row>
    <row r="11" spans="1:7" ht="16.5" customHeight="1" thickTop="1" thickBot="1">
      <c r="C11" s="758" t="s">
        <v>10</v>
      </c>
      <c r="D11" s="759"/>
      <c r="F11" s="213" t="s">
        <v>11</v>
      </c>
      <c r="G11" s="213" t="s">
        <v>11</v>
      </c>
    </row>
    <row r="12" spans="1:7" ht="16.5" customHeight="1" thickTop="1" thickBot="1">
      <c r="F12" s="213" t="s">
        <v>12</v>
      </c>
      <c r="G12" s="213" t="s">
        <v>12</v>
      </c>
    </row>
    <row r="13" spans="1:7" ht="16.5" customHeight="1" thickTop="1">
      <c r="C13" s="752" t="s">
        <v>13</v>
      </c>
      <c r="D13" s="753"/>
      <c r="F13" s="213" t="s">
        <v>14</v>
      </c>
      <c r="G13" s="213" t="s">
        <v>14</v>
      </c>
    </row>
    <row r="14" spans="1:7" ht="16.5" customHeight="1">
      <c r="C14" s="216" t="s">
        <v>8</v>
      </c>
      <c r="D14" s="217" t="s">
        <v>9</v>
      </c>
      <c r="F14" s="213" t="s">
        <v>15</v>
      </c>
      <c r="G14" s="213" t="s">
        <v>15</v>
      </c>
    </row>
    <row r="15" spans="1:7" ht="16.5" customHeight="1">
      <c r="C15" s="209" t="s">
        <v>11</v>
      </c>
      <c r="D15" s="210" t="s">
        <v>11</v>
      </c>
    </row>
    <row r="16" spans="1:7" ht="16.5" customHeight="1">
      <c r="C16" s="209" t="s">
        <v>12</v>
      </c>
      <c r="D16" s="210" t="s">
        <v>12</v>
      </c>
      <c r="F16" s="218" t="s">
        <v>16</v>
      </c>
      <c r="G16" s="219"/>
    </row>
    <row r="17" spans="3:7" ht="16.5" customHeight="1">
      <c r="C17" s="209" t="s">
        <v>14</v>
      </c>
      <c r="D17" s="210" t="s">
        <v>14</v>
      </c>
      <c r="F17" s="214" t="s">
        <v>8</v>
      </c>
      <c r="G17" s="215" t="s">
        <v>9</v>
      </c>
    </row>
    <row r="18" spans="3:7" ht="16.5" customHeight="1" thickBot="1">
      <c r="C18" s="211" t="s">
        <v>15</v>
      </c>
      <c r="D18" s="212" t="s">
        <v>15</v>
      </c>
    </row>
    <row r="19" spans="3:7" ht="16.5" customHeight="1" thickTop="1" thickBot="1">
      <c r="F19" s="218" t="s">
        <v>17</v>
      </c>
      <c r="G19" s="219"/>
    </row>
    <row r="20" spans="3:7" ht="16.5" customHeight="1" thickTop="1">
      <c r="C20" s="754" t="s">
        <v>18</v>
      </c>
      <c r="D20" s="755"/>
      <c r="F20" s="220" t="s">
        <v>8</v>
      </c>
      <c r="G20" s="220" t="s">
        <v>9</v>
      </c>
    </row>
    <row r="21" spans="3:7" ht="16.5" customHeight="1" thickBot="1">
      <c r="C21" s="756"/>
      <c r="D21" s="757"/>
      <c r="F21" s="213" t="s">
        <v>11</v>
      </c>
      <c r="G21" s="213" t="s">
        <v>11</v>
      </c>
    </row>
    <row r="22" spans="3:7" ht="16.5" customHeight="1" thickTop="1" thickBot="1">
      <c r="F22" s="213" t="s">
        <v>12</v>
      </c>
      <c r="G22" s="213" t="s">
        <v>12</v>
      </c>
    </row>
    <row r="23" spans="3:7" ht="16.5" customHeight="1" thickTop="1" thickBot="1">
      <c r="C23" s="744" t="s">
        <v>19</v>
      </c>
      <c r="D23" s="745"/>
      <c r="F23" s="213" t="s">
        <v>14</v>
      </c>
      <c r="G23" s="213" t="s">
        <v>14</v>
      </c>
    </row>
    <row r="24" spans="3:7" ht="15.75" thickTop="1">
      <c r="F24" s="213" t="s">
        <v>15</v>
      </c>
      <c r="G24" s="213" t="s">
        <v>15</v>
      </c>
    </row>
    <row r="25" spans="3:7">
      <c r="F25" s="742" t="s">
        <v>20</v>
      </c>
      <c r="G25" s="743"/>
    </row>
    <row r="27" spans="3:7" ht="30">
      <c r="C27" s="560" t="s">
        <v>21</v>
      </c>
      <c r="D27" s="561"/>
      <c r="F27" s="560" t="s">
        <v>22</v>
      </c>
      <c r="G27" s="561"/>
    </row>
    <row r="28" spans="3:7" ht="28.5" customHeight="1">
      <c r="C28" s="760" t="s">
        <v>23</v>
      </c>
      <c r="D28" s="761"/>
      <c r="E28" s="562"/>
      <c r="F28" s="760" t="s">
        <v>24</v>
      </c>
      <c r="G28" s="761"/>
    </row>
    <row r="29" spans="3:7" ht="27.75" customHeight="1">
      <c r="C29" s="760" t="s">
        <v>25</v>
      </c>
      <c r="D29" s="761"/>
      <c r="E29" s="562"/>
      <c r="F29" s="760" t="s">
        <v>26</v>
      </c>
      <c r="G29" s="761"/>
    </row>
    <row r="30" spans="3:7">
      <c r="F30" s="762"/>
      <c r="G30" s="762"/>
    </row>
  </sheetData>
  <mergeCells count="12">
    <mergeCell ref="F29:G29"/>
    <mergeCell ref="F30:G30"/>
    <mergeCell ref="C28:D28"/>
    <mergeCell ref="C29:D29"/>
    <mergeCell ref="F28:G28"/>
    <mergeCell ref="F25:G25"/>
    <mergeCell ref="C23:D23"/>
    <mergeCell ref="C5:D6"/>
    <mergeCell ref="C7:D7"/>
    <mergeCell ref="C13:D13"/>
    <mergeCell ref="C20:D21"/>
    <mergeCell ref="C11:D11"/>
  </mergeCells>
  <phoneticPr fontId="29" type="noConversion"/>
  <hyperlinks>
    <hyperlink ref="C5" location="Summary!A1" display="Summary" xr:uid="{00000000-0004-0000-0000-000000000000}"/>
    <hyperlink ref="D15" location="'Oil demand SIM'!A1" display="Oil" xr:uid="{00000000-0004-0000-0000-000001000000}"/>
    <hyperlink ref="D16" location="'Gas demand SIM'!A1" display="Gas" xr:uid="{00000000-0004-0000-0000-000002000000}"/>
    <hyperlink ref="D17" location="'Electricity demand SIM'!A1" display="Electricity" xr:uid="{00000000-0004-0000-0000-000003000000}"/>
    <hyperlink ref="D18" location="'Coal demand SIM'!A1" display="Coal" xr:uid="{00000000-0004-0000-0000-000004000000}"/>
    <hyperlink ref="C15" location="'Oil supply SIM'!A1" tooltip="Click here to jump to the simulated oil supply tab." display="Oil" xr:uid="{00000000-0004-0000-0000-000005000000}"/>
    <hyperlink ref="C16" location="'Gas supply SIM'!A1" display="Gas" xr:uid="{00000000-0004-0000-0000-000006000000}"/>
    <hyperlink ref="C17" location="'Electricity supply SIM'!A1" display="Electricity" xr:uid="{00000000-0004-0000-0000-000007000000}"/>
    <hyperlink ref="C18" location="'Coal supply SIM'!A1" display="Coal" xr:uid="{00000000-0004-0000-0000-000008000000}"/>
    <hyperlink ref="F24" location="'Coal supply elasticities'!A1" display="Coal" xr:uid="{00000000-0004-0000-0000-000009000000}"/>
    <hyperlink ref="F23" location="'Electricity supply elasticities'!A1" display="Electricity" xr:uid="{00000000-0004-0000-0000-00000A000000}"/>
    <hyperlink ref="F22" location="'Gas supply elasticities'!A1" display="Gas" xr:uid="{00000000-0004-0000-0000-00000B000000}"/>
    <hyperlink ref="F21" location="'Oil supply elasticities'!A1" display="Oil" xr:uid="{00000000-0004-0000-0000-00000C000000}"/>
    <hyperlink ref="F14" location="'Coal supply projection'!A1" display="Coal" xr:uid="{00000000-0004-0000-0000-00000D000000}"/>
    <hyperlink ref="F13" location="'Electricity supply projection'!A1" display="Electricity" xr:uid="{00000000-0004-0000-0000-00000E000000}"/>
    <hyperlink ref="F12" location="'Gas supply projection'!A1" display="Gas" xr:uid="{00000000-0004-0000-0000-00000F000000}"/>
    <hyperlink ref="F11" location="'Oil supply projection'!A1" display="Oil" xr:uid="{00000000-0004-0000-0000-000010000000}"/>
    <hyperlink ref="F17:G17" location="'Parameters supply'!A1" display="Supply" xr:uid="{00000000-0004-0000-0000-000011000000}"/>
    <hyperlink ref="G17" location="'Parameters demand'!A1" display="Demand" xr:uid="{00000000-0004-0000-0000-000012000000}"/>
    <hyperlink ref="G14" location="'Coal demand projection'!A1" display="Coal" xr:uid="{00000000-0004-0000-0000-000013000000}"/>
    <hyperlink ref="G13" location="'Electricity demand projection'!A1" display="Electricity" xr:uid="{00000000-0004-0000-0000-000014000000}"/>
    <hyperlink ref="G11" location="'Oil demand projection'!A1" display="Oil" xr:uid="{00000000-0004-0000-0000-000015000000}"/>
    <hyperlink ref="G12" location="'Gas demand projection'!A1" display="Gas" xr:uid="{00000000-0004-0000-0000-000016000000}"/>
    <hyperlink ref="G24" location="'Coal demand elasticities'!A1" display="Coal" xr:uid="{00000000-0004-0000-0000-000017000000}"/>
    <hyperlink ref="G23" location="'Electricity demand elasticities'!A1" display="Electricity" xr:uid="{00000000-0004-0000-0000-000018000000}"/>
    <hyperlink ref="G22" location="'Gas demand elasticities'!A1" display="Gas" xr:uid="{00000000-0004-0000-0000-000019000000}"/>
    <hyperlink ref="G21" location="'Oil demand elasticities'!A1" display="Oil" xr:uid="{00000000-0004-0000-0000-00001A000000}"/>
    <hyperlink ref="F25" location="Adjustment!A1" display="Adjustment Rates" xr:uid="{00000000-0004-0000-0000-00001B000000}"/>
    <hyperlink ref="C10:D10" location="'OCS Gas SIM'!A1" display="E&amp;D SCENARIO INPUT: GAS" xr:uid="{00000000-0004-0000-0000-00001C000000}"/>
    <hyperlink ref="C9:D9" location="'OCS Oil SIM'!A1" display="E&amp;D SCENARIO INPUT: OIL" xr:uid="{00000000-0004-0000-0000-00001D000000}"/>
    <hyperlink ref="C5:D6" location="'Model Run Interface'!A1" display="MODEL RUN INTERFACE" xr:uid="{00000000-0004-0000-0000-00001E000000}"/>
    <hyperlink ref="C7:D7" location="'Detailed Results'!A1" display="Detailed Results" xr:uid="{00000000-0004-0000-0000-00001F000000}"/>
    <hyperlink ref="C20:D21" location="Prices!A1" display="Prices!A1" xr:uid="{00000000-0004-0000-0000-000020000000}"/>
    <hyperlink ref="C23:D23" location="'Consumer surplus'!A1" display="Change in Consumer Surplus" xr:uid="{00000000-0004-0000-0000-000021000000}"/>
    <hyperlink ref="C11:D11" location="'OCS Percentage BOE'!A1" display="BOE Percentage by Planning Area" xr:uid="{00000000-0004-0000-0000-000022000000}"/>
    <hyperlink ref="F28" location="Adjustment!A1" display="Adjustment Rates" xr:uid="{00000000-0004-0000-0000-000023000000}"/>
    <hyperlink ref="F28:G28" location="'API Production and Imports'!A1" display="API Gravity of Crude Production and Imports" xr:uid="{00000000-0004-0000-0000-000024000000}"/>
    <hyperlink ref="F29" location="Adjustment!A1" display="Adjustment Rates" xr:uid="{00000000-0004-0000-0000-000025000000}"/>
    <hyperlink ref="F29:G29" location="'OCS Oil API'!A1" display="API Gravity of OCS Crude" xr:uid="{00000000-0004-0000-0000-000026000000}"/>
    <hyperlink ref="C28" location="Adjustment!A1" display="Adjustment Rates" xr:uid="{00000000-0004-0000-0000-000027000000}"/>
    <hyperlink ref="C28:D28" location="'OCS Crude Exports'!A1" display="'OCS Crude Exports'!A1" xr:uid="{00000000-0004-0000-0000-000028000000}"/>
    <hyperlink ref="C29" location="Adjustment!A1" display="Adjustment Rates" xr:uid="{00000000-0004-0000-0000-000029000000}"/>
    <hyperlink ref="C29:D29" location="'OCS Refined Product Data'!A1" display="'OCS Refined Product Data'!A1" xr:uid="{00000000-0004-0000-0000-00002A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1">
    <tabColor indexed="26"/>
    <pageSetUpPr fitToPage="1"/>
  </sheetPr>
  <dimension ref="A1:U110"/>
  <sheetViews>
    <sheetView topLeftCell="A15" zoomScale="70" zoomScaleNormal="70" workbookViewId="0">
      <selection activeCell="B1" sqref="B1:C1"/>
    </sheetView>
  </sheetViews>
  <sheetFormatPr defaultColWidth="9.28515625" defaultRowHeight="15"/>
  <cols>
    <col min="1" max="1" width="9.28515625" style="1"/>
    <col min="2" max="2" width="25.7109375" style="1" customWidth="1"/>
    <col min="3" max="3" width="55.7109375" style="1" customWidth="1"/>
    <col min="4" max="4" width="12.28515625" style="1" customWidth="1"/>
    <col min="5" max="5" width="10" style="1" customWidth="1"/>
    <col min="6" max="7" width="14.28515625" style="1" customWidth="1"/>
    <col min="8" max="8" width="18.28515625" style="1" customWidth="1"/>
    <col min="9" max="9" width="11.28515625" style="1" customWidth="1"/>
    <col min="10" max="16384" width="9.28515625" style="1"/>
  </cols>
  <sheetData>
    <row r="1" spans="1:21" ht="21" customHeight="1" thickBot="1">
      <c r="B1" s="701" t="s">
        <v>27</v>
      </c>
      <c r="C1" s="702"/>
    </row>
    <row r="2" spans="1:21" ht="18">
      <c r="F2" s="222"/>
      <c r="G2" s="222"/>
      <c r="H2" s="530"/>
    </row>
    <row r="3" spans="1:21" ht="34.5" customHeight="1">
      <c r="B3" s="270" t="s">
        <v>28</v>
      </c>
      <c r="C3" s="272"/>
      <c r="D3" s="272"/>
      <c r="E3" s="272"/>
      <c r="F3" s="272"/>
    </row>
    <row r="4" spans="1:21" ht="20.25" customHeight="1">
      <c r="B4" s="519"/>
      <c r="C4" s="272"/>
      <c r="D4" s="272"/>
      <c r="E4" s="272"/>
      <c r="F4" s="272"/>
    </row>
    <row r="5" spans="1:21" ht="257.25" customHeight="1">
      <c r="B5" s="765" t="s">
        <v>29</v>
      </c>
      <c r="C5" s="765"/>
      <c r="D5" s="765"/>
      <c r="E5" s="765"/>
      <c r="F5" s="765"/>
      <c r="G5" s="765"/>
      <c r="H5" s="765"/>
      <c r="I5" s="765"/>
      <c r="J5" s="765"/>
      <c r="K5" s="765"/>
      <c r="L5" s="765"/>
      <c r="M5" s="765"/>
      <c r="N5" s="524"/>
      <c r="O5" s="524"/>
      <c r="P5" s="524"/>
      <c r="Q5" s="524"/>
      <c r="R5" s="524"/>
      <c r="S5" s="524"/>
      <c r="T5" s="524"/>
      <c r="U5" s="524"/>
    </row>
    <row r="6" spans="1:21" ht="249.75" customHeight="1">
      <c r="B6" s="765" t="s">
        <v>30</v>
      </c>
      <c r="C6" s="765"/>
      <c r="D6" s="765"/>
      <c r="E6" s="765"/>
      <c r="F6" s="765"/>
      <c r="G6" s="765"/>
      <c r="H6" s="765"/>
      <c r="I6" s="765"/>
      <c r="J6" s="765"/>
      <c r="K6" s="765"/>
      <c r="L6" s="765"/>
      <c r="M6" s="658"/>
      <c r="N6" s="524"/>
      <c r="O6" s="524"/>
      <c r="P6" s="524"/>
      <c r="Q6" s="524"/>
      <c r="R6" s="524"/>
      <c r="S6" s="524"/>
      <c r="T6" s="524"/>
      <c r="U6" s="524"/>
    </row>
    <row r="7" spans="1:21" ht="36" customHeight="1">
      <c r="A7" s="278" t="s">
        <v>31</v>
      </c>
      <c r="B7" s="275" t="s">
        <v>32</v>
      </c>
      <c r="C7" s="658"/>
      <c r="D7" s="658"/>
      <c r="E7" s="658"/>
      <c r="F7" s="658"/>
      <c r="G7" s="658"/>
      <c r="H7" s="658"/>
      <c r="I7" s="658"/>
      <c r="J7" s="658"/>
      <c r="K7" s="658"/>
      <c r="L7" s="658"/>
      <c r="M7" s="658"/>
      <c r="N7" s="524"/>
      <c r="O7" s="524"/>
      <c r="P7" s="524"/>
      <c r="Q7" s="524"/>
      <c r="R7" s="524"/>
      <c r="S7" s="524"/>
      <c r="T7" s="524"/>
      <c r="U7" s="524"/>
    </row>
    <row r="8" spans="1:21" ht="30" customHeight="1">
      <c r="B8" s="659" t="s">
        <v>33</v>
      </c>
      <c r="C8" s="659"/>
      <c r="D8" s="659"/>
      <c r="E8" s="659"/>
      <c r="F8" s="659"/>
      <c r="G8" s="542"/>
    </row>
    <row r="9" spans="1:21" ht="30" customHeight="1">
      <c r="A9" s="278" t="s">
        <v>34</v>
      </c>
      <c r="B9" s="275" t="s">
        <v>35</v>
      </c>
    </row>
    <row r="10" spans="1:21" ht="30" customHeight="1">
      <c r="A10" s="278"/>
      <c r="B10" s="767" t="s">
        <v>36</v>
      </c>
      <c r="C10" s="767"/>
      <c r="D10" s="529">
        <v>2019</v>
      </c>
    </row>
    <row r="11" spans="1:21" ht="30" customHeight="1">
      <c r="A11" s="278"/>
      <c r="B11" s="767" t="s">
        <v>37</v>
      </c>
      <c r="C11" s="767"/>
      <c r="D11" s="529">
        <v>2050</v>
      </c>
      <c r="F11" s="1" t="s">
        <v>38</v>
      </c>
    </row>
    <row r="12" spans="1:21" ht="38.25" customHeight="1">
      <c r="B12" s="270"/>
      <c r="E12" s="536"/>
      <c r="H12" s="536"/>
    </row>
    <row r="13" spans="1:21" ht="20.25" customHeight="1">
      <c r="A13" s="278" t="s">
        <v>39</v>
      </c>
      <c r="B13" s="275" t="s">
        <v>40</v>
      </c>
      <c r="C13" s="528"/>
      <c r="D13" s="272"/>
      <c r="E13" s="272"/>
      <c r="F13" s="272"/>
    </row>
    <row r="14" spans="1:21" ht="62.25" customHeight="1">
      <c r="A14" s="279"/>
      <c r="B14" s="526" t="s">
        <v>41</v>
      </c>
      <c r="C14" s="768" t="s">
        <v>42</v>
      </c>
      <c r="D14" s="769"/>
      <c r="E14" s="769"/>
      <c r="F14" s="769"/>
      <c r="G14" s="769"/>
      <c r="H14" s="769"/>
      <c r="I14" s="769"/>
      <c r="J14" s="769"/>
      <c r="K14" s="769"/>
      <c r="L14" s="769"/>
      <c r="M14" s="769"/>
      <c r="N14" s="769"/>
    </row>
    <row r="15" spans="1:21" ht="18.75" customHeight="1">
      <c r="A15" s="279"/>
      <c r="B15" s="518"/>
      <c r="C15" s="518"/>
      <c r="D15" s="518"/>
      <c r="E15" s="518"/>
      <c r="F15" s="518"/>
    </row>
    <row r="16" spans="1:21" ht="18.75" customHeight="1">
      <c r="A16" s="278" t="s">
        <v>43</v>
      </c>
      <c r="B16" s="275" t="s">
        <v>44</v>
      </c>
      <c r="C16" s="271"/>
      <c r="D16" s="271"/>
      <c r="E16" s="660"/>
      <c r="F16" s="660"/>
    </row>
    <row r="17" spans="1:15" ht="29.25" customHeight="1">
      <c r="A17" s="279"/>
      <c r="B17" s="526" t="s">
        <v>45</v>
      </c>
      <c r="C17" s="763" t="s">
        <v>46</v>
      </c>
      <c r="D17" s="763"/>
      <c r="E17" s="763"/>
      <c r="F17" s="763"/>
      <c r="G17" s="763"/>
      <c r="H17" s="763"/>
      <c r="I17" s="763"/>
      <c r="J17" s="763"/>
      <c r="K17" s="763"/>
      <c r="L17" s="763"/>
      <c r="M17" s="763"/>
      <c r="N17" s="764"/>
    </row>
    <row r="18" spans="1:15" ht="18.75" customHeight="1">
      <c r="A18" s="279"/>
      <c r="B18" s="518"/>
      <c r="C18" s="518"/>
      <c r="D18" s="518"/>
      <c r="E18" s="3"/>
      <c r="G18" s="3"/>
    </row>
    <row r="19" spans="1:15" ht="18.75" customHeight="1">
      <c r="A19" s="278" t="s">
        <v>47</v>
      </c>
      <c r="B19" s="275" t="s">
        <v>48</v>
      </c>
      <c r="C19" s="271"/>
      <c r="D19" s="271"/>
    </row>
    <row r="20" spans="1:15" ht="28.5" customHeight="1">
      <c r="B20" s="527" t="s">
        <v>49</v>
      </c>
      <c r="C20" s="763" t="s">
        <v>50</v>
      </c>
      <c r="D20" s="763"/>
      <c r="E20" s="763"/>
      <c r="F20" s="763"/>
      <c r="G20" s="763"/>
      <c r="H20" s="763"/>
      <c r="I20" s="763"/>
      <c r="J20" s="763"/>
      <c r="K20" s="763"/>
      <c r="L20" s="763"/>
      <c r="M20" s="763"/>
      <c r="N20" s="764"/>
    </row>
    <row r="21" spans="1:15" ht="18.75" customHeight="1">
      <c r="A21" s="279"/>
      <c r="B21" s="519"/>
      <c r="C21" s="519"/>
      <c r="D21" s="519"/>
      <c r="E21" s="519"/>
      <c r="F21" s="519"/>
      <c r="H21" s="324"/>
    </row>
    <row r="22" spans="1:15" ht="18.75" customHeight="1">
      <c r="A22" s="278" t="s">
        <v>51</v>
      </c>
      <c r="B22" s="275" t="s">
        <v>52</v>
      </c>
      <c r="C22" s="519"/>
      <c r="D22" s="519"/>
      <c r="E22" s="519"/>
      <c r="F22" s="519"/>
    </row>
    <row r="23" spans="1:15" ht="18.75" customHeight="1">
      <c r="B23" s="527" t="s">
        <v>53</v>
      </c>
      <c r="C23" s="519" t="s">
        <v>54</v>
      </c>
      <c r="E23" s="269"/>
      <c r="F23" s="273"/>
    </row>
    <row r="24" spans="1:15" ht="18.75" customHeight="1">
      <c r="A24" s="279"/>
      <c r="B24" s="267"/>
      <c r="C24" s="267"/>
      <c r="F24" s="269"/>
    </row>
    <row r="25" spans="1:15" ht="18.75" customHeight="1">
      <c r="A25" s="278" t="s">
        <v>55</v>
      </c>
      <c r="B25" s="275" t="s">
        <v>56</v>
      </c>
      <c r="C25" s="267"/>
      <c r="F25" s="269"/>
    </row>
    <row r="26" spans="1:15" ht="18.75" customHeight="1">
      <c r="A26" s="279"/>
      <c r="B26" s="527" t="s">
        <v>57</v>
      </c>
      <c r="C26" s="519" t="s">
        <v>58</v>
      </c>
      <c r="F26" s="269"/>
    </row>
    <row r="27" spans="1:15" ht="18.75" customHeight="1">
      <c r="A27" s="279"/>
      <c r="B27" s="267"/>
      <c r="F27" s="269"/>
    </row>
    <row r="28" spans="1:15" ht="18.75" customHeight="1">
      <c r="A28" s="278" t="s">
        <v>59</v>
      </c>
      <c r="B28" s="275" t="s">
        <v>60</v>
      </c>
      <c r="C28" s="267"/>
      <c r="F28" s="274"/>
    </row>
    <row r="29" spans="1:15" ht="18.75" customHeight="1">
      <c r="A29" s="279"/>
      <c r="B29" s="527" t="s">
        <v>61</v>
      </c>
      <c r="C29" s="763" t="s">
        <v>62</v>
      </c>
      <c r="D29" s="763"/>
      <c r="E29" s="763"/>
      <c r="F29" s="763"/>
      <c r="G29" s="763"/>
      <c r="H29" s="763"/>
      <c r="I29" s="763"/>
      <c r="J29" s="763"/>
      <c r="K29" s="763"/>
      <c r="L29" s="763"/>
      <c r="M29" s="763"/>
      <c r="N29" s="764"/>
    </row>
    <row r="30" spans="1:15" ht="18.75" customHeight="1">
      <c r="A30" s="279"/>
      <c r="B30" s="518"/>
      <c r="F30" s="273"/>
    </row>
    <row r="31" spans="1:15" ht="18.75" customHeight="1">
      <c r="A31" s="278" t="s">
        <v>63</v>
      </c>
      <c r="B31" s="275" t="s">
        <v>64</v>
      </c>
      <c r="F31" s="269"/>
    </row>
    <row r="32" spans="1:15" ht="18.75" customHeight="1">
      <c r="B32" s="527" t="s">
        <v>65</v>
      </c>
      <c r="C32" s="764" t="s">
        <v>66</v>
      </c>
      <c r="D32" s="771"/>
      <c r="E32" s="771"/>
      <c r="F32" s="771"/>
      <c r="G32" s="771"/>
      <c r="H32" s="771"/>
      <c r="I32" s="771"/>
      <c r="J32" s="771"/>
      <c r="K32" s="771"/>
      <c r="L32" s="771"/>
      <c r="M32" s="771"/>
      <c r="N32" s="771"/>
      <c r="O32" s="771"/>
    </row>
    <row r="33" spans="1:14" ht="18.75" customHeight="1">
      <c r="A33" s="279"/>
      <c r="B33" s="519"/>
    </row>
    <row r="34" spans="1:14" ht="18.75" customHeight="1">
      <c r="A34" s="278" t="s">
        <v>67</v>
      </c>
      <c r="B34" s="275" t="s">
        <v>68</v>
      </c>
      <c r="C34" s="271"/>
      <c r="D34" s="271"/>
      <c r="E34" s="271"/>
      <c r="F34" s="272"/>
    </row>
    <row r="35" spans="1:14" ht="18.75" customHeight="1">
      <c r="A35" s="279"/>
      <c r="B35" s="527" t="s">
        <v>69</v>
      </c>
      <c r="C35" s="763" t="s">
        <v>70</v>
      </c>
      <c r="D35" s="763"/>
      <c r="E35" s="763"/>
      <c r="F35" s="763"/>
      <c r="G35" s="763"/>
      <c r="H35" s="763"/>
      <c r="I35" s="763"/>
      <c r="J35" s="763"/>
      <c r="K35" s="763"/>
      <c r="L35" s="763"/>
      <c r="M35" s="763"/>
      <c r="N35" s="764"/>
    </row>
    <row r="36" spans="1:14" ht="21.75" customHeight="1">
      <c r="A36" s="279"/>
      <c r="B36" s="519"/>
      <c r="C36" s="519"/>
      <c r="D36" s="519"/>
      <c r="E36" s="519"/>
      <c r="F36" s="519"/>
    </row>
    <row r="37" spans="1:14" ht="21.75" customHeight="1">
      <c r="A37" s="278" t="s">
        <v>71</v>
      </c>
      <c r="B37" s="275" t="s">
        <v>72</v>
      </c>
      <c r="C37" s="519"/>
      <c r="D37" s="519"/>
      <c r="E37" s="519"/>
      <c r="F37" s="519"/>
    </row>
    <row r="38" spans="1:14" ht="21.75" customHeight="1">
      <c r="A38" s="278"/>
      <c r="B38" s="527" t="s">
        <v>73</v>
      </c>
      <c r="C38" s="519" t="s">
        <v>74</v>
      </c>
      <c r="D38" s="519"/>
      <c r="E38" s="519"/>
      <c r="F38" s="519"/>
    </row>
    <row r="39" spans="1:14" ht="21.75" customHeight="1">
      <c r="A39" s="279"/>
      <c r="B39" s="519"/>
      <c r="C39" s="519"/>
      <c r="D39" s="519"/>
      <c r="E39" s="519"/>
      <c r="F39" s="519"/>
    </row>
    <row r="40" spans="1:14" ht="21.75" customHeight="1">
      <c r="A40" s="278" t="s">
        <v>75</v>
      </c>
      <c r="B40" s="275" t="s">
        <v>76</v>
      </c>
      <c r="C40" s="519"/>
      <c r="D40" s="519"/>
      <c r="E40" s="519"/>
      <c r="F40" s="519"/>
    </row>
    <row r="41" spans="1:14" ht="21.75" customHeight="1">
      <c r="A41" s="278"/>
      <c r="B41" s="659" t="s">
        <v>77</v>
      </c>
      <c r="C41" s="519"/>
      <c r="D41" s="519"/>
      <c r="E41" s="519"/>
      <c r="F41" s="519"/>
    </row>
    <row r="42" spans="1:14" ht="21.75" customHeight="1">
      <c r="A42" s="278"/>
      <c r="B42" s="659"/>
      <c r="C42" s="519"/>
      <c r="D42" s="519"/>
      <c r="E42" s="519"/>
      <c r="F42" s="519"/>
    </row>
    <row r="43" spans="1:14" ht="32.25" customHeight="1">
      <c r="A43" s="278"/>
      <c r="B43" s="659"/>
      <c r="C43" s="519"/>
      <c r="D43" s="519"/>
      <c r="E43" s="519"/>
      <c r="F43" s="519"/>
      <c r="H43" s="770" t="s">
        <v>78</v>
      </c>
      <c r="I43" s="770"/>
    </row>
    <row r="44" spans="1:14" ht="21.75" customHeight="1">
      <c r="A44" s="279"/>
      <c r="B44" s="519"/>
      <c r="C44" s="519"/>
      <c r="D44" s="519"/>
      <c r="E44" s="519"/>
      <c r="F44" s="519"/>
    </row>
    <row r="45" spans="1:14" ht="21.75" customHeight="1">
      <c r="A45" s="278" t="s">
        <v>79</v>
      </c>
      <c r="B45" s="275" t="s">
        <v>80</v>
      </c>
      <c r="D45" s="660"/>
      <c r="E45" s="660"/>
      <c r="F45" s="660"/>
    </row>
    <row r="46" spans="1:14" ht="21" customHeight="1">
      <c r="B46" s="527" t="s">
        <v>81</v>
      </c>
      <c r="C46" s="766" t="s">
        <v>82</v>
      </c>
      <c r="D46" s="766"/>
      <c r="E46" s="766"/>
      <c r="F46" s="766"/>
      <c r="G46" s="766"/>
      <c r="H46" s="766"/>
      <c r="I46" s="766"/>
      <c r="J46" s="766"/>
    </row>
    <row r="47" spans="1:14" ht="18.75" customHeight="1">
      <c r="B47" s="325"/>
      <c r="C47" s="766"/>
      <c r="D47" s="766"/>
      <c r="E47" s="766"/>
      <c r="F47" s="766"/>
      <c r="G47" s="766"/>
      <c r="H47" s="766"/>
      <c r="I47" s="766"/>
      <c r="J47" s="766"/>
    </row>
    <row r="48" spans="1:14" ht="102.75" customHeight="1">
      <c r="A48" s="278"/>
      <c r="B48" s="325"/>
      <c r="C48" s="766"/>
      <c r="D48" s="766"/>
      <c r="E48" s="766"/>
      <c r="F48" s="766"/>
      <c r="G48" s="766"/>
      <c r="H48" s="766"/>
      <c r="I48" s="766"/>
      <c r="J48" s="766"/>
    </row>
    <row r="49" spans="1:14" ht="18" customHeight="1">
      <c r="B49" s="98"/>
      <c r="C49" s="98"/>
      <c r="D49" s="98"/>
      <c r="E49" s="98"/>
      <c r="F49" s="98"/>
    </row>
    <row r="50" spans="1:14" ht="18" customHeight="1">
      <c r="A50" s="278" t="s">
        <v>83</v>
      </c>
      <c r="B50" s="275" t="s">
        <v>84</v>
      </c>
      <c r="F50" s="268"/>
    </row>
    <row r="51" spans="1:14" ht="18" customHeight="1">
      <c r="A51" s="280"/>
      <c r="B51" s="525" t="s">
        <v>85</v>
      </c>
      <c r="C51" s="763" t="s">
        <v>86</v>
      </c>
      <c r="D51" s="763"/>
      <c r="E51" s="763"/>
      <c r="F51" s="763"/>
      <c r="G51" s="763"/>
      <c r="H51" s="763"/>
      <c r="I51" s="763"/>
      <c r="J51" s="763"/>
      <c r="K51" s="763"/>
      <c r="L51" s="763"/>
      <c r="M51" s="763"/>
      <c r="N51" s="764"/>
    </row>
    <row r="52" spans="1:14" ht="18" customHeight="1">
      <c r="B52" s="275"/>
      <c r="F52" s="268"/>
    </row>
    <row r="53" spans="1:14" ht="18" customHeight="1">
      <c r="A53" s="278"/>
      <c r="B53" s="277"/>
      <c r="F53" s="268"/>
    </row>
    <row r="54" spans="1:14" ht="18" customHeight="1">
      <c r="C54" s="325"/>
      <c r="D54" s="325"/>
      <c r="E54" s="325"/>
      <c r="F54" s="325"/>
      <c r="G54" s="325"/>
      <c r="H54" s="325"/>
      <c r="I54" s="325"/>
    </row>
    <row r="55" spans="1:14" ht="18" customHeight="1">
      <c r="C55" s="659"/>
      <c r="D55" s="541"/>
      <c r="E55" s="541"/>
      <c r="F55" s="325"/>
      <c r="G55" s="325"/>
      <c r="H55" s="325"/>
      <c r="I55" s="325"/>
    </row>
    <row r="56" spans="1:14" ht="18" customHeight="1">
      <c r="B56" s="766"/>
      <c r="C56" s="766"/>
      <c r="D56" s="325"/>
      <c r="E56" s="325"/>
      <c r="F56" s="325"/>
      <c r="G56" s="325"/>
      <c r="H56" s="325"/>
      <c r="I56" s="325"/>
    </row>
    <row r="57" spans="1:14" ht="18" customHeight="1">
      <c r="B57" s="325"/>
      <c r="C57" s="325"/>
      <c r="D57" s="325"/>
      <c r="E57" s="325"/>
      <c r="F57" s="325"/>
      <c r="G57" s="325"/>
      <c r="H57" s="325"/>
      <c r="I57" s="325"/>
    </row>
    <row r="58" spans="1:14" ht="45" customHeight="1">
      <c r="B58" s="325"/>
      <c r="C58" s="325"/>
      <c r="D58" s="325"/>
      <c r="E58" s="325"/>
      <c r="F58" s="325"/>
      <c r="G58" s="325"/>
    </row>
    <row r="59" spans="1:14" ht="35.25" customHeight="1">
      <c r="B59" s="275"/>
    </row>
    <row r="60" spans="1:14" ht="18" customHeight="1">
      <c r="B60" s="275"/>
      <c r="F60" s="268"/>
    </row>
    <row r="61" spans="1:14" ht="18.75">
      <c r="B61" s="275"/>
      <c r="F61" s="268"/>
    </row>
    <row r="62" spans="1:14" ht="18.75">
      <c r="B62" s="275"/>
      <c r="F62" s="268"/>
    </row>
    <row r="66" spans="3:8">
      <c r="H66" s="663"/>
    </row>
    <row r="67" spans="3:8">
      <c r="H67" s="663"/>
    </row>
    <row r="68" spans="3:8">
      <c r="H68" s="663"/>
    </row>
    <row r="69" spans="3:8">
      <c r="H69" s="663"/>
    </row>
    <row r="70" spans="3:8">
      <c r="C70" s="6"/>
      <c r="D70" s="7"/>
      <c r="E70" s="7"/>
      <c r="F70" s="9"/>
      <c r="G70" s="9"/>
      <c r="H70" s="663"/>
    </row>
    <row r="71" spans="3:8">
      <c r="C71" s="6"/>
      <c r="D71" s="7"/>
      <c r="E71" s="7"/>
      <c r="F71" s="9"/>
      <c r="G71" s="9"/>
      <c r="H71" s="2"/>
    </row>
    <row r="72" spans="3:8">
      <c r="C72" s="6"/>
      <c r="D72" s="7"/>
      <c r="E72" s="7"/>
      <c r="F72" s="9"/>
      <c r="G72" s="9"/>
      <c r="H72" s="9"/>
    </row>
    <row r="73" spans="3:8">
      <c r="C73" s="6"/>
      <c r="D73" s="7"/>
      <c r="E73" s="7"/>
      <c r="F73" s="9"/>
      <c r="G73" s="9"/>
      <c r="H73" s="9"/>
    </row>
    <row r="74" spans="3:8">
      <c r="C74" s="6"/>
      <c r="D74" s="7"/>
      <c r="E74" s="7"/>
      <c r="F74" s="9"/>
      <c r="G74" s="9"/>
      <c r="H74" s="9"/>
    </row>
    <row r="75" spans="3:8">
      <c r="C75" s="6"/>
      <c r="D75" s="7"/>
      <c r="E75" s="7"/>
      <c r="F75" s="9"/>
      <c r="G75" s="9"/>
      <c r="H75" s="9"/>
    </row>
    <row r="76" spans="3:8">
      <c r="C76" s="6"/>
      <c r="D76" s="2"/>
      <c r="E76" s="7"/>
      <c r="F76" s="9"/>
      <c r="G76" s="9"/>
      <c r="H76" s="9"/>
    </row>
    <row r="77" spans="3:8">
      <c r="C77" s="2"/>
      <c r="D77" s="9"/>
      <c r="E77" s="7"/>
      <c r="F77" s="7"/>
      <c r="G77" s="9"/>
      <c r="H77" s="9"/>
    </row>
    <row r="78" spans="3:8">
      <c r="C78" s="2"/>
      <c r="D78" s="2"/>
      <c r="E78" s="2"/>
      <c r="F78" s="2"/>
      <c r="G78" s="9"/>
      <c r="H78" s="9"/>
    </row>
    <row r="79" spans="3:8">
      <c r="C79" s="663"/>
      <c r="D79" s="8"/>
      <c r="E79" s="9"/>
      <c r="F79" s="9"/>
      <c r="G79" s="9"/>
      <c r="H79" s="9"/>
    </row>
    <row r="80" spans="3:8">
      <c r="C80" s="2"/>
      <c r="D80" s="8"/>
      <c r="E80" s="2"/>
      <c r="F80" s="2"/>
      <c r="G80" s="9"/>
      <c r="H80" s="9"/>
    </row>
    <row r="81" spans="2:8">
      <c r="C81" s="663"/>
      <c r="D81" s="8"/>
      <c r="E81" s="8"/>
      <c r="F81" s="8"/>
      <c r="G81" s="9"/>
      <c r="H81" s="9"/>
    </row>
    <row r="82" spans="2:8">
      <c r="C82" s="663"/>
      <c r="D82" s="2"/>
      <c r="E82" s="8"/>
      <c r="F82" s="8"/>
      <c r="G82" s="9"/>
      <c r="H82" s="9"/>
    </row>
    <row r="83" spans="2:8">
      <c r="C83" s="663"/>
      <c r="D83" s="2"/>
      <c r="E83" s="8"/>
      <c r="F83" s="8"/>
      <c r="G83" s="7"/>
      <c r="H83" s="9"/>
    </row>
    <row r="84" spans="2:8">
      <c r="B84" s="56"/>
      <c r="C84" s="2"/>
      <c r="D84" s="56"/>
      <c r="E84" s="2"/>
      <c r="F84" s="2"/>
      <c r="G84" s="2"/>
      <c r="H84" s="9"/>
    </row>
    <row r="85" spans="2:8">
      <c r="B85" s="56"/>
      <c r="C85" s="2"/>
      <c r="D85" s="56"/>
      <c r="E85" s="2"/>
      <c r="F85" s="2"/>
      <c r="G85" s="9"/>
      <c r="H85" s="9"/>
    </row>
    <row r="86" spans="2:8">
      <c r="B86" s="56"/>
      <c r="C86" s="56"/>
      <c r="D86" s="56"/>
      <c r="E86" s="56"/>
      <c r="F86" s="56"/>
      <c r="G86" s="2"/>
      <c r="H86" s="7"/>
    </row>
    <row r="87" spans="2:8">
      <c r="B87" s="56"/>
      <c r="C87" s="56"/>
      <c r="D87" s="56"/>
      <c r="E87" s="56"/>
      <c r="F87" s="56"/>
      <c r="G87" s="8"/>
      <c r="H87" s="2"/>
    </row>
    <row r="88" spans="2:8">
      <c r="B88" s="56"/>
      <c r="C88" s="56"/>
      <c r="D88" s="56"/>
      <c r="E88" s="56"/>
      <c r="F88" s="56"/>
      <c r="G88" s="8"/>
      <c r="H88" s="9"/>
    </row>
    <row r="89" spans="2:8">
      <c r="B89" s="56"/>
      <c r="C89" s="56"/>
      <c r="D89" s="56"/>
      <c r="E89" s="56"/>
      <c r="F89" s="56"/>
      <c r="G89" s="8"/>
      <c r="H89" s="2"/>
    </row>
    <row r="90" spans="2:8">
      <c r="B90" s="56"/>
      <c r="C90" s="323"/>
      <c r="D90" s="323"/>
      <c r="E90" s="323"/>
      <c r="F90" s="323"/>
      <c r="G90" s="350"/>
      <c r="H90" s="8"/>
    </row>
    <row r="91" spans="2:8">
      <c r="B91" s="56"/>
      <c r="C91" s="323"/>
      <c r="D91" s="323"/>
      <c r="E91" s="323"/>
      <c r="F91" s="323"/>
      <c r="G91" s="350"/>
      <c r="H91" s="8"/>
    </row>
    <row r="92" spans="2:8">
      <c r="B92" s="56"/>
      <c r="C92" s="323"/>
      <c r="D92" s="323"/>
      <c r="E92" s="323"/>
      <c r="F92" s="323"/>
      <c r="G92" s="323"/>
      <c r="H92" s="8"/>
    </row>
    <row r="93" spans="2:8">
      <c r="B93" s="56"/>
      <c r="C93" s="323"/>
      <c r="D93" s="323"/>
      <c r="E93" s="323"/>
      <c r="F93" s="323"/>
      <c r="G93" s="323"/>
      <c r="H93" s="2"/>
    </row>
    <row r="94" spans="2:8">
      <c r="B94" s="56"/>
      <c r="C94" s="323" t="str">
        <f>Inflation!$C$7</f>
        <v>GDP Chain-type Price Index</v>
      </c>
      <c r="D94" s="323" t="str">
        <f>Inflation!$D$7</f>
        <v>CPI All-urban</v>
      </c>
      <c r="E94" s="323" t="str">
        <f>Inflation!$E$7</f>
        <v>CPI Energy Commodities and Services</v>
      </c>
      <c r="F94" s="323" t="str">
        <f>Inflation!$F$7</f>
        <v>User defined</v>
      </c>
      <c r="G94" s="323"/>
      <c r="H94" s="2"/>
    </row>
    <row r="95" spans="2:8">
      <c r="B95" s="56"/>
      <c r="C95" s="323"/>
      <c r="D95" s="323"/>
      <c r="E95" s="323"/>
      <c r="F95" s="323"/>
      <c r="G95" s="323"/>
      <c r="H95" s="56"/>
    </row>
    <row r="96" spans="2:8">
      <c r="B96" s="56"/>
      <c r="C96" s="323"/>
      <c r="D96" s="323"/>
      <c r="E96" s="323"/>
      <c r="F96" s="323"/>
      <c r="G96" s="323"/>
      <c r="H96" s="56"/>
    </row>
    <row r="97" spans="2:8">
      <c r="B97" s="56"/>
      <c r="C97" s="323"/>
      <c r="D97" s="323"/>
      <c r="E97" s="323"/>
      <c r="F97" s="323"/>
      <c r="G97" s="323"/>
      <c r="H97" s="56"/>
    </row>
    <row r="98" spans="2:8">
      <c r="B98" s="56"/>
      <c r="C98" s="56"/>
      <c r="D98" s="56"/>
      <c r="E98" s="56"/>
      <c r="F98" s="56"/>
      <c r="G98" s="56"/>
      <c r="H98" s="56"/>
    </row>
    <row r="99" spans="2:8">
      <c r="B99" s="56"/>
      <c r="C99" s="56"/>
      <c r="D99" s="56"/>
      <c r="E99" s="56"/>
      <c r="F99" s="56"/>
      <c r="G99" s="56"/>
      <c r="H99" s="56"/>
    </row>
    <row r="100" spans="2:8">
      <c r="B100" s="56"/>
      <c r="C100" s="56"/>
      <c r="D100" s="56"/>
      <c r="E100" s="56"/>
      <c r="F100" s="56"/>
      <c r="G100" s="56"/>
      <c r="H100" s="56"/>
    </row>
    <row r="101" spans="2:8">
      <c r="B101" s="56"/>
      <c r="C101" s="56"/>
      <c r="D101" s="56"/>
      <c r="E101" s="56"/>
      <c r="F101" s="56"/>
      <c r="G101" s="56"/>
      <c r="H101" s="56"/>
    </row>
    <row r="102" spans="2:8">
      <c r="B102" s="56"/>
      <c r="C102" s="56"/>
      <c r="D102" s="56"/>
      <c r="E102" s="56"/>
      <c r="F102" s="56"/>
      <c r="G102" s="56"/>
      <c r="H102" s="56"/>
    </row>
    <row r="103" spans="2:8">
      <c r="B103" s="56"/>
      <c r="C103" s="56"/>
      <c r="D103" s="56"/>
      <c r="E103" s="56"/>
      <c r="F103" s="56"/>
      <c r="G103" s="56"/>
      <c r="H103" s="56"/>
    </row>
    <row r="104" spans="2:8">
      <c r="B104" s="56"/>
      <c r="C104" s="56"/>
      <c r="D104" s="56"/>
      <c r="E104" s="56"/>
      <c r="F104" s="56"/>
      <c r="G104" s="56"/>
      <c r="H104" s="56"/>
    </row>
    <row r="105" spans="2:8">
      <c r="B105" s="56"/>
      <c r="C105" s="56"/>
      <c r="D105" s="56"/>
      <c r="E105" s="56"/>
      <c r="F105" s="56"/>
      <c r="G105" s="56"/>
      <c r="H105" s="56"/>
    </row>
    <row r="106" spans="2:8">
      <c r="B106" s="56"/>
      <c r="C106" s="56"/>
      <c r="D106" s="56"/>
      <c r="E106" s="56"/>
      <c r="F106" s="56"/>
      <c r="G106" s="56"/>
      <c r="H106" s="56"/>
    </row>
    <row r="107" spans="2:8">
      <c r="H107" s="56"/>
    </row>
    <row r="108" spans="2:8">
      <c r="H108" s="56"/>
    </row>
    <row r="109" spans="2:8">
      <c r="H109" s="56"/>
    </row>
    <row r="110" spans="2:8">
      <c r="H110" s="56"/>
    </row>
  </sheetData>
  <mergeCells count="15">
    <mergeCell ref="C51:N51"/>
    <mergeCell ref="B6:L6"/>
    <mergeCell ref="B56:C56"/>
    <mergeCell ref="B10:C10"/>
    <mergeCell ref="B1:C1"/>
    <mergeCell ref="C46:J48"/>
    <mergeCell ref="C14:N14"/>
    <mergeCell ref="B5:M5"/>
    <mergeCell ref="C17:N17"/>
    <mergeCell ref="C20:N20"/>
    <mergeCell ref="C29:N29"/>
    <mergeCell ref="C35:N35"/>
    <mergeCell ref="B11:C11"/>
    <mergeCell ref="H43:I43"/>
    <mergeCell ref="C32:O32"/>
  </mergeCells>
  <conditionalFormatting sqref="H66:H94 G70:G91 E70:F85 C70:C85 D70:D83">
    <cfRule type="expression" dxfId="142" priority="6" stopIfTrue="1">
      <formula>ContainsFormula</formula>
    </cfRule>
  </conditionalFormatting>
  <conditionalFormatting sqref="F2:G2">
    <cfRule type="cellIs" dxfId="141" priority="9" stopIfTrue="1" operator="equal">
      <formula>"Scenario market is in equilibrium."</formula>
    </cfRule>
    <cfRule type="cellIs" dxfId="140" priority="10" stopIfTrue="1" operator="equal">
      <formula>"Scenario market is NOT in equilibrium!"</formula>
    </cfRule>
  </conditionalFormatting>
  <conditionalFormatting sqref="F50 F60:F62 F52:F53">
    <cfRule type="cellIs" dxfId="139" priority="1" stopIfTrue="1" operator="equal">
      <formula>"In equilibrium"</formula>
    </cfRule>
    <cfRule type="cellIs" dxfId="138" priority="2" stopIfTrue="1" operator="equal">
      <formula>"IMBALANCED!"</formula>
    </cfRule>
  </conditionalFormatting>
  <dataValidations count="1">
    <dataValidation type="list" allowBlank="1" showInputMessage="1" showErrorMessage="1" promptTitle="Inflation Index" prompt="Choose the inflation index series you would like to use." sqref="F30" xr:uid="{00000000-0002-0000-0100-000000000000}">
      <formula1>$C$94:$F$94</formula1>
    </dataValidation>
  </dataValidations>
  <hyperlinks>
    <hyperlink ref="B1" location="'Table of Contents'!A1" tooltip="Click here to return to the Table of Contents tab" display="Return to Table of Contents" xr:uid="{00000000-0004-0000-0100-000000000000}"/>
    <hyperlink ref="B14" location="'Oil supply projection'!A1" display="Oil Supply" xr:uid="{00000000-0004-0000-0100-000001000000}"/>
    <hyperlink ref="B17" location="'Gas supply projection'!A1" display="Gas Supply" xr:uid="{00000000-0004-0000-0100-000002000000}"/>
    <hyperlink ref="B20" location="'Electricity supply projection'!A1" display="Electricity" xr:uid="{00000000-0004-0000-0100-000003000000}"/>
    <hyperlink ref="B23" location="'Coal supply projection'!A1" display="Coal" xr:uid="{00000000-0004-0000-0100-000004000000}"/>
    <hyperlink ref="B26" location="'Oil demand projection'!A1" display="Oil" xr:uid="{00000000-0004-0000-0100-000005000000}"/>
    <hyperlink ref="B29" location="'Gas demand projection'!A1" display="Gas" xr:uid="{00000000-0004-0000-0100-000006000000}"/>
    <hyperlink ref="B32" location="'Electricity demand projection'!A1" display="Electricity" xr:uid="{00000000-0004-0000-0100-000007000000}"/>
    <hyperlink ref="B35" location="'Coal demand projection'!A1" display="Coal" xr:uid="{00000000-0004-0000-0100-000008000000}"/>
    <hyperlink ref="B51" location="Inflation!A1" display="Inflation" xr:uid="{00000000-0004-0000-0100-000009000000}"/>
    <hyperlink ref="B46" location="Defaults!A1" display="Defaults" xr:uid="{00000000-0004-0000-0100-00000A000000}"/>
    <hyperlink ref="B38" location="Prices!A1" display="Prices" xr:uid="{00000000-0004-0000-0100-00000B000000}"/>
  </hyperlinks>
  <printOptions horizontalCentered="1"/>
  <pageMargins left="0.5" right="0.5" top="0.75" bottom="0.75" header="0.25" footer="0.25"/>
  <pageSetup scale="43" orientation="portrait" blackAndWhite="1" horizontalDpi="300" r:id="rId1"/>
  <headerFooter alignWithMargins="0">
    <oddFooter>&amp;L&amp;8&amp;D  &amp;T&amp;C&amp;8&amp;F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99329" r:id="rId4" name="Button 1">
              <controlPr defaultSize="0" print="0" autoFill="0" autoPict="0" macro="[0]!DataPrep">
                <anchor moveWithCells="1" sizeWithCells="1">
                  <from>
                    <xdr:col>6</xdr:col>
                    <xdr:colOff>0</xdr:colOff>
                    <xdr:row>39</xdr:row>
                    <xdr:rowOff>0</xdr:rowOff>
                  </from>
                  <to>
                    <xdr:col>10</xdr:col>
                    <xdr:colOff>38100</xdr:colOff>
                    <xdr:row>41</xdr:row>
                    <xdr:rowOff>142875</xdr:rowOff>
                  </to>
                </anchor>
              </controlPr>
            </control>
          </mc:Choice>
        </mc:AlternateContent>
        <mc:AlternateContent xmlns:mc="http://schemas.openxmlformats.org/markup-compatibility/2006">
          <mc:Choice Requires="x14">
            <control shapeId="99331" r:id="rId5" name="Button 3">
              <controlPr defaultSize="0" print="0" autoFill="0" autoPict="0" macro="[0]!DataClear">
                <anchor moveWithCells="1" sizeWithCells="1">
                  <from>
                    <xdr:col>7</xdr:col>
                    <xdr:colOff>895350</xdr:colOff>
                    <xdr:row>6</xdr:row>
                    <xdr:rowOff>257175</xdr:rowOff>
                  </from>
                  <to>
                    <xdr:col>11</xdr:col>
                    <xdr:colOff>295275</xdr:colOff>
                    <xdr:row>7</xdr:row>
                    <xdr:rowOff>371475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indexed="26"/>
    <pageSetUpPr fitToPage="1"/>
  </sheetPr>
  <dimension ref="A1:P96"/>
  <sheetViews>
    <sheetView zoomScale="70" workbookViewId="0"/>
  </sheetViews>
  <sheetFormatPr defaultColWidth="9.28515625" defaultRowHeight="15"/>
  <cols>
    <col min="1" max="1" width="9.28515625" style="1"/>
    <col min="2" max="2" width="7.28515625" style="1" customWidth="1"/>
    <col min="3" max="3" width="25.28515625" style="1" customWidth="1"/>
    <col min="4" max="4" width="12.28515625" style="1" customWidth="1"/>
    <col min="5" max="5" width="10" style="1" customWidth="1"/>
    <col min="6" max="8" width="14.28515625" style="1" customWidth="1"/>
    <col min="9" max="9" width="4.7109375" style="1" customWidth="1"/>
    <col min="10" max="10" width="30.5703125" style="1" customWidth="1"/>
    <col min="11" max="11" width="18.7109375" style="1" customWidth="1"/>
    <col min="12" max="12" width="20" style="1" customWidth="1"/>
    <col min="13" max="13" width="14" style="1" customWidth="1"/>
    <col min="14" max="14" width="12.7109375" style="1" customWidth="1"/>
    <col min="15" max="15" width="9.28515625" style="1"/>
    <col min="16" max="16" width="9.28515625" style="1" customWidth="1"/>
    <col min="17" max="16384" width="9.28515625" style="1"/>
  </cols>
  <sheetData>
    <row r="1" spans="1:14" ht="15.75" thickBot="1">
      <c r="B1" s="701" t="s">
        <v>27</v>
      </c>
      <c r="C1" s="702"/>
    </row>
    <row r="2" spans="1:14">
      <c r="F2" s="222"/>
      <c r="G2" s="222"/>
      <c r="H2" s="222"/>
      <c r="I2" s="2"/>
      <c r="J2" s="2"/>
      <c r="K2" s="2"/>
      <c r="L2" s="2"/>
    </row>
    <row r="3" spans="1:14" ht="34.5" customHeight="1">
      <c r="B3" s="266" t="s">
        <v>3</v>
      </c>
      <c r="C3" s="272"/>
      <c r="D3" s="272"/>
      <c r="E3" s="272"/>
      <c r="F3" s="272"/>
      <c r="I3" s="2"/>
    </row>
    <row r="4" spans="1:14" ht="20.25" customHeight="1">
      <c r="B4" s="270"/>
      <c r="I4" s="2"/>
      <c r="J4" s="295" t="s">
        <v>87</v>
      </c>
      <c r="K4" s="272"/>
      <c r="L4" s="272"/>
      <c r="M4" s="272"/>
      <c r="N4" s="272"/>
    </row>
    <row r="5" spans="1:14" ht="20.25" customHeight="1">
      <c r="A5" s="278" t="s">
        <v>31</v>
      </c>
      <c r="B5" s="277" t="s">
        <v>88</v>
      </c>
      <c r="C5" s="272"/>
      <c r="D5" s="272"/>
      <c r="E5" s="272"/>
      <c r="F5" s="272"/>
      <c r="I5" s="2"/>
    </row>
    <row r="6" spans="1:14" ht="20.25" customHeight="1">
      <c r="A6" s="279"/>
      <c r="B6" s="769" t="s">
        <v>89</v>
      </c>
      <c r="C6" s="769"/>
      <c r="D6" s="769"/>
      <c r="E6" s="769"/>
      <c r="F6" s="769"/>
      <c r="J6" s="296" t="s">
        <v>90</v>
      </c>
      <c r="K6" s="295"/>
      <c r="L6" s="295"/>
      <c r="M6" s="295"/>
      <c r="N6" s="295"/>
    </row>
    <row r="7" spans="1:14" ht="18.75" customHeight="1">
      <c r="A7" s="279"/>
      <c r="B7" s="769"/>
      <c r="C7" s="769"/>
      <c r="D7" s="769"/>
      <c r="E7" s="769"/>
      <c r="F7" s="769"/>
      <c r="J7" s="775"/>
      <c r="K7" s="775" t="s">
        <v>91</v>
      </c>
      <c r="L7" s="775" t="s">
        <v>92</v>
      </c>
      <c r="M7" s="775" t="s">
        <v>93</v>
      </c>
      <c r="N7" s="775" t="s">
        <v>94</v>
      </c>
    </row>
    <row r="8" spans="1:14" ht="18.75" customHeight="1" thickBot="1">
      <c r="A8" s="279"/>
      <c r="B8" s="660"/>
      <c r="C8" s="660"/>
      <c r="D8" s="660"/>
      <c r="E8" s="660"/>
      <c r="F8" s="660"/>
      <c r="J8" s="775"/>
      <c r="K8" s="775"/>
      <c r="L8" s="775"/>
      <c r="M8" s="775"/>
      <c r="N8" s="775"/>
    </row>
    <row r="9" spans="1:14" ht="18.75" customHeight="1" thickTop="1" thickBot="1">
      <c r="A9" s="279"/>
      <c r="B9" s="772" t="s">
        <v>5</v>
      </c>
      <c r="C9" s="773"/>
      <c r="D9" s="774"/>
      <c r="F9" s="4"/>
      <c r="G9" s="4"/>
      <c r="J9" s="203" t="s">
        <v>95</v>
      </c>
      <c r="K9" s="204"/>
      <c r="L9" s="205"/>
      <c r="M9" s="204"/>
      <c r="N9" s="206"/>
    </row>
    <row r="10" spans="1:14" ht="18.75" customHeight="1" thickTop="1" thickBot="1">
      <c r="A10" s="279"/>
      <c r="B10" s="772" t="s">
        <v>7</v>
      </c>
      <c r="C10" s="773"/>
      <c r="D10" s="774"/>
      <c r="F10" s="3"/>
      <c r="G10" s="3"/>
      <c r="J10" s="669" t="s">
        <v>96</v>
      </c>
      <c r="K10" s="670">
        <f t="array" aca="1" ref="K10" ca="1">SUM(OFFSET(aeo_dem_oil_tot,begin_year-'OCS Oil SIM'!$B$10,0,length_year)-OFFSET(aeo_dem_oil_row,begin_year-'OCS Oil SIM'!$B$10,0,length_year))*365</f>
        <v>135117.82722000001</v>
      </c>
      <c r="L10" s="670">
        <f t="array" aca="1" ref="L10" ca="1">SUM(OFFSET(sim_dem_oil_tot,begin_year-'OCS Oil SIM'!$B$11,0,length_year)-OFFSET(sim_dem_oil_row,begin_year-'OCS Oil SIM'!$B$11,0,length_year))*365</f>
        <v>135124.14785543201</v>
      </c>
      <c r="M10" s="671">
        <f t="shared" ref="M10:M16" ca="1" si="0">L10-K10</f>
        <v>6.3206354319991078</v>
      </c>
      <c r="N10" s="672">
        <f ca="1">IFERROR(M10/K10,0)</f>
        <v>4.6778693545062673E-5</v>
      </c>
    </row>
    <row r="11" spans="1:14" ht="18.75" customHeight="1" thickTop="1">
      <c r="A11" s="279"/>
      <c r="J11" s="669" t="s">
        <v>97</v>
      </c>
      <c r="K11" s="670">
        <f t="array" aca="1" ref="K11" ca="1">SUM(OFFSET(aeo_sup_oil_tot,begin_year-'OCS Oil SIM'!$B$10,0,length_year)-OFFSET(aeo_sup_oil_row,begin_year-'OCS Oil SIM'!$B$10,0,length_year))*365</f>
        <v>150552.41213000004</v>
      </c>
      <c r="L11" s="670">
        <f t="array" aca="1" ref="L11" ca="1">SUM(OFFSET(sim_sup_oil_tot,begin_year-'OCS Oil SIM'!$B$11,0,length_year)+OFFSET(sim_sup_oil_ocs,begin_year-'OCS Oil SIM'!$B$10,0,length_year)-OFFSET(sim_sup_oil_row,begin_year-'OCS Oil SIM'!$B$11,0,length_year))*365</f>
        <v>150621.44921995373</v>
      </c>
      <c r="M11" s="671">
        <f t="shared" ca="1" si="0"/>
        <v>69.037089953693794</v>
      </c>
      <c r="N11" s="672">
        <f t="shared" ref="N11:N16" ca="1" si="1">IFERROR(M11/K11,0)</f>
        <v>4.5855851113219741E-4</v>
      </c>
    </row>
    <row r="12" spans="1:14" ht="18.75" customHeight="1">
      <c r="A12" s="278" t="s">
        <v>34</v>
      </c>
      <c r="B12" s="277" t="s">
        <v>98</v>
      </c>
      <c r="C12" s="271"/>
      <c r="D12" s="271"/>
      <c r="E12" s="271"/>
      <c r="F12" s="272"/>
      <c r="J12" s="669" t="s">
        <v>99</v>
      </c>
      <c r="K12" s="670">
        <f ca="1">K11-K13-K14-K15</f>
        <v>136029.54210500006</v>
      </c>
      <c r="L12" s="670">
        <f ca="1">L11-L13-L14-L15</f>
        <v>136004.62723064629</v>
      </c>
      <c r="M12" s="671">
        <f t="shared" ca="1" si="0"/>
        <v>-24.914874353766209</v>
      </c>
      <c r="N12" s="672">
        <f t="shared" ca="1" si="1"/>
        <v>-1.8315781975164355E-4</v>
      </c>
    </row>
    <row r="13" spans="1:14" ht="18.75" customHeight="1">
      <c r="A13" s="279"/>
      <c r="B13" s="771" t="s">
        <v>100</v>
      </c>
      <c r="C13" s="771"/>
      <c r="D13" s="771"/>
      <c r="E13" s="771"/>
      <c r="F13" s="771"/>
      <c r="H13" s="324"/>
      <c r="J13" s="669" t="s">
        <v>101</v>
      </c>
      <c r="K13" s="670">
        <f t="array" aca="1" ref="K13" ca="1">SUM(OFFSET(aeo_sup_oil_off,begin_year-'OCS Oil SIM'!$B$10,0,length_year))*365</f>
        <v>10296.630290000001</v>
      </c>
      <c r="L13" s="670">
        <f t="array" aca="1" ref="L13" ca="1">SUM(OFFSET(sim_sup_oil_off,begin_year-'OCS Oil SIM'!$B$11,0,length_year)+OFFSET(sim_sup_oil_ocs_atn,begin_year-'OCS Oil SIM'!$B$10,0,length_year)+OFFSET(sim_sup_oil_ocs_atm,begin_year-'OCS Oil SIM'!$B$10,0,length_year)+OFFSET(sim_sup_oil_ocs_ats,begin_year-'OCS Oil SIM'!$B$10,0,length_year)+OFFSET(sim_sup_oil_ocs_atf,begin_year-'OCS Oil SIM'!$B$10,0,length_year)+OFFSET(sim_sup_oil_ocs_gme,begin_year-'OCS Oil SIM'!$B$10,0,length_year)+OFFSET(sim_sup_oil_ocs_gmc,begin_year-'OCS Oil SIM'!$B$10,0,length_year)+OFFSET(sim_sup_oil_ocs_gmw,begin_year-'OCS Oil SIM'!$B$10,0,length_year)+OFFSET(sim_sup_oil_ocs_pas,begin_year-'OCS Oil SIM'!$B$10,0,length_year)+OFFSET(sim_sup_oil_ocs_pac,begin_year-'OCS Oil SIM'!$B$10,0,length_year)+OFFSET(sim_sup_oil_ocs_pan,begin_year-'OCS Oil SIM'!$B$10,0,length_year)+OFFSET(sim_sup_oil_ocs_paw,begin_year-'OCS Oil SIM'!$B$10,0,length_year))*365</f>
        <v>10335.237409703537</v>
      </c>
      <c r="M13" s="671">
        <f t="shared" ca="1" si="0"/>
        <v>38.607119703536227</v>
      </c>
      <c r="N13" s="672">
        <f t="shared" ca="1" si="1"/>
        <v>3.7494907184373837E-3</v>
      </c>
    </row>
    <row r="14" spans="1:14" ht="18.75" customHeight="1">
      <c r="A14" s="279"/>
      <c r="B14" s="771"/>
      <c r="C14" s="771"/>
      <c r="D14" s="771"/>
      <c r="E14" s="771"/>
      <c r="F14" s="771"/>
      <c r="J14" s="276" t="s">
        <v>102</v>
      </c>
      <c r="K14" s="318">
        <f t="array" aca="1" ref="K14" ca="1">SUM(OFFSET(aeo_sup_oil_ala_on,begin_year-'OCS Oil SIM'!$B$10,0,length_year))*365</f>
        <v>3416.6200950000002</v>
      </c>
      <c r="L14" s="318">
        <f t="array" aca="1" ref="L14" ca="1">SUM(OFFSET(sim_sup_oil_ala_on,begin_year-'OCS Oil SIM'!$B$11,0,length_year))*365</f>
        <v>3416.1559240474562</v>
      </c>
      <c r="M14" s="671">
        <f t="shared" ca="1" si="0"/>
        <v>-0.4641709525440092</v>
      </c>
      <c r="N14" s="672">
        <f t="shared" ca="1" si="1"/>
        <v>-1.3585676476682117E-4</v>
      </c>
    </row>
    <row r="15" spans="1:14" ht="18.75" customHeight="1">
      <c r="A15" s="279"/>
      <c r="B15" s="267" t="s">
        <v>103</v>
      </c>
      <c r="C15" s="267"/>
      <c r="E15" s="269"/>
      <c r="F15" s="273" t="s">
        <v>104</v>
      </c>
      <c r="J15" s="276" t="s">
        <v>105</v>
      </c>
      <c r="K15" s="318">
        <f t="array" aca="1" ref="K15" ca="1">SUM(OFFSET(aeo_sup_oil_ala_off,begin_year-'OCS Oil SIM'!$B$10,0,length_year))*365</f>
        <v>809.61964</v>
      </c>
      <c r="L15" s="318">
        <f t="array" aca="1" ref="L15" ca="1">365*(SUM(OFFSET(sim_sup_oil_ala_off,begin_year-'OCS Oil SIM'!$B$11,0,length_year)+OFFSET(sim_sup_oil_ocs,begin_year-'OCS Oil SIM'!$B$10,0,length_year))-SUM(OFFSET(sim_sup_oil_ocs_atn,begin_year-'OCS Oil SIM'!$B$10,0,length_year)+OFFSET(sim_sup_oil_ocs_atm,begin_year-'OCS Oil SIM'!$B$10,0,length_year)+OFFSET(sim_sup_oil_ocs_ats,begin_year-'OCS Oil SIM'!$B$10,0,length_year)+OFFSET(sim_sup_oil_ocs_atf,begin_year-'OCS Oil SIM'!$B$10,0,length_year)+OFFSET(sim_sup_oil_ocs_gme,begin_year-'OCS Oil SIM'!$B$10,0,length_year)+OFFSET(sim_sup_oil_ocs_gmc,begin_year-'OCS Oil SIM'!$B$10,0,length_year)+OFFSET(sim_sup_oil_ocs_gmw,begin_year-'OCS Oil SIM'!$B$10,0,length_year)+OFFSET(sim_sup_oil_ocs_pas,begin_year-'OCS Oil SIM'!$B$10,0,length_year)+OFFSET(sim_sup_oil_ocs_pac,begin_year-'OCS Oil SIM'!$B$10,0,length_year)+OFFSET(sim_sup_oil_ocs_pan,begin_year-'OCS Oil SIM'!$B$10,0,length_year)+OFFSET(sim_sup_oil_ocs_paw,begin_year-'OCS Oil SIM'!$B$10,0,length_year)))</f>
        <v>865.42865555643129</v>
      </c>
      <c r="M15" s="671">
        <f t="shared" ca="1" si="0"/>
        <v>55.809015556431291</v>
      </c>
      <c r="N15" s="672">
        <f t="shared" ca="1" si="1"/>
        <v>6.8932388493479838E-2</v>
      </c>
    </row>
    <row r="16" spans="1:14" ht="18.75" customHeight="1" thickBot="1">
      <c r="A16" s="279"/>
      <c r="B16" s="267" t="s">
        <v>106</v>
      </c>
      <c r="C16" s="267"/>
      <c r="F16" s="269">
        <v>2026</v>
      </c>
      <c r="J16" s="26" t="s">
        <v>107</v>
      </c>
      <c r="K16" s="286">
        <f ca="1">K10-K11</f>
        <v>-15434.584910000034</v>
      </c>
      <c r="L16" s="286">
        <f ca="1">L10-L11</f>
        <v>-15497.301364521729</v>
      </c>
      <c r="M16" s="287">
        <f t="shared" ca="1" si="0"/>
        <v>-62.716454521694686</v>
      </c>
      <c r="N16" s="517">
        <f t="shared" ca="1" si="1"/>
        <v>4.0633716350260141E-3</v>
      </c>
    </row>
    <row r="17" spans="1:16" ht="18.75" customHeight="1">
      <c r="A17" s="279"/>
      <c r="B17" s="267" t="s">
        <v>108</v>
      </c>
      <c r="C17" s="267"/>
      <c r="F17" s="269">
        <f t="array" aca="1" ref="F17" ca="1">OFFSET(year_oil,MATCH(2,INDEX(1/(sim_sup_oil_ocs+sim_sup_gas_ocs&gt;0),0))-1,0)</f>
        <v>2044</v>
      </c>
      <c r="J17" s="203" t="s">
        <v>109</v>
      </c>
      <c r="K17" s="289"/>
      <c r="L17" s="290"/>
      <c r="M17" s="289"/>
      <c r="N17" s="291"/>
    </row>
    <row r="18" spans="1:16" ht="18.75" customHeight="1">
      <c r="A18" s="279"/>
      <c r="B18" s="267" t="s">
        <v>110</v>
      </c>
      <c r="C18" s="267"/>
      <c r="F18" s="269">
        <f ca="1">end_year-begin_year+1</f>
        <v>19</v>
      </c>
      <c r="J18" s="669" t="s">
        <v>96</v>
      </c>
      <c r="K18" s="670">
        <f t="array" aca="1" ref="K18" ca="1">SUM(OFFSET(aeo_dem_gas_tot,begin_year-'OCS Oil SIM'!$B$10,0,length_year)-OFFSET(aeo_dem_gas_exp,begin_year-'OCS Oil SIM'!$B$10,0,length_year))</f>
        <v>537.92636400000015</v>
      </c>
      <c r="L18" s="670">
        <f t="array" aca="1" ref="L18" ca="1">SUM(OFFSET(sim_dem_gas_tot,begin_year-'OCS Oil SIM'!$B$11,0,length_year)-OFFSET(sim_dem_gas_exp,begin_year-'OCS Oil SIM'!$B$11,0,length_year))</f>
        <v>537.92836118477908</v>
      </c>
      <c r="M18" s="671">
        <f t="shared" ref="M18:M24" ca="1" si="2">L18-K18</f>
        <v>1.9971847789292951E-3</v>
      </c>
      <c r="N18" s="672">
        <f ca="1">IFERROR(M18/K18,0)</f>
        <v>3.7127475293798663E-6</v>
      </c>
    </row>
    <row r="19" spans="1:16" ht="18.75" customHeight="1">
      <c r="A19" s="279"/>
      <c r="B19" s="267" t="s">
        <v>111</v>
      </c>
      <c r="F19" s="269">
        <v>2025</v>
      </c>
      <c r="J19" s="669" t="s">
        <v>97</v>
      </c>
      <c r="K19" s="670">
        <f t="array" aca="1" ref="K19" ca="1">SUM(OFFSET(aeo_sup_gas_tot,begin_year-'OCS Oil SIM'!$B$10,0,length_year)-OFFSET(aeo_sup_gas_pip,begin_year-'OCS Oil SIM'!$B$10,0,length_year)-OFFSET(aeo_sup_gas_lng,begin_year-'OCS Oil SIM'!$B$10,0,length_year))</f>
        <v>735.6852889999999</v>
      </c>
      <c r="L19" s="670">
        <f t="array" aca="1" ref="L19" ca="1">SUM(OFFSET(sim_sup_gas_tot,begin_year-'OCS Oil SIM'!$B$11,0,length_year)+OFFSET(sim_sup_gas_ocs,begin_year-'OCS Oil SIM'!$B$10,0,length_year)-OFFSET(sim_sup_gas_lng,begin_year-'OCS Oil SIM'!$B$11,0,length_year)-OFFSET(sim_sup_gas_pip,begin_year-'OCS Oil SIM'!$B$11,0,length_year))</f>
        <v>735.70769052948583</v>
      </c>
      <c r="M19" s="671">
        <f t="shared" ca="1" si="2"/>
        <v>2.240152948593277E-2</v>
      </c>
      <c r="N19" s="672">
        <f t="shared" ref="N19:N24" ca="1" si="3">IFERROR(M19/K19,0)</f>
        <v>3.0449880976120446E-5</v>
      </c>
    </row>
    <row r="20" spans="1:16" ht="18.75" customHeight="1">
      <c r="A20" s="279"/>
      <c r="B20" s="267" t="s">
        <v>112</v>
      </c>
      <c r="C20" s="267"/>
      <c r="F20" s="274">
        <v>0.03</v>
      </c>
      <c r="J20" s="669" t="s">
        <v>113</v>
      </c>
      <c r="K20" s="670">
        <f ca="1">K19-K21-K22-K23</f>
        <v>715.51627499999984</v>
      </c>
      <c r="L20" s="670">
        <f ca="1">L19-L21-L22-L23</f>
        <v>715.79923990101111</v>
      </c>
      <c r="M20" s="671">
        <f t="shared" ca="1" si="2"/>
        <v>0.28296490101126892</v>
      </c>
      <c r="N20" s="672">
        <f t="shared" ca="1" si="3"/>
        <v>3.9546955240294009E-4</v>
      </c>
      <c r="P20" s="323">
        <f>10^12/(F24*10^6)</f>
        <v>177.93594306049823</v>
      </c>
    </row>
    <row r="21" spans="1:16" ht="18.75" customHeight="1">
      <c r="A21" s="279"/>
      <c r="B21" s="267" t="s">
        <v>114</v>
      </c>
      <c r="F21" s="269">
        <v>2019</v>
      </c>
      <c r="J21" s="669" t="s">
        <v>101</v>
      </c>
      <c r="K21" s="670">
        <f t="array" aca="1" ref="K21" ca="1">SUM(OFFSET(aeo_sup_gas_off,begin_year-'OCS Oil SIM'!$B$10,0,length_year))</f>
        <v>13.265217999999999</v>
      </c>
      <c r="L21" s="670">
        <f t="array" aca="1" ref="L21" ca="1">SUM(OFFSET(sim_sup_gas_off,begin_year-'OCS Oil SIM'!$B$11,0,length_year)+OFFSET(sim_sup_gas_ocs_atn,begin_year-'OCS Oil SIM'!$B$10,0,length_year)+OFFSET(sim_sup_gas_ocs_atm,begin_year-'OCS Oil SIM'!$B$10,0,length_year)+OFFSET(sim_sup_gas_ocs_ats,begin_year-'OCS Oil SIM'!$B$10,0,length_year)+OFFSET(sim_sup_gas_ocs_atf,begin_year-'OCS Oil SIM'!$B$10,0,length_year)+OFFSET(sim_sup_gas_ocs_gme,begin_year-'OCS Oil SIM'!$B$10,0,length_year)+OFFSET(sim_sup_gas_ocs_gmc,begin_year-'OCS Oil SIM'!$B$10,0,length_year)+OFFSET(sim_sup_gas_ocs_gmw,begin_year-'OCS Oil SIM'!$B$10,0,length_year)+OFFSET(sim_sup_gas_ocs_pas,begin_year-'OCS Oil SIM'!$B$10,0,length_year)+OFFSET(sim_sup_gas_ocs_pac,begin_year-'OCS Oil SIM'!$B$10,0,length_year)+OFFSET(sim_sup_gas_ocs_pan,begin_year-'OCS Oil SIM'!$B$10,0,length_year)+OFFSET(sim_sup_gas_ocs_paw,begin_year-'OCS Oil SIM'!$B$10,0,length_year))</f>
        <v>13.291026657723233</v>
      </c>
      <c r="M21" s="671">
        <f t="shared" ca="1" si="2"/>
        <v>2.5808657723233708E-2</v>
      </c>
      <c r="N21" s="672">
        <f t="shared" ca="1" si="3"/>
        <v>1.9455886607542905E-3</v>
      </c>
    </row>
    <row r="22" spans="1:16" ht="18.75" customHeight="1">
      <c r="A22" s="279"/>
      <c r="B22" s="267" t="s">
        <v>115</v>
      </c>
      <c r="F22" s="273" t="s">
        <v>116</v>
      </c>
      <c r="J22" s="276" t="s">
        <v>102</v>
      </c>
      <c r="K22" s="523">
        <f t="array" aca="1" ref="K22" ca="1">SUM(OFFSET(aeo_sup_gas_ala_on,begin_year-'OCS Oil SIM'!$B$10,0,length_year))</f>
        <v>6.9037960000000016</v>
      </c>
      <c r="L22" s="523">
        <f t="array" aca="1" ref="L22" ca="1">SUM(OFFSET(sim_sup_gas_ala_on,begin_year-'OCS Oil SIM'!$B$10,0,length_year))</f>
        <v>6.5614239707514477</v>
      </c>
      <c r="M22" s="671">
        <f t="shared" ca="1" si="2"/>
        <v>-0.34237202924855392</v>
      </c>
      <c r="N22" s="672">
        <f t="shared" ca="1" si="3"/>
        <v>-4.9591851967896193E-2</v>
      </c>
    </row>
    <row r="23" spans="1:16" ht="18.75" customHeight="1">
      <c r="A23" s="279"/>
      <c r="B23" s="267" t="s">
        <v>117</v>
      </c>
      <c r="F23" s="269">
        <v>2026</v>
      </c>
      <c r="J23" s="276" t="s">
        <v>105</v>
      </c>
      <c r="K23" s="318">
        <f t="array" aca="1" ref="K23" ca="1">SUM(OFFSET(aeo_sup_gas_ala_off,begin_year-'OCS Oil SIM'!$B$10,0,length_year))</f>
        <v>0</v>
      </c>
      <c r="L23" s="318">
        <f t="array" aca="1" ref="L23" ca="1">SUM(OFFSET(sim_sup_gas_ala_off,begin_year-'OCS Oil SIM'!$B$10,0,length_year)+OFFSET(sim_sup_gas_ocs,begin_year-'OCS Oil SIM'!$B$10,0,length_year))-SUM(OFFSET(sim_sup_gas_ocs_atn,begin_year-'OCS Oil SIM'!$B$10,0,length_year)+OFFSET(sim_sup_gas_ocs_atm,begin_year-'OCS Oil SIM'!$B$10,0,length_year)+OFFSET(sim_sup_gas_ocs_ats,begin_year-'OCS Oil SIM'!$B$10,0,length_year)+OFFSET(sim_sup_gas_ocs_atf,begin_year-'OCS Oil SIM'!$B$10,0,length_year)+OFFSET(sim_sup_gas_ocs_gme,begin_year-'OCS Oil SIM'!$B$10,0,length_year)+OFFSET(sim_sup_gas_ocs_gmc,begin_year-'OCS Oil SIM'!$B$10,0,length_year)+OFFSET(sim_sup_gas_ocs_gmw,begin_year-'OCS Oil SIM'!$B$10,0,length_year)+OFFSET(sim_sup_gas_ocs_pas,begin_year-'OCS Oil SIM'!$B$10,0,length_year)+OFFSET(sim_sup_gas_ocs_pac,begin_year-'OCS Oil SIM'!$B$10,0,length_year)+OFFSET(sim_sup_gas_ocs_pan,begin_year-'OCS Oil SIM'!$B$10,0,length_year)+OFFSET(sim_sup_gas_ocs_paw,begin_year-'OCS Oil SIM'!$B$10,0,length_year))</f>
        <v>5.5999999999999994E-2</v>
      </c>
      <c r="M23" s="671">
        <f t="shared" ca="1" si="2"/>
        <v>5.5999999999999994E-2</v>
      </c>
      <c r="N23" s="672">
        <f t="shared" ca="1" si="3"/>
        <v>0</v>
      </c>
    </row>
    <row r="24" spans="1:16" ht="18.75" customHeight="1" thickBot="1">
      <c r="A24" s="279"/>
      <c r="B24" s="267" t="s">
        <v>118</v>
      </c>
      <c r="C24" s="267"/>
      <c r="F24" s="322">
        <v>5620</v>
      </c>
      <c r="J24" s="26" t="s">
        <v>107</v>
      </c>
      <c r="K24" s="286">
        <f ca="1">K18-K19</f>
        <v>-197.75892499999975</v>
      </c>
      <c r="L24" s="286">
        <f ca="1">L18-L19</f>
        <v>-197.77932934470675</v>
      </c>
      <c r="M24" s="287">
        <f t="shared" ca="1" si="2"/>
        <v>-2.0404344707003474E-2</v>
      </c>
      <c r="N24" s="517">
        <f t="shared" ca="1" si="3"/>
        <v>1.0317787026301594E-4</v>
      </c>
    </row>
    <row r="25" spans="1:16" ht="18.75" customHeight="1">
      <c r="J25" s="203" t="s">
        <v>119</v>
      </c>
      <c r="K25" s="289"/>
      <c r="L25" s="290"/>
      <c r="M25" s="289"/>
      <c r="N25" s="291"/>
    </row>
    <row r="26" spans="1:16" ht="18.75" customHeight="1">
      <c r="A26" s="278" t="s">
        <v>39</v>
      </c>
      <c r="B26" s="277" t="s">
        <v>120</v>
      </c>
      <c r="C26" s="271"/>
      <c r="D26" s="271"/>
      <c r="E26" s="271"/>
      <c r="F26" s="272"/>
      <c r="J26" s="669" t="s">
        <v>96</v>
      </c>
      <c r="K26" s="670">
        <f t="array" aca="1" ref="K26" ca="1">SUM(OFFSET(aeo_dem_coa_tot,begin_year-'OCS Oil SIM'!$B$10,0,length_year)-OFFSET(aeo_dem_coa_exp,begin_year-'OCS Oil SIM'!$B$10,0,length_year))</f>
        <v>4249.612768</v>
      </c>
      <c r="L26" s="670">
        <f t="array" aca="1" ref="L26" ca="1">SUM(OFFSET(sim_dem_coa_tot,begin_year-'OCS Oil SIM'!$B$11,0,length_year)-OFFSET(sim_dem_coa_exp,begin_year-'OCS Oil SIM'!$B$11,0,length_year))</f>
        <v>4249.570406245205</v>
      </c>
      <c r="M26" s="671">
        <f ca="1">L26-K26</f>
        <v>-4.2361754794910667E-2</v>
      </c>
      <c r="N26" s="672">
        <f ca="1">M26/K26</f>
        <v>-9.9683799695583622E-6</v>
      </c>
    </row>
    <row r="27" spans="1:16" ht="18.75" customHeight="1">
      <c r="A27" s="279"/>
      <c r="B27" s="769" t="s">
        <v>121</v>
      </c>
      <c r="C27" s="769"/>
      <c r="D27" s="769"/>
      <c r="E27" s="769"/>
      <c r="F27" s="769"/>
      <c r="J27" s="669" t="s">
        <v>97</v>
      </c>
      <c r="K27" s="670">
        <f t="array" aca="1" ref="K27" ca="1">SUM(OFFSET(aeo_sup_coa_dom,begin_year-'OCS Oil SIM'!$B$10,0,length_year))</f>
        <v>6383.5948150000022</v>
      </c>
      <c r="L27" s="670">
        <f t="array" aca="1" ref="L27" ca="1">SUM(OFFSET(sim_sup_coa_dom,begin_year-'OCS Oil SIM'!$B$11,0,length_year))</f>
        <v>6383.5543976516601</v>
      </c>
      <c r="M27" s="671">
        <f ca="1">L27-K27</f>
        <v>-4.0417348342089099E-2</v>
      </c>
      <c r="N27" s="672">
        <f ca="1">M27/K27</f>
        <v>-6.3314401232229654E-6</v>
      </c>
    </row>
    <row r="28" spans="1:16" ht="21.75" customHeight="1" thickBot="1">
      <c r="A28" s="279"/>
      <c r="B28" s="769"/>
      <c r="C28" s="769"/>
      <c r="D28" s="769"/>
      <c r="E28" s="769"/>
      <c r="F28" s="769"/>
      <c r="J28" s="26" t="s">
        <v>122</v>
      </c>
      <c r="K28" s="286">
        <f ca="1">K27-K26</f>
        <v>2133.9820470000022</v>
      </c>
      <c r="L28" s="286">
        <f ca="1">L27-L26</f>
        <v>2133.9839914064551</v>
      </c>
      <c r="M28" s="286">
        <f ca="1">L28-K28</f>
        <v>1.9444064528215677E-3</v>
      </c>
      <c r="N28" s="288">
        <f ca="1">M28/K28</f>
        <v>9.1116345404829247E-7</v>
      </c>
    </row>
    <row r="29" spans="1:16" ht="21.75" customHeight="1">
      <c r="A29" s="279"/>
      <c r="B29" s="660"/>
      <c r="C29" s="660"/>
      <c r="D29" s="660"/>
      <c r="E29" s="660"/>
      <c r="F29" s="660"/>
      <c r="J29" s="203" t="s">
        <v>123</v>
      </c>
      <c r="K29" s="289"/>
      <c r="L29" s="290"/>
      <c r="M29" s="289"/>
      <c r="N29" s="291"/>
    </row>
    <row r="30" spans="1:16" ht="21" customHeight="1">
      <c r="A30" s="279"/>
      <c r="B30" s="275" t="s">
        <v>124</v>
      </c>
      <c r="F30" s="268" t="str">
        <f ca="1">ele_equil</f>
        <v>In equilibrium</v>
      </c>
      <c r="J30" s="669" t="s">
        <v>96</v>
      </c>
      <c r="K30" s="670">
        <f t="array" aca="1" ref="K30" ca="1">SUM(OFFSET(aeo_dem_ele_tot,begin_year-'OCS Oil SIM'!$B$10,0,length_year))</f>
        <v>80966.070770999984</v>
      </c>
      <c r="L30" s="670">
        <f t="array" aca="1" ref="L30" ca="1">SUM(OFFSET(sim_dem_ele_tot,begin_year-'OCS Oil SIM'!$B$11,0,length_year))</f>
        <v>80964.449388845605</v>
      </c>
      <c r="M30" s="671">
        <f ca="1">L30-K30</f>
        <v>-1.6213821543788072</v>
      </c>
      <c r="N30" s="672">
        <f ca="1">M30/K30</f>
        <v>-2.002545188298239E-5</v>
      </c>
    </row>
    <row r="31" spans="1:16" ht="21">
      <c r="A31" s="279"/>
      <c r="J31" s="669" t="s">
        <v>97</v>
      </c>
      <c r="K31" s="670">
        <f t="array" aca="1" ref="K31" ca="1">SUM(OFFSET(aeo_sup_ele_tot,begin_year-'OCS Oil SIM'!$B$10,0,length_year)-OFFSET(aeo_sup_ele_imp,begin_year-'OCS Oil SIM'!$B$10,0,length_year))</f>
        <v>80138.681226999979</v>
      </c>
      <c r="L31" s="670">
        <f t="array" aca="1" ref="L31" ca="1">SUM(OFFSET(sim_sup_ele_tot,begin_year-'OCS Oil SIM'!$B$11,0,length_year)-OFFSET(sim_sup_ele_imp,begin_year-'OCS Oil SIM'!$B$11,0,length_year))</f>
        <v>80137.065826719743</v>
      </c>
      <c r="M31" s="671">
        <f ca="1">L31-K31</f>
        <v>-1.6154002802359173</v>
      </c>
      <c r="N31" s="672">
        <f ca="1">M31/K31</f>
        <v>-2.015756006341247E-5</v>
      </c>
    </row>
    <row r="32" spans="1:16" ht="18" customHeight="1">
      <c r="A32" s="279"/>
      <c r="B32" s="776" t="s">
        <v>125</v>
      </c>
      <c r="C32" s="777"/>
      <c r="D32" s="777"/>
      <c r="E32" s="777"/>
      <c r="F32" s="778"/>
      <c r="J32" s="202" t="s">
        <v>107</v>
      </c>
      <c r="K32" s="292">
        <f ca="1">K30-K31</f>
        <v>827.38954400000512</v>
      </c>
      <c r="L32" s="292">
        <f ca="1">L30-L31</f>
        <v>827.38356212586223</v>
      </c>
      <c r="M32" s="293">
        <f ca="1">L32-K32</f>
        <v>-5.9818741428898647E-3</v>
      </c>
      <c r="N32" s="294">
        <f ca="1">M32/K32</f>
        <v>-7.2298159751579215E-6</v>
      </c>
    </row>
    <row r="33" spans="1:14" ht="18" customHeight="1">
      <c r="J33" s="245" t="s">
        <v>126</v>
      </c>
    </row>
    <row r="34" spans="1:14" ht="18" customHeight="1">
      <c r="A34" s="278" t="s">
        <v>43</v>
      </c>
      <c r="B34" s="277" t="s">
        <v>127</v>
      </c>
      <c r="C34" s="327"/>
      <c r="D34" s="327"/>
      <c r="E34" s="327"/>
      <c r="F34" s="178"/>
    </row>
    <row r="35" spans="1:14" ht="18" customHeight="1">
      <c r="A35" s="280"/>
      <c r="B35" s="769" t="s">
        <v>128</v>
      </c>
      <c r="C35" s="769"/>
      <c r="D35" s="769"/>
      <c r="E35" s="769"/>
      <c r="F35" s="769"/>
      <c r="J35" s="296" t="str">
        <f>IF('Detailed Results'!$H$46=2,"PRESENT VALUE CHANGE IN CONSUMER SURPLUS","NOMINAL CHANGE IN CONSUMER SURPLUS")</f>
        <v>PRESENT VALUE CHANGE IN CONSUMER SURPLUS</v>
      </c>
      <c r="K35" s="295"/>
      <c r="L35" s="295"/>
      <c r="M35" s="295"/>
      <c r="N35" s="326"/>
    </row>
    <row r="36" spans="1:14" ht="18" customHeight="1">
      <c r="B36" s="769"/>
      <c r="C36" s="769"/>
      <c r="D36" s="769"/>
      <c r="E36" s="769"/>
      <c r="F36" s="769"/>
      <c r="J36" s="690" t="s">
        <v>129</v>
      </c>
      <c r="K36" s="782" t="s">
        <v>130</v>
      </c>
      <c r="L36" s="690" t="s">
        <v>131</v>
      </c>
      <c r="M36" s="690" t="s">
        <v>132</v>
      </c>
      <c r="N36" s="325"/>
    </row>
    <row r="37" spans="1:14" ht="18" customHeight="1">
      <c r="J37" s="692"/>
      <c r="K37" s="782"/>
      <c r="L37" s="692"/>
      <c r="M37" s="692"/>
    </row>
    <row r="38" spans="1:14" ht="18" customHeight="1">
      <c r="J38" s="321" t="s">
        <v>133</v>
      </c>
      <c r="K38" s="298">
        <f t="array" ref="K38:K42" ca="1">TRANSPOSE('Detailed Results'!$D$39:$H$39)</f>
        <v>216.13041440400696</v>
      </c>
      <c r="L38" s="779">
        <f t="array" aca="1" ref="L38" ca="1">SUM(OFFSET(sim_sup_oil_ocs,begin_year-'OCS Oil SIM'!$B$10,0,length_year))*365+SUM(OFFSET(sim_sup_gas_ocs,begin_year-'OCS Oil SIM'!$B$10,0,length_year))*gas_boe</f>
        <v>109.59074733096087</v>
      </c>
      <c r="M38" s="298">
        <f ca="1">K38/$L$38</f>
        <v>1.9721593261089769</v>
      </c>
    </row>
    <row r="39" spans="1:14" ht="18" customHeight="1">
      <c r="J39" s="673" t="s">
        <v>134</v>
      </c>
      <c r="K39" s="674">
        <f ca="1"/>
        <v>13.10393429645703</v>
      </c>
      <c r="L39" s="780"/>
      <c r="M39" s="674">
        <f ca="1">K39/$L$38</f>
        <v>0.11957153879864994</v>
      </c>
    </row>
    <row r="40" spans="1:14" ht="18" customHeight="1">
      <c r="J40" s="673" t="s">
        <v>135</v>
      </c>
      <c r="K40" s="674">
        <f ca="1"/>
        <v>5.5325191944656922</v>
      </c>
      <c r="L40" s="780"/>
      <c r="M40" s="674">
        <f ca="1">K40/$L$38</f>
        <v>5.0483451652698796E-2</v>
      </c>
    </row>
    <row r="41" spans="1:14" ht="18" customHeight="1">
      <c r="J41" s="320" t="s">
        <v>136</v>
      </c>
      <c r="K41" s="299">
        <f ca="1"/>
        <v>6.8938048182432953E-4</v>
      </c>
      <c r="L41" s="781"/>
      <c r="M41" s="299">
        <f ca="1">K41/$L$38</f>
        <v>6.2904989573838801E-6</v>
      </c>
    </row>
    <row r="42" spans="1:14" ht="18" customHeight="1" thickBot="1">
      <c r="B42" s="275" t="s">
        <v>137</v>
      </c>
      <c r="D42" s="178"/>
      <c r="E42" s="178"/>
      <c r="F42" s="268" t="str">
        <f ca="1">IF(IF(ISERROR(SUM(OFFSET(scenario_equilibrium,begin_year-'OCS Oil SIM'!$B$10,0,length_year-1))),1,SUM(OFFSET(scenario_equilibrium,begin_year-'OCS Oil SIM'!$B$10,0,length_year-1)))&gt;0.00001,"IMBALANCED!","In equilibrium")</f>
        <v>In equilibrium</v>
      </c>
      <c r="J42" s="319" t="s">
        <v>138</v>
      </c>
      <c r="K42" s="300">
        <f ca="1"/>
        <v>234.76755727541149</v>
      </c>
      <c r="L42" s="297">
        <f t="array" aca="1" ref="L42" ca="1">SUM(OFFSET(sim_sup_oil_ocs,begin_year-'OCS Oil SIM'!$B$10,0,length_year))*365+SUM(OFFSET(sim_sup_gas_ocs,begin_year-'OCS Oil SIM'!$B$10,0,length_year))*gas_boe</f>
        <v>109.59074733096087</v>
      </c>
      <c r="M42" s="300">
        <f ca="1">K42/L42</f>
        <v>2.1422206070592829</v>
      </c>
    </row>
    <row r="43" spans="1:14" ht="18" customHeight="1"/>
    <row r="44" spans="1:14" ht="18" customHeight="1"/>
    <row r="45" spans="1:14" ht="18" customHeight="1" thickBot="1"/>
    <row r="46" spans="1:14" ht="18" customHeight="1" thickTop="1" thickBot="1">
      <c r="B46" s="772" t="s">
        <v>139</v>
      </c>
      <c r="C46" s="773"/>
      <c r="D46" s="773"/>
      <c r="E46" s="773"/>
      <c r="F46" s="774"/>
    </row>
    <row r="47" spans="1:14" ht="15.75" thickTop="1"/>
    <row r="48" spans="1:14">
      <c r="C48" s="2"/>
      <c r="D48" s="7"/>
      <c r="E48" s="2"/>
      <c r="F48" s="2"/>
    </row>
    <row r="49" spans="3:8" ht="20.25" customHeight="1"/>
    <row r="52" spans="3:8">
      <c r="H52" s="663"/>
    </row>
    <row r="53" spans="3:8">
      <c r="H53" s="663"/>
    </row>
    <row r="54" spans="3:8">
      <c r="H54" s="663"/>
    </row>
    <row r="55" spans="3:8">
      <c r="H55" s="663"/>
    </row>
    <row r="56" spans="3:8">
      <c r="C56" s="6"/>
      <c r="D56" s="7"/>
      <c r="E56" s="7"/>
      <c r="F56" s="9"/>
      <c r="G56" s="9"/>
      <c r="H56" s="663"/>
    </row>
    <row r="57" spans="3:8">
      <c r="C57" s="6"/>
      <c r="D57" s="7"/>
      <c r="E57" s="7"/>
      <c r="F57" s="9"/>
      <c r="G57" s="9"/>
      <c r="H57" s="2"/>
    </row>
    <row r="58" spans="3:8">
      <c r="C58" s="6"/>
      <c r="D58" s="7"/>
      <c r="E58" s="7"/>
      <c r="F58" s="9"/>
      <c r="G58" s="9"/>
      <c r="H58" s="9"/>
    </row>
    <row r="59" spans="3:8">
      <c r="C59" s="6"/>
      <c r="D59" s="7"/>
      <c r="E59" s="7"/>
      <c r="F59" s="9"/>
      <c r="G59" s="9"/>
      <c r="H59" s="9"/>
    </row>
    <row r="60" spans="3:8">
      <c r="C60" s="6"/>
      <c r="D60" s="7"/>
      <c r="E60" s="7"/>
      <c r="F60" s="9"/>
      <c r="G60" s="9"/>
      <c r="H60" s="9"/>
    </row>
    <row r="61" spans="3:8">
      <c r="C61" s="6"/>
      <c r="D61" s="7"/>
      <c r="E61" s="7"/>
      <c r="F61" s="9"/>
      <c r="G61" s="9"/>
      <c r="H61" s="9"/>
    </row>
    <row r="62" spans="3:8">
      <c r="C62" s="6"/>
      <c r="D62" s="2"/>
      <c r="E62" s="7"/>
      <c r="F62" s="9"/>
      <c r="G62" s="9"/>
      <c r="H62" s="9"/>
    </row>
    <row r="63" spans="3:8">
      <c r="C63" s="2"/>
      <c r="D63" s="9"/>
      <c r="E63" s="7"/>
      <c r="F63" s="7"/>
      <c r="G63" s="9"/>
      <c r="H63" s="9"/>
    </row>
    <row r="64" spans="3:8">
      <c r="C64" s="2"/>
      <c r="D64" s="2"/>
      <c r="E64" s="2"/>
      <c r="F64" s="2"/>
      <c r="G64" s="9"/>
      <c r="H64" s="9"/>
    </row>
    <row r="65" spans="2:8">
      <c r="C65" s="663"/>
      <c r="D65" s="8"/>
      <c r="E65" s="9"/>
      <c r="F65" s="9"/>
      <c r="G65" s="9"/>
      <c r="H65" s="9"/>
    </row>
    <row r="66" spans="2:8">
      <c r="C66" s="2"/>
      <c r="D66" s="8"/>
      <c r="E66" s="2"/>
      <c r="F66" s="2"/>
      <c r="G66" s="9"/>
      <c r="H66" s="9"/>
    </row>
    <row r="67" spans="2:8">
      <c r="C67" s="663"/>
      <c r="D67" s="8"/>
      <c r="E67" s="8"/>
      <c r="F67" s="8"/>
      <c r="G67" s="9"/>
      <c r="H67" s="9"/>
    </row>
    <row r="68" spans="2:8">
      <c r="C68" s="663"/>
      <c r="D68" s="2"/>
      <c r="E68" s="8"/>
      <c r="F68" s="8"/>
      <c r="G68" s="9"/>
      <c r="H68" s="9"/>
    </row>
    <row r="69" spans="2:8">
      <c r="C69" s="663"/>
      <c r="D69" s="2"/>
      <c r="E69" s="8"/>
      <c r="F69" s="8"/>
      <c r="G69" s="7"/>
      <c r="H69" s="9"/>
    </row>
    <row r="70" spans="2:8">
      <c r="B70" s="56"/>
      <c r="C70" s="2"/>
      <c r="D70" s="56"/>
      <c r="E70" s="2"/>
      <c r="F70" s="2"/>
      <c r="G70" s="2"/>
      <c r="H70" s="9"/>
    </row>
    <row r="71" spans="2:8">
      <c r="B71" s="56"/>
      <c r="C71" s="2"/>
      <c r="D71" s="56"/>
      <c r="E71" s="2"/>
      <c r="F71" s="2"/>
      <c r="G71" s="9"/>
      <c r="H71" s="9"/>
    </row>
    <row r="72" spans="2:8">
      <c r="B72" s="56"/>
      <c r="C72" s="56"/>
      <c r="D72" s="56"/>
      <c r="E72" s="56"/>
      <c r="F72" s="56"/>
      <c r="G72" s="2"/>
      <c r="H72" s="7"/>
    </row>
    <row r="73" spans="2:8">
      <c r="B73" s="56"/>
      <c r="C73" s="56"/>
      <c r="D73" s="56"/>
      <c r="E73" s="56"/>
      <c r="F73" s="56"/>
      <c r="G73" s="8"/>
      <c r="H73" s="2"/>
    </row>
    <row r="74" spans="2:8">
      <c r="B74" s="56"/>
      <c r="C74" s="56"/>
      <c r="D74" s="56"/>
      <c r="E74" s="56"/>
      <c r="F74" s="56"/>
      <c r="G74" s="8"/>
      <c r="H74" s="9"/>
    </row>
    <row r="75" spans="2:8">
      <c r="B75" s="56"/>
      <c r="C75" s="56"/>
      <c r="D75" s="56"/>
      <c r="E75" s="56"/>
      <c r="F75" s="56"/>
      <c r="G75" s="8"/>
      <c r="H75" s="2"/>
    </row>
    <row r="76" spans="2:8">
      <c r="B76" s="56"/>
      <c r="C76" s="323"/>
      <c r="D76" s="323"/>
      <c r="E76" s="323"/>
      <c r="F76" s="323"/>
      <c r="G76" s="350"/>
      <c r="H76" s="8"/>
    </row>
    <row r="77" spans="2:8">
      <c r="B77" s="56"/>
      <c r="C77" s="323"/>
      <c r="D77" s="323"/>
      <c r="E77" s="323"/>
      <c r="F77" s="323"/>
      <c r="G77" s="350"/>
      <c r="H77" s="8"/>
    </row>
    <row r="78" spans="2:8">
      <c r="B78" s="56"/>
      <c r="C78" s="323"/>
      <c r="D78" s="323"/>
      <c r="E78" s="323"/>
      <c r="F78" s="323"/>
      <c r="G78" s="323"/>
      <c r="H78" s="8"/>
    </row>
    <row r="79" spans="2:8">
      <c r="B79" s="56"/>
      <c r="C79" s="323"/>
      <c r="D79" s="323"/>
      <c r="E79" s="323"/>
      <c r="F79" s="323"/>
      <c r="G79" s="323"/>
      <c r="H79" s="2"/>
    </row>
    <row r="80" spans="2:8">
      <c r="B80" s="56"/>
      <c r="C80" s="323" t="str">
        <f>Inflation!$C$7</f>
        <v>GDP Chain-type Price Index</v>
      </c>
      <c r="D80" s="323" t="str">
        <f>Inflation!$D$7</f>
        <v>CPI All-urban</v>
      </c>
      <c r="E80" s="323" t="str">
        <f>Inflation!$E$7</f>
        <v>CPI Energy Commodities and Services</v>
      </c>
      <c r="F80" s="323" t="str">
        <f>Inflation!$F$7</f>
        <v>User defined</v>
      </c>
      <c r="G80" s="323"/>
      <c r="H80" s="2"/>
    </row>
    <row r="81" spans="2:8">
      <c r="B81" s="56"/>
      <c r="C81" s="323"/>
      <c r="D81" s="323"/>
      <c r="E81" s="323"/>
      <c r="F81" s="323"/>
      <c r="G81" s="323"/>
      <c r="H81" s="56"/>
    </row>
    <row r="82" spans="2:8">
      <c r="B82" s="56"/>
      <c r="C82" s="323"/>
      <c r="D82" s="323"/>
      <c r="E82" s="323"/>
      <c r="F82" s="323"/>
      <c r="G82" s="323"/>
      <c r="H82" s="56"/>
    </row>
    <row r="83" spans="2:8">
      <c r="B83" s="56"/>
      <c r="C83" s="323"/>
      <c r="D83" s="323"/>
      <c r="E83" s="323"/>
      <c r="F83" s="323"/>
      <c r="G83" s="323"/>
      <c r="H83" s="56"/>
    </row>
    <row r="84" spans="2:8">
      <c r="B84" s="56"/>
      <c r="C84" s="56"/>
      <c r="D84" s="56"/>
      <c r="E84" s="56"/>
      <c r="F84" s="56"/>
      <c r="G84" s="56"/>
      <c r="H84" s="56"/>
    </row>
    <row r="85" spans="2:8">
      <c r="B85" s="56"/>
      <c r="C85" s="56"/>
      <c r="D85" s="56"/>
      <c r="E85" s="56"/>
      <c r="F85" s="56"/>
      <c r="G85" s="56"/>
      <c r="H85" s="56"/>
    </row>
    <row r="86" spans="2:8">
      <c r="B86" s="56"/>
      <c r="C86" s="56"/>
      <c r="D86" s="56"/>
      <c r="E86" s="56"/>
      <c r="F86" s="56"/>
      <c r="G86" s="56"/>
      <c r="H86" s="56"/>
    </row>
    <row r="87" spans="2:8">
      <c r="B87" s="56"/>
      <c r="C87" s="56"/>
      <c r="D87" s="56"/>
      <c r="E87" s="56"/>
      <c r="F87" s="56"/>
      <c r="G87" s="56"/>
      <c r="H87" s="56"/>
    </row>
    <row r="88" spans="2:8">
      <c r="B88" s="56"/>
      <c r="C88" s="56"/>
      <c r="D88" s="56"/>
      <c r="E88" s="56"/>
      <c r="F88" s="56"/>
      <c r="G88" s="56"/>
      <c r="H88" s="56"/>
    </row>
    <row r="89" spans="2:8">
      <c r="B89" s="56"/>
      <c r="C89" s="56"/>
      <c r="D89" s="56"/>
      <c r="E89" s="56"/>
      <c r="F89" s="56"/>
      <c r="G89" s="56"/>
      <c r="H89" s="56"/>
    </row>
    <row r="90" spans="2:8">
      <c r="B90" s="56"/>
      <c r="C90" s="56"/>
      <c r="D90" s="56"/>
      <c r="E90" s="56"/>
      <c r="F90" s="56"/>
      <c r="G90" s="56"/>
      <c r="H90" s="56"/>
    </row>
    <row r="91" spans="2:8">
      <c r="B91" s="56"/>
      <c r="C91" s="56"/>
      <c r="D91" s="56"/>
      <c r="E91" s="56"/>
      <c r="F91" s="56"/>
      <c r="G91" s="56"/>
      <c r="H91" s="56"/>
    </row>
    <row r="92" spans="2:8">
      <c r="B92" s="56"/>
      <c r="C92" s="56"/>
      <c r="D92" s="56"/>
      <c r="E92" s="56"/>
      <c r="F92" s="56"/>
      <c r="G92" s="56"/>
      <c r="H92" s="56"/>
    </row>
    <row r="93" spans="2:8">
      <c r="H93" s="56"/>
    </row>
    <row r="94" spans="2:8">
      <c r="H94" s="56"/>
    </row>
    <row r="95" spans="2:8">
      <c r="H95" s="56"/>
    </row>
    <row r="96" spans="2:8">
      <c r="H96" s="56"/>
    </row>
  </sheetData>
  <mergeCells count="19">
    <mergeCell ref="B46:F46"/>
    <mergeCell ref="B27:F28"/>
    <mergeCell ref="B32:F32"/>
    <mergeCell ref="B35:F36"/>
    <mergeCell ref="N7:N8"/>
    <mergeCell ref="M7:M8"/>
    <mergeCell ref="L7:L8"/>
    <mergeCell ref="K7:K8"/>
    <mergeCell ref="L38:L41"/>
    <mergeCell ref="J36:J37"/>
    <mergeCell ref="M36:M37"/>
    <mergeCell ref="L36:L37"/>
    <mergeCell ref="K36:K37"/>
    <mergeCell ref="B13:F14"/>
    <mergeCell ref="B1:C1"/>
    <mergeCell ref="B9:D9"/>
    <mergeCell ref="J7:J8"/>
    <mergeCell ref="B10:D10"/>
    <mergeCell ref="B6:F7"/>
  </mergeCells>
  <phoneticPr fontId="29" type="noConversion"/>
  <conditionalFormatting sqref="M30:M32 M26:M27 C48:F48 M18:M21 M24 H52:H80 G56:G77 M10:M16 E56:F71 C56:C71 D56:D69">
    <cfRule type="expression" dxfId="137" priority="4" stopIfTrue="1">
      <formula>ContainsFormula</formula>
    </cfRule>
  </conditionalFormatting>
  <conditionalFormatting sqref="F42 F30">
    <cfRule type="cellIs" dxfId="136" priority="5" stopIfTrue="1" operator="equal">
      <formula>"In equilibrium"</formula>
    </cfRule>
    <cfRule type="cellIs" dxfId="135" priority="6" stopIfTrue="1" operator="equal">
      <formula>"IMBALANCED!"</formula>
    </cfRule>
  </conditionalFormatting>
  <conditionalFormatting sqref="D42:E42 F2:H2">
    <cfRule type="cellIs" dxfId="134" priority="7" stopIfTrue="1" operator="equal">
      <formula>"Scenario market is in equilibrium."</formula>
    </cfRule>
    <cfRule type="cellIs" dxfId="133" priority="8" stopIfTrue="1" operator="equal">
      <formula>"Scenario market is NOT in equilibrium!"</formula>
    </cfRule>
  </conditionalFormatting>
  <conditionalFormatting sqref="M22:M23">
    <cfRule type="expression" dxfId="132" priority="3" stopIfTrue="1">
      <formula>ContainsFormula</formula>
    </cfRule>
  </conditionalFormatting>
  <conditionalFormatting sqref="N16">
    <cfRule type="expression" dxfId="131" priority="2" stopIfTrue="1">
      <formula>ContainsFormula</formula>
    </cfRule>
  </conditionalFormatting>
  <conditionalFormatting sqref="N24">
    <cfRule type="expression" dxfId="130" priority="1" stopIfTrue="1">
      <formula>ContainsFormula</formula>
    </cfRule>
  </conditionalFormatting>
  <dataValidations count="1">
    <dataValidation type="list" allowBlank="1" showInputMessage="1" showErrorMessage="1" promptTitle="Inflation Index" prompt="Choose the inflation index series you would like to use." sqref="F22" xr:uid="{00000000-0002-0000-0200-000000000000}">
      <formula1>$C$80:$F$80</formula1>
    </dataValidation>
  </dataValidations>
  <hyperlinks>
    <hyperlink ref="B1" location="'Table of Contents'!A1" tooltip="Click here to return to the Table of Contents tab" display="Return to Table of Contents" xr:uid="{00000000-0004-0000-0200-000000000000}"/>
    <hyperlink ref="B10" location="'OCS Gas SIM'!A1" display="E&amp;D SCENARIO INPUT: GAS" xr:uid="{00000000-0004-0000-0200-000001000000}"/>
    <hyperlink ref="B9" location="'OCS Oil SIM'!A1" display="E&amp;D SCENARIO INPUT: OIL" xr:uid="{00000000-0004-0000-0200-000002000000}"/>
    <hyperlink ref="B10:D10" location="'OCS Gas SIM'!A1" tooltip="Jump to E&amp;D Gas Scenario Input tab for manual entry of production quantities." display="E&amp;D SCENARIO INPUT: GAS" xr:uid="{00000000-0004-0000-0200-000003000000}"/>
    <hyperlink ref="B9:D9" location="'OCS Oil SIM'!A1" tooltip="Jump to E&amp;D Oil Scenario Input tab for manual entry of production quantities." display="E&amp;D SCENARIO INPUT: OIL" xr:uid="{00000000-0004-0000-0200-000004000000}"/>
    <hyperlink ref="B46:F46" location="'Detailed Results'!A1" display="DETAILED SIMULATION RESULTS" xr:uid="{00000000-0004-0000-0200-000005000000}"/>
    <hyperlink ref="B32:F32" location="'Electricity demand projection'!A1" display="AEO BASELINE ELECTRICITY DEMAND" xr:uid="{00000000-0004-0000-0200-000006000000}"/>
  </hyperlinks>
  <printOptions horizontalCentered="1"/>
  <pageMargins left="0.5" right="0.5" top="0.75" bottom="0.75" header="0.25" footer="0.25"/>
  <pageSetup scale="43" orientation="portrait" blackAndWhite="1" horizontalDpi="300" r:id="rId1"/>
  <headerFooter alignWithMargins="0">
    <oddFooter>&amp;L&amp;8&amp;D  &amp;T&amp;C&amp;8&amp;F</oddFooter>
  </headerFooter>
  <ignoredErrors>
    <ignoredError sqref="A23 A17:A20 A5:A15" numberStoredAsText="1"/>
  </ignoredErrors>
  <drawing r:id="rId2"/>
  <legacyDrawing r:id="rId3"/>
  <mc:AlternateContent xmlns:mc="http://schemas.openxmlformats.org/markup-compatibility/2006">
    <mc:Choice Requires="x14">
      <controls>
        <mc:AlternateContent xmlns:mc="http://schemas.openxmlformats.org/markup-compatibility/2006">
          <mc:Choice Requires="x14">
            <control shapeId="31750" r:id="rId4" name="Button 1030">
              <controlPr defaultSize="0" print="0" autoFill="0" autoPict="0" macro="[0]!Prices">
                <anchor moveWithCells="1" sizeWithCells="1">
                  <from>
                    <xdr:col>2</xdr:col>
                    <xdr:colOff>781050</xdr:colOff>
                    <xdr:row>42</xdr:row>
                    <xdr:rowOff>95250</xdr:rowOff>
                  </from>
                  <to>
                    <xdr:col>4</xdr:col>
                    <xdr:colOff>219075</xdr:colOff>
                    <xdr:row>44</xdr:row>
                    <xdr:rowOff>104775</xdr:rowOff>
                  </to>
                </anchor>
              </controlPr>
            </control>
          </mc:Choice>
        </mc:AlternateContent>
        <mc:AlternateContent xmlns:mc="http://schemas.openxmlformats.org/markup-compatibility/2006">
          <mc:Choice Requires="x14">
            <control shapeId="31754" r:id="rId5" name="Button 1034">
              <controlPr defaultSize="0" print="0" autoFill="0" autoPict="0" macro="[0]!scenario_import">
                <anchor moveWithCells="1" sizeWithCells="1">
                  <from>
                    <xdr:col>4</xdr:col>
                    <xdr:colOff>371475</xdr:colOff>
                    <xdr:row>7</xdr:row>
                    <xdr:rowOff>219075</xdr:rowOff>
                  </from>
                  <to>
                    <xdr:col>6</xdr:col>
                    <xdr:colOff>95250</xdr:colOff>
                    <xdr:row>10</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tabColor indexed="26"/>
  </sheetPr>
  <dimension ref="A1:AE135"/>
  <sheetViews>
    <sheetView topLeftCell="A17" zoomScale="110" zoomScaleNormal="110" workbookViewId="0">
      <selection activeCell="B1" sqref="B1:C1"/>
    </sheetView>
  </sheetViews>
  <sheetFormatPr defaultColWidth="9.28515625" defaultRowHeight="15"/>
  <cols>
    <col min="1" max="1" width="2.42578125" style="1" customWidth="1"/>
    <col min="2" max="2" width="7.28515625" style="1" customWidth="1"/>
    <col min="3" max="3" width="25.28515625" style="1" customWidth="1"/>
    <col min="4" max="8" width="18.7109375" style="1" customWidth="1"/>
    <col min="9" max="10" width="4" style="1" customWidth="1"/>
    <col min="11" max="11" width="37.5703125" style="1" customWidth="1"/>
    <col min="12" max="12" width="14.28515625" style="1" customWidth="1"/>
    <col min="13" max="13" width="14.7109375" style="1" customWidth="1"/>
    <col min="14" max="14" width="15.28515625" style="1" customWidth="1"/>
    <col min="15" max="15" width="16.28515625" style="1" customWidth="1"/>
    <col min="16" max="16" width="9.28515625" style="1" customWidth="1"/>
    <col min="17" max="17" width="30.7109375" style="1" customWidth="1"/>
    <col min="18" max="19" width="16.7109375" style="1" customWidth="1"/>
    <col min="20" max="20" width="11.42578125" style="1" customWidth="1"/>
    <col min="21" max="21" width="50.42578125" style="1" customWidth="1"/>
    <col min="22" max="23" width="11.42578125" style="1" customWidth="1"/>
    <col min="24" max="26" width="4.7109375" style="1" customWidth="1"/>
    <col min="27" max="27" width="38.7109375" style="1" customWidth="1"/>
    <col min="28" max="28" width="9.5703125" style="1" customWidth="1"/>
    <col min="29" max="29" width="22.28515625" style="1" customWidth="1"/>
    <col min="30" max="30" width="72.7109375" style="1" customWidth="1"/>
    <col min="31" max="31" width="9.5703125" style="1" customWidth="1"/>
    <col min="32" max="16384" width="9.28515625" style="1"/>
  </cols>
  <sheetData>
    <row r="1" spans="1:31" ht="22.5" customHeight="1" thickBot="1">
      <c r="B1" s="701" t="s">
        <v>27</v>
      </c>
      <c r="C1" s="702"/>
      <c r="E1" s="698" t="s">
        <v>140</v>
      </c>
      <c r="F1" s="699"/>
      <c r="G1" s="700"/>
    </row>
    <row r="3" spans="1:31" ht="38.25">
      <c r="B3" s="266" t="s">
        <v>139</v>
      </c>
      <c r="C3" s="266"/>
      <c r="D3" s="266"/>
      <c r="E3" s="266"/>
      <c r="F3" s="266"/>
      <c r="G3" s="266"/>
      <c r="H3" s="266"/>
      <c r="Q3" s="516"/>
      <c r="R3" s="516"/>
      <c r="S3" s="516"/>
    </row>
    <row r="4" spans="1:31" ht="38.25">
      <c r="A4" s="313"/>
      <c r="B4" s="314" t="str">
        <f>scenario_name</f>
        <v>GenericE&amp;DtemplateCIandGOA</v>
      </c>
      <c r="C4" s="315"/>
      <c r="D4" s="314"/>
      <c r="E4" s="315"/>
      <c r="F4" s="315"/>
      <c r="G4" s="315"/>
      <c r="H4" s="315"/>
      <c r="J4" s="266"/>
      <c r="Q4" s="516"/>
      <c r="R4" s="516"/>
      <c r="S4" s="516"/>
    </row>
    <row r="5" spans="1:31" s="313" customFormat="1" ht="50.25" customHeight="1">
      <c r="A5" s="1"/>
      <c r="B5" s="693" t="str">
        <f>IF($H$46=1,IF($H$47=1,"Nominal Consumer Surplus Change from OCS Production by Planning Area and Fuel","Nominal Consumer Surplus Change Net of Domestic Producer Transfer from OCS Production by Planning Area and Fuel"),IF($H$47=1,"Net Present Value of Consumer Surplus Change from OCS Production by Planning Area and Fuel ("&amp;TEXT(npv_base_year,0)&amp;" Base Year, "&amp;TEXT(inflator_year,0)&amp;" Constant Dollars)","Net Present Value of Consumer Surplus Change Net of Domestic Producer Transfer from OCS Production by Planning Area and Fuel ("&amp;TEXT(npv_base_year,0)&amp;" Base Year, "&amp;TEXT(inflator_year,0)&amp;" Constant Dollars)"))</f>
        <v>Net Present Value of Consumer Surplus Change Net of Domestic Producer Transfer from OCS Production by Planning Area and Fuel (2025 Base Year, 2026 Constant Dollars)</v>
      </c>
      <c r="C5" s="693"/>
      <c r="D5" s="693"/>
      <c r="E5" s="693"/>
      <c r="F5" s="693"/>
      <c r="G5" s="693"/>
      <c r="H5" s="693"/>
      <c r="Q5" s="516"/>
      <c r="R5" s="516"/>
      <c r="S5" s="516"/>
    </row>
    <row r="6" spans="1:31" s="313" customFormat="1" ht="25.5" customHeight="1">
      <c r="A6" s="1"/>
      <c r="B6" s="281"/>
      <c r="C6" s="413"/>
      <c r="D6" s="413"/>
      <c r="E6" s="272"/>
      <c r="F6" s="272"/>
      <c r="G6" s="272"/>
      <c r="H6" s="272"/>
    </row>
    <row r="7" spans="1:31" ht="24" customHeight="1">
      <c r="B7" s="281"/>
      <c r="C7" s="413"/>
      <c r="D7" s="413"/>
      <c r="E7" s="348"/>
      <c r="F7" s="332"/>
      <c r="G7" s="349"/>
      <c r="H7" s="272"/>
      <c r="K7" s="689" t="s">
        <v>141</v>
      </c>
      <c r="L7" s="689"/>
      <c r="M7" s="689"/>
      <c r="N7" s="689"/>
      <c r="O7" s="689"/>
      <c r="Q7" s="693" t="s">
        <v>142</v>
      </c>
      <c r="R7" s="693"/>
      <c r="S7" s="693"/>
      <c r="U7" s="689" t="s">
        <v>143</v>
      </c>
      <c r="V7" s="689"/>
      <c r="W7" s="689"/>
      <c r="X7" s="555"/>
    </row>
    <row r="8" spans="1:31" ht="21" customHeight="1">
      <c r="B8" s="27" t="s">
        <v>144</v>
      </c>
      <c r="C8" s="28"/>
      <c r="D8" s="690" t="s">
        <v>11</v>
      </c>
      <c r="E8" s="690" t="s">
        <v>12</v>
      </c>
      <c r="F8" s="690" t="s">
        <v>145</v>
      </c>
      <c r="G8" s="690" t="s">
        <v>15</v>
      </c>
      <c r="H8" s="690" t="s">
        <v>138</v>
      </c>
      <c r="K8" s="650"/>
      <c r="L8" s="690" t="s">
        <v>91</v>
      </c>
      <c r="M8" s="690" t="s">
        <v>92</v>
      </c>
      <c r="N8" s="690" t="s">
        <v>93</v>
      </c>
      <c r="O8" s="690" t="s">
        <v>94</v>
      </c>
      <c r="R8" s="396" t="s">
        <v>146</v>
      </c>
      <c r="S8" s="398">
        <f ca="1">SUM(OFFSET(sim_sup_oil_ocs,begin_year-'OCS Oil SIM'!$B$10,0,length_year))*365</f>
        <v>95.000000000000014</v>
      </c>
      <c r="U8" s="690" t="s">
        <v>147</v>
      </c>
      <c r="V8" s="694" t="s">
        <v>148</v>
      </c>
      <c r="W8" s="695"/>
    </row>
    <row r="9" spans="1:31" ht="18.75" customHeight="1">
      <c r="B9" s="14"/>
      <c r="C9" s="29"/>
      <c r="D9" s="691"/>
      <c r="E9" s="691"/>
      <c r="F9" s="691"/>
      <c r="G9" s="691"/>
      <c r="H9" s="691"/>
      <c r="K9" s="652"/>
      <c r="L9" s="692"/>
      <c r="M9" s="692"/>
      <c r="N9" s="692"/>
      <c r="O9" s="692"/>
      <c r="Q9" s="399"/>
      <c r="R9" s="400" t="s">
        <v>149</v>
      </c>
      <c r="S9" s="420">
        <f ca="1">SUM(OFFSET(sim_sup_gas_ocs,begin_year-'OCS Oil SIM'!$B$10,0,length_year))*gas_boe</f>
        <v>14.590747330960856</v>
      </c>
      <c r="U9" s="692"/>
      <c r="V9" s="696"/>
      <c r="W9" s="697"/>
    </row>
    <row r="10" spans="1:31" ht="19.5" customHeight="1" thickBot="1">
      <c r="B10" s="15"/>
      <c r="C10" s="626"/>
      <c r="D10" s="20"/>
      <c r="E10" s="20"/>
      <c r="F10" s="20"/>
      <c r="G10" s="20"/>
      <c r="H10" s="20"/>
      <c r="K10" s="203" t="s">
        <v>150</v>
      </c>
      <c r="L10" s="204"/>
      <c r="M10" s="205"/>
      <c r="N10" s="204"/>
      <c r="O10" s="206"/>
      <c r="R10" s="397" t="s">
        <v>151</v>
      </c>
      <c r="S10" s="421">
        <f ca="1">D41</f>
        <v>109.59074733096087</v>
      </c>
      <c r="U10" s="81" t="s">
        <v>152</v>
      </c>
      <c r="V10" s="688">
        <f ca="1">N68</f>
        <v>0.67855402192435577</v>
      </c>
      <c r="W10" s="688"/>
      <c r="AA10" s="281" t="s">
        <v>153</v>
      </c>
      <c r="AB10" s="281"/>
      <c r="AC10" s="281"/>
      <c r="AD10" s="281"/>
    </row>
    <row r="11" spans="1:31" ht="19.5" customHeight="1" thickBot="1">
      <c r="B11" s="15"/>
      <c r="C11" s="29" t="s">
        <v>154</v>
      </c>
      <c r="D11" s="20" t="s">
        <v>155</v>
      </c>
      <c r="E11" s="20" t="s">
        <v>155</v>
      </c>
      <c r="F11" s="20" t="s">
        <v>155</v>
      </c>
      <c r="G11" s="20" t="s">
        <v>155</v>
      </c>
      <c r="H11" s="20" t="s">
        <v>155</v>
      </c>
      <c r="K11" s="276" t="s">
        <v>97</v>
      </c>
      <c r="L11" s="675">
        <f ca="1">SUM(L12,L16,L19:L20)</f>
        <v>150552.41213000007</v>
      </c>
      <c r="M11" s="675">
        <f ca="1">SUM(M12,M16,M19:M20)</f>
        <v>150621.44921995373</v>
      </c>
      <c r="N11" s="675">
        <f t="shared" ref="N11:N17" ca="1" si="0">M11-L11</f>
        <v>69.03708995366469</v>
      </c>
      <c r="O11" s="676">
        <f ca="1">IFERROR(N11/L11,0)</f>
        <v>4.5855851113200399E-4</v>
      </c>
      <c r="Q11" s="434"/>
      <c r="R11" s="434"/>
      <c r="S11" s="434"/>
      <c r="U11" s="558" t="s">
        <v>156</v>
      </c>
      <c r="V11" s="559">
        <f ca="1">IF(ocs_crude_export_low*365&gt;V10,V10,ocs_crude_export_low*365)</f>
        <v>0.67855402192435577</v>
      </c>
      <c r="W11" s="559">
        <f ca="1">IF(ocs_crude_export_high*365&gt;V10,V10,ocs_crude_export_high*365)</f>
        <v>0.67855402192435577</v>
      </c>
      <c r="AA11" s="4" t="s">
        <v>15</v>
      </c>
      <c r="AB11" s="281"/>
      <c r="AC11" s="281"/>
      <c r="AD11" s="281"/>
    </row>
    <row r="12" spans="1:31" ht="18" customHeight="1">
      <c r="B12" s="713" t="s">
        <v>157</v>
      </c>
      <c r="C12" s="25" t="s">
        <v>158</v>
      </c>
      <c r="D12" s="677">
        <f t="array" aca="1" ref="D12" ca="1">SUM(OFFSET(sim_sup_per_ocs_atn,begin_year-'OCS Oil SIM'!$B$10,0)*IF(ISERROR(D$61:D$135),0,D$61:D$135))+sim_sup_tot_ocs_atn*D$38</f>
        <v>0</v>
      </c>
      <c r="E12" s="677">
        <f t="array" aca="1" ref="E12" ca="1">SUM(OFFSET(sim_sup_per_ocs_atn,begin_year-'OCS Oil SIM'!$B$10,0)*IF(ISERROR(E$61:E$135),0,E$61:E$135))+sim_sup_tot_ocs_atn*E$38</f>
        <v>0</v>
      </c>
      <c r="F12" s="677">
        <f t="array" aca="1" ref="F12" ca="1">SUM(OFFSET(sim_sup_per_ocs_atn,begin_year-'OCS Oil SIM'!$B$10,0)*IF(ISERROR(F$61:F$135),0,F$61:F$135))+sim_sup_tot_ocs_atn*F$38</f>
        <v>0</v>
      </c>
      <c r="G12" s="677">
        <f t="array" aca="1" ref="G12" ca="1">SUM(OFFSET(sim_sup_per_ocs_atn,begin_year-'OCS Oil SIM'!$B$10,0)*IF(ISERROR(G$61:G$135),0,G$61:G$135))+sim_sup_tot_ocs_atn*G$38</f>
        <v>0</v>
      </c>
      <c r="H12" s="678">
        <f ca="1">SUM(D12:G12)</f>
        <v>0</v>
      </c>
      <c r="K12" s="492" t="s">
        <v>159</v>
      </c>
      <c r="L12" s="675">
        <f ca="1">SUM(L13:L15)</f>
        <v>77530.688425000015</v>
      </c>
      <c r="M12" s="675">
        <f ca="1">SUM(M13:M15)</f>
        <v>77515.150863894232</v>
      </c>
      <c r="N12" s="675">
        <f t="shared" ca="1" si="0"/>
        <v>-15.537561105782515</v>
      </c>
      <c r="O12" s="676">
        <f t="shared" ref="O12:O23" ca="1" si="1">IFERROR(N12/L12,0)</f>
        <v>-2.0040530300221584E-4</v>
      </c>
      <c r="Q12" s="650"/>
      <c r="R12" s="690" t="s">
        <v>160</v>
      </c>
      <c r="S12" s="690" t="s">
        <v>161</v>
      </c>
      <c r="U12" s="558" t="s">
        <v>162</v>
      </c>
      <c r="V12" s="81">
        <f ca="1">V10-V11</f>
        <v>0</v>
      </c>
      <c r="W12" s="81">
        <f ca="1">V10-W11</f>
        <v>0</v>
      </c>
      <c r="AA12" s="432" t="s">
        <v>163</v>
      </c>
      <c r="AB12" s="432"/>
      <c r="AC12" s="432" t="s">
        <v>164</v>
      </c>
      <c r="AD12" s="241" t="s">
        <v>165</v>
      </c>
    </row>
    <row r="13" spans="1:31">
      <c r="B13" s="714"/>
      <c r="C13" s="669" t="s">
        <v>166</v>
      </c>
      <c r="D13" s="677">
        <f t="array" aca="1" ref="D13" ca="1">SUM(OFFSET(sim_sup_per_ocs_atm,begin_year-'OCS Oil SIM'!$B$10,0)*IF(ISERROR(D$61:D$135),0,D$61:D$135))+sim_sup_tot_ocs_atm*D$38</f>
        <v>0</v>
      </c>
      <c r="E13" s="677">
        <f t="array" aca="1" ref="E13" ca="1">SUM(OFFSET(sim_sup_per_ocs_atm,begin_year-'OCS Oil SIM'!$B$10,0)*IF(ISERROR(E$61:E$135),0,E$61:E$135))+sim_sup_tot_ocs_atm*E$38</f>
        <v>0</v>
      </c>
      <c r="F13" s="677">
        <f t="array" aca="1" ref="F13" ca="1">SUM(OFFSET(sim_sup_per_ocs_atm,begin_year-'OCS Oil SIM'!$B$10,0)*IF(ISERROR(F$61:F$135),0,F$61:F$135))+sim_sup_tot_ocs_atm*F$38</f>
        <v>0</v>
      </c>
      <c r="G13" s="677">
        <f t="array" aca="1" ref="G13" ca="1">SUM(OFFSET(sim_sup_per_ocs_atm,begin_year-'OCS Oil SIM'!$B$10,0)*IF(ISERROR(G$61:G$135),0,G$61:G$135))+sim_sup_tot_ocs_atm*G$38</f>
        <v>0</v>
      </c>
      <c r="H13" s="678">
        <f ca="1">SUM(D13:G13)</f>
        <v>0</v>
      </c>
      <c r="K13" s="493" t="s">
        <v>167</v>
      </c>
      <c r="L13" s="675">
        <f ca="1">SUM(OFFSET(aeo_sup_oil_l48_t,begin_year-'OCS Oil SIM'!$B$10,0,length_year))*365</f>
        <v>63599.445440000003</v>
      </c>
      <c r="M13" s="675">
        <f ca="1">SUM(OFFSET(sim_sup_oil_l48_t,begin_year-'OCS Oil SIM'!$B$11,0,length_year))*365</f>
        <v>63587.080141969149</v>
      </c>
      <c r="N13" s="675">
        <f t="shared" ca="1" si="0"/>
        <v>-12.365298030854319</v>
      </c>
      <c r="O13" s="676">
        <f t="shared" ca="1" si="1"/>
        <v>-1.9442462029829798E-4</v>
      </c>
      <c r="Q13" s="651"/>
      <c r="R13" s="691"/>
      <c r="S13" s="691"/>
      <c r="U13" s="737"/>
      <c r="V13" s="738"/>
      <c r="W13" s="739"/>
      <c r="AA13" s="276" t="s">
        <v>168</v>
      </c>
      <c r="AB13" s="675" t="s">
        <v>169</v>
      </c>
      <c r="AC13" s="675">
        <v>1000000</v>
      </c>
      <c r="AD13" s="498" t="s">
        <v>170</v>
      </c>
    </row>
    <row r="14" spans="1:31">
      <c r="B14" s="714"/>
      <c r="C14" s="669" t="s">
        <v>171</v>
      </c>
      <c r="D14" s="624">
        <f t="array" aca="1" ref="D14" ca="1">SUM(OFFSET(sim_sup_per_ocs_ats,begin_year-'OCS Oil SIM'!$B$10,0)*IF(ISERROR(D$61:D$135),0,D$61:D$135))+sim_sup_tot_ocs_ats*D$38</f>
        <v>0</v>
      </c>
      <c r="E14" s="624">
        <f t="array" aca="1" ref="E14" ca="1">SUM(OFFSET(sim_sup_per_ocs_ats,begin_year-'OCS Oil SIM'!$B$10,0)*IF(ISERROR(E$61:E$135),0,E$61:E$135))+sim_sup_tot_ocs_ats*E$38</f>
        <v>0</v>
      </c>
      <c r="F14" s="624">
        <f t="array" aca="1" ref="F14" ca="1">SUM(OFFSET(sim_sup_per_ocs_ats,begin_year-'OCS Oil SIM'!$B$10,0)*IF(ISERROR(F$61:F$135),0,F$61:F$135))+sim_sup_tot_ocs_ats*F$38</f>
        <v>0</v>
      </c>
      <c r="G14" s="624">
        <f t="array" aca="1" ref="G14" ca="1">SUM(OFFSET(sim_sup_per_ocs_ats,begin_year-'OCS Oil SIM'!$B$10,0)*IF(ISERROR(G$61:G$135),0,G$61:G$135))+sim_sup_tot_ocs_ats*G$38</f>
        <v>0</v>
      </c>
      <c r="H14" s="625">
        <f ca="1">SUM(D14:G14)</f>
        <v>0</v>
      </c>
      <c r="K14" s="493" t="s">
        <v>172</v>
      </c>
      <c r="L14" s="675">
        <f ca="1">SUM(OFFSET(aeo_sup_oil_l48,begin_year-'OCS Oil SIM'!$B$10,0,length_year))*365</f>
        <v>10514.622890000002</v>
      </c>
      <c r="M14" s="675">
        <f ca="1">SUM(OFFSET(sim_sup_oil_l48,begin_year-'OCS Oil SIM'!$B$11,0,length_year))*365</f>
        <v>10511.914797877622</v>
      </c>
      <c r="N14" s="675">
        <f t="shared" ca="1" si="0"/>
        <v>-2.708092122380549</v>
      </c>
      <c r="O14" s="676">
        <f t="shared" ca="1" si="1"/>
        <v>-2.5755485010842344E-4</v>
      </c>
      <c r="Q14" s="72"/>
      <c r="R14" s="622"/>
      <c r="S14" s="662"/>
      <c r="U14" s="655"/>
      <c r="V14" s="656"/>
      <c r="W14" s="657"/>
      <c r="AA14" s="276"/>
      <c r="AB14" s="675"/>
      <c r="AC14" s="675"/>
      <c r="AD14" s="498"/>
    </row>
    <row r="15" spans="1:31" ht="15.75" customHeight="1" thickBot="1">
      <c r="B15" s="715"/>
      <c r="C15" s="26" t="s">
        <v>173</v>
      </c>
      <c r="D15" s="262">
        <f t="array" aca="1" ref="D15" ca="1">SUM(OFFSET(sim_sup_per_ocs_atf,begin_year-'OCS Oil SIM'!$B$10,0)*IF(ISERROR(D$61:D$135),0,D$61:D$135))+sim_sup_tot_ocs_atf*D$38</f>
        <v>0</v>
      </c>
      <c r="E15" s="262">
        <f t="array" aca="1" ref="E15" ca="1">SUM(OFFSET(sim_sup_per_ocs_atf,begin_year-'OCS Oil SIM'!$B$10,0)*IF(ISERROR(E$61:E$135),0,E$61:E$135))+sim_sup_tot_ocs_atf*E$38</f>
        <v>0</v>
      </c>
      <c r="F15" s="262">
        <f t="array" aca="1" ref="F15" ca="1">SUM(OFFSET(sim_sup_per_ocs_atf,begin_year-'OCS Oil SIM'!$B$10,0)*IF(ISERROR(F$61:F$135),0,F$61:F$135))+sim_sup_tot_ocs_atf*F$38</f>
        <v>0</v>
      </c>
      <c r="G15" s="262">
        <f t="array" aca="1" ref="G15" ca="1">SUM(OFFSET(sim_sup_per_ocs_atf,begin_year-'OCS Oil SIM'!$B$10,0)*IF(ISERROR(G$61:G$135),0,G$61:G$135))+sim_sup_tot_ocs_atf*G$38</f>
        <v>0</v>
      </c>
      <c r="H15" s="264">
        <f t="shared" ref="H15:H37" ca="1" si="2">SUM(D15:G15)</f>
        <v>0</v>
      </c>
      <c r="K15" s="679" t="s">
        <v>174</v>
      </c>
      <c r="L15" s="675">
        <f t="array" aca="1" ref="L15" ca="1">SUM(OFFSET(aeo_sup_oil_ala_on,begin_year-'OCS Oil SIM'!$B$10,0,length_year))*365</f>
        <v>3416.6200950000002</v>
      </c>
      <c r="M15" s="675">
        <f t="array" aca="1" ref="M15" ca="1">SUM(OFFSET(sim_sup_oil_ala_on,begin_year-'OCS Oil SIM'!$B$11,0,length_year))*365</f>
        <v>3416.1559240474562</v>
      </c>
      <c r="N15" s="675">
        <f t="shared" ca="1" si="0"/>
        <v>-0.4641709525440092</v>
      </c>
      <c r="O15" s="676">
        <f t="shared" ca="1" si="1"/>
        <v>-1.3585676476682117E-4</v>
      </c>
      <c r="Q15" s="393" t="s">
        <v>175</v>
      </c>
      <c r="R15" s="394">
        <f ca="1">SUM(R16:R17)</f>
        <v>26.098130416217835</v>
      </c>
      <c r="S15" s="423">
        <f t="shared" ref="S15:S43" ca="1" si="3">T15/$T$44</f>
        <v>0.23852107683410709</v>
      </c>
      <c r="T15" s="429">
        <f t="shared" ref="T15:T21" ca="1" si="4">R15/$S$10</f>
        <v>0.23814173232528693</v>
      </c>
      <c r="U15" s="81" t="s">
        <v>176</v>
      </c>
      <c r="V15" s="736">
        <f ca="1">N69</f>
        <v>1.857605497505574</v>
      </c>
      <c r="W15" s="736"/>
      <c r="X15" s="429"/>
      <c r="Y15" s="429"/>
      <c r="AA15" s="276" t="s">
        <v>177</v>
      </c>
      <c r="AB15" s="675" t="s">
        <v>169</v>
      </c>
      <c r="AC15" s="675">
        <v>20387453.874538746</v>
      </c>
      <c r="AD15" s="730" t="s">
        <v>178</v>
      </c>
      <c r="AE15" s="1" t="s">
        <v>0</v>
      </c>
    </row>
    <row r="16" spans="1:31" ht="15" customHeight="1">
      <c r="B16" s="709" t="s">
        <v>179</v>
      </c>
      <c r="C16" s="25" t="s">
        <v>180</v>
      </c>
      <c r="D16" s="261">
        <f t="array" aca="1" ref="D16" ca="1">SUM(OFFSET(sim_sup_per_ocs_gme,begin_year-'OCS Oil SIM'!$B$10,0)*IF(ISERROR(D$61:D$135),0,D$61:D$135))+sim_sup_tot_ocs_gme*D$38</f>
        <v>0</v>
      </c>
      <c r="E16" s="261">
        <f t="array" aca="1" ref="E16" ca="1">SUM(OFFSET(sim_sup_per_ocs_gme,begin_year-'OCS Oil SIM'!$B$10,0)*IF(ISERROR(E$61:E$135),0,E$61:E$135))+sim_sup_tot_ocs_gme*E$38</f>
        <v>0</v>
      </c>
      <c r="F16" s="261">
        <f t="array" aca="1" ref="F16" ca="1">SUM(OFFSET(sim_sup_per_ocs_gme,begin_year-'OCS Oil SIM'!$B$10,0)*IF(ISERROR(F$61:F$135),0,F$61:F$135))+sim_sup_tot_ocs_gme*F$38</f>
        <v>0</v>
      </c>
      <c r="G16" s="261">
        <f t="array" aca="1" ref="G16" ca="1">SUM(OFFSET(sim_sup_per_ocs_gme,begin_year-'OCS Oil SIM'!$B$10,0)*IF(ISERROR(G$61:G$135),0,G$61:G$135))+sim_sup_tot_ocs_gme*G$38</f>
        <v>0</v>
      </c>
      <c r="H16" s="263">
        <f t="shared" ca="1" si="2"/>
        <v>0</v>
      </c>
      <c r="K16" s="492" t="s">
        <v>181</v>
      </c>
      <c r="L16" s="675">
        <f ca="1">SUM(L17:L18)</f>
        <v>11106.249930000002</v>
      </c>
      <c r="M16" s="675">
        <f ca="1">SUM(M17:M18)</f>
        <v>11200.666065259968</v>
      </c>
      <c r="N16" s="675">
        <f t="shared" ca="1" si="0"/>
        <v>94.416135259965813</v>
      </c>
      <c r="O16" s="676">
        <f t="shared" ca="1" si="1"/>
        <v>8.5011714894809506E-3</v>
      </c>
      <c r="Q16" s="390" t="s">
        <v>182</v>
      </c>
      <c r="R16" s="391">
        <f ca="1">-N12</f>
        <v>15.537561105782515</v>
      </c>
      <c r="S16" s="424">
        <f t="shared" ca="1" si="3"/>
        <v>0.14200388101455688</v>
      </c>
      <c r="T16" s="430">
        <f t="shared" ca="1" si="4"/>
        <v>0.14177803769199177</v>
      </c>
      <c r="U16" s="558" t="s">
        <v>183</v>
      </c>
      <c r="V16" s="740">
        <f ca="1">V15*ocs_feedstock_percent</f>
        <v>0.28416881574421582</v>
      </c>
      <c r="W16" s="741"/>
      <c r="X16" s="430"/>
      <c r="Y16" s="430"/>
      <c r="AA16" s="276" t="s">
        <v>184</v>
      </c>
      <c r="AB16" s="675" t="s">
        <v>185</v>
      </c>
      <c r="AC16" s="675">
        <v>5800000</v>
      </c>
      <c r="AD16" s="730"/>
      <c r="AE16" s="1" t="s">
        <v>0</v>
      </c>
    </row>
    <row r="17" spans="2:31">
      <c r="B17" s="710"/>
      <c r="C17" s="669" t="s">
        <v>186</v>
      </c>
      <c r="D17" s="677">
        <f t="array" aca="1" ref="D17" ca="1">SUM(OFFSET(sim_sup_per_ocs_gmc,begin_year-'OCS Oil SIM'!$B$10,0)*IF(ISERROR(D$61:D$135),0,D$61:D$135))+sim_sup_tot_ocs_gmc*D$38</f>
        <v>77.021782120793517</v>
      </c>
      <c r="E17" s="677">
        <f t="array" aca="1" ref="E17" ca="1">SUM(OFFSET(sim_sup_per_ocs_gmc,begin_year-'OCS Oil SIM'!$B$10,0)*IF(ISERROR(E$61:E$135),0,E$61:E$135))+sim_sup_tot_ocs_gmc*E$38</f>
        <v>4.8772290234975841</v>
      </c>
      <c r="F17" s="677">
        <f t="array" aca="1" ref="F17" ca="1">SUM(OFFSET(sim_sup_per_ocs_gmc,begin_year-'OCS Oil SIM'!$B$10,0)*IF(ISERROR(F$61:F$135),0,F$61:F$135))+sim_sup_tot_ocs_gmc*F$38</f>
        <v>1.9656055348392663</v>
      </c>
      <c r="G17" s="677">
        <f t="array" aca="1" ref="G17" ca="1">SUM(OFFSET(sim_sup_per_ocs_gmc,begin_year-'OCS Oil SIM'!$B$10,0)*IF(ISERROR(G$61:G$135),0,G$61:G$135))+sim_sup_tot_ocs_gmc*G$38</f>
        <v>2.9174050108452464E-4</v>
      </c>
      <c r="H17" s="678">
        <f t="shared" ca="1" si="2"/>
        <v>83.864908419631462</v>
      </c>
      <c r="K17" s="493" t="s">
        <v>187</v>
      </c>
      <c r="L17" s="675">
        <f t="array" aca="1" ref="L17" ca="1">SUM(OFFSET(aeo_sup_oil_off,begin_year-'OCS Oil SIM'!$B$10,0,length_year))*365</f>
        <v>10296.630290000001</v>
      </c>
      <c r="M17" s="675">
        <f t="array" aca="1" ref="M17" ca="1">SUM(OFFSET(sim_sup_oil_off,begin_year-'OCS Oil SIM'!$B$11,0,length_year)+OFFSET(sim_sup_oil_ocs_atn,begin_year-'OCS Oil SIM'!$B$10,0,length_year)+OFFSET(sim_sup_oil_ocs_atm,begin_year-'OCS Oil SIM'!$B$10,0,length_year)+OFFSET(sim_sup_oil_ocs_ats,begin_year-'OCS Oil SIM'!$B$10,0,length_year)+OFFSET(sim_sup_oil_ocs_atf,begin_year-'OCS Oil SIM'!$B$10,0,length_year)+OFFSET(sim_sup_oil_ocs_gme,begin_year-'OCS Oil SIM'!$B$10,0,length_year)+OFFSET(sim_sup_oil_ocs_gmc,begin_year-'OCS Oil SIM'!$B$10,0,length_year)+OFFSET(sim_sup_oil_ocs_gmw,begin_year-'OCS Oil SIM'!$B$10,0,length_year)+OFFSET(sim_sup_oil_ocs_pas,begin_year-'OCS Oil SIM'!$B$10,0,length_year)+OFFSET(sim_sup_oil_ocs_pac,begin_year-'OCS Oil SIM'!$B$10,0,length_year)+OFFSET(sim_sup_oil_ocs_pan,begin_year-'OCS Oil SIM'!$B$10,0,length_year)+OFFSET(sim_sup_oil_ocs_paw,begin_year-'OCS Oil SIM'!$B$10,0,length_year))*365</f>
        <v>10335.237409703537</v>
      </c>
      <c r="N17" s="675">
        <f t="shared" ca="1" si="0"/>
        <v>38.607119703536227</v>
      </c>
      <c r="O17" s="676">
        <f t="shared" ca="1" si="1"/>
        <v>3.7494907184373837E-3</v>
      </c>
      <c r="Q17" s="276" t="s">
        <v>188</v>
      </c>
      <c r="R17" s="391">
        <f ca="1">-N26*gas_boe</f>
        <v>10.560569310435319</v>
      </c>
      <c r="S17" s="425">
        <f t="shared" ca="1" si="3"/>
        <v>9.6517195819550206E-2</v>
      </c>
      <c r="T17" s="430">
        <f t="shared" ca="1" si="4"/>
        <v>9.6363694633295152E-2</v>
      </c>
      <c r="U17" s="558" t="s">
        <v>189</v>
      </c>
      <c r="V17" s="740">
        <f ca="1">V15-V16</f>
        <v>1.5734366817613581</v>
      </c>
      <c r="W17" s="741"/>
      <c r="X17" s="430"/>
      <c r="Y17" s="430"/>
      <c r="AA17" s="276" t="s">
        <v>190</v>
      </c>
      <c r="AB17" s="675" t="s">
        <v>185</v>
      </c>
      <c r="AC17" s="675">
        <v>1000000</v>
      </c>
      <c r="AD17" s="731"/>
    </row>
    <row r="18" spans="2:31" ht="15.75" thickBot="1">
      <c r="B18" s="712"/>
      <c r="C18" s="26" t="s">
        <v>191</v>
      </c>
      <c r="D18" s="262">
        <f t="array" aca="1" ref="D18" ca="1">SUM(OFFSET(sim_sup_per_ocs_gmw,begin_year-'OCS Oil SIM'!$B$10,0)*IF(ISERROR(D$61:D$135),0,D$61:D$135))+sim_sup_tot_ocs_gmw*D$38</f>
        <v>0</v>
      </c>
      <c r="E18" s="262">
        <f t="array" aca="1" ref="E18" ca="1">SUM(OFFSET(sim_sup_per_ocs_gmw,begin_year-'OCS Oil SIM'!$B$10,0)*IF(ISERROR(E$61:E$135),0,E$61:E$135))+sim_sup_tot_ocs_gmw*E$38</f>
        <v>0</v>
      </c>
      <c r="F18" s="262">
        <f t="array" aca="1" ref="F18" ca="1">SUM(OFFSET(sim_sup_per_ocs_gmw,begin_year-'OCS Oil SIM'!$B$10,0)*IF(ISERROR(F$61:F$135),0,F$61:F$135))+sim_sup_tot_ocs_gmw*F$38</f>
        <v>0</v>
      </c>
      <c r="G18" s="262">
        <f t="array" aca="1" ref="G18" ca="1">SUM(OFFSET(sim_sup_per_ocs_gmw,begin_year-'OCS Oil SIM'!$B$10,0)*IF(ISERROR(G$61:G$135),0,G$61:G$135))+sim_sup_tot_ocs_gmw*G$38</f>
        <v>0</v>
      </c>
      <c r="H18" s="264">
        <f t="shared" ca="1" si="2"/>
        <v>0</v>
      </c>
      <c r="K18" s="679" t="s">
        <v>192</v>
      </c>
      <c r="L18" s="675">
        <f t="array" aca="1" ref="L18" ca="1">SUM(OFFSET(aeo_sup_oil_ala_off,begin_year-'OCS Oil SIM'!$B$10,0,length_year))*365</f>
        <v>809.61964</v>
      </c>
      <c r="M18" s="675">
        <f t="array" aca="1" ref="M18" ca="1">365*(SUM(OFFSET(sim_sup_oil_ala_off,begin_year-'OCS Oil SIM'!$B$11,0,length_year)))+365*SUM(OFFSET(sim_sup_oil_ocs,begin_year-'OCS Oil SIM'!$B$10,0,length_year))-365*SUM(OFFSET(sim_sup_oil_ocs_atn,begin_year-'OCS Oil SIM'!$B$10,0,length_year),OFFSET(sim_sup_oil_ocs_atm,begin_year-'OCS Oil SIM'!$B$10,0,length_year),OFFSET(sim_sup_oil_ocs_ats,begin_year-'OCS Oil SIM'!$B$10,0,length_year),OFFSET(sim_sup_oil_ocs_atf,begin_year-'OCS Oil SIM'!$B$10,0,length_year),OFFSET(sim_sup_oil_ocs_gme,begin_year-'OCS Oil SIM'!$B$10,0,length_year),OFFSET(sim_sup_oil_ocs_gmc,begin_year-'OCS Oil SIM'!$B$10,0,length_year),OFFSET(sim_sup_oil_ocs_gmw,begin_year-'OCS Oil SIM'!$B$10,0,length_year),OFFSET(sim_sup_oil_ocs_pas,begin_year-'OCS Oil SIM'!$B$10,0,length_year),OFFSET(sim_sup_oil_ocs_pac,begin_year-'OCS Oil SIM'!$B$10,0,length_year),OFFSET(sim_sup_oil_ocs_pan,begin_year-'OCS Oil SIM'!$B$10,0,length_year),OFFSET(sim_sup_oil_ocs_paw,begin_year-'OCS Oil SIM'!$B$10,0,length_year))</f>
        <v>865.42865555643107</v>
      </c>
      <c r="N18" s="675">
        <f t="shared" ref="N18:N23" ca="1" si="5">M18-L18</f>
        <v>55.809015556431063</v>
      </c>
      <c r="O18" s="676">
        <f t="shared" ca="1" si="1"/>
        <v>6.893238849347956E-2</v>
      </c>
      <c r="Q18" s="393" t="s">
        <v>193</v>
      </c>
      <c r="R18" s="394">
        <f ca="1">SUM(R19:R20)</f>
        <v>0.61791140849810411</v>
      </c>
      <c r="S18" s="423">
        <f t="shared" ca="1" si="3"/>
        <v>5.6473353528596086E-3</v>
      </c>
      <c r="T18" s="430">
        <f t="shared" ca="1" si="4"/>
        <v>5.638353816787376E-3</v>
      </c>
      <c r="U18" s="430"/>
      <c r="V18" s="430"/>
      <c r="W18" s="430"/>
      <c r="X18" s="430"/>
      <c r="Y18" s="430"/>
      <c r="AA18" s="392" t="s">
        <v>194</v>
      </c>
      <c r="AB18" s="395"/>
      <c r="AC18" s="395">
        <f>AC13*AC15/AC16/AC17</f>
        <v>3.5150782542308181</v>
      </c>
      <c r="AD18" s="433" t="s">
        <v>195</v>
      </c>
    </row>
    <row r="19" spans="2:31" ht="15.75">
      <c r="B19" s="709" t="s">
        <v>196</v>
      </c>
      <c r="C19" s="25" t="s">
        <v>197</v>
      </c>
      <c r="D19" s="261">
        <f t="array" aca="1" ref="D19" ca="1">SUM(OFFSET(sim_sup_per_ocs_pas,begin_year-'OCS Oil SIM'!$B$10,0)*IF(ISERROR(D$61:D$135),0,D$61:D$135))+sim_sup_tot_ocs_pas*D$38</f>
        <v>0</v>
      </c>
      <c r="E19" s="261">
        <f t="array" aca="1" ref="E19" ca="1">SUM(OFFSET(sim_sup_per_ocs_pas,begin_year-'OCS Oil SIM'!$B$10,0)*IF(ISERROR(E$61:E$135),0,E$61:E$135))+sim_sup_tot_ocs_pas*E$38</f>
        <v>0</v>
      </c>
      <c r="F19" s="261">
        <f t="array" aca="1" ref="F19" ca="1">SUM(OFFSET(sim_sup_per_ocs_pas,begin_year-'OCS Oil SIM'!$B$10,0)*IF(ISERROR(F$61:F$135),0,F$61:F$135))+sim_sup_tot_ocs_pas*F$38</f>
        <v>0</v>
      </c>
      <c r="G19" s="261">
        <f t="array" aca="1" ref="G19" ca="1">SUM(OFFSET(sim_sup_per_ocs_pas,begin_year-'OCS Oil SIM'!$B$10,0)*IF(ISERROR(G$61:G$135),0,G$61:G$135))+sim_sup_tot_ocs_pas*G$38</f>
        <v>0</v>
      </c>
      <c r="H19" s="263">
        <f t="shared" ca="1" si="2"/>
        <v>0</v>
      </c>
      <c r="K19" s="492" t="s">
        <v>198</v>
      </c>
      <c r="L19" s="675">
        <f t="array" aca="1" ref="L19" ca="1">SUM(OFFSET(aeo_sup_oil_bio,begin_year-'OCS Oil SIM'!$B$10,0,length_year))*365</f>
        <v>7623.3567849999981</v>
      </c>
      <c r="M19" s="675">
        <f t="array" aca="1" ref="M19" ca="1">SUM(OFFSET(sim_sup_oil_bio,begin_year-'OCS Oil SIM'!$B$11,0,length_year))*365</f>
        <v>7622.8796310161342</v>
      </c>
      <c r="N19" s="675">
        <f t="shared" ca="1" si="5"/>
        <v>-0.47715398386390007</v>
      </c>
      <c r="O19" s="676">
        <f t="shared" ca="1" si="1"/>
        <v>-6.2591060253504874E-5</v>
      </c>
      <c r="Q19" s="390" t="s">
        <v>182</v>
      </c>
      <c r="R19" s="391">
        <f ca="1">S8-N16</f>
        <v>0.58386474003420119</v>
      </c>
      <c r="S19" s="424">
        <f t="shared" ca="1" si="3"/>
        <v>5.3361694610845585E-3</v>
      </c>
      <c r="T19" s="430">
        <f t="shared" ca="1" si="4"/>
        <v>5.3276828040139798E-3</v>
      </c>
      <c r="U19" s="430"/>
      <c r="V19" s="430"/>
      <c r="W19" s="430"/>
      <c r="X19" s="430"/>
      <c r="Y19" s="430"/>
      <c r="AA19" s="412"/>
      <c r="AB19" s="412"/>
      <c r="AC19" s="412"/>
      <c r="AD19" s="411"/>
    </row>
    <row r="20" spans="2:31" ht="18">
      <c r="B20" s="710"/>
      <c r="C20" s="669" t="s">
        <v>199</v>
      </c>
      <c r="D20" s="677">
        <f t="array" aca="1" ref="D20" ca="1">SUM(OFFSET(sim_sup_per_ocs_pac,begin_year-'OCS Oil SIM'!$B$10,0)*IF(ISERROR(D$61:D$135),0,D$61:D$135))+sim_sup_tot_ocs_pac*D$38</f>
        <v>0</v>
      </c>
      <c r="E20" s="677">
        <f t="array" aca="1" ref="E20" ca="1">SUM(OFFSET(sim_sup_per_ocs_pac,begin_year-'OCS Oil SIM'!$B$10,0)*IF(ISERROR(E$61:E$135),0,E$61:E$135))+sim_sup_tot_ocs_pac*E$38</f>
        <v>0</v>
      </c>
      <c r="F20" s="677">
        <f t="array" aca="1" ref="F20" ca="1">SUM(OFFSET(sim_sup_per_ocs_pac,begin_year-'OCS Oil SIM'!$B$10,0)*IF(ISERROR(F$61:F$135),0,F$61:F$135))+sim_sup_tot_ocs_pac*F$38</f>
        <v>0</v>
      </c>
      <c r="G20" s="677">
        <f t="array" aca="1" ref="G20" ca="1">SUM(OFFSET(sim_sup_per_ocs_pac,begin_year-'OCS Oil SIM'!$B$10,0)*IF(ISERROR(G$61:G$135),0,G$61:G$135))+sim_sup_tot_ocs_pac*G$38</f>
        <v>0</v>
      </c>
      <c r="H20" s="678">
        <f t="shared" ca="1" si="2"/>
        <v>0</v>
      </c>
      <c r="K20" s="492" t="s">
        <v>200</v>
      </c>
      <c r="L20" s="675">
        <f t="array" aca="1" ref="L20" ca="1">SUM(OFFSET(aeo_sup_oil_oth,begin_year-'OCS Oil SIM'!$B$10,0,length_year))*365</f>
        <v>54292.116990000039</v>
      </c>
      <c r="M20" s="675">
        <f t="array" aca="1" ref="M20" ca="1">SUM(OFFSET(sim_sup_oil_oth,begin_year-'OCS Oil SIM'!$B$11,0,length_year))*365</f>
        <v>54282.752659783408</v>
      </c>
      <c r="N20" s="675">
        <f t="shared" ca="1" si="5"/>
        <v>-9.3643302166310605</v>
      </c>
      <c r="O20" s="676">
        <f t="shared" ca="1" si="1"/>
        <v>-1.7248047664738988E-4</v>
      </c>
      <c r="Q20" s="276" t="s">
        <v>188</v>
      </c>
      <c r="R20" s="391">
        <f ca="1">S9-N31*gas_boe</f>
        <v>3.4046668463902918E-2</v>
      </c>
      <c r="S20" s="425">
        <f t="shared" ca="1" si="3"/>
        <v>3.1116589177504922E-4</v>
      </c>
      <c r="T20" s="430">
        <f t="shared" ca="1" si="4"/>
        <v>3.1067101277339567E-4</v>
      </c>
      <c r="U20" s="430"/>
      <c r="V20" s="430"/>
      <c r="W20" s="430"/>
      <c r="X20" s="430"/>
      <c r="Y20" s="430"/>
      <c r="AA20" s="4" t="s">
        <v>14</v>
      </c>
      <c r="AB20" s="4"/>
      <c r="AC20" s="4"/>
      <c r="AD20" s="4"/>
    </row>
    <row r="21" spans="2:31">
      <c r="B21" s="710"/>
      <c r="C21" s="669" t="s">
        <v>201</v>
      </c>
      <c r="D21" s="677">
        <f t="array" aca="1" ref="D21" ca="1">SUM(OFFSET(sim_sup_per_ocs_pan,begin_year-'OCS Oil SIM'!$B$10,0)*IF(ISERROR(D$61:D$135),0,D$61:D$135))+sim_sup_tot_ocs_pan*D$38</f>
        <v>0</v>
      </c>
      <c r="E21" s="677">
        <f t="array" aca="1" ref="E21" ca="1">SUM(OFFSET(sim_sup_per_ocs_pan,begin_year-'OCS Oil SIM'!$B$10,0)*IF(ISERROR(E$61:E$135),0,E$61:E$135))+sim_sup_tot_ocs_pan*E$38</f>
        <v>0</v>
      </c>
      <c r="F21" s="677">
        <f t="array" aca="1" ref="F21" ca="1">SUM(OFFSET(sim_sup_per_ocs_pan,begin_year-'OCS Oil SIM'!$B$10,0)*IF(ISERROR(F$61:F$135),0,F$61:F$135))+sim_sup_tot_ocs_pan*F$38</f>
        <v>0</v>
      </c>
      <c r="G21" s="677">
        <f t="array" aca="1" ref="G21" ca="1">SUM(OFFSET(sim_sup_per_ocs_pan,begin_year-'OCS Oil SIM'!$B$10,0)*IF(ISERROR(G$61:G$135),0,G$61:G$135))+sim_sup_tot_ocs_pan*G$38</f>
        <v>0</v>
      </c>
      <c r="H21" s="678">
        <f t="shared" ca="1" si="2"/>
        <v>0</v>
      </c>
      <c r="K21" s="276" t="s">
        <v>202</v>
      </c>
      <c r="L21" s="675">
        <f t="array" aca="1" ref="L21" ca="1">SUM(OFFSET(aeo_sup_oil_row,begin_year-'OCS Oil SIM'!$B$10,0,length_year))*365</f>
        <v>593183.28416303638</v>
      </c>
      <c r="M21" s="675">
        <f t="array" aca="1" ref="M21" ca="1">SUM(OFFSET(sim_sup_oil_row,begin_year-'OCS Oil SIM'!$B$11,0,length_year))*365</f>
        <v>593139.24724403594</v>
      </c>
      <c r="N21" s="675">
        <f t="shared" ca="1" si="5"/>
        <v>-44.03691900044214</v>
      </c>
      <c r="O21" s="676">
        <f t="shared" ca="1" si="1"/>
        <v>-7.4238300667182317E-5</v>
      </c>
      <c r="Q21" s="393" t="s">
        <v>203</v>
      </c>
      <c r="R21" s="394">
        <f ca="1">SUM(R22:R23)</f>
        <v>63.514606334211898</v>
      </c>
      <c r="S21" s="423">
        <f t="shared" ca="1" si="3"/>
        <v>0.58048496409215622</v>
      </c>
      <c r="T21" s="430">
        <f t="shared" ca="1" si="4"/>
        <v>0.57956175937371457</v>
      </c>
      <c r="U21" s="430"/>
      <c r="V21" s="430"/>
      <c r="W21" s="430"/>
      <c r="X21" s="430"/>
      <c r="Y21" s="430"/>
      <c r="AA21" s="432" t="s">
        <v>163</v>
      </c>
      <c r="AB21" s="432"/>
      <c r="AC21" s="432" t="s">
        <v>164</v>
      </c>
      <c r="AD21" s="241" t="s">
        <v>165</v>
      </c>
    </row>
    <row r="22" spans="2:31" ht="15.75" thickBot="1">
      <c r="B22" s="712"/>
      <c r="C22" s="26" t="s">
        <v>204</v>
      </c>
      <c r="D22" s="262">
        <f t="array" aca="1" ref="D22" ca="1">SUM(OFFSET(sim_sup_per_ocs_paw,begin_year-'OCS Oil SIM'!$B$10,0)*IF(ISERROR(D$61:D$135),0,D$61:D$135))+sim_sup_tot_ocs_paw*D$38</f>
        <v>0</v>
      </c>
      <c r="E22" s="262">
        <f t="array" aca="1" ref="E22" ca="1">SUM(OFFSET(sim_sup_per_ocs_paw,begin_year-'OCS Oil SIM'!$B$10,0)*IF(ISERROR(E$61:E$135),0,E$61:E$135))+sim_sup_tot_ocs_paw*E$38</f>
        <v>0</v>
      </c>
      <c r="F22" s="262">
        <f t="array" aca="1" ref="F22" ca="1">SUM(OFFSET(sim_sup_per_ocs_paw,begin_year-'OCS Oil SIM'!$B$10,0)*IF(ISERROR(F$61:F$135),0,F$61:F$135))+sim_sup_tot_ocs_paw*F$38</f>
        <v>0</v>
      </c>
      <c r="G22" s="262">
        <f t="array" aca="1" ref="G22" ca="1">SUM(OFFSET(sim_sup_per_ocs_paw,begin_year-'OCS Oil SIM'!$B$10,0)*IF(ISERROR(G$61:G$135),0,G$61:G$135))+sim_sup_tot_ocs_paw*G$38</f>
        <v>0</v>
      </c>
      <c r="H22" s="264">
        <f t="shared" ca="1" si="2"/>
        <v>0</v>
      </c>
      <c r="K22" s="276" t="s">
        <v>107</v>
      </c>
      <c r="L22" s="675">
        <f t="array" aca="1" ref="L22" ca="1">SUM(OFFSET(aeo_dem_oil_tot,begin_year-'OCS Oil SIM'!$B$10,0,length_year)-OFFSET(aeo_dem_oil_row,begin_year-'OCS Oil SIM'!$B$10,0,length_year))*365-L11</f>
        <v>-15434.584910000063</v>
      </c>
      <c r="M22" s="675" cm="1">
        <f t="array" aca="1" ref="M22" ca="1">SUM(OFFSET(sim_dem_oil_tot,begin_year-'OCS Oil SIM'!$B$11,0,length_year)-OFFSET(sim_dem_oil_row,begin_year-'OCS Oil SIM'!$B$11,0,length_year))*365-M11</f>
        <v>-15497.301364521729</v>
      </c>
      <c r="N22" s="675">
        <f t="shared" ca="1" si="5"/>
        <v>-62.716454521665582</v>
      </c>
      <c r="O22" s="676">
        <f t="shared" ca="1" si="1"/>
        <v>4.0633716350241206E-3</v>
      </c>
      <c r="Q22" s="390" t="s">
        <v>182</v>
      </c>
      <c r="R22" s="391">
        <f ca="1">-N22</f>
        <v>62.716454521665582</v>
      </c>
      <c r="S22" s="424">
        <f t="shared" ca="1" si="3"/>
        <v>0.57319034080805542</v>
      </c>
      <c r="T22" s="430">
        <f t="shared" ref="T22:T44" ca="1" si="6">R22/$S$10</f>
        <v>0.57227873747647429</v>
      </c>
      <c r="U22" s="430"/>
      <c r="V22" s="430"/>
      <c r="W22" s="430"/>
      <c r="X22" s="430"/>
      <c r="Y22" s="430"/>
      <c r="AA22" s="276" t="s">
        <v>205</v>
      </c>
      <c r="AB22" s="675" t="s">
        <v>169</v>
      </c>
      <c r="AC22" s="675">
        <v>1000000000</v>
      </c>
      <c r="AD22" s="489" t="s">
        <v>206</v>
      </c>
    </row>
    <row r="23" spans="2:31">
      <c r="B23" s="709" t="s">
        <v>207</v>
      </c>
      <c r="C23" s="25" t="s">
        <v>208</v>
      </c>
      <c r="D23" s="261">
        <f t="array" aca="1" ref="D23" ca="1">SUM(OFFSET(sim_sup_per_ocs_goa,begin_year-'OCS Oil SIM'!$B$10,0)*IF(ISERROR(D$61:D$135),0,D$61:D$135))+sim_sup_tot_ocs_goa*D$38</f>
        <v>85.03819775090659</v>
      </c>
      <c r="E23" s="261">
        <f t="array" aca="1" ref="E23" ca="1">SUM(OFFSET(sim_sup_per_ocs_goa,begin_year-'OCS Oil SIM'!$B$10,0)*IF(ISERROR(E$61:E$135),0,E$61:E$135))+sim_sup_tot_ocs_goa*E$38</f>
        <v>4.8028180899738677</v>
      </c>
      <c r="F23" s="261">
        <f t="array" aca="1" ref="F23" ca="1">SUM(OFFSET(sim_sup_per_ocs_goa,begin_year-'OCS Oil SIM'!$B$10,0)*IF(ISERROR(F$61:F$135),0,F$61:F$135))+sim_sup_tot_ocs_goa*F$38</f>
        <v>2.1870293923267505</v>
      </c>
      <c r="G23" s="261">
        <f t="array" aca="1" ref="G23" ca="1">SUM(OFFSET(sim_sup_per_ocs_goa,begin_year-'OCS Oil SIM'!$B$10,0)*IF(ISERROR(G$61:G$135),0,G$61:G$135))+sim_sup_tot_ocs_goa*G$38</f>
        <v>1.9283381773030835E-4</v>
      </c>
      <c r="H23" s="263">
        <f t="shared" ca="1" si="2"/>
        <v>92.028238067024944</v>
      </c>
      <c r="K23" s="426" t="s">
        <v>209</v>
      </c>
      <c r="L23" s="427">
        <f ca="1">L15+L18</f>
        <v>4226.2397350000001</v>
      </c>
      <c r="M23" s="427">
        <f ca="1">M15+M18</f>
        <v>4281.5845796038875</v>
      </c>
      <c r="N23" s="427">
        <f t="shared" ca="1" si="5"/>
        <v>55.344844603887395</v>
      </c>
      <c r="O23" s="515">
        <f t="shared" ca="1" si="1"/>
        <v>1.3095528903754296E-2</v>
      </c>
      <c r="Q23" s="276" t="s">
        <v>188</v>
      </c>
      <c r="R23" s="389">
        <f ca="1">-N35*gas_boe</f>
        <v>0.79815181254631795</v>
      </c>
      <c r="S23" s="425">
        <f t="shared" ca="1" si="3"/>
        <v>7.2946232841008081E-3</v>
      </c>
      <c r="T23" s="430">
        <f t="shared" ca="1" si="6"/>
        <v>7.2830218972403087E-3</v>
      </c>
      <c r="U23" s="430"/>
      <c r="V23" s="430"/>
      <c r="W23" s="430"/>
      <c r="X23" s="430"/>
      <c r="Y23" s="430"/>
      <c r="AA23" s="276" t="s">
        <v>210</v>
      </c>
      <c r="AB23" s="675" t="s">
        <v>169</v>
      </c>
      <c r="AC23" s="675">
        <v>3412</v>
      </c>
      <c r="AD23" s="732" t="s">
        <v>178</v>
      </c>
      <c r="AE23" s="1" t="s">
        <v>0</v>
      </c>
    </row>
    <row r="24" spans="2:31">
      <c r="B24" s="710"/>
      <c r="C24" s="669" t="s">
        <v>211</v>
      </c>
      <c r="D24" s="677">
        <f t="array" aca="1" ref="D24" ca="1">SUM(OFFSET(sim_sup_per_ocs_coo,begin_year-'OCS Oil SIM'!$B$10,0)*IF(ISERROR(D$61:D$135),0,D$61:D$135))+sim_sup_tot_ocs_coo*D$38</f>
        <v>54.070434532306813</v>
      </c>
      <c r="E24" s="677">
        <f t="array" aca="1" ref="E24" ca="1">SUM(OFFSET(sim_sup_per_ocs_coo,begin_year-'OCS Oil SIM'!$B$10,0)*IF(ISERROR(E$61:E$135),0,E$61:E$135))+sim_sup_tot_ocs_coo*E$38</f>
        <v>3.4238871829855793</v>
      </c>
      <c r="F24" s="677">
        <f t="array" aca="1" ref="F24" ca="1">SUM(OFFSET(sim_sup_per_ocs_coo,begin_year-'OCS Oil SIM'!$B$10,0)*IF(ISERROR(F$61:F$135),0,F$61:F$135))+sim_sup_tot_ocs_coo*F$38</f>
        <v>1.3798842672996761</v>
      </c>
      <c r="G24" s="677">
        <f t="array" aca="1" ref="G24" ca="1">SUM(OFFSET(sim_sup_per_ocs_coo,begin_year-'OCS Oil SIM'!$B$10,0)*IF(ISERROR(G$61:G$135),0,G$61:G$135))+sim_sup_tot_ocs_coo*G$38</f>
        <v>2.0480616300949667E-4</v>
      </c>
      <c r="H24" s="678">
        <f t="shared" ca="1" si="2"/>
        <v>58.874410788755078</v>
      </c>
      <c r="K24" s="203" t="s">
        <v>109</v>
      </c>
      <c r="L24" s="207"/>
      <c r="M24" s="207"/>
      <c r="N24" s="305"/>
      <c r="O24" s="416"/>
      <c r="Q24" s="393" t="s">
        <v>212</v>
      </c>
      <c r="R24" s="394">
        <f ca="1">SUM(R25:R27)</f>
        <v>9.8515782775360865</v>
      </c>
      <c r="S24" s="423">
        <f t="shared" ca="1" si="3"/>
        <v>9.0037447962678305E-2</v>
      </c>
      <c r="T24" s="429">
        <f t="shared" ca="1" si="6"/>
        <v>8.989425218339471E-2</v>
      </c>
      <c r="U24" s="429"/>
      <c r="V24" s="429"/>
      <c r="W24" s="429"/>
      <c r="X24" s="429"/>
      <c r="Y24" s="429"/>
      <c r="AA24" s="276" t="s">
        <v>184</v>
      </c>
      <c r="AB24" s="675" t="s">
        <v>185</v>
      </c>
      <c r="AC24" s="675">
        <v>5800000</v>
      </c>
      <c r="AD24" s="732"/>
      <c r="AE24" s="1" t="s">
        <v>0</v>
      </c>
    </row>
    <row r="25" spans="2:31">
      <c r="B25" s="710"/>
      <c r="C25" s="669" t="s">
        <v>213</v>
      </c>
      <c r="D25" s="677">
        <f t="array" aca="1" ref="D25" ca="1">SUM(OFFSET(sim_sup_per_ocs_kod,begin_year-'OCS Oil SIM'!$B$10,0)*IF(ISERROR(D$61:D$135),0,D$61:D$135))+sim_sup_tot_ocs_kod*D$38</f>
        <v>0</v>
      </c>
      <c r="E25" s="677">
        <f t="array" aca="1" ref="E25" ca="1">SUM(OFFSET(sim_sup_per_ocs_kod,begin_year-'OCS Oil SIM'!$B$10,0)*IF(ISERROR(E$61:E$135),0,E$61:E$135))+sim_sup_tot_ocs_kod*E$38</f>
        <v>0</v>
      </c>
      <c r="F25" s="677">
        <f t="array" aca="1" ref="F25" ca="1">SUM(OFFSET(sim_sup_per_ocs_kod,begin_year-'OCS Oil SIM'!$B$10,0)*IF(ISERROR(F$61:F$135),0,F$61:F$135))+sim_sup_tot_ocs_kod*F$38</f>
        <v>0</v>
      </c>
      <c r="G25" s="677">
        <f t="array" aca="1" ref="G25" ca="1">SUM(OFFSET(sim_sup_per_ocs_kod,begin_year-'OCS Oil SIM'!$B$10,0)*IF(ISERROR(G$61:G$135),0,G$61:G$135))+sim_sup_tot_ocs_kod*G$38</f>
        <v>0</v>
      </c>
      <c r="H25" s="678">
        <f t="shared" ca="1" si="2"/>
        <v>0</v>
      </c>
      <c r="K25" s="669" t="s">
        <v>97</v>
      </c>
      <c r="L25" s="675">
        <f ca="1">SUM(L26,L31,L34)</f>
        <v>735.68528900000001</v>
      </c>
      <c r="M25" s="675">
        <f ca="1">SUM(M26,M31,M34)</f>
        <v>735.7076905294856</v>
      </c>
      <c r="N25" s="675">
        <f ca="1">M25-L25</f>
        <v>2.2401529485591709E-2</v>
      </c>
      <c r="O25" s="676">
        <f ca="1">IFERROR(N25/L25,0)</f>
        <v>3.0449880975656845E-5</v>
      </c>
      <c r="Q25" s="390" t="s">
        <v>214</v>
      </c>
      <c r="R25" s="391">
        <f ca="1">-N19</f>
        <v>0.47715398386390007</v>
      </c>
      <c r="S25" s="424">
        <f t="shared" ca="1" si="3"/>
        <v>4.3608978969687908E-3</v>
      </c>
      <c r="T25" s="430">
        <f t="shared" ca="1" si="6"/>
        <v>4.353962314198925E-3</v>
      </c>
      <c r="U25" s="430"/>
      <c r="V25" s="430"/>
      <c r="W25" s="430"/>
      <c r="X25" s="430"/>
      <c r="Y25" s="430"/>
      <c r="AA25" s="276" t="s">
        <v>190</v>
      </c>
      <c r="AB25" s="675" t="s">
        <v>185</v>
      </c>
      <c r="AC25" s="675">
        <v>1000000</v>
      </c>
      <c r="AD25" s="733"/>
    </row>
    <row r="26" spans="2:31">
      <c r="B26" s="710"/>
      <c r="C26" s="669" t="s">
        <v>215</v>
      </c>
      <c r="D26" s="677">
        <f t="array" aca="1" ref="D26" ca="1">SUM(OFFSET(sim_sup_per_ocs_shu,begin_year-'OCS Oil SIM'!$B$10,0)*IF(ISERROR(D$61:D$135),0,D$61:D$135))+sim_sup_tot_ocs_shu*D$38</f>
        <v>0</v>
      </c>
      <c r="E26" s="677">
        <f t="array" aca="1" ref="E26" ca="1">SUM(OFFSET(sim_sup_per_ocs_shu,begin_year-'OCS Oil SIM'!$B$10,0)*IF(ISERROR(E$61:E$135),0,E$61:E$135))+sim_sup_tot_ocs_shu*E$38</f>
        <v>0</v>
      </c>
      <c r="F26" s="677">
        <f t="array" aca="1" ref="F26" ca="1">SUM(OFFSET(sim_sup_per_ocs_shu,begin_year-'OCS Oil SIM'!$B$10,0)*IF(ISERROR(F$61:F$135),0,F$61:F$135))+sim_sup_tot_ocs_shu*F$38</f>
        <v>0</v>
      </c>
      <c r="G26" s="677">
        <f t="array" aca="1" ref="G26" ca="1">SUM(OFFSET(sim_sup_per_ocs_shu,begin_year-'OCS Oil SIM'!$B$10,0)*IF(ISERROR(G$61:G$135),0,G$61:G$135))+sim_sup_tot_ocs_shu*G$38</f>
        <v>0</v>
      </c>
      <c r="H26" s="678">
        <f t="shared" ca="1" si="2"/>
        <v>0</v>
      </c>
      <c r="K26" s="492" t="s">
        <v>159</v>
      </c>
      <c r="L26" s="675">
        <f ca="1">SUM(L27,L30)</f>
        <v>721.22188100000005</v>
      </c>
      <c r="M26" s="675">
        <f ca="1">SUM(M27,M30)</f>
        <v>721.16253060047541</v>
      </c>
      <c r="N26" s="675">
        <f ca="1">M26-L26</f>
        <v>-5.9350399524646491E-2</v>
      </c>
      <c r="O26" s="676">
        <f t="shared" ref="O26:O38" ca="1" si="7">IFERROR(N26/L26,0)</f>
        <v>-8.2291457162052587E-5</v>
      </c>
      <c r="Q26" s="276" t="s">
        <v>216</v>
      </c>
      <c r="R26" s="675">
        <f ca="1">-N20</f>
        <v>9.3643302166310605</v>
      </c>
      <c r="S26" s="676">
        <f t="shared" ca="1" si="3"/>
        <v>8.5584296326184958E-2</v>
      </c>
      <c r="T26" s="430">
        <f t="shared" ca="1" si="6"/>
        <v>8.5448182850246066E-2</v>
      </c>
      <c r="U26" s="430"/>
      <c r="V26" s="430"/>
      <c r="W26" s="430"/>
      <c r="X26" s="430"/>
      <c r="Y26" s="430"/>
      <c r="AA26" s="392" t="s">
        <v>217</v>
      </c>
      <c r="AB26" s="395"/>
      <c r="AC26" s="395">
        <f>AC22*AC23/AC24/AC25</f>
        <v>0.58827586206896554</v>
      </c>
      <c r="AD26" s="433" t="s">
        <v>218</v>
      </c>
    </row>
    <row r="27" spans="2:31" ht="15.75">
      <c r="B27" s="710"/>
      <c r="C27" s="669" t="s">
        <v>219</v>
      </c>
      <c r="D27" s="677">
        <f t="array" aca="1" ref="D27" ca="1">SUM(OFFSET(sim_sup_per_ocs_nab,begin_year-'OCS Oil SIM'!$B$10,0)*IF(ISERROR(D$61:D$135),0,D$61:D$135))+sim_sup_tot_ocs_nab*D$38</f>
        <v>0</v>
      </c>
      <c r="E27" s="677">
        <f t="array" aca="1" ref="E27" ca="1">SUM(OFFSET(sim_sup_per_ocs_nab,begin_year-'OCS Oil SIM'!$B$10,0)*IF(ISERROR(E$61:E$135),0,E$61:E$135))+sim_sup_tot_ocs_nab*E$38</f>
        <v>0</v>
      </c>
      <c r="F27" s="677">
        <f t="array" aca="1" ref="F27" ca="1">SUM(OFFSET(sim_sup_per_ocs_nab,begin_year-'OCS Oil SIM'!$B$10,0)*IF(ISERROR(F$61:F$135),0,F$61:F$135))+sim_sup_tot_ocs_nab*F$38</f>
        <v>0</v>
      </c>
      <c r="G27" s="677">
        <f t="array" aca="1" ref="G27" ca="1">SUM(OFFSET(sim_sup_per_ocs_nab,begin_year-'OCS Oil SIM'!$B$10,0)*IF(ISERROR(G$61:G$135),0,G$61:G$135))+sim_sup_tot_ocs_nab*G$38</f>
        <v>0</v>
      </c>
      <c r="H27" s="678">
        <f t="shared" ca="1" si="2"/>
        <v>0</v>
      </c>
      <c r="K27" s="679" t="s">
        <v>220</v>
      </c>
      <c r="L27" s="675">
        <f ca="1">SUM(L28:L29)</f>
        <v>714.318085</v>
      </c>
      <c r="M27" s="675">
        <f ca="1">SUM(M28:M29)</f>
        <v>714.26003562972392</v>
      </c>
      <c r="N27" s="675">
        <f ca="1">M27-L27</f>
        <v>-5.8049370276080481E-2</v>
      </c>
      <c r="O27" s="676">
        <f t="shared" ca="1" si="7"/>
        <v>-8.1265435518240424E-5</v>
      </c>
      <c r="Q27" s="276" t="s">
        <v>221</v>
      </c>
      <c r="R27" s="389">
        <f ca="1">-N34*gas_boe</f>
        <v>1.0094077041126774E-2</v>
      </c>
      <c r="S27" s="425">
        <f t="shared" ca="1" si="3"/>
        <v>9.2253739524569145E-5</v>
      </c>
      <c r="T27" s="430">
        <f t="shared" ca="1" si="6"/>
        <v>9.2107018949719863E-5</v>
      </c>
      <c r="U27" s="430"/>
      <c r="V27" s="430"/>
      <c r="W27" s="430"/>
      <c r="X27" s="430"/>
      <c r="Y27" s="430"/>
      <c r="AA27" s="411"/>
      <c r="AB27" s="411"/>
      <c r="AC27" s="411"/>
      <c r="AD27" s="411"/>
    </row>
    <row r="28" spans="2:31" ht="15.75">
      <c r="B28" s="710"/>
      <c r="C28" s="669" t="s">
        <v>222</v>
      </c>
      <c r="D28" s="677">
        <f t="array" aca="1" ref="D28" ca="1">SUM(OFFSET(sim_sup_per_ocs_ala,begin_year-'OCS Oil SIM'!$B$10,0)*IF(ISERROR(D$61:D$135),0,D$61:D$135))+sim_sup_tot_ocs_ala*D$38</f>
        <v>0</v>
      </c>
      <c r="E28" s="677">
        <f t="array" aca="1" ref="E28" ca="1">SUM(OFFSET(sim_sup_per_ocs_ala,begin_year-'OCS Oil SIM'!$B$10,0)*IF(ISERROR(E$61:E$135),0,E$61:E$135))+sim_sup_tot_ocs_ala*E$38</f>
        <v>0</v>
      </c>
      <c r="F28" s="677">
        <f t="array" aca="1" ref="F28" ca="1">SUM(OFFSET(sim_sup_per_ocs_ala,begin_year-'OCS Oil SIM'!$B$10,0)*IF(ISERROR(F$61:F$135),0,F$61:F$135))+sim_sup_tot_ocs_ala*F$38</f>
        <v>0</v>
      </c>
      <c r="G28" s="677">
        <f t="array" aca="1" ref="G28" ca="1">SUM(OFFSET(sim_sup_per_ocs_ala,begin_year-'OCS Oil SIM'!$B$10,0)*IF(ISERROR(G$61:G$135),0,G$61:G$135))+sim_sup_tot_ocs_ala*G$38</f>
        <v>0</v>
      </c>
      <c r="H28" s="678">
        <f t="shared" ca="1" si="2"/>
        <v>0</v>
      </c>
      <c r="K28" s="680" t="s">
        <v>223</v>
      </c>
      <c r="L28" s="675">
        <f t="array" aca="1" ref="L28" ca="1">SUM(OFFSET(aeo_sup_gas_con,begin_year-'OCS Oil SIM'!$B$10,0,length_year))</f>
        <v>29.170369000000001</v>
      </c>
      <c r="M28" s="675">
        <f t="array" aca="1" ref="M28" ca="1">SUM(OFFSET(sim_sup_gas_con,begin_year-'OCS Oil SIM'!$B$11,0,length_year))</f>
        <v>29.168648057821486</v>
      </c>
      <c r="N28" s="675">
        <f ca="1">M28-L28</f>
        <v>-1.7209421785153722E-3</v>
      </c>
      <c r="O28" s="676">
        <f t="shared" ca="1" si="7"/>
        <v>-5.8996243020284461E-5</v>
      </c>
      <c r="Q28" s="393" t="s">
        <v>136</v>
      </c>
      <c r="R28" s="394">
        <f ca="1">SUM(R29:R30)</f>
        <v>0.14221813639702233</v>
      </c>
      <c r="S28" s="423">
        <f t="shared" ca="1" si="3"/>
        <v>1.2997874751088663E-3</v>
      </c>
      <c r="T28" s="429">
        <f t="shared" ca="1" si="6"/>
        <v>1.2977202899030124E-3</v>
      </c>
      <c r="U28" s="429"/>
      <c r="V28" s="429"/>
      <c r="W28" s="429"/>
      <c r="X28" s="429"/>
      <c r="Y28" s="429"/>
      <c r="AA28" s="411"/>
      <c r="AB28" s="411"/>
      <c r="AC28" s="411"/>
      <c r="AD28" s="411"/>
    </row>
    <row r="29" spans="2:31" ht="15.75">
      <c r="B29" s="710"/>
      <c r="C29" s="669" t="s">
        <v>224</v>
      </c>
      <c r="D29" s="677">
        <f t="array" aca="1" ref="D29" ca="1">SUM(OFFSET(sim_sup_per_ocs_sgb,begin_year-'OCS Oil SIM'!$B$10,0)*IF(ISERROR(D$61:D$135),0,D$61:D$135))+sim_sup_tot_ocs_sgb*D$38</f>
        <v>0</v>
      </c>
      <c r="E29" s="677">
        <f t="array" aca="1" ref="E29" ca="1">SUM(OFFSET(sim_sup_per_ocs_sgb,begin_year-'OCS Oil SIM'!$B$10,0)*IF(ISERROR(E$61:E$135),0,E$61:E$135))+sim_sup_tot_ocs_sgb*E$38</f>
        <v>0</v>
      </c>
      <c r="F29" s="677">
        <f t="array" aca="1" ref="F29" ca="1">SUM(OFFSET(sim_sup_per_ocs_sgb,begin_year-'OCS Oil SIM'!$B$10,0)*IF(ISERROR(F$61:F$135),0,F$61:F$135))+sim_sup_tot_ocs_sgb*F$38</f>
        <v>0</v>
      </c>
      <c r="G29" s="677">
        <f t="array" aca="1" ref="G29" ca="1">SUM(OFFSET(sim_sup_per_ocs_sgb,begin_year-'OCS Oil SIM'!$B$10,0)*IF(ISERROR(G$61:G$135),0,G$61:G$135))+sim_sup_tot_ocs_sgb*G$38</f>
        <v>0</v>
      </c>
      <c r="H29" s="678">
        <f t="shared" ca="1" si="2"/>
        <v>0</v>
      </c>
      <c r="K29" s="680" t="s">
        <v>225</v>
      </c>
      <c r="L29" s="675">
        <f t="array" aca="1" ref="L29" ca="1">SUM(OFFSET(aeo_sup_gas_unc,begin_year-'OCS Oil SIM'!$B$10,0,length_year))</f>
        <v>685.14771599999995</v>
      </c>
      <c r="M29" s="675">
        <f t="array" aca="1" ref="M29" ca="1">SUM(OFFSET(sim_sup_gas_unc,begin_year-'OCS Oil SIM'!$B$11,0,length_year))</f>
        <v>685.09138757190249</v>
      </c>
      <c r="N29" s="675">
        <f ca="1">M29-L29</f>
        <v>-5.6328428097458527E-2</v>
      </c>
      <c r="O29" s="676">
        <f t="shared" ca="1" si="7"/>
        <v>-8.2213553051468588E-5</v>
      </c>
      <c r="Q29" s="390" t="s">
        <v>226</v>
      </c>
      <c r="R29" s="391">
        <f ca="1">-N40*$AC$18</f>
        <v>0.14207014225094941</v>
      </c>
      <c r="S29" s="424">
        <f t="shared" ca="1" si="3"/>
        <v>1.2984348984099424E-3</v>
      </c>
      <c r="T29" s="430">
        <f t="shared" ca="1" si="6"/>
        <v>1.2963698643454061E-3</v>
      </c>
      <c r="U29" s="430"/>
      <c r="V29" s="430"/>
      <c r="W29" s="430"/>
      <c r="X29" s="430"/>
      <c r="Y29" s="430"/>
      <c r="AA29" s="499" t="s">
        <v>227</v>
      </c>
      <c r="AB29" s="411"/>
      <c r="AC29" s="411"/>
      <c r="AD29" s="411"/>
    </row>
    <row r="30" spans="2:31" ht="15.75" customHeight="1">
      <c r="B30" s="710"/>
      <c r="C30" s="669" t="s">
        <v>228</v>
      </c>
      <c r="D30" s="677">
        <f t="array" aca="1" ref="D30" ca="1">SUM(OFFSET(sim_sup_per_ocs_smh,begin_year-'OCS Oil SIM'!$B$10,0)*IF(ISERROR(D$61:D$135),0,D$61:D$135))+sim_sup_tot_ocs_smh*D$38</f>
        <v>0</v>
      </c>
      <c r="E30" s="677">
        <f t="array" aca="1" ref="E30" ca="1">SUM(OFFSET(sim_sup_per_ocs_smh,begin_year-'OCS Oil SIM'!$B$10,0)*IF(ISERROR(E$61:E$135),0,E$61:E$135))+sim_sup_tot_ocs_smh*E$38</f>
        <v>0</v>
      </c>
      <c r="F30" s="677">
        <f t="array" aca="1" ref="F30" ca="1">SUM(OFFSET(sim_sup_per_ocs_smh,begin_year-'OCS Oil SIM'!$B$10,0)*IF(ISERROR(F$61:F$135),0,F$61:F$135))+sim_sup_tot_ocs_smh*F$38</f>
        <v>0</v>
      </c>
      <c r="G30" s="677">
        <f t="array" aca="1" ref="G30" ca="1">SUM(OFFSET(sim_sup_per_ocs_smh,begin_year-'OCS Oil SIM'!$B$10,0)*IF(ISERROR(G$61:G$135),0,G$61:G$135))+sim_sup_tot_ocs_smh*G$38</f>
        <v>0</v>
      </c>
      <c r="H30" s="678">
        <f t="shared" ca="1" si="2"/>
        <v>0</v>
      </c>
      <c r="K30" s="679" t="s">
        <v>174</v>
      </c>
      <c r="L30" s="681">
        <f t="array" aca="1" ref="L30" ca="1">SUM(OFFSET(aeo_sup_gas_ala_on,begin_year-'OCS Oil SIM'!$B$10,0,length_year))</f>
        <v>6.9037960000000016</v>
      </c>
      <c r="M30" s="681">
        <f t="array" aca="1" ref="M30" ca="1">SUM(OFFSET(sim_sup_gas_ala_on,begin_year-'OCS Oil SIM'!$B$11,0,length_year))</f>
        <v>6.9024949707514471</v>
      </c>
      <c r="N30" s="675">
        <f t="shared" ref="N30:N38" ca="1" si="8">M30-L30</f>
        <v>-1.3010292485544639E-3</v>
      </c>
      <c r="O30" s="676">
        <f t="shared" ca="1" si="7"/>
        <v>-1.8845128803841592E-4</v>
      </c>
      <c r="Q30" s="276" t="s">
        <v>229</v>
      </c>
      <c r="R30" s="389">
        <f ca="1">-N41*$AC$18</f>
        <v>1.4799414607291863E-4</v>
      </c>
      <c r="S30" s="425">
        <f t="shared" ca="1" si="3"/>
        <v>1.3525766989240284E-6</v>
      </c>
      <c r="T30" s="430">
        <f t="shared" ca="1" si="6"/>
        <v>1.350425557606434E-6</v>
      </c>
      <c r="U30" s="430"/>
      <c r="V30" s="430"/>
      <c r="W30" s="430"/>
      <c r="X30" s="430"/>
      <c r="Y30" s="430"/>
      <c r="AA30" s="411" t="s">
        <v>230</v>
      </c>
      <c r="AB30" s="411"/>
      <c r="AC30" s="411"/>
      <c r="AD30" s="411"/>
    </row>
    <row r="31" spans="2:31" ht="15.75">
      <c r="B31" s="710"/>
      <c r="C31" s="669" t="s">
        <v>231</v>
      </c>
      <c r="D31" s="677">
        <f t="array" aca="1" ref="D31" ca="1">SUM(OFFSET(sim_sup_per_ocs_bow,begin_year-'OCS Oil SIM'!$B$10,0)*IF(ISERROR(D$61:D$135),0,D$61:D$135))+sim_sup_tot_ocs_bow*D$38</f>
        <v>0</v>
      </c>
      <c r="E31" s="677">
        <f t="array" aca="1" ref="E31" ca="1">SUM(OFFSET(sim_sup_per_ocs_bow,begin_year-'OCS Oil SIM'!$B$10,0)*IF(ISERROR(E$61:E$135),0,E$61:E$135))+sim_sup_tot_ocs_bow*E$38</f>
        <v>0</v>
      </c>
      <c r="F31" s="677">
        <f t="array" aca="1" ref="F31" ca="1">SUM(OFFSET(sim_sup_per_ocs_bow,begin_year-'OCS Oil SIM'!$B$10,0)*IF(ISERROR(F$61:F$135),0,F$61:F$135))+sim_sup_tot_ocs_bow*F$38</f>
        <v>0</v>
      </c>
      <c r="G31" s="677">
        <f t="array" aca="1" ref="G31" ca="1">SUM(OFFSET(sim_sup_per_ocs_bow,begin_year-'OCS Oil SIM'!$B$10,0)*IF(ISERROR(G$61:G$135),0,G$61:G$135))+sim_sup_tot_ocs_bow*G$38</f>
        <v>0</v>
      </c>
      <c r="H31" s="678">
        <f t="shared" ca="1" si="2"/>
        <v>0</v>
      </c>
      <c r="K31" s="492" t="s">
        <v>181</v>
      </c>
      <c r="L31" s="675">
        <f ca="1">SUM(L32:L33)</f>
        <v>13.265217999999999</v>
      </c>
      <c r="M31" s="675">
        <f ca="1">SUM(M32:M33)</f>
        <v>13.347026657723232</v>
      </c>
      <c r="N31" s="675">
        <f t="shared" ca="1" si="8"/>
        <v>8.1808657723232869E-2</v>
      </c>
      <c r="O31" s="676">
        <f t="shared" ca="1" si="7"/>
        <v>6.1671551664837223E-3</v>
      </c>
      <c r="Q31" s="393" t="s">
        <v>135</v>
      </c>
      <c r="R31" s="394">
        <f ca="1">SUM(R32:R38)</f>
        <v>1.0547046996366822</v>
      </c>
      <c r="S31" s="423">
        <f t="shared" ca="1" si="3"/>
        <v>9.6393610073695294E-3</v>
      </c>
      <c r="T31" s="429">
        <f t="shared" ca="1" si="6"/>
        <v>9.6240305438515233E-3</v>
      </c>
      <c r="U31" s="429"/>
      <c r="V31" s="429"/>
      <c r="W31" s="429"/>
      <c r="X31" s="429"/>
      <c r="Y31" s="429"/>
      <c r="AA31" s="411" t="s">
        <v>178</v>
      </c>
      <c r="AB31" s="411"/>
      <c r="AC31" s="411"/>
      <c r="AD31" s="411"/>
    </row>
    <row r="32" spans="2:31" ht="15.75">
      <c r="B32" s="710"/>
      <c r="C32" s="669" t="s">
        <v>232</v>
      </c>
      <c r="D32" s="677">
        <f t="array" aca="1" ref="D32" ca="1">SUM(OFFSET(sim_sup_per_ocs_alb,begin_year-'OCS Oil SIM'!$B$10,0)*IF(ISERROR(D$61:D$135),0,D$61:D$135))+sim_sup_tot_ocs_alb*D$38</f>
        <v>0</v>
      </c>
      <c r="E32" s="677">
        <f t="array" aca="1" ref="E32" ca="1">SUM(OFFSET(sim_sup_per_ocs_alb,begin_year-'OCS Oil SIM'!$B$10,0)*IF(ISERROR(E$61:E$135),0,E$61:E$135))+sim_sup_tot_ocs_alb*E$38</f>
        <v>0</v>
      </c>
      <c r="F32" s="677">
        <f t="array" aca="1" ref="F32" ca="1">SUM(OFFSET(sim_sup_per_ocs_alb,begin_year-'OCS Oil SIM'!$B$10,0)*IF(ISERROR(F$61:F$135),0,F$61:F$135))+sim_sup_tot_ocs_alb*F$38</f>
        <v>0</v>
      </c>
      <c r="G32" s="677">
        <f t="array" aca="1" ref="G32" ca="1">SUM(OFFSET(sim_sup_per_ocs_alb,begin_year-'OCS Oil SIM'!$B$10,0)*IF(ISERROR(G$61:G$135),0,G$61:G$135))+sim_sup_tot_ocs_alb*G$38</f>
        <v>0</v>
      </c>
      <c r="H32" s="678">
        <f t="shared" ca="1" si="2"/>
        <v>0</v>
      </c>
      <c r="K32" s="679" t="s">
        <v>187</v>
      </c>
      <c r="L32" s="675">
        <f t="array" aca="1" ref="L32" ca="1">SUM(OFFSET(aeo_sup_gas_off,begin_year-'OCS Oil SIM'!$B$10,0,length_year))</f>
        <v>13.265217999999999</v>
      </c>
      <c r="M32" s="675">
        <f t="array" aca="1" ref="M32" ca="1">SUM(OFFSET(sim_sup_gas_off,begin_year-'OCS Oil SIM'!$B$11,0,length_year)+OFFSET(sim_sup_gas_ocs_atn,begin_year-'OCS Oil SIM'!$B$10,0,length_year)+OFFSET(sim_sup_gas_ocs_atm,begin_year-'OCS Oil SIM'!$B$10,0,length_year)+OFFSET(sim_sup_gas_ocs_ats,begin_year-'OCS Oil SIM'!$B$10,0,length_year)+OFFSET(sim_sup_gas_ocs_atf,begin_year-'OCS Oil SIM'!$B$10,0,length_year)+OFFSET(sim_sup_gas_ocs_gme,begin_year-'OCS Oil SIM'!$B$10,0,length_year)+OFFSET(sim_sup_gas_ocs_gmc,begin_year-'OCS Oil SIM'!$B$10,0,length_year)+OFFSET(sim_sup_gas_ocs_gmw,begin_year-'OCS Oil SIM'!$B$10,0,length_year)+OFFSET(sim_sup_gas_ocs_pas,begin_year-'OCS Oil SIM'!$B$10,0,length_year)+OFFSET(sim_sup_gas_ocs_pac,begin_year-'OCS Oil SIM'!$B$10,0,length_year)+OFFSET(sim_sup_gas_ocs_pan,begin_year-'OCS Oil SIM'!$B$10,0,length_year)+OFFSET(sim_sup_gas_ocs_paw,begin_year-'OCS Oil SIM'!$B$10,0,length_year))</f>
        <v>13.291026657723233</v>
      </c>
      <c r="N32" s="675">
        <f t="shared" ca="1" si="8"/>
        <v>2.5808657723233708E-2</v>
      </c>
      <c r="O32" s="676">
        <f t="shared" ca="1" si="7"/>
        <v>1.9455886607542905E-3</v>
      </c>
      <c r="Q32" s="390" t="s">
        <v>233</v>
      </c>
      <c r="R32" s="391">
        <f t="shared" ref="R32:R38" ca="1" si="9">(L47-M47)*$AC$26</f>
        <v>2.6230272837437323E-2</v>
      </c>
      <c r="S32" s="424">
        <f t="shared" ca="1" si="3"/>
        <v>2.3972877838598347E-4</v>
      </c>
      <c r="T32" s="430">
        <f t="shared" ca="1" si="6"/>
        <v>2.3934751314563685E-4</v>
      </c>
      <c r="U32" s="430"/>
      <c r="V32" s="430"/>
      <c r="W32" s="430"/>
      <c r="X32" s="430"/>
      <c r="Y32" s="430"/>
      <c r="AA32" s="411" t="s">
        <v>234</v>
      </c>
      <c r="AB32" s="411"/>
      <c r="AC32" s="411"/>
      <c r="AD32" s="411"/>
    </row>
    <row r="33" spans="2:25">
      <c r="B33" s="710"/>
      <c r="C33" s="669" t="s">
        <v>235</v>
      </c>
      <c r="D33" s="677">
        <f t="array" aca="1" ref="D33" ca="1">SUM(OFFSET(sim_sup_per_ocs_nav,begin_year-'OCS Oil SIM'!$B$10,0)*IF(ISERROR(D$61:D$135),0,D$61:D$135))+sim_sup_tot_ocs_nav*D$38</f>
        <v>0</v>
      </c>
      <c r="E33" s="677">
        <f t="array" aca="1" ref="E33" ca="1">SUM(OFFSET(sim_sup_per_ocs_nav,begin_year-'OCS Oil SIM'!$B$10,0)*IF(ISERROR(E$61:E$135),0,E$61:E$135))+sim_sup_tot_ocs_nav*E$38</f>
        <v>0</v>
      </c>
      <c r="F33" s="677">
        <f t="array" aca="1" ref="F33" ca="1">SUM(OFFSET(sim_sup_per_ocs_nav,begin_year-'OCS Oil SIM'!$B$10,0)*IF(ISERROR(F$61:F$135),0,F$61:F$135))+sim_sup_tot_ocs_nav*F$38</f>
        <v>0</v>
      </c>
      <c r="G33" s="677">
        <f t="array" aca="1" ref="G33" ca="1">SUM(OFFSET(sim_sup_per_ocs_nav,begin_year-'OCS Oil SIM'!$B$10,0)*IF(ISERROR(G$61:G$135),0,G$61:G$135))+sim_sup_tot_ocs_nav*G$38</f>
        <v>0</v>
      </c>
      <c r="H33" s="678">
        <f t="shared" ca="1" si="2"/>
        <v>0</v>
      </c>
      <c r="K33" s="679" t="s">
        <v>192</v>
      </c>
      <c r="L33" s="675">
        <f t="array" aca="1" ref="L33" ca="1">SUM(OFFSET(aeo_sup_gas_ala_off,begin_year-'OCS Oil SIM'!$B$10,0,length_year))</f>
        <v>0</v>
      </c>
      <c r="M33" s="675">
        <f t="array" aca="1" ref="M33" ca="1">SUM(OFFSET(sim_sup_gas_ala_off,begin_year-'OCS Oil SIM'!$B$11,0,length_year))+SUM(OFFSET(sim_sup_gas_ocs,begin_year-'OCS Oil SIM'!$B$10,0,length_year))-SUM(OFFSET(sim_sup_gas_ocs_atn,begin_year-'OCS Oil SIM'!$B$10,0,length_year)+OFFSET(sim_sup_gas_ocs_atm,begin_year-'OCS Oil SIM'!$B$10,0,length_year)+OFFSET(sim_sup_gas_ocs_ats,begin_year-'OCS Oil SIM'!$B$10,0,length_year)+OFFSET(sim_sup_gas_ocs_atf,begin_year-'OCS Oil SIM'!$B$10,0,length_year)+OFFSET(sim_sup_gas_ocs_gme,begin_year-'OCS Oil SIM'!$B$10,0,length_year)+OFFSET(sim_sup_gas_ocs_gmc,begin_year-'OCS Oil SIM'!$B$10,0,length_year)+OFFSET(sim_sup_gas_ocs_gmw,begin_year-'OCS Oil SIM'!$B$10,0,length_year)+OFFSET(sim_sup_gas_ocs_pas,begin_year-'OCS Oil SIM'!$B$10,0,length_year)+OFFSET(sim_sup_gas_ocs_pac,begin_year-'OCS Oil SIM'!$B$10,0,length_year)+OFFSET(sim_sup_gas_ocs_pan,begin_year-'OCS Oil SIM'!$B$10,0,length_year)+OFFSET(sim_sup_gas_ocs_paw,begin_year-'OCS Oil SIM'!$B$10,0,length_year))</f>
        <v>5.5999999999999994E-2</v>
      </c>
      <c r="N33" s="675">
        <f t="shared" ca="1" si="8"/>
        <v>5.5999999999999994E-2</v>
      </c>
      <c r="O33" s="676">
        <f t="shared" ca="1" si="7"/>
        <v>0</v>
      </c>
      <c r="Q33" s="276" t="s">
        <v>236</v>
      </c>
      <c r="R33" s="675">
        <f t="shared" ca="1" si="9"/>
        <v>8.5076167051926772E-4</v>
      </c>
      <c r="S33" s="676">
        <f t="shared" ca="1" si="3"/>
        <v>7.7754454646812041E-6</v>
      </c>
      <c r="T33" s="430">
        <f t="shared" ca="1" si="6"/>
        <v>7.7630793770389418E-6</v>
      </c>
      <c r="U33" s="430"/>
      <c r="V33" s="430"/>
      <c r="W33" s="430"/>
      <c r="X33" s="430"/>
      <c r="Y33" s="430"/>
    </row>
    <row r="34" spans="2:25">
      <c r="B34" s="710"/>
      <c r="C34" s="669" t="s">
        <v>237</v>
      </c>
      <c r="D34" s="677">
        <f t="array" aca="1" ref="D34" ca="1">SUM(OFFSET(sim_sup_per_ocs_nor,begin_year-'OCS Oil SIM'!$B$10,0)*IF(ISERROR(D$61:D$135),0,D$61:D$135))+sim_sup_tot_ocs_nor*D$38</f>
        <v>0</v>
      </c>
      <c r="E34" s="677">
        <f t="array" aca="1" ref="E34" ca="1">SUM(OFFSET(sim_sup_per_ocs_nor,begin_year-'OCS Oil SIM'!$B$10,0)*IF(ISERROR(E$61:E$135),0,E$61:E$135))+sim_sup_tot_ocs_nor*E$38</f>
        <v>0</v>
      </c>
      <c r="F34" s="677">
        <f t="array" aca="1" ref="F34" ca="1">SUM(OFFSET(sim_sup_per_ocs_nor,begin_year-'OCS Oil SIM'!$B$10,0)*IF(ISERROR(F$61:F$135),0,F$61:F$135))+sim_sup_tot_ocs_nor*F$38</f>
        <v>0</v>
      </c>
      <c r="G34" s="677">
        <f t="array" aca="1" ref="G34" ca="1">SUM(OFFSET(sim_sup_per_ocs_nor,begin_year-'OCS Oil SIM'!$B$10,0)*IF(ISERROR(G$61:G$135),0,G$61:G$135))+sim_sup_tot_ocs_nor*G$38</f>
        <v>0</v>
      </c>
      <c r="H34" s="678">
        <f t="shared" ca="1" si="2"/>
        <v>0</v>
      </c>
      <c r="K34" s="492" t="s">
        <v>200</v>
      </c>
      <c r="L34" s="675">
        <f t="array" aca="1" ref="L34" ca="1">SUM(OFFSET(aeo_sup_gas_oth,begin_year-'OCS Oil SIM'!$B$10,0,length_year))</f>
        <v>1.1981899999999994</v>
      </c>
      <c r="M34" s="675">
        <f t="array" aca="1" ref="M34" ca="1">SUM(OFFSET(sim_sup_gas_oth,begin_year-'OCS Oil SIM'!$B$11,0,length_year))</f>
        <v>1.1981332712870283</v>
      </c>
      <c r="N34" s="675">
        <f t="shared" ca="1" si="8"/>
        <v>-5.6728712971132467E-5</v>
      </c>
      <c r="O34" s="676">
        <f t="shared" ca="1" si="7"/>
        <v>-4.7345340030489735E-5</v>
      </c>
      <c r="Q34" s="276" t="s">
        <v>238</v>
      </c>
      <c r="R34" s="675">
        <f t="shared" ca="1" si="9"/>
        <v>0.77072367187231383</v>
      </c>
      <c r="S34" s="676">
        <f t="shared" ca="1" si="3"/>
        <v>7.0439467205008583E-3</v>
      </c>
      <c r="T34" s="430">
        <f t="shared" ca="1" si="6"/>
        <v>7.0327440102653082E-3</v>
      </c>
      <c r="U34" s="430"/>
      <c r="V34" s="430"/>
      <c r="W34" s="430"/>
      <c r="X34" s="430"/>
      <c r="Y34" s="430"/>
    </row>
    <row r="35" spans="2:25">
      <c r="B35" s="710"/>
      <c r="C35" s="669" t="s">
        <v>239</v>
      </c>
      <c r="D35" s="677">
        <f t="array" aca="1" ref="D35" ca="1">SUM(OFFSET(sim_sup_per_ocs_hop,begin_year-'OCS Oil SIM'!$B$10,0)*IF(ISERROR(D$61:D$135),0,D$61:D$135))+sim_sup_tot_ocs_hop*D$38</f>
        <v>0</v>
      </c>
      <c r="E35" s="677">
        <f t="array" aca="1" ref="E35" ca="1">SUM(OFFSET(sim_sup_per_ocs_hop,begin_year-'OCS Oil SIM'!$B$10,0)*IF(ISERROR(E$61:E$135),0,E$61:E$135))+sim_sup_tot_ocs_hop*E$38</f>
        <v>0</v>
      </c>
      <c r="F35" s="677">
        <f t="array" aca="1" ref="F35" ca="1">SUM(OFFSET(sim_sup_per_ocs_hop,begin_year-'OCS Oil SIM'!$B$10,0)*IF(ISERROR(F$61:F$135),0,F$61:F$135))+sim_sup_tot_ocs_hop*F$38</f>
        <v>0</v>
      </c>
      <c r="G35" s="677">
        <f t="array" aca="1" ref="G35" ca="1">SUM(OFFSET(sim_sup_per_ocs_hop,begin_year-'OCS Oil SIM'!$B$10,0)*IF(ISERROR(G$61:G$135),0,G$61:G$135))+sim_sup_tot_ocs_hop*G$38</f>
        <v>0</v>
      </c>
      <c r="H35" s="678">
        <f t="shared" ca="1" si="2"/>
        <v>0</v>
      </c>
      <c r="K35" s="669" t="s">
        <v>240</v>
      </c>
      <c r="L35" s="675">
        <f ca="1">SUM(L36:L37)</f>
        <v>40.393160000000009</v>
      </c>
      <c r="M35" s="675">
        <f ca="1">SUM(M36:M37)</f>
        <v>40.388674386813499</v>
      </c>
      <c r="N35" s="675">
        <f t="shared" ca="1" si="8"/>
        <v>-4.4856131865103066E-3</v>
      </c>
      <c r="O35" s="676">
        <f t="shared" ca="1" si="7"/>
        <v>-1.1104883070575082E-4</v>
      </c>
      <c r="Q35" s="276" t="s">
        <v>241</v>
      </c>
      <c r="R35" s="675">
        <f t="shared" ca="1" si="9"/>
        <v>0.25631230164556373</v>
      </c>
      <c r="S35" s="676">
        <f t="shared" ca="1" si="3"/>
        <v>2.3425389182796571E-3</v>
      </c>
      <c r="T35" s="430">
        <f t="shared" ca="1" si="6"/>
        <v>2.3388133386070273E-3</v>
      </c>
      <c r="U35" s="430"/>
      <c r="V35" s="430"/>
      <c r="W35" s="430"/>
      <c r="X35" s="430"/>
      <c r="Y35" s="430"/>
    </row>
    <row r="36" spans="2:25">
      <c r="B36" s="710"/>
      <c r="C36" s="669" t="s">
        <v>242</v>
      </c>
      <c r="D36" s="677">
        <f t="array" aca="1" ref="D36" ca="1">SUM(OFFSET(sim_sup_per_ocs_chu,begin_year-'OCS Oil SIM'!$B$10,0)*IF(ISERROR(D$61:D$135),0,D$61:D$135))+sim_sup_tot_ocs_chu*D$38</f>
        <v>0</v>
      </c>
      <c r="E36" s="677">
        <f t="array" aca="1" ref="E36" ca="1">SUM(OFFSET(sim_sup_per_ocs_chu,begin_year-'OCS Oil SIM'!$B$10,0)*IF(ISERROR(E$61:E$135),0,E$61:E$135))+sim_sup_tot_ocs_chu*E$38</f>
        <v>0</v>
      </c>
      <c r="F36" s="677">
        <f t="array" aca="1" ref="F36" ca="1">SUM(OFFSET(sim_sup_per_ocs_chu,begin_year-'OCS Oil SIM'!$B$10,0)*IF(ISERROR(F$61:F$135),0,F$61:F$135))+sim_sup_tot_ocs_chu*F$38</f>
        <v>0</v>
      </c>
      <c r="G36" s="677">
        <f t="array" aca="1" ref="G36" ca="1">SUM(OFFSET(sim_sup_per_ocs_chu,begin_year-'OCS Oil SIM'!$B$10,0)*IF(ISERROR(G$61:G$135),0,G$61:G$135))+sim_sup_tot_ocs_chu*G$38</f>
        <v>0</v>
      </c>
      <c r="H36" s="678">
        <f t="shared" ca="1" si="2"/>
        <v>0</v>
      </c>
      <c r="K36" s="492" t="s">
        <v>243</v>
      </c>
      <c r="L36" s="675">
        <f t="array" aca="1" ref="L36" ca="1">SUM(OFFSET(aeo_sup_gas_pip,begin_year-'OCS Oil SIM'!$B$10,0,length_year))</f>
        <v>39.364191000000005</v>
      </c>
      <c r="M36" s="675">
        <f t="array" aca="1" ref="M36" ca="1">SUM(OFFSET(sim_sup_gas_pip,begin_year-'OCS Oil SIM'!$B$11,0,length_year))</f>
        <v>39.359803057216119</v>
      </c>
      <c r="N36" s="675">
        <f t="shared" ca="1" si="8"/>
        <v>-4.3879427838859897E-3</v>
      </c>
      <c r="O36" s="676">
        <f t="shared" ca="1" si="7"/>
        <v>-1.1147041695550123E-4</v>
      </c>
      <c r="Q36" s="276" t="s">
        <v>244</v>
      </c>
      <c r="R36" s="675">
        <f t="shared" ca="1" si="9"/>
        <v>4.4955736693815386E-4</v>
      </c>
      <c r="S36" s="676">
        <f t="shared" ca="1" si="3"/>
        <v>4.1086815626517198E-6</v>
      </c>
      <c r="T36" s="430">
        <f t="shared" ca="1" si="6"/>
        <v>4.1021471053619492E-6</v>
      </c>
      <c r="U36" s="430"/>
      <c r="V36" s="430"/>
      <c r="W36" s="430"/>
      <c r="X36" s="430"/>
      <c r="Y36" s="430"/>
    </row>
    <row r="37" spans="2:25" ht="15.75" thickBot="1">
      <c r="B37" s="711"/>
      <c r="C37" s="283" t="s">
        <v>245</v>
      </c>
      <c r="D37" s="284">
        <f t="array" aca="1" ref="D37" ca="1">SUM(OFFSET(sim_sup_per_ocs_bea,begin_year-'OCS Oil SIM'!$B$10,0)*IF(ISERROR(D$61:D$135),0,D$61:D$135))+sim_sup_tot_ocs_bea*D$38</f>
        <v>0</v>
      </c>
      <c r="E37" s="284">
        <f t="array" aca="1" ref="E37" ca="1">SUM(OFFSET(sim_sup_per_ocs_bea,begin_year-'OCS Oil SIM'!$B$10,0)*IF(ISERROR(E$61:E$135),0,E$61:E$135))+sim_sup_tot_ocs_bea*E$38</f>
        <v>0</v>
      </c>
      <c r="F37" s="284" cm="1">
        <f t="array" aca="1" ref="F37" ca="1">SUM(OFFSET(sim_sup_per_ocs_bea,begin_year-'OCS Oil SIM'!$B$10,0)*IF(ISERROR(F$61:F$135),0,F$61:F$135))+sim_sup_tot_ocs_bea*F$38</f>
        <v>0</v>
      </c>
      <c r="G37" s="284">
        <f t="array" aca="1" ref="G37" ca="1">SUM(OFFSET(sim_sup_per_ocs_bea,begin_year-'OCS Oil SIM'!$B$10,0)*IF(ISERROR(G$61:G$135),0,G$61:G$135))+sim_sup_tot_ocs_bea*G$38</f>
        <v>0</v>
      </c>
      <c r="H37" s="285">
        <f t="shared" ca="1" si="2"/>
        <v>0</v>
      </c>
      <c r="K37" s="492" t="s">
        <v>246</v>
      </c>
      <c r="L37" s="675">
        <f t="array" aca="1" ref="L37" ca="1">SUM(OFFSET(aeo_sup_gas_lng,begin_year-'OCS Oil SIM'!$B$10,0,length_year))</f>
        <v>1.0289690000000002</v>
      </c>
      <c r="M37" s="675">
        <f t="array" aca="1" ref="M37" ca="1">SUM(OFFSET(sim_sup_gas_lng,begin_year-'OCS Oil SIM'!$B$11,0,length_year))</f>
        <v>1.0288713295973817</v>
      </c>
      <c r="N37" s="675">
        <f t="shared" ca="1" si="8"/>
        <v>-9.7670402618543761E-5</v>
      </c>
      <c r="O37" s="676">
        <f t="shared" ca="1" si="7"/>
        <v>-9.492064641261665E-5</v>
      </c>
      <c r="Q37" s="276" t="s">
        <v>247</v>
      </c>
      <c r="R37" s="675">
        <f t="shared" ca="1" si="9"/>
        <v>-4.0644559788307055E-3</v>
      </c>
      <c r="S37" s="676">
        <f t="shared" ca="1" si="3"/>
        <v>-3.7146661517680443E-5</v>
      </c>
      <c r="T37" s="430">
        <f t="shared" ca="1" si="6"/>
        <v>-3.7087583375594352E-5</v>
      </c>
      <c r="U37" s="430"/>
      <c r="V37" s="430"/>
      <c r="W37" s="430"/>
      <c r="X37" s="430"/>
      <c r="Y37" s="430"/>
    </row>
    <row r="38" spans="2:25" ht="15" customHeight="1">
      <c r="B38" s="703" t="s">
        <v>248</v>
      </c>
      <c r="C38" s="704"/>
      <c r="D38" s="403">
        <f t="array" aca="1" ref="D38" ca="1">SUM(IFERROR(IF((OFFSET(sim_sup_oil_ocs,begin_year-'OCS Oil SIM'!$B$10,0)+OFFSET(sim_sup_gas_ocs,begin_year-'OCS Oil SIM'!$B$10,0))&gt;0,0,1),0)*IF(ISERROR(D$61:D$135),0,D$61:D$135))</f>
        <v>0</v>
      </c>
      <c r="E38" s="403">
        <f t="array" aca="1" ref="E38" ca="1">SUM(IFERROR(IF((OFFSET(sim_sup_oil_ocs,begin_year-'OCS Oil SIM'!$B$10,0)+OFFSET(sim_sup_gas_ocs,begin_year-'OCS Oil SIM'!$B$10,0))&gt;0,0,1),0)*IF(ISERROR(E$61:E$135),0,E$61:E$135))</f>
        <v>0</v>
      </c>
      <c r="F38" s="403">
        <f t="array" aca="1" ref="F38" ca="1">SUM(IFERROR(IF((OFFSET(sim_sup_oil_ocs,begin_year-'OCS Oil SIM'!$B$10,0)+OFFSET(sim_sup_gas_ocs,begin_year-'OCS Oil SIM'!$B$10,0))&gt;0,0,1),0)*IF(ISERROR(F$61:F$135),0,F$61:F$135))</f>
        <v>0</v>
      </c>
      <c r="G38" s="403">
        <f t="array" aca="1" ref="G38" ca="1">SUM(IFERROR(IF((OFFSET(sim_sup_oil_ocs,begin_year-'OCS Oil SIM'!$B$10,0)+OFFSET(sim_sup_gas_ocs,begin_year-'OCS Oil SIM'!$B$10,0))&gt;0,0,1),0)*IF(ISERROR(G$61:G$135),0,G$61:G$135))</f>
        <v>0</v>
      </c>
      <c r="H38" s="402"/>
      <c r="K38" s="428" t="s">
        <v>209</v>
      </c>
      <c r="L38" s="427">
        <f ca="1">L30+L33</f>
        <v>6.9037960000000016</v>
      </c>
      <c r="M38" s="427">
        <f ca="1">M30+M33</f>
        <v>6.9584949707514472</v>
      </c>
      <c r="N38" s="427">
        <f t="shared" ca="1" si="8"/>
        <v>5.4698970751445586E-2</v>
      </c>
      <c r="O38" s="515">
        <f t="shared" ca="1" si="7"/>
        <v>7.9230282516235383E-3</v>
      </c>
      <c r="Q38" s="276" t="s">
        <v>249</v>
      </c>
      <c r="R38" s="389">
        <f t="shared" ca="1" si="9"/>
        <v>4.2025902227406922E-3</v>
      </c>
      <c r="S38" s="425">
        <f t="shared" ca="1" si="3"/>
        <v>3.8409124693379839E-5</v>
      </c>
      <c r="T38" s="430">
        <f t="shared" ca="1" si="6"/>
        <v>3.8348038726745721E-5</v>
      </c>
      <c r="U38" s="430"/>
      <c r="V38" s="430"/>
      <c r="W38" s="430"/>
      <c r="X38" s="430"/>
      <c r="Y38" s="430"/>
    </row>
    <row r="39" spans="2:25" ht="15" customHeight="1">
      <c r="B39" s="705"/>
      <c r="C39" s="706"/>
      <c r="D39" s="333">
        <f t="array" aca="1" ref="D39" ca="1">SUM(IF(ISERROR(D$61:D$135),0,D$61:D$135))</f>
        <v>216.13041440400696</v>
      </c>
      <c r="E39" s="333">
        <f t="array" aca="1" ref="E39" ca="1">SUM(IF(ISERROR(E$61:E$135),0,E$61:E$135))</f>
        <v>13.10393429645703</v>
      </c>
      <c r="F39" s="333">
        <f t="array" aca="1" ref="F39" ca="1">SUM(IF(ISERROR(F$61:F$135),0,F$61:F$135))</f>
        <v>5.5325191944656922</v>
      </c>
      <c r="G39" s="333">
        <f t="array" aca="1" ref="G39" ca="1">SUM(IF(ISERROR(G$61:G$135),0,G$61:G$135))</f>
        <v>6.8938048182432953E-4</v>
      </c>
      <c r="H39" s="333">
        <f ca="1">SUM(D39:G39)</f>
        <v>234.76755727541149</v>
      </c>
      <c r="K39" s="203" t="s">
        <v>119</v>
      </c>
      <c r="L39" s="207"/>
      <c r="M39" s="207"/>
      <c r="N39" s="305"/>
      <c r="O39" s="416"/>
      <c r="Q39" s="393" t="s">
        <v>250</v>
      </c>
      <c r="R39" s="394">
        <f ca="1">SUM(R40:R43)</f>
        <v>8.1373046636434072</v>
      </c>
      <c r="S39" s="423">
        <f t="shared" ca="1" si="3"/>
        <v>7.4370027275720341E-2</v>
      </c>
      <c r="T39" s="429">
        <f t="shared" ca="1" si="6"/>
        <v>7.4251749000935119E-2</v>
      </c>
      <c r="U39" s="429"/>
      <c r="V39" s="429"/>
      <c r="W39" s="429"/>
      <c r="X39" s="429"/>
      <c r="Y39" s="429"/>
    </row>
    <row r="40" spans="2:25">
      <c r="B40" s="707"/>
      <c r="C40" s="708"/>
      <c r="D40" s="309"/>
      <c r="E40" s="309"/>
      <c r="F40" s="309"/>
      <c r="G40" s="309"/>
      <c r="H40" s="309"/>
      <c r="K40" s="276" t="s">
        <v>97</v>
      </c>
      <c r="L40" s="675">
        <f t="array" aca="1" ref="L40" ca="1">SUM(OFFSET(aeo_sup_coa_dom,begin_year-'OCS Oil SIM'!$B$10,0,length_year))</f>
        <v>6383.5948150000022</v>
      </c>
      <c r="M40" s="675">
        <f t="array" aca="1" ref="M40" ca="1">SUM(OFFSET(sim_sup_coa_dom,begin_year-'OCS Oil SIM'!$B$11,0,length_year))</f>
        <v>6383.5543976516601</v>
      </c>
      <c r="N40" s="675">
        <f ca="1">M40-L40</f>
        <v>-4.0417348342089099E-2</v>
      </c>
      <c r="O40" s="676">
        <f ca="1">N40/L40</f>
        <v>-6.3314401232229654E-6</v>
      </c>
      <c r="Q40" s="390" t="s">
        <v>182</v>
      </c>
      <c r="R40" s="391">
        <f ca="1">SUM(M61:M64)-SUM(L61:L64)</f>
        <v>6.3189755443891045</v>
      </c>
      <c r="S40" s="424">
        <f t="shared" ca="1" si="3"/>
        <v>5.775160240595132E-2</v>
      </c>
      <c r="T40" s="430">
        <f t="shared" ca="1" si="6"/>
        <v>5.7659754115062127E-2</v>
      </c>
      <c r="U40" s="430"/>
      <c r="V40" s="430"/>
      <c r="W40" s="430"/>
      <c r="X40" s="430"/>
      <c r="Y40" s="430"/>
    </row>
    <row r="41" spans="2:25">
      <c r="B41" s="716" t="s">
        <v>251</v>
      </c>
      <c r="C41" s="717"/>
      <c r="D41" s="724">
        <f t="array" aca="1" ref="D41" ca="1">SUM(OFFSET(sim_sup_oil_ocs,begin_year-'OCS Oil SIM'!$B$10,0,length_year))*365+SUM(OFFSET(sim_sup_gas_ocs,begin_year-'OCS Oil SIM'!$B$10,0,length_year))*gas_boe</f>
        <v>109.59074733096087</v>
      </c>
      <c r="E41" s="725"/>
      <c r="F41" s="725"/>
      <c r="G41" s="726"/>
      <c r="H41" s="722">
        <f t="array" aca="1" ref="H41" ca="1">SUM(OFFSET(sim_sup_oil_ocs,begin_year-'OCS Oil SIM'!$B$10,0,length_year))*365+SUM(OFFSET(sim_sup_gas_ocs,begin_year-'OCS Oil SIM'!$B$10,0,length_year))*gas_boe</f>
        <v>109.59074733096087</v>
      </c>
      <c r="K41" s="202" t="s">
        <v>240</v>
      </c>
      <c r="L41" s="208">
        <f t="array" aca="1" ref="L41" ca="1">SUM(OFFSET(aeo_sup_coa_imp,begin_year-'OCS Oil SIM'!$B$10,0,length_year))</f>
        <v>30.874450999999997</v>
      </c>
      <c r="M41" s="208">
        <f t="array" aca="1" ref="M41" ca="1">SUM(OFFSET(sim_sup_coa_imp,begin_year-'OCS Oil SIM'!$B$11,0,length_year))</f>
        <v>30.874408897339581</v>
      </c>
      <c r="N41" s="208">
        <f ca="1">M41-L41</f>
        <v>-4.2102660415821447E-5</v>
      </c>
      <c r="O41" s="415">
        <f ca="1">N41/L41</f>
        <v>-1.3636731683365463E-6</v>
      </c>
      <c r="Q41" s="276" t="s">
        <v>188</v>
      </c>
      <c r="R41" s="675">
        <f ca="1">(SUM(M72:M75,M78)-SUM(L72:L75,L78))*gas_boe</f>
        <v>2.8930986948319992</v>
      </c>
      <c r="S41" s="676">
        <f t="shared" ca="1" si="3"/>
        <v>2.6441166668776387E-2</v>
      </c>
      <c r="T41" s="430">
        <f t="shared" ca="1" si="6"/>
        <v>2.6399114572099099E-2</v>
      </c>
      <c r="U41" s="430"/>
      <c r="V41" s="430"/>
      <c r="W41" s="430"/>
      <c r="X41" s="430"/>
      <c r="Y41" s="430"/>
    </row>
    <row r="42" spans="2:25" ht="15" customHeight="1">
      <c r="B42" s="716"/>
      <c r="C42" s="717"/>
      <c r="D42" s="727"/>
      <c r="E42" s="728"/>
      <c r="F42" s="728"/>
      <c r="G42" s="729"/>
      <c r="H42" s="723"/>
      <c r="K42" s="203" t="s">
        <v>123</v>
      </c>
      <c r="L42" s="207"/>
      <c r="M42" s="207"/>
      <c r="N42" s="305"/>
      <c r="O42" s="416"/>
      <c r="Q42" s="276" t="s">
        <v>252</v>
      </c>
      <c r="R42" s="675">
        <f ca="1">(SUM(M80,M82,M84)-SUM(L80,L82,L84))*$AC$18</f>
        <v>-0.12094959095014507</v>
      </c>
      <c r="S42" s="676">
        <f t="shared" ca="1" si="3"/>
        <v>-1.1054058745198884E-3</v>
      </c>
      <c r="T42" s="430">
        <f t="shared" ca="1" si="6"/>
        <v>-1.1036478342909811E-3</v>
      </c>
      <c r="U42" s="430"/>
      <c r="V42" s="430"/>
      <c r="W42" s="430"/>
      <c r="X42" s="430"/>
      <c r="Y42" s="430"/>
    </row>
    <row r="43" spans="2:25">
      <c r="B43" s="718" t="s">
        <v>253</v>
      </c>
      <c r="C43" s="719"/>
      <c r="D43" s="306"/>
      <c r="E43" s="306"/>
      <c r="F43" s="306"/>
      <c r="G43" s="306"/>
      <c r="H43" s="306"/>
      <c r="K43" s="276" t="s">
        <v>97</v>
      </c>
      <c r="L43" s="675">
        <f t="array" aca="1" ref="L43" ca="1">SUM(OFFSET(aeo_sup_ele_tot,begin_year-'OCS Oil SIM'!$B$10,0,length_year)-OFFSET(aeo_sup_ele_imp,begin_year-'OCS Oil SIM'!$B$10,0,length_year))</f>
        <v>80138.681226999979</v>
      </c>
      <c r="M43" s="675">
        <f t="array" aca="1" ref="M43" ca="1">SUM(OFFSET(sim_sup_ele_tot,begin_year-'OCS Oil SIM'!$B$11,0,length_year)-OFFSET(sim_sup_ele_imp,begin_year-'OCS Oil SIM'!$B$11,0,length_year))</f>
        <v>80137.065826719743</v>
      </c>
      <c r="N43" s="675">
        <f t="shared" ref="N43:N53" ca="1" si="10">M43-L43</f>
        <v>-1.6154002802359173</v>
      </c>
      <c r="O43" s="676">
        <f ca="1">IFERROR(N43/L43,0)</f>
        <v>-2.015756006341247E-5</v>
      </c>
      <c r="Q43" s="276" t="s">
        <v>254</v>
      </c>
      <c r="R43" s="389">
        <f ca="1">(M91-L91)*$AC$26</f>
        <v>-0.95381998462755047</v>
      </c>
      <c r="S43" s="425">
        <f t="shared" ca="1" si="3"/>
        <v>-8.7173359244874689E-3</v>
      </c>
      <c r="T43" s="430">
        <f t="shared" ca="1" si="6"/>
        <v>-8.7034718519351083E-3</v>
      </c>
      <c r="U43" s="430"/>
      <c r="V43" s="430"/>
      <c r="W43" s="430"/>
      <c r="X43" s="430"/>
      <c r="Y43" s="430"/>
    </row>
    <row r="44" spans="2:25">
      <c r="B44" s="720"/>
      <c r="C44" s="721"/>
      <c r="D44" s="307">
        <f ca="1">D39/$D$41</f>
        <v>1.9721593261089769</v>
      </c>
      <c r="E44" s="307">
        <f ca="1">E39/$D$41</f>
        <v>0.11957153879864994</v>
      </c>
      <c r="F44" s="307">
        <f ca="1">F39/$D$41</f>
        <v>5.0483451652698796E-2</v>
      </c>
      <c r="G44" s="307">
        <f ca="1">G39/$D$41</f>
        <v>6.2904989573838801E-6</v>
      </c>
      <c r="H44" s="308">
        <f ca="1">H39/$D$41</f>
        <v>2.1422206070592829</v>
      </c>
      <c r="K44" s="492" t="s">
        <v>11</v>
      </c>
      <c r="L44" s="675">
        <f t="array" aca="1" ref="L44" ca="1">SUM(OFFSET(aeo_sup_ele_oil,begin_year-'OCS Oil SIM'!$B$10,0,length_year))</f>
        <v>113.56377000000001</v>
      </c>
      <c r="M44" s="675">
        <f t="array" aca="1" ref="M44" ca="1">SUM(OFFSET(sim_sup_ele_oil,begin_year-'OCS Oil SIM'!$B$11,0,length_year))</f>
        <v>113.56465717393641</v>
      </c>
      <c r="N44" s="675">
        <f t="shared" ca="1" si="10"/>
        <v>8.8717393640536102E-4</v>
      </c>
      <c r="O44" s="676">
        <f t="shared" ref="O44:O53" ca="1" si="11">IFERROR(N44/L44,0)</f>
        <v>7.8121212108876005E-6</v>
      </c>
      <c r="Q44" s="392" t="s">
        <v>255</v>
      </c>
      <c r="R44" s="395">
        <f ca="1">SUM(R39,R31,R28,R24,R21,R18,R15)</f>
        <v>109.41645393614104</v>
      </c>
      <c r="S44" s="422">
        <f ca="1">SUM(S39,S31,S28,S24,S21,S18,S15)</f>
        <v>1</v>
      </c>
      <c r="T44" s="431">
        <f t="shared" ca="1" si="6"/>
        <v>0.99840959753387326</v>
      </c>
      <c r="U44" s="431"/>
      <c r="V44" s="431"/>
      <c r="W44" s="431"/>
      <c r="X44" s="431"/>
      <c r="Y44" s="431"/>
    </row>
    <row r="45" spans="2:25">
      <c r="G45" s="414"/>
      <c r="H45" s="414"/>
      <c r="K45" s="492" t="s">
        <v>256</v>
      </c>
      <c r="L45" s="675">
        <f t="array" aca="1" ref="L45" ca="1">SUM(OFFSET(aeo_sup_ele_gas,begin_year-'OCS Oil SIM'!$B$10,0,length_year))</f>
        <v>16286.178896000001</v>
      </c>
      <c r="M45" s="675">
        <f t="array" aca="1" ref="M45" ca="1">SUM(OFFSET(sim_sup_ele_gas,begin_year-'OCS Oil SIM'!$B$11,0,length_year))</f>
        <v>16286.359667017496</v>
      </c>
      <c r="N45" s="675">
        <f t="shared" ca="1" si="10"/>
        <v>0.18077101749440772</v>
      </c>
      <c r="O45" s="676">
        <f t="shared" ca="1" si="11"/>
        <v>1.1099658099593045E-5</v>
      </c>
      <c r="Q45" s="734" t="s">
        <v>257</v>
      </c>
      <c r="R45" s="734"/>
      <c r="S45" s="734"/>
    </row>
    <row r="46" spans="2:25">
      <c r="G46" s="323" t="s">
        <v>258</v>
      </c>
      <c r="H46" s="323">
        <v>2</v>
      </c>
      <c r="K46" s="492" t="s">
        <v>15</v>
      </c>
      <c r="L46" s="675">
        <f t="array" aca="1" ref="L46" ca="1">SUM(OFFSET(aeo_sup_ele_coa,begin_year-'OCS Oil SIM'!$B$10,0,length_year))</f>
        <v>6762.1385510000009</v>
      </c>
      <c r="M46" s="675">
        <f t="array" aca="1" ref="M46" ca="1">SUM(OFFSET(sim_sup_ele_coa,begin_year-'OCS Oil SIM'!$B$11,0,length_year))</f>
        <v>6762.1272229605001</v>
      </c>
      <c r="N46" s="675">
        <f t="shared" ca="1" si="10"/>
        <v>-1.1328039500767773E-2</v>
      </c>
      <c r="O46" s="676">
        <f t="shared" ca="1" si="11"/>
        <v>-1.6752155276517598E-6</v>
      </c>
      <c r="Q46" s="735"/>
      <c r="R46" s="735"/>
      <c r="S46" s="735"/>
    </row>
    <row r="47" spans="2:25">
      <c r="G47" s="323" t="s">
        <v>259</v>
      </c>
      <c r="H47" s="323">
        <v>2</v>
      </c>
      <c r="K47" s="492" t="s">
        <v>260</v>
      </c>
      <c r="L47" s="675">
        <f t="array" aca="1" ref="L47" ca="1">SUM(OFFSET(aeo_sup_ele_nuc,begin_year-'OCS Oil SIM'!$B$10,0,length_year))</f>
        <v>13534.912475000001</v>
      </c>
      <c r="M47" s="675">
        <f t="array" aca="1" ref="M47" ca="1">SUM(OFFSET(sim_sup_ele_nuc,begin_year-'OCS Oil SIM'!$B$11,0,length_year))</f>
        <v>13534.867886611239</v>
      </c>
      <c r="N47" s="675">
        <f t="shared" ca="1" si="10"/>
        <v>-4.4588388762349496E-2</v>
      </c>
      <c r="O47" s="676">
        <f t="shared" ca="1" si="11"/>
        <v>-3.2943241298905769E-6</v>
      </c>
      <c r="Q47" s="735"/>
      <c r="R47" s="735"/>
      <c r="S47" s="735"/>
    </row>
    <row r="48" spans="2:25">
      <c r="K48" s="492" t="s">
        <v>261</v>
      </c>
      <c r="L48" s="675">
        <f t="array" aca="1" ref="L48" ca="1">SUM(OFFSET(aeo_sup_ele_hyd,begin_year-'OCS Oil SIM'!$B$10,0,length_year))</f>
        <v>5528.4595959999997</v>
      </c>
      <c r="M48" s="675">
        <f t="array" aca="1" ref="M48" ca="1">SUM(OFFSET(sim_sup_ele_hyd,begin_year-'OCS Oil SIM'!$B$11,0,length_year))</f>
        <v>5528.4581498048974</v>
      </c>
      <c r="N48" s="675">
        <f t="shared" ca="1" si="10"/>
        <v>-1.4461951022894937E-3</v>
      </c>
      <c r="O48" s="676">
        <f t="shared" ca="1" si="11"/>
        <v>-2.6159096890856499E-7</v>
      </c>
      <c r="Q48" s="735"/>
      <c r="R48" s="735"/>
      <c r="S48" s="735"/>
    </row>
    <row r="49" spans="2:15" ht="15" customHeight="1">
      <c r="K49" s="492" t="s">
        <v>262</v>
      </c>
      <c r="L49" s="675">
        <f t="array" aca="1" ref="L49" ca="1">SUM(OFFSET(aeo_sup_ele_sol,begin_year-'OCS Oil SIM'!$B$10,0,length_year))</f>
        <v>17739.291353000001</v>
      </c>
      <c r="M49" s="675">
        <f t="array" aca="1" ref="M49" ca="1">SUM(OFFSET(sim_sup_ele_sol,begin_year-'OCS Oil SIM'!$B$11,0,length_year))</f>
        <v>17737.981213112293</v>
      </c>
      <c r="N49" s="675">
        <f t="shared" ca="1" si="10"/>
        <v>-1.3101398877079191</v>
      </c>
      <c r="O49" s="676">
        <f t="shared" ca="1" si="11"/>
        <v>-7.3855255074005717E-5</v>
      </c>
    </row>
    <row r="50" spans="2:15">
      <c r="K50" s="492" t="s">
        <v>263</v>
      </c>
      <c r="L50" s="675">
        <f t="array" aca="1" ref="L50" ca="1">SUM(OFFSET(aeo_sup_ele_won,begin_year-'OCS Oil SIM'!$B$10,0,length_year))</f>
        <v>19075.105592</v>
      </c>
      <c r="M50" s="675">
        <f t="array" aca="1" ref="M50" ca="1">SUM(OFFSET(sim_sup_ele_won,begin_year-'OCS Oil SIM'!$B$11,0,length_year))</f>
        <v>19074.669891135538</v>
      </c>
      <c r="N50" s="675">
        <f t="shared" ca="1" si="10"/>
        <v>-0.4357008644619782</v>
      </c>
      <c r="O50" s="676">
        <f t="shared" ca="1" si="11"/>
        <v>-2.284133434337102E-5</v>
      </c>
    </row>
    <row r="51" spans="2:15">
      <c r="K51" s="492" t="s">
        <v>264</v>
      </c>
      <c r="L51" s="675">
        <f t="array" aca="1" ref="L51" ca="1">SUM(OFFSET(aeo_sup_ele_wof,begin_year-'OCS Oil SIM'!$B$10,0,length_year))</f>
        <v>1091.488771</v>
      </c>
      <c r="M51" s="675">
        <f t="array" aca="1" ref="M51" ca="1">SUM(OFFSET(sim_sup_ele_wof,begin_year-'OCS Oil SIM'!$B$11,0,length_year))</f>
        <v>1091.4880068051793</v>
      </c>
      <c r="N51" s="675">
        <f t="shared" ca="1" si="10"/>
        <v>-7.6419482070377853E-4</v>
      </c>
      <c r="O51" s="676">
        <f t="shared" ca="1" si="11"/>
        <v>-7.0013988325655296E-7</v>
      </c>
    </row>
    <row r="52" spans="2:15">
      <c r="K52" s="492" t="s">
        <v>265</v>
      </c>
      <c r="L52" s="675">
        <f t="array" aca="1" ref="L52" ca="1">SUM(OFFSET(aeo_sup_ele_oth,begin_year-'OCS Oil SIM'!$B$10,0,length_year))</f>
        <v>7.5422229999999963</v>
      </c>
      <c r="M52" s="675">
        <f t="array" aca="1" ref="M52" ca="1">SUM(OFFSET(sim_sup_ele_oth,begin_year-'OCS Oil SIM'!$B$11,0,length_year))</f>
        <v>7.5491320986744448</v>
      </c>
      <c r="N52" s="675">
        <f t="shared" ca="1" si="10"/>
        <v>6.9090986744484439E-3</v>
      </c>
      <c r="O52" s="676">
        <f t="shared" ca="1" si="11"/>
        <v>9.160560055634058E-4</v>
      </c>
    </row>
    <row r="53" spans="2:15">
      <c r="D53" s="1">
        <f>H46</f>
        <v>2</v>
      </c>
      <c r="K53" s="202" t="s">
        <v>107</v>
      </c>
      <c r="L53" s="208">
        <f t="array" aca="1" ref="L53" ca="1">SUM(OFFSET(aeo_sup_ele_imp,begin_year-'OCS Oil SIM'!$B$10,0,length_year))</f>
        <v>827.389544</v>
      </c>
      <c r="M53" s="208">
        <f t="array" aca="1" ref="M53" ca="1">SUM(OFFSET(sim_sup_ele_imp,begin_year-'OCS Oil SIM'!$B$11,0,length_year))</f>
        <v>827.38240008930484</v>
      </c>
      <c r="N53" s="208">
        <f t="shared" ca="1" si="10"/>
        <v>-7.1439106951629583E-3</v>
      </c>
      <c r="O53" s="494">
        <f t="shared" ca="1" si="11"/>
        <v>-8.6342772240338568E-6</v>
      </c>
    </row>
    <row r="54" spans="2:15">
      <c r="D54" s="1">
        <f>H47</f>
        <v>2</v>
      </c>
      <c r="K54" s="245"/>
    </row>
    <row r="55" spans="2:15">
      <c r="K55" s="245"/>
    </row>
    <row r="56" spans="2:15">
      <c r="K56" s="245"/>
      <c r="L56" s="1">
        <f ca="1">L68/365</f>
        <v>62.373267000000006</v>
      </c>
      <c r="M56" s="1">
        <f ca="1">M68/365</f>
        <v>62.375126052114872</v>
      </c>
    </row>
    <row r="57" spans="2:15" ht="45" customHeight="1">
      <c r="B57" s="693" t="s">
        <v>266</v>
      </c>
      <c r="C57" s="693"/>
      <c r="D57" s="693"/>
      <c r="E57" s="693"/>
      <c r="F57" s="693"/>
      <c r="G57" s="693"/>
      <c r="H57" s="693"/>
      <c r="K57" s="689" t="s">
        <v>267</v>
      </c>
      <c r="L57" s="689"/>
      <c r="M57" s="689"/>
      <c r="N57" s="689"/>
      <c r="O57" s="689"/>
    </row>
    <row r="58" spans="2:15" ht="15" customHeight="1">
      <c r="C58" s="27"/>
      <c r="D58" s="650" t="s">
        <v>11</v>
      </c>
      <c r="E58" s="650" t="s">
        <v>12</v>
      </c>
      <c r="F58" s="650" t="s">
        <v>145</v>
      </c>
      <c r="G58" s="650" t="s">
        <v>15</v>
      </c>
      <c r="H58" s="650" t="s">
        <v>138</v>
      </c>
      <c r="K58" s="650"/>
      <c r="L58" s="690" t="s">
        <v>91</v>
      </c>
      <c r="M58" s="690" t="s">
        <v>92</v>
      </c>
      <c r="N58" s="690" t="s">
        <v>93</v>
      </c>
      <c r="O58" s="690" t="s">
        <v>94</v>
      </c>
    </row>
    <row r="59" spans="2:15" ht="15" customHeight="1">
      <c r="C59" s="148" t="s">
        <v>268</v>
      </c>
      <c r="D59" s="651"/>
      <c r="E59" s="651"/>
      <c r="F59" s="651"/>
      <c r="G59" s="651"/>
      <c r="H59" s="651"/>
      <c r="K59" s="652"/>
      <c r="L59" s="692"/>
      <c r="M59" s="692"/>
      <c r="N59" s="692"/>
      <c r="O59" s="692"/>
    </row>
    <row r="60" spans="2:15" ht="15.75" thickBot="1">
      <c r="C60" s="282"/>
      <c r="D60" s="20" t="s">
        <v>155</v>
      </c>
      <c r="E60" s="20" t="s">
        <v>155</v>
      </c>
      <c r="F60" s="20" t="s">
        <v>155</v>
      </c>
      <c r="G60" s="20" t="s">
        <v>155</v>
      </c>
      <c r="H60" s="20" t="s">
        <v>155</v>
      </c>
      <c r="K60" s="203" t="s">
        <v>95</v>
      </c>
      <c r="L60" s="204"/>
      <c r="M60" s="205"/>
      <c r="N60" s="204"/>
      <c r="O60" s="206"/>
    </row>
    <row r="61" spans="2:15">
      <c r="C61" s="682">
        <f t="array" aca="1" ref="C61:C135" ca="1">OFFSET(year_oil,begin_year-'OCS Oil SIM'!$B$10,0,length_year)</f>
        <v>2026</v>
      </c>
      <c r="D61" s="677">
        <f t="array" aca="1" ref="D61:D135" ca="1">IF($H$46=1,IF($H$47=1,inflation_multiplier*OFFSET(dcs_oil,begin_year-'OCS Oil SIM'!$B$10,0,length_year)*10^-6,inflation_multiplier*OFFSET(nps_oil,begin_year-'OCS Oil SIM'!$B$10,0,length_year)*10^-6),IF($H$47=1,inflation_multiplier*(OFFSET(dcs_oil,begin_year-'OCS Oil SIM'!$B$10,0,length_year)*10^-6)/(1+discount_rate)^(OFFSET(year_gas,begin_year-'OCS Oil SIM'!$B$10,0,length_year)-npv_base_year),inflation_multiplier*(OFFSET(nps_oil,begin_year-'OCS Oil SIM'!$B$10,0,length_year)*10^-6)/(1+discount_rate)^(OFFSET(year_gas,begin_year-'OCS Oil SIM'!$B$10,0,length_year)-npv_base_year)))</f>
        <v>0</v>
      </c>
      <c r="E61" s="677">
        <f t="array" aca="1" ref="E61:E135" ca="1">IF($H$46=1,IF($H$47=1,inflation_multiplier*OFFSET(dcs_gas,begin_year-'OCS Oil SIM'!$B$10,0,length_year)*10^-6,inflation_multiplier*OFFSET(nps_gas,begin_year-'OCS Oil SIM'!$B$10,0,length_year)*10^-6),IF($H$47=1,inflation_multiplier*(OFFSET(dcs_gas,begin_year-'OCS Oil SIM'!$B$10,0,length_year)*10^-6)/(1+discount_rate)^(OFFSET(year_gas,begin_year-'OCS Oil SIM'!$B$10,0,length_year)-npv_base_year),inflation_multiplier*(OFFSET(nps_gas,begin_year-'OCS Oil SIM'!$B$10,0,length_year)*10^-6)/(1+discount_rate)^(OFFSET(year_gas,begin_year-'OCS Oil SIM'!$B$10,0,length_year)-npv_base_year)))</f>
        <v>0</v>
      </c>
      <c r="F61" s="677">
        <f t="array" aca="1" ref="F61:F135" ca="1">IF($H$46=1,IF($H$47=1,inflation_multiplier*OFFSET(dcs_ele,begin_year-'OCS Oil SIM'!$B$10,0,length_year)*10^-6,inflation_multiplier*OFFSET(nps_ele,begin_year-'OCS Oil SIM'!$B$10,0,length_year)*10^-6),IF($H$47=1,inflation_multiplier*(OFFSET(dcs_ele,begin_year-'OCS Oil SIM'!$B$10,0,length_year)*10^-6)/(1+discount_rate)^(OFFSET(year_gas,begin_year-'OCS Oil SIM'!$B$10,0,length_year)-npv_base_year),inflation_multiplier*(OFFSET(nps_ele,begin_year-'OCS Oil SIM'!$B$10,0,length_year)*10^-6)/(1+discount_rate)^(OFFSET(year_gas,begin_year-'OCS Oil SIM'!$B$10,0,length_year)-npv_base_year)))</f>
        <v>0</v>
      </c>
      <c r="G61" s="677">
        <f t="array" aca="1" ref="G61:G135" ca="1">IF($H$46=1,IF($H$47=1,inflation_multiplier*OFFSET(dcs_coa,begin_year-'OCS Oil SIM'!$B$10,0,length_year)*10^-6,inflation_multiplier*OFFSET(nps_coa,begin_year-'OCS Oil SIM'!$B$10,0,length_year)*10^-6),IF($H$47=1,inflation_multiplier*(OFFSET(dcs_coa,begin_year-'OCS Oil SIM'!$B$10,0,length_year)*10^-6)/(1+discount_rate)^(OFFSET(year_gas,begin_year-'OCS Oil SIM'!$B$10,0,length_year)-npv_base_year),inflation_multiplier*(OFFSET(nps_coa,begin_year-'OCS Oil SIM'!$B$10,0,length_year)*10^-6)/(1+discount_rate)^(OFFSET(year_gas,begin_year-'OCS Oil SIM'!$B$10,0,length_year)-npv_base_year)))</f>
        <v>0</v>
      </c>
      <c r="H61" s="678">
        <f ca="1">SUM(D61:G61)</f>
        <v>0</v>
      </c>
      <c r="K61" s="276" t="s">
        <v>269</v>
      </c>
      <c r="L61" s="675">
        <f t="array" aca="1" ref="L61" ca="1">SUM(OFFSET(aeo_dem_oil_res,begin_year-'OCS Oil SIM'!$B$10,0,length_year))*365</f>
        <v>2968.259227516648</v>
      </c>
      <c r="M61" s="675">
        <f t="array" aca="1" ref="M61" ca="1">SUM(OFFSET(sim_dem_oil_res,begin_year-'OCS Oil SIM'!$B$11,0,length_year))*365</f>
        <v>2968.537931133978</v>
      </c>
      <c r="N61" s="675">
        <f ca="1">M61-L61</f>
        <v>0.27870361732993842</v>
      </c>
      <c r="O61" s="676">
        <f ca="1">N61/L61</f>
        <v>9.389463519434987E-5</v>
      </c>
    </row>
    <row r="62" spans="2:15">
      <c r="C62" s="682">
        <f ca="1"/>
        <v>2027</v>
      </c>
      <c r="D62" s="677">
        <f ca="1"/>
        <v>0</v>
      </c>
      <c r="E62" s="677">
        <f ca="1"/>
        <v>0</v>
      </c>
      <c r="F62" s="677">
        <f ca="1"/>
        <v>0</v>
      </c>
      <c r="G62" s="677">
        <f ca="1"/>
        <v>0</v>
      </c>
      <c r="H62" s="678">
        <f t="shared" ref="H62:H125" ca="1" si="12">SUM(D62:G62)</f>
        <v>0</v>
      </c>
      <c r="K62" s="276" t="s">
        <v>270</v>
      </c>
      <c r="L62" s="675">
        <f t="array" aca="1" ref="L62" ca="1">SUM(OFFSET(aeo_dem_oil_com,begin_year-'OCS Oil SIM'!$B$10,0,length_year))*365</f>
        <v>3574.6059424833511</v>
      </c>
      <c r="M62" s="675">
        <f t="array" aca="1" ref="M62" ca="1">SUM(OFFSET(sim_dem_oil_com,begin_year-'OCS Oil SIM'!$B$11,0,length_year))*365</f>
        <v>3574.8866571835065</v>
      </c>
      <c r="N62" s="675">
        <f t="shared" ref="N62:N67" ca="1" si="13">M62-L62</f>
        <v>0.2807147001553858</v>
      </c>
      <c r="O62" s="676">
        <f t="shared" ref="O62:O67" ca="1" si="14">N62/L62</f>
        <v>7.8530250514933012E-5</v>
      </c>
    </row>
    <row r="63" spans="2:15">
      <c r="C63" s="682">
        <f ca="1"/>
        <v>2028</v>
      </c>
      <c r="D63" s="677">
        <f ca="1"/>
        <v>0</v>
      </c>
      <c r="E63" s="677">
        <f ca="1"/>
        <v>0</v>
      </c>
      <c r="F63" s="677">
        <f ca="1"/>
        <v>0</v>
      </c>
      <c r="G63" s="677">
        <f ca="1"/>
        <v>0</v>
      </c>
      <c r="H63" s="678">
        <f t="shared" ca="1" si="12"/>
        <v>0</v>
      </c>
      <c r="K63" s="276" t="s">
        <v>271</v>
      </c>
      <c r="L63" s="675">
        <f t="array" aca="1" ref="L63" ca="1">SUM(OFFSET(aeo_dem_oil_ind,begin_year-'OCS Oil SIM'!$B$10,0,length_year))*365</f>
        <v>42863.647614999994</v>
      </c>
      <c r="M63" s="675">
        <f t="array" aca="1" ref="M63" ca="1">SUM(OFFSET(sim_dem_oil_ind,begin_year-'OCS Oil SIM'!$B$11,0,length_year))*365</f>
        <v>42864.655613790994</v>
      </c>
      <c r="N63" s="675">
        <f t="shared" ca="1" si="13"/>
        <v>1.0079987909994088</v>
      </c>
      <c r="O63" s="676">
        <f t="shared" ca="1" si="14"/>
        <v>2.3516402524890647E-5</v>
      </c>
    </row>
    <row r="64" spans="2:15">
      <c r="C64" s="682">
        <f ca="1"/>
        <v>2029</v>
      </c>
      <c r="D64" s="677">
        <f ca="1"/>
        <v>0</v>
      </c>
      <c r="E64" s="677">
        <f ca="1"/>
        <v>0</v>
      </c>
      <c r="F64" s="677">
        <f ca="1"/>
        <v>0</v>
      </c>
      <c r="G64" s="677">
        <f ca="1"/>
        <v>0</v>
      </c>
      <c r="H64" s="678">
        <f t="shared" ca="1" si="12"/>
        <v>0</v>
      </c>
      <c r="K64" s="669" t="s">
        <v>272</v>
      </c>
      <c r="L64" s="675">
        <f t="array" aca="1" ref="L64" ca="1">SUM(OFFSET(aeo_dem_oil_tra,begin_year-'OCS Oil SIM'!$B$10,0,length_year))*365</f>
        <v>85499.504570000005</v>
      </c>
      <c r="M64" s="675">
        <f t="array" aca="1" ref="M64" ca="1">SUM(OFFSET(sim_dem_oil_tra,begin_year-'OCS Oil SIM'!$B$11,0,length_year))*365</f>
        <v>85504.256128435896</v>
      </c>
      <c r="N64" s="675">
        <f t="shared" ca="1" si="13"/>
        <v>4.7515584358916385</v>
      </c>
      <c r="O64" s="676">
        <f t="shared" ca="1" si="14"/>
        <v>5.5574104900238934E-5</v>
      </c>
    </row>
    <row r="65" spans="3:15">
      <c r="C65" s="682">
        <f ca="1"/>
        <v>2030</v>
      </c>
      <c r="D65" s="677">
        <f ca="1"/>
        <v>27.162197009083858</v>
      </c>
      <c r="E65" s="677">
        <f ca="1"/>
        <v>1.1046071757641238</v>
      </c>
      <c r="F65" s="677">
        <f ca="1"/>
        <v>0.71195264887688781</v>
      </c>
      <c r="G65" s="677">
        <f ca="1"/>
        <v>1.5105010010142267E-6</v>
      </c>
      <c r="H65" s="678">
        <f t="shared" ca="1" si="12"/>
        <v>28.97875834422587</v>
      </c>
      <c r="K65" s="276" t="s">
        <v>273</v>
      </c>
      <c r="L65" s="675">
        <f t="array" aca="1" ref="L65" ca="1">SUM(OFFSET(aeo_dem_oil_ele,begin_year-'OCS Oil SIM'!$B$10,0,length_year))*365</f>
        <v>211.80986499999997</v>
      </c>
      <c r="M65" s="675">
        <f t="array" aca="1" ref="M65" ca="1">SUM(OFFSET(sim_dem_oil_ele,begin_year-'OCS Oil SIM'!$B$11,0,length_year))*365</f>
        <v>211.81152488761305</v>
      </c>
      <c r="N65" s="675">
        <f t="shared" ca="1" si="13"/>
        <v>1.6598876130728968E-3</v>
      </c>
      <c r="O65" s="676">
        <f t="shared" ca="1" si="14"/>
        <v>7.836686988459659E-6</v>
      </c>
    </row>
    <row r="66" spans="3:15">
      <c r="C66" s="682">
        <f ca="1"/>
        <v>2031</v>
      </c>
      <c r="D66" s="677">
        <f ca="1"/>
        <v>3.8055662095159031</v>
      </c>
      <c r="E66" s="677">
        <f ca="1"/>
        <v>0.2743237312241642</v>
      </c>
      <c r="F66" s="677">
        <f ca="1"/>
        <v>9.5192476150186819E-2</v>
      </c>
      <c r="G66" s="677">
        <f ca="1"/>
        <v>-1.3482846280202556E-5</v>
      </c>
      <c r="H66" s="678">
        <f t="shared" ca="1" si="12"/>
        <v>4.1750689340439733</v>
      </c>
      <c r="K66" s="301" t="s">
        <v>274</v>
      </c>
      <c r="L66" s="302">
        <f ca="1">SUM(L61:L65)</f>
        <v>135117.82721999998</v>
      </c>
      <c r="M66" s="302">
        <f ca="1">SUM(M61:M65)</f>
        <v>135124.14785543201</v>
      </c>
      <c r="N66" s="302">
        <f t="shared" ca="1" si="13"/>
        <v>6.3206354320282117</v>
      </c>
      <c r="O66" s="418">
        <f t="shared" ca="1" si="14"/>
        <v>4.6778693545278077E-5</v>
      </c>
    </row>
    <row r="67" spans="3:15">
      <c r="C67" s="682">
        <f ca="1"/>
        <v>2032</v>
      </c>
      <c r="D67" s="677">
        <f ca="1"/>
        <v>68.112275359394346</v>
      </c>
      <c r="E67" s="677">
        <f ca="1"/>
        <v>2.5615921518058986</v>
      </c>
      <c r="F67" s="677">
        <f ca="1"/>
        <v>1.8555158610522378</v>
      </c>
      <c r="G67" s="677">
        <f ca="1"/>
        <v>2.1866486747423668E-4</v>
      </c>
      <c r="H67" s="678">
        <f t="shared" ca="1" si="12"/>
        <v>72.529602037119957</v>
      </c>
      <c r="K67" s="276" t="s">
        <v>275</v>
      </c>
      <c r="L67" s="675">
        <f ca="1">SUM(L68:L70)</f>
        <v>608617.86907303659</v>
      </c>
      <c r="M67" s="675">
        <f ca="1">SUM(M68:M70)</f>
        <v>608636.60245670984</v>
      </c>
      <c r="N67" s="675">
        <f t="shared" ca="1" si="13"/>
        <v>18.733383673243225</v>
      </c>
      <c r="O67" s="676">
        <f t="shared" ca="1" si="14"/>
        <v>3.0780206473029375E-5</v>
      </c>
    </row>
    <row r="68" spans="3:15">
      <c r="C68" s="682">
        <f ca="1"/>
        <v>2033</v>
      </c>
      <c r="D68" s="677">
        <f ca="1"/>
        <v>11.331216359209803</v>
      </c>
      <c r="E68" s="677">
        <f ca="1"/>
        <v>0.89200420791697244</v>
      </c>
      <c r="F68" s="677">
        <f ca="1"/>
        <v>0.21955348398322552</v>
      </c>
      <c r="G68" s="677">
        <f ca="1"/>
        <v>4.1101241432808802E-5</v>
      </c>
      <c r="H68" s="678">
        <f t="shared" ca="1" si="12"/>
        <v>12.442815152351434</v>
      </c>
      <c r="K68" s="492" t="s">
        <v>276</v>
      </c>
      <c r="L68" s="675">
        <f ca="1">SUM(OFFSET(aeo_dem_oil_row_crude,begin_year-'OCS Oil SIM'!$B$10,0,length_year))*365</f>
        <v>22766.242455000003</v>
      </c>
      <c r="M68" s="675">
        <f ca="1">SUM(OFFSET(sim_dem_oil_row_crude,begin_year-'OCS Oil SIM'!$B$11,0,length_year))*365</f>
        <v>22766.921009021928</v>
      </c>
      <c r="N68" s="675">
        <f ca="1">M68-L68</f>
        <v>0.67855402192435577</v>
      </c>
      <c r="O68" s="676">
        <f ca="1">N68/L68</f>
        <v>2.980527081996921E-5</v>
      </c>
    </row>
    <row r="69" spans="3:15">
      <c r="C69" s="682">
        <f ca="1"/>
        <v>2034</v>
      </c>
      <c r="D69" s="677">
        <f ca="1"/>
        <v>10.172928707097878</v>
      </c>
      <c r="E69" s="677">
        <f ca="1"/>
        <v>0.88494757080531494</v>
      </c>
      <c r="F69" s="677">
        <f ca="1"/>
        <v>0.24251649891629959</v>
      </c>
      <c r="G69" s="677">
        <f ca="1"/>
        <v>4.4144196670354687E-5</v>
      </c>
      <c r="H69" s="678">
        <f t="shared" ca="1" si="12"/>
        <v>11.300436921016162</v>
      </c>
      <c r="K69" s="492" t="s">
        <v>277</v>
      </c>
      <c r="L69" s="675">
        <f ca="1">SUM(OFFSET(aeo_dem_oil_row_ref,begin_year-'OCS Oil SIM'!$B$10,0,length_year))*365</f>
        <v>56702.302509999994</v>
      </c>
      <c r="M69" s="675">
        <f ca="1">SUM(OFFSET(sim_dem_oil_row_ref,begin_year-'OCS Oil SIM'!$B$11,0,length_year))*365</f>
        <v>56704.1601154975</v>
      </c>
      <c r="N69" s="675">
        <f ca="1">M69-L69</f>
        <v>1.857605497505574</v>
      </c>
      <c r="O69" s="676">
        <f ca="1">N69/L69</f>
        <v>3.2760671353301176E-5</v>
      </c>
    </row>
    <row r="70" spans="3:15">
      <c r="C70" s="682">
        <f ca="1"/>
        <v>2035</v>
      </c>
      <c r="D70" s="677">
        <f ca="1"/>
        <v>9.9108905761950918</v>
      </c>
      <c r="E70" s="677">
        <f ca="1"/>
        <v>0.84856123673483952</v>
      </c>
      <c r="F70" s="677">
        <f ca="1"/>
        <v>0.27091130860710178</v>
      </c>
      <c r="G70" s="677">
        <f ca="1"/>
        <v>3.041856428666742E-5</v>
      </c>
      <c r="H70" s="678">
        <f t="shared" ca="1" si="12"/>
        <v>11.03039354010132</v>
      </c>
      <c r="K70" s="495" t="s">
        <v>278</v>
      </c>
      <c r="L70" s="496">
        <f ca="1">SUM(OFFSET(aeo_dem_oil_row_non_us,begin_year-'OCS Oil SIM'!$B$10,0,length_year))*365</f>
        <v>529149.32410803658</v>
      </c>
      <c r="M70" s="496">
        <f ca="1">SUM(OFFSET(sim_dem_oil_row_non_us,begin_year-'OCS Oil SIM'!$B$11,0,length_year))*365</f>
        <v>529165.52133219037</v>
      </c>
      <c r="N70" s="496">
        <f ca="1">M70-L70</f>
        <v>16.197224153787829</v>
      </c>
      <c r="O70" s="494">
        <f ca="1">N70/L70</f>
        <v>3.0609930724357947E-5</v>
      </c>
    </row>
    <row r="71" spans="3:15">
      <c r="C71" s="682">
        <f ca="1"/>
        <v>2036</v>
      </c>
      <c r="D71" s="677">
        <f ca="1"/>
        <v>9.0788847133618837</v>
      </c>
      <c r="E71" s="677">
        <f ca="1"/>
        <v>0.79058680734521958</v>
      </c>
      <c r="F71" s="677">
        <f ca="1"/>
        <v>0.28246261526341537</v>
      </c>
      <c r="G71" s="677">
        <f ca="1"/>
        <v>2.4827215225236296E-5</v>
      </c>
      <c r="H71" s="678">
        <f t="shared" ca="1" si="12"/>
        <v>10.151958963185745</v>
      </c>
      <c r="K71" s="203" t="s">
        <v>109</v>
      </c>
      <c r="L71" s="207"/>
      <c r="M71" s="207"/>
      <c r="N71" s="305"/>
      <c r="O71" s="416"/>
    </row>
    <row r="72" spans="3:15">
      <c r="C72" s="682">
        <f ca="1"/>
        <v>2037</v>
      </c>
      <c r="D72" s="677">
        <f ca="1"/>
        <v>8.6733749353953016</v>
      </c>
      <c r="E72" s="677">
        <f ca="1"/>
        <v>0.7506566445866697</v>
      </c>
      <c r="F72" s="677">
        <f ca="1"/>
        <v>0.25359058917811089</v>
      </c>
      <c r="G72" s="677">
        <f ca="1"/>
        <v>6.1464234907628227E-5</v>
      </c>
      <c r="H72" s="678">
        <f t="shared" ca="1" si="12"/>
        <v>9.6776836333949898</v>
      </c>
      <c r="K72" s="276" t="s">
        <v>269</v>
      </c>
      <c r="L72" s="675">
        <f t="array" aca="1" ref="L72" ca="1">SUM(OFFSET(aeo_dem_gas_res,begin_year-'OCS Gas SIM'!$B$10,0,length_year))</f>
        <v>90.611159000000001</v>
      </c>
      <c r="M72" s="675">
        <f t="array" aca="1" ref="M72" ca="1">SUM(OFFSET(sim_dem_gas_res,begin_year-'OCS Gas SIM'!$B$11,0,length_year))</f>
        <v>90.610551485901681</v>
      </c>
      <c r="N72" s="675">
        <f t="shared" ref="N72:N78" ca="1" si="15">M72-L72</f>
        <v>-6.0751409831993897E-4</v>
      </c>
      <c r="O72" s="676">
        <f t="shared" ref="O72:O78" ca="1" si="16">N72/L72</f>
        <v>-6.7046278297791003E-6</v>
      </c>
    </row>
    <row r="73" spans="3:15">
      <c r="C73" s="682">
        <f ca="1"/>
        <v>2038</v>
      </c>
      <c r="D73" s="677">
        <f ca="1"/>
        <v>9.1808647492029767</v>
      </c>
      <c r="E73" s="677">
        <f ca="1"/>
        <v>0.76061848691525513</v>
      </c>
      <c r="F73" s="677">
        <f ca="1"/>
        <v>0.2702046579513524</v>
      </c>
      <c r="G73" s="677">
        <f ca="1"/>
        <v>1.5480733341365353E-5</v>
      </c>
      <c r="H73" s="678">
        <f t="shared" ca="1" si="12"/>
        <v>10.211703374802925</v>
      </c>
      <c r="K73" s="276" t="s">
        <v>270</v>
      </c>
      <c r="L73" s="675">
        <f t="array" aca="1" ref="L73" ca="1">SUM(OFFSET(aeo_dem_gas_com,begin_year-'OCS Gas SIM'!$B$10,0,length_year))</f>
        <v>66.570249000000004</v>
      </c>
      <c r="M73" s="675">
        <f t="array" aca="1" ref="M73" ca="1">SUM(OFFSET(sim_dem_gas_com,begin_year-'OCS Gas SIM'!$B$11,0,length_year))</f>
        <v>66.569914946378773</v>
      </c>
      <c r="N73" s="675">
        <f t="shared" ca="1" si="15"/>
        <v>-3.3405362123062332E-4</v>
      </c>
      <c r="O73" s="676">
        <f t="shared" ca="1" si="16"/>
        <v>-5.0180617655587152E-6</v>
      </c>
    </row>
    <row r="74" spans="3:15">
      <c r="C74" s="682">
        <f ca="1"/>
        <v>2039</v>
      </c>
      <c r="D74" s="677">
        <f ca="1"/>
        <v>8.6957314617659556</v>
      </c>
      <c r="E74" s="677">
        <f ca="1"/>
        <v>0.71264033007510985</v>
      </c>
      <c r="F74" s="677">
        <f ca="1"/>
        <v>0.23754566244741682</v>
      </c>
      <c r="G74" s="677">
        <f ca="1"/>
        <v>6.0413185672706843E-5</v>
      </c>
      <c r="H74" s="678">
        <f t="shared" ca="1" si="12"/>
        <v>9.645977867474155</v>
      </c>
      <c r="K74" s="276" t="s">
        <v>271</v>
      </c>
      <c r="L74" s="675">
        <f t="array" aca="1" ref="L74" ca="1">SUM(OFFSET(aeo_dem_gas_ind,begin_year-'OCS Gas SIM'!$B$10,0,length_year))</f>
        <v>209.46980300000001</v>
      </c>
      <c r="M74" s="675">
        <f t="array" aca="1" ref="M74" ca="1">SUM(OFFSET(sim_dem_gas_ind,begin_year-'OCS Gas SIM'!$B$11,0,length_year))</f>
        <v>209.46869814503205</v>
      </c>
      <c r="N74" s="675">
        <f t="shared" ca="1" si="15"/>
        <v>-1.104854967962865E-3</v>
      </c>
      <c r="O74" s="676">
        <f t="shared" ca="1" si="16"/>
        <v>-5.2745309927219675E-6</v>
      </c>
    </row>
    <row r="75" spans="3:15">
      <c r="C75" s="682">
        <f ca="1"/>
        <v>2040</v>
      </c>
      <c r="D75" s="677">
        <f ca="1"/>
        <v>9.4548861005542069</v>
      </c>
      <c r="E75" s="677">
        <f ca="1"/>
        <v>0.72404449496318746</v>
      </c>
      <c r="F75" s="677">
        <f ca="1"/>
        <v>0.24881206067181616</v>
      </c>
      <c r="G75" s="677">
        <f ca="1"/>
        <v>4.2218375015977332E-5</v>
      </c>
      <c r="H75" s="678">
        <f t="shared" ca="1" si="12"/>
        <v>10.427784874564228</v>
      </c>
      <c r="K75" s="669" t="s">
        <v>272</v>
      </c>
      <c r="L75" s="675">
        <f t="array" aca="1" ref="L75" ca="1">SUM(OFFSET(aeo_dem_gas_tra,begin_year-'OCS Gas SIM'!$B$10,0,length_year))</f>
        <v>27.865111000000002</v>
      </c>
      <c r="M75" s="675">
        <f t="array" aca="1" ref="M75" ca="1">SUM(OFFSET(sim_dem_gas_tra,begin_year-'OCS Gas SIM'!$B$11,0,length_year))</f>
        <v>27.86754841235264</v>
      </c>
      <c r="N75" s="675">
        <f t="shared" ca="1" si="15"/>
        <v>2.4374123526378355E-3</v>
      </c>
      <c r="O75" s="676">
        <f t="shared" ca="1" si="16"/>
        <v>8.7471833600010976E-5</v>
      </c>
    </row>
    <row r="76" spans="3:15">
      <c r="C76" s="682">
        <f ca="1"/>
        <v>2041</v>
      </c>
      <c r="D76" s="677">
        <f ca="1"/>
        <v>9.249331775333463</v>
      </c>
      <c r="E76" s="677">
        <f ca="1"/>
        <v>0.73667716701364916</v>
      </c>
      <c r="F76" s="677">
        <f ca="1"/>
        <v>0.2206924501860133</v>
      </c>
      <c r="G76" s="677">
        <f ca="1"/>
        <v>4.8213664626871768E-5</v>
      </c>
      <c r="H76" s="678">
        <f t="shared" ca="1" si="12"/>
        <v>10.206749606197752</v>
      </c>
      <c r="K76" s="276" t="s">
        <v>273</v>
      </c>
      <c r="L76" s="675">
        <f t="array" aca="1" ref="L76" ca="1">SUM(OFFSET(aeo_dem_gas_ele,begin_year-'OCS Gas SIM'!$B$10,0,length_year))</f>
        <v>143.41004199999998</v>
      </c>
      <c r="M76" s="675">
        <f t="array" aca="1" ref="M76" ca="1">SUM(OFFSET(sim_dem_gas_ele,begin_year-'OCS Gas SIM'!$B$11,0,length_year))</f>
        <v>143.41164819511391</v>
      </c>
      <c r="N76" s="675">
        <f t="shared" ca="1" si="15"/>
        <v>1.6061951139363373E-3</v>
      </c>
      <c r="O76" s="676">
        <f t="shared" ca="1" si="16"/>
        <v>1.120001843341164E-5</v>
      </c>
    </row>
    <row r="77" spans="3:15">
      <c r="C77" s="682">
        <f ca="1"/>
        <v>2042</v>
      </c>
      <c r="D77" s="677">
        <f ca="1"/>
        <v>10.219442758924888</v>
      </c>
      <c r="E77" s="677">
        <f ca="1"/>
        <v>0.70512204637238407</v>
      </c>
      <c r="F77" s="677">
        <f ca="1"/>
        <v>0.21744939459357973</v>
      </c>
      <c r="G77" s="677">
        <f ca="1"/>
        <v>3.7904144594436754E-5</v>
      </c>
      <c r="H77" s="678">
        <f t="shared" ca="1" si="12"/>
        <v>11.142052104035447</v>
      </c>
      <c r="K77" s="310" t="s">
        <v>274</v>
      </c>
      <c r="L77" s="302">
        <f ca="1">SUM(L72:L76)</f>
        <v>537.92636399999992</v>
      </c>
      <c r="M77" s="302">
        <f ca="1">SUM(M72:M76)</f>
        <v>537.92836118477908</v>
      </c>
      <c r="N77" s="302">
        <f t="shared" ca="1" si="15"/>
        <v>1.9971847791566688E-3</v>
      </c>
      <c r="O77" s="418">
        <f t="shared" ca="1" si="16"/>
        <v>3.7127475298025531E-6</v>
      </c>
    </row>
    <row r="78" spans="3:15">
      <c r="C78" s="682">
        <f ca="1"/>
        <v>2043</v>
      </c>
      <c r="D78" s="677">
        <f ca="1"/>
        <v>10.409588331773042</v>
      </c>
      <c r="E78" s="677">
        <f ca="1"/>
        <v>0.68148974716399824</v>
      </c>
      <c r="F78" s="677">
        <f ca="1"/>
        <v>0.21336678412867546</v>
      </c>
      <c r="G78" s="677">
        <f ca="1"/>
        <v>4.2673391684014178E-5</v>
      </c>
      <c r="H78" s="678">
        <f t="shared" ca="1" si="12"/>
        <v>11.304487536457401</v>
      </c>
      <c r="K78" s="202" t="s">
        <v>279</v>
      </c>
      <c r="L78" s="208">
        <f t="array" aca="1" ref="L78" ca="1">SUM(OFFSET(aeo_dem_gas_exp,begin_year-'OCS Gas SIM'!$B$10,0,length_year))</f>
        <v>238.15214700000001</v>
      </c>
      <c r="M78" s="208">
        <f t="array" aca="1" ref="M78" ca="1">SUM(OFFSET(sim_dem_gas_exp,begin_year-'OCS Gas SIM'!$B$11,0,length_year))</f>
        <v>238.16801522499981</v>
      </c>
      <c r="N78" s="208">
        <f t="shared" ca="1" si="15"/>
        <v>1.5868224999792346E-2</v>
      </c>
      <c r="O78" s="415">
        <f t="shared" ca="1" si="16"/>
        <v>6.6630619121784971E-5</v>
      </c>
    </row>
    <row r="79" spans="3:15">
      <c r="C79" s="682">
        <f ca="1"/>
        <v>2044</v>
      </c>
      <c r="D79" s="677">
        <f ca="1"/>
        <v>10.673235357198328</v>
      </c>
      <c r="E79" s="677">
        <f ca="1"/>
        <v>0.67606249777024352</v>
      </c>
      <c r="F79" s="677">
        <f ca="1"/>
        <v>0.19275270245937348</v>
      </c>
      <c r="G79" s="677">
        <f ca="1"/>
        <v>3.3829012171213592E-5</v>
      </c>
      <c r="H79" s="678">
        <f t="shared" ca="1" si="12"/>
        <v>11.542084386440115</v>
      </c>
      <c r="K79" s="203" t="s">
        <v>119</v>
      </c>
      <c r="L79" s="207"/>
      <c r="M79" s="207"/>
      <c r="N79" s="305"/>
      <c r="O79" s="416"/>
    </row>
    <row r="80" spans="3:15">
      <c r="C80" s="682" t="e">
        <f ca="1"/>
        <v>#N/A</v>
      </c>
      <c r="D80" s="677" t="e">
        <f ca="1"/>
        <v>#N/A</v>
      </c>
      <c r="E80" s="677" t="e">
        <f ca="1"/>
        <v>#N/A</v>
      </c>
      <c r="F80" s="677" t="e">
        <f ca="1"/>
        <v>#N/A</v>
      </c>
      <c r="G80" s="677" t="e">
        <f ca="1"/>
        <v>#N/A</v>
      </c>
      <c r="H80" s="678" t="e">
        <f t="shared" ca="1" si="12"/>
        <v>#N/A</v>
      </c>
      <c r="K80" s="311" t="s">
        <v>271</v>
      </c>
      <c r="L80" s="312">
        <f t="array" aca="1" ref="L80" ca="1">SUM(OFFSET(aeo_dem_coa_ind,begin_year-'OCS Oil SIM'!$B$10,0,length_year))</f>
        <v>658.72661700000003</v>
      </c>
      <c r="M80" s="312">
        <f t="array" aca="1" ref="M80" ca="1">SUM(OFFSET(sim_dem_coa_ind,begin_year-'OCS Oil SIM'!$B$11,0,length_year))</f>
        <v>658.69065702448643</v>
      </c>
      <c r="N80" s="675">
        <f ca="1">M80-L80</f>
        <v>-3.5959975513605968E-2</v>
      </c>
      <c r="O80" s="419">
        <f ca="1">N80/L80</f>
        <v>-5.4590135855412028E-5</v>
      </c>
    </row>
    <row r="81" spans="3:15">
      <c r="C81" s="682" t="e">
        <f ca="1"/>
        <v>#N/A</v>
      </c>
      <c r="D81" s="677" t="e">
        <f ca="1"/>
        <v>#N/A</v>
      </c>
      <c r="E81" s="677" t="e">
        <f ca="1"/>
        <v>#N/A</v>
      </c>
      <c r="F81" s="677" t="e">
        <f ca="1"/>
        <v>#N/A</v>
      </c>
      <c r="G81" s="677" t="e">
        <f ca="1"/>
        <v>#N/A</v>
      </c>
      <c r="H81" s="678" t="e">
        <f t="shared" ca="1" si="12"/>
        <v>#N/A</v>
      </c>
      <c r="K81" s="669" t="s">
        <v>273</v>
      </c>
      <c r="L81" s="675">
        <f t="array" aca="1" ref="L81" ca="1">SUM(OFFSET(aeo_dem_coa_ele,begin_year-'OCS Oil SIM'!$B$10,0,length_year))</f>
        <v>3644.2662799999998</v>
      </c>
      <c r="M81" s="675">
        <f t="array" aca="1" ref="M81" ca="1">SUM(OFFSET(sim_dem_coa_ele,begin_year-'OCS Oil SIM'!$B$11,0,length_year))</f>
        <v>3644.2601594795842</v>
      </c>
      <c r="N81" s="675">
        <f ca="1">M81-L81</f>
        <v>-6.1205204156067339E-3</v>
      </c>
      <c r="O81" s="676">
        <f ca="1">N81/L81</f>
        <v>-1.6794931943356055E-6</v>
      </c>
    </row>
    <row r="82" spans="3:15">
      <c r="C82" s="682" t="e">
        <f ca="1"/>
        <v>#N/A</v>
      </c>
      <c r="D82" s="677" t="e">
        <f ca="1"/>
        <v>#N/A</v>
      </c>
      <c r="E82" s="677" t="e">
        <f ca="1"/>
        <v>#N/A</v>
      </c>
      <c r="F82" s="677" t="e">
        <f ca="1"/>
        <v>#N/A</v>
      </c>
      <c r="G82" s="677" t="e">
        <f ca="1"/>
        <v>#N/A</v>
      </c>
      <c r="H82" s="678" t="e">
        <f t="shared" ca="1" si="12"/>
        <v>#N/A</v>
      </c>
      <c r="K82" s="276" t="s">
        <v>280</v>
      </c>
      <c r="L82" s="675">
        <f t="array" aca="1" ref="L82" ca="1">SUM(OFFSET(aeo_dem_coa_oth,begin_year-'OCS Oil SIM'!$B$10,0,length_year))</f>
        <v>-53.380129000000011</v>
      </c>
      <c r="M82" s="675">
        <f t="array" aca="1" ref="M82" ca="1">SUM(OFFSET(sim_dem_coa_oth,begin_year-'OCS Oil SIM'!$B$11,0,length_year))</f>
        <v>-53.380410258865147</v>
      </c>
      <c r="N82" s="675">
        <f ca="1">M82-L82</f>
        <v>-2.8125886513663545E-4</v>
      </c>
      <c r="O82" s="676">
        <f ca="1">N82/L82</f>
        <v>5.2689806189234833E-6</v>
      </c>
    </row>
    <row r="83" spans="3:15">
      <c r="C83" s="682" t="e">
        <f ca="1"/>
        <v>#N/A</v>
      </c>
      <c r="D83" s="677" t="e">
        <f ca="1"/>
        <v>#N/A</v>
      </c>
      <c r="E83" s="677" t="e">
        <f ca="1"/>
        <v>#N/A</v>
      </c>
      <c r="F83" s="677" t="e">
        <f ca="1"/>
        <v>#N/A</v>
      </c>
      <c r="G83" s="677" t="e">
        <f ca="1"/>
        <v>#N/A</v>
      </c>
      <c r="H83" s="678" t="e">
        <f t="shared" ca="1" si="12"/>
        <v>#N/A</v>
      </c>
      <c r="K83" s="310" t="s">
        <v>274</v>
      </c>
      <c r="L83" s="302">
        <f ca="1">SUM(L80:L82)</f>
        <v>4249.612768</v>
      </c>
      <c r="M83" s="302">
        <f ca="1">SUM(M80:M82)</f>
        <v>4249.570406245205</v>
      </c>
      <c r="N83" s="302">
        <f ca="1">M83-L83</f>
        <v>-4.2361754794910667E-2</v>
      </c>
      <c r="O83" s="418">
        <f ca="1">N83/L83</f>
        <v>-9.9683799695583622E-6</v>
      </c>
    </row>
    <row r="84" spans="3:15">
      <c r="C84" s="682" t="e">
        <f ca="1"/>
        <v>#N/A</v>
      </c>
      <c r="D84" s="677" t="e">
        <f ca="1"/>
        <v>#N/A</v>
      </c>
      <c r="E84" s="677" t="e">
        <f ca="1"/>
        <v>#N/A</v>
      </c>
      <c r="F84" s="677" t="e">
        <f ca="1"/>
        <v>#N/A</v>
      </c>
      <c r="G84" s="677" t="e">
        <f ca="1"/>
        <v>#N/A</v>
      </c>
      <c r="H84" s="678" t="e">
        <f t="shared" ca="1" si="12"/>
        <v>#N/A</v>
      </c>
      <c r="K84" s="202" t="s">
        <v>279</v>
      </c>
      <c r="L84" s="208">
        <f t="array" aca="1" ref="L84" ca="1">SUM(OFFSET(aeo_dem_coa_exp,begin_year-'OCS Oil SIM'!$B$10,0,length_year))</f>
        <v>2164.8564919999999</v>
      </c>
      <c r="M84" s="208">
        <f t="array" aca="1" ref="M84" ca="1">SUM(OFFSET(sim_dem_coa_exp,begin_year-'OCS Oil SIM'!$B$11,0,length_year))</f>
        <v>2164.8583244439615</v>
      </c>
      <c r="N84" s="208">
        <f ca="1">M84-L84</f>
        <v>1.8324439615753363E-3</v>
      </c>
      <c r="O84" s="415">
        <f ca="1">N84/L84</f>
        <v>8.4645054688241037E-7</v>
      </c>
    </row>
    <row r="85" spans="3:15">
      <c r="C85" s="682" t="e">
        <f ca="1"/>
        <v>#N/A</v>
      </c>
      <c r="D85" s="677" t="e">
        <f ca="1"/>
        <v>#N/A</v>
      </c>
      <c r="E85" s="677" t="e">
        <f ca="1"/>
        <v>#N/A</v>
      </c>
      <c r="F85" s="677" t="e">
        <f ca="1"/>
        <v>#N/A</v>
      </c>
      <c r="G85" s="677" t="e">
        <f ca="1"/>
        <v>#N/A</v>
      </c>
      <c r="H85" s="678" t="e">
        <f t="shared" ca="1" si="12"/>
        <v>#N/A</v>
      </c>
      <c r="K85" s="203" t="s">
        <v>123</v>
      </c>
      <c r="L85" s="207"/>
      <c r="M85" s="207"/>
      <c r="N85" s="305"/>
      <c r="O85" s="416"/>
    </row>
    <row r="86" spans="3:15">
      <c r="C86" s="682" t="e">
        <f ca="1"/>
        <v>#N/A</v>
      </c>
      <c r="D86" s="677" t="e">
        <f ca="1"/>
        <v>#N/A</v>
      </c>
      <c r="E86" s="677" t="e">
        <f ca="1"/>
        <v>#N/A</v>
      </c>
      <c r="F86" s="677" t="e">
        <f ca="1"/>
        <v>#N/A</v>
      </c>
      <c r="G86" s="677" t="e">
        <f ca="1"/>
        <v>#N/A</v>
      </c>
      <c r="H86" s="678" t="e">
        <f t="shared" ca="1" si="12"/>
        <v>#N/A</v>
      </c>
      <c r="K86" s="276" t="s">
        <v>281</v>
      </c>
      <c r="L86" s="675">
        <f t="array" aca="1" ref="L86" ca="1">SUM(OFFSET(aeo_dem_ele_res,begin_year-'OCS Gas SIM'!$B$10,0,length_year))</f>
        <v>28936.493012626859</v>
      </c>
      <c r="M86" s="675">
        <f t="array" aca="1" ref="M86" ca="1">SUM(OFFSET(sim_dem_ele_res,begin_year-'OCS Gas SIM'!$B$11,0,length_year))</f>
        <v>28935.304457197519</v>
      </c>
      <c r="N86" s="675">
        <f t="shared" ref="N86:N91" ca="1" si="17">M86-L86</f>
        <v>-1.1885554293403402</v>
      </c>
      <c r="O86" s="676">
        <f t="shared" ref="O86:O91" ca="1" si="18">N86/L86</f>
        <v>-4.1074619126156606E-5</v>
      </c>
    </row>
    <row r="87" spans="3:15">
      <c r="C87" s="682" t="e">
        <f ca="1"/>
        <v>#N/A</v>
      </c>
      <c r="D87" s="677" t="e">
        <f ca="1"/>
        <v>#N/A</v>
      </c>
      <c r="E87" s="677" t="e">
        <f ca="1"/>
        <v>#N/A</v>
      </c>
      <c r="F87" s="677" t="e">
        <f ca="1"/>
        <v>#N/A</v>
      </c>
      <c r="G87" s="677" t="e">
        <f ca="1"/>
        <v>#N/A</v>
      </c>
      <c r="H87" s="678" t="e">
        <f t="shared" ca="1" si="12"/>
        <v>#N/A</v>
      </c>
      <c r="K87" s="276" t="s">
        <v>282</v>
      </c>
      <c r="L87" s="675">
        <f t="array" aca="1" ref="L87" ca="1">SUM(OFFSET(aeo_dem_ele_com,begin_year-'OCS Gas SIM'!$B$10,0,length_year))</f>
        <v>24846.11691162466</v>
      </c>
      <c r="M87" s="675">
        <f t="array" aca="1" ref="M87" ca="1">SUM(OFFSET(sim_dem_ele_com,begin_year-'OCS Gas SIM'!$B$11,0,length_year))</f>
        <v>24845.669413857129</v>
      </c>
      <c r="N87" s="675">
        <f t="shared" ca="1" si="17"/>
        <v>-0.44749776753087644</v>
      </c>
      <c r="O87" s="676">
        <f t="shared" ca="1" si="18"/>
        <v>-1.8010772835151047E-5</v>
      </c>
    </row>
    <row r="88" spans="3:15">
      <c r="C88" s="682" t="e">
        <f ca="1"/>
        <v>#N/A</v>
      </c>
      <c r="D88" s="677" t="e">
        <f ca="1"/>
        <v>#N/A</v>
      </c>
      <c r="E88" s="677" t="e">
        <f ca="1"/>
        <v>#N/A</v>
      </c>
      <c r="F88" s="677" t="e">
        <f ca="1"/>
        <v>#N/A</v>
      </c>
      <c r="G88" s="677" t="e">
        <f ca="1"/>
        <v>#N/A</v>
      </c>
      <c r="H88" s="678" t="e">
        <f t="shared" ca="1" si="12"/>
        <v>#N/A</v>
      </c>
      <c r="K88" s="276" t="s">
        <v>283</v>
      </c>
      <c r="L88" s="675">
        <f t="array" aca="1" ref="L88" ca="1">SUM(OFFSET(aeo_dem_ele_ind,begin_year-'OCS Gas SIM'!$B$10,0,length_year))</f>
        <v>19439.961938232696</v>
      </c>
      <c r="M88" s="675">
        <f t="array" aca="1" ref="M88" ca="1">SUM(OFFSET(sim_dem_ele_ind,begin_year-'OCS Gas SIM'!$B$11,0,length_year))</f>
        <v>19439.794554477117</v>
      </c>
      <c r="N88" s="675">
        <f t="shared" ca="1" si="17"/>
        <v>-0.16738375557906693</v>
      </c>
      <c r="O88" s="676">
        <f t="shared" ca="1" si="18"/>
        <v>-8.6102923509264812E-6</v>
      </c>
    </row>
    <row r="89" spans="3:15">
      <c r="C89" s="682" t="e">
        <f ca="1"/>
        <v>#N/A</v>
      </c>
      <c r="D89" s="677" t="e">
        <f ca="1"/>
        <v>#N/A</v>
      </c>
      <c r="E89" s="677" t="e">
        <f ca="1"/>
        <v>#N/A</v>
      </c>
      <c r="F89" s="677" t="e">
        <f ca="1"/>
        <v>#N/A</v>
      </c>
      <c r="G89" s="677" t="e">
        <f ca="1"/>
        <v>#N/A</v>
      </c>
      <c r="H89" s="678" t="e">
        <f t="shared" ca="1" si="12"/>
        <v>#N/A</v>
      </c>
      <c r="K89" s="276" t="s">
        <v>284</v>
      </c>
      <c r="L89" s="675">
        <f t="array" aca="1" ref="L89" ca="1">SUM(OFFSET(aeo_dem_ele_tra,begin_year-'OCS Gas SIM'!$B$10,0,length_year))</f>
        <v>2088.7288275995393</v>
      </c>
      <c r="M89" s="675">
        <f t="array" aca="1" ref="M89" ca="1">SUM(OFFSET(sim_dem_ele_tra,begin_year-'OCS Gas SIM'!$B$11,0,length_year))</f>
        <v>2088.8630090443385</v>
      </c>
      <c r="N89" s="675">
        <f t="shared" ca="1" si="17"/>
        <v>0.13418144479919647</v>
      </c>
      <c r="O89" s="676">
        <f t="shared" ca="1" si="18"/>
        <v>6.4240720492857753E-5</v>
      </c>
    </row>
    <row r="90" spans="3:15">
      <c r="C90" s="682" t="e">
        <f ca="1"/>
        <v>#N/A</v>
      </c>
      <c r="D90" s="677" t="e">
        <f ca="1"/>
        <v>#N/A</v>
      </c>
      <c r="E90" s="677" t="e">
        <f ca="1"/>
        <v>#N/A</v>
      </c>
      <c r="F90" s="677" t="e">
        <f ca="1"/>
        <v>#N/A</v>
      </c>
      <c r="G90" s="677" t="e">
        <f ca="1"/>
        <v>#N/A</v>
      </c>
      <c r="H90" s="678" t="e">
        <f t="shared" ca="1" si="12"/>
        <v>#N/A</v>
      </c>
      <c r="K90" s="276" t="s">
        <v>200</v>
      </c>
      <c r="L90" s="675">
        <f t="array" aca="1" ref="L90" ca="1">SUM(OFFSET(aeo_dem_ele_oth,begin_year-'OCS Oil SIM'!$B$10,0,length_year))</f>
        <v>5654.7700809162443</v>
      </c>
      <c r="M90" s="675">
        <f t="array" aca="1" ref="M90" ca="1">SUM(OFFSET(sim_dem_ele_oth,begin_year-'OCS Oil SIM'!$B$11,0,length_year))</f>
        <v>5654.8179542694843</v>
      </c>
      <c r="N90" s="675">
        <f t="shared" ca="1" si="17"/>
        <v>4.7873353239992866E-2</v>
      </c>
      <c r="O90" s="676">
        <f t="shared" ca="1" si="18"/>
        <v>8.4660123320585886E-6</v>
      </c>
    </row>
    <row r="91" spans="3:15">
      <c r="C91" s="682" t="e">
        <f ca="1"/>
        <v>#N/A</v>
      </c>
      <c r="D91" s="677" t="e">
        <f ca="1"/>
        <v>#N/A</v>
      </c>
      <c r="E91" s="677" t="e">
        <f ca="1"/>
        <v>#N/A</v>
      </c>
      <c r="F91" s="677" t="e">
        <f ca="1"/>
        <v>#N/A</v>
      </c>
      <c r="G91" s="677" t="e">
        <f ca="1"/>
        <v>#N/A</v>
      </c>
      <c r="H91" s="678" t="e">
        <f t="shared" ca="1" si="12"/>
        <v>#N/A</v>
      </c>
      <c r="K91" s="303" t="s">
        <v>274</v>
      </c>
      <c r="L91" s="304">
        <f ca="1">SUM(L86:L90)</f>
        <v>80966.070770999999</v>
      </c>
      <c r="M91" s="304">
        <f ca="1">SUM(M86:M90)</f>
        <v>80964.449388845591</v>
      </c>
      <c r="N91" s="304">
        <f t="shared" ca="1" si="17"/>
        <v>-1.621382154407911</v>
      </c>
      <c r="O91" s="417">
        <f t="shared" ca="1" si="18"/>
        <v>-2.0025451883341844E-5</v>
      </c>
    </row>
    <row r="92" spans="3:15">
      <c r="C92" s="682" t="e">
        <f ca="1"/>
        <v>#N/A</v>
      </c>
      <c r="D92" s="677" t="e">
        <f ca="1"/>
        <v>#N/A</v>
      </c>
      <c r="E92" s="677" t="e">
        <f ca="1"/>
        <v>#N/A</v>
      </c>
      <c r="F92" s="677" t="e">
        <f ca="1"/>
        <v>#N/A</v>
      </c>
      <c r="G92" s="677" t="e">
        <f ca="1"/>
        <v>#N/A</v>
      </c>
      <c r="H92" s="678" t="e">
        <f t="shared" ca="1" si="12"/>
        <v>#N/A</v>
      </c>
    </row>
    <row r="93" spans="3:15">
      <c r="C93" s="682" t="e">
        <f ca="1"/>
        <v>#N/A</v>
      </c>
      <c r="D93" s="677" t="e">
        <f ca="1"/>
        <v>#N/A</v>
      </c>
      <c r="E93" s="677" t="e">
        <f ca="1"/>
        <v>#N/A</v>
      </c>
      <c r="F93" s="677" t="e">
        <f ca="1"/>
        <v>#N/A</v>
      </c>
      <c r="G93" s="677" t="e">
        <f ca="1"/>
        <v>#N/A</v>
      </c>
      <c r="H93" s="678" t="e">
        <f t="shared" ca="1" si="12"/>
        <v>#N/A</v>
      </c>
    </row>
    <row r="94" spans="3:15">
      <c r="C94" s="682" t="e">
        <f ca="1"/>
        <v>#N/A</v>
      </c>
      <c r="D94" s="677" t="e">
        <f ca="1"/>
        <v>#N/A</v>
      </c>
      <c r="E94" s="677" t="e">
        <f ca="1"/>
        <v>#N/A</v>
      </c>
      <c r="F94" s="677" t="e">
        <f ca="1"/>
        <v>#N/A</v>
      </c>
      <c r="G94" s="677" t="e">
        <f ca="1"/>
        <v>#N/A</v>
      </c>
      <c r="H94" s="678" t="e">
        <f t="shared" ca="1" si="12"/>
        <v>#N/A</v>
      </c>
    </row>
    <row r="95" spans="3:15">
      <c r="C95" s="682" t="e">
        <f ca="1"/>
        <v>#N/A</v>
      </c>
      <c r="D95" s="677" t="e">
        <f ca="1"/>
        <v>#N/A</v>
      </c>
      <c r="E95" s="677" t="e">
        <f ca="1"/>
        <v>#N/A</v>
      </c>
      <c r="F95" s="677" t="e">
        <f ca="1"/>
        <v>#N/A</v>
      </c>
      <c r="G95" s="677" t="e">
        <f ca="1"/>
        <v>#N/A</v>
      </c>
      <c r="H95" s="678" t="e">
        <f t="shared" ca="1" si="12"/>
        <v>#N/A</v>
      </c>
    </row>
    <row r="96" spans="3:15">
      <c r="C96" s="682" t="e">
        <f ca="1"/>
        <v>#N/A</v>
      </c>
      <c r="D96" s="677" t="e">
        <f ca="1"/>
        <v>#N/A</v>
      </c>
      <c r="E96" s="677" t="e">
        <f ca="1"/>
        <v>#N/A</v>
      </c>
      <c r="F96" s="677" t="e">
        <f ca="1"/>
        <v>#N/A</v>
      </c>
      <c r="G96" s="677" t="e">
        <f ca="1"/>
        <v>#N/A</v>
      </c>
      <c r="H96" s="678" t="e">
        <f t="shared" ca="1" si="12"/>
        <v>#N/A</v>
      </c>
    </row>
    <row r="97" spans="3:8">
      <c r="C97" s="682" t="e">
        <f ca="1"/>
        <v>#N/A</v>
      </c>
      <c r="D97" s="677" t="e">
        <f ca="1"/>
        <v>#N/A</v>
      </c>
      <c r="E97" s="677" t="e">
        <f ca="1"/>
        <v>#N/A</v>
      </c>
      <c r="F97" s="677" t="e">
        <f ca="1"/>
        <v>#N/A</v>
      </c>
      <c r="G97" s="677" t="e">
        <f ca="1"/>
        <v>#N/A</v>
      </c>
      <c r="H97" s="678" t="e">
        <f t="shared" ca="1" si="12"/>
        <v>#N/A</v>
      </c>
    </row>
    <row r="98" spans="3:8">
      <c r="C98" s="682" t="e">
        <f ca="1"/>
        <v>#N/A</v>
      </c>
      <c r="D98" s="677" t="e">
        <f ca="1"/>
        <v>#N/A</v>
      </c>
      <c r="E98" s="677" t="e">
        <f ca="1"/>
        <v>#N/A</v>
      </c>
      <c r="F98" s="677" t="e">
        <f ca="1"/>
        <v>#N/A</v>
      </c>
      <c r="G98" s="677" t="e">
        <f ca="1"/>
        <v>#N/A</v>
      </c>
      <c r="H98" s="678" t="e">
        <f t="shared" ca="1" si="12"/>
        <v>#N/A</v>
      </c>
    </row>
    <row r="99" spans="3:8">
      <c r="C99" s="682" t="e">
        <f ca="1"/>
        <v>#N/A</v>
      </c>
      <c r="D99" s="677" t="e">
        <f ca="1"/>
        <v>#N/A</v>
      </c>
      <c r="E99" s="677" t="e">
        <f ca="1"/>
        <v>#N/A</v>
      </c>
      <c r="F99" s="677" t="e">
        <f ca="1"/>
        <v>#N/A</v>
      </c>
      <c r="G99" s="677" t="e">
        <f ca="1"/>
        <v>#N/A</v>
      </c>
      <c r="H99" s="678" t="e">
        <f t="shared" ca="1" si="12"/>
        <v>#N/A</v>
      </c>
    </row>
    <row r="100" spans="3:8">
      <c r="C100" s="682" t="e">
        <f ca="1"/>
        <v>#N/A</v>
      </c>
      <c r="D100" s="677" t="e">
        <f ca="1"/>
        <v>#N/A</v>
      </c>
      <c r="E100" s="677" t="e">
        <f ca="1"/>
        <v>#N/A</v>
      </c>
      <c r="F100" s="677" t="e">
        <f ca="1"/>
        <v>#N/A</v>
      </c>
      <c r="G100" s="677" t="e">
        <f ca="1"/>
        <v>#N/A</v>
      </c>
      <c r="H100" s="678" t="e">
        <f t="shared" ca="1" si="12"/>
        <v>#N/A</v>
      </c>
    </row>
    <row r="101" spans="3:8">
      <c r="C101" s="682" t="e">
        <f ca="1"/>
        <v>#N/A</v>
      </c>
      <c r="D101" s="677" t="e">
        <f ca="1"/>
        <v>#N/A</v>
      </c>
      <c r="E101" s="677" t="e">
        <f ca="1"/>
        <v>#N/A</v>
      </c>
      <c r="F101" s="677" t="e">
        <f ca="1"/>
        <v>#N/A</v>
      </c>
      <c r="G101" s="677" t="e">
        <f ca="1"/>
        <v>#N/A</v>
      </c>
      <c r="H101" s="678" t="e">
        <f t="shared" ca="1" si="12"/>
        <v>#N/A</v>
      </c>
    </row>
    <row r="102" spans="3:8">
      <c r="C102" s="682" t="e">
        <f ca="1"/>
        <v>#N/A</v>
      </c>
      <c r="D102" s="677" t="e">
        <f ca="1"/>
        <v>#N/A</v>
      </c>
      <c r="E102" s="677" t="e">
        <f ca="1"/>
        <v>#N/A</v>
      </c>
      <c r="F102" s="677" t="e">
        <f ca="1"/>
        <v>#N/A</v>
      </c>
      <c r="G102" s="677" t="e">
        <f ca="1"/>
        <v>#N/A</v>
      </c>
      <c r="H102" s="678" t="e">
        <f t="shared" ca="1" si="12"/>
        <v>#N/A</v>
      </c>
    </row>
    <row r="103" spans="3:8">
      <c r="C103" s="682" t="e">
        <f ca="1"/>
        <v>#N/A</v>
      </c>
      <c r="D103" s="677" t="e">
        <f ca="1"/>
        <v>#N/A</v>
      </c>
      <c r="E103" s="677" t="e">
        <f ca="1"/>
        <v>#N/A</v>
      </c>
      <c r="F103" s="677" t="e">
        <f ca="1"/>
        <v>#N/A</v>
      </c>
      <c r="G103" s="677" t="e">
        <f ca="1"/>
        <v>#N/A</v>
      </c>
      <c r="H103" s="678" t="e">
        <f t="shared" ca="1" si="12"/>
        <v>#N/A</v>
      </c>
    </row>
    <row r="104" spans="3:8">
      <c r="C104" s="682" t="e">
        <f ca="1"/>
        <v>#N/A</v>
      </c>
      <c r="D104" s="677" t="e">
        <f ca="1"/>
        <v>#N/A</v>
      </c>
      <c r="E104" s="677" t="e">
        <f ca="1"/>
        <v>#N/A</v>
      </c>
      <c r="F104" s="677" t="e">
        <f ca="1"/>
        <v>#N/A</v>
      </c>
      <c r="G104" s="677" t="e">
        <f ca="1"/>
        <v>#N/A</v>
      </c>
      <c r="H104" s="678" t="e">
        <f t="shared" ca="1" si="12"/>
        <v>#N/A</v>
      </c>
    </row>
    <row r="105" spans="3:8">
      <c r="C105" s="682" t="e">
        <f ca="1"/>
        <v>#N/A</v>
      </c>
      <c r="D105" s="677" t="e">
        <f ca="1"/>
        <v>#N/A</v>
      </c>
      <c r="E105" s="677" t="e">
        <f ca="1"/>
        <v>#N/A</v>
      </c>
      <c r="F105" s="677" t="e">
        <f ca="1"/>
        <v>#N/A</v>
      </c>
      <c r="G105" s="677" t="e">
        <f ca="1"/>
        <v>#N/A</v>
      </c>
      <c r="H105" s="678" t="e">
        <f t="shared" ca="1" si="12"/>
        <v>#N/A</v>
      </c>
    </row>
    <row r="106" spans="3:8">
      <c r="C106" s="682" t="e">
        <f ca="1"/>
        <v>#N/A</v>
      </c>
      <c r="D106" s="677" t="e">
        <f ca="1"/>
        <v>#N/A</v>
      </c>
      <c r="E106" s="677" t="e">
        <f ca="1"/>
        <v>#N/A</v>
      </c>
      <c r="F106" s="677" t="e">
        <f ca="1"/>
        <v>#N/A</v>
      </c>
      <c r="G106" s="677" t="e">
        <f ca="1"/>
        <v>#N/A</v>
      </c>
      <c r="H106" s="678" t="e">
        <f t="shared" ca="1" si="12"/>
        <v>#N/A</v>
      </c>
    </row>
    <row r="107" spans="3:8">
      <c r="C107" s="682" t="e">
        <f ca="1"/>
        <v>#N/A</v>
      </c>
      <c r="D107" s="677" t="e">
        <f ca="1"/>
        <v>#N/A</v>
      </c>
      <c r="E107" s="677" t="e">
        <f ca="1"/>
        <v>#N/A</v>
      </c>
      <c r="F107" s="677" t="e">
        <f ca="1"/>
        <v>#N/A</v>
      </c>
      <c r="G107" s="677" t="e">
        <f ca="1"/>
        <v>#N/A</v>
      </c>
      <c r="H107" s="677" t="e">
        <f t="shared" ca="1" si="12"/>
        <v>#N/A</v>
      </c>
    </row>
    <row r="108" spans="3:8">
      <c r="C108" s="682" t="e">
        <f ca="1"/>
        <v>#N/A</v>
      </c>
      <c r="D108" s="677" t="e">
        <f ca="1"/>
        <v>#N/A</v>
      </c>
      <c r="E108" s="677" t="e">
        <f ca="1"/>
        <v>#N/A</v>
      </c>
      <c r="F108" s="677" t="e">
        <f ca="1"/>
        <v>#N/A</v>
      </c>
      <c r="G108" s="677" t="e">
        <f ca="1"/>
        <v>#N/A</v>
      </c>
      <c r="H108" s="677" t="e">
        <f t="shared" ca="1" si="12"/>
        <v>#N/A</v>
      </c>
    </row>
    <row r="109" spans="3:8">
      <c r="C109" s="682" t="e">
        <f ca="1"/>
        <v>#N/A</v>
      </c>
      <c r="D109" s="677" t="e">
        <f ca="1"/>
        <v>#N/A</v>
      </c>
      <c r="E109" s="677" t="e">
        <f ca="1"/>
        <v>#N/A</v>
      </c>
      <c r="F109" s="677" t="e">
        <f ca="1"/>
        <v>#N/A</v>
      </c>
      <c r="G109" s="677" t="e">
        <f ca="1"/>
        <v>#N/A</v>
      </c>
      <c r="H109" s="677" t="e">
        <f t="shared" ca="1" si="12"/>
        <v>#N/A</v>
      </c>
    </row>
    <row r="110" spans="3:8">
      <c r="C110" s="682" t="e">
        <f ca="1"/>
        <v>#N/A</v>
      </c>
      <c r="D110" s="677" t="e">
        <f ca="1"/>
        <v>#N/A</v>
      </c>
      <c r="E110" s="677" t="e">
        <f ca="1"/>
        <v>#N/A</v>
      </c>
      <c r="F110" s="677" t="e">
        <f ca="1"/>
        <v>#N/A</v>
      </c>
      <c r="G110" s="677" t="e">
        <f ca="1"/>
        <v>#N/A</v>
      </c>
      <c r="H110" s="677" t="e">
        <f t="shared" ca="1" si="12"/>
        <v>#N/A</v>
      </c>
    </row>
    <row r="111" spans="3:8">
      <c r="C111" s="682" t="e">
        <f ca="1"/>
        <v>#N/A</v>
      </c>
      <c r="D111" s="677" t="e">
        <f ca="1"/>
        <v>#N/A</v>
      </c>
      <c r="E111" s="677" t="e">
        <f ca="1"/>
        <v>#N/A</v>
      </c>
      <c r="F111" s="677" t="e">
        <f ca="1"/>
        <v>#N/A</v>
      </c>
      <c r="G111" s="677" t="e">
        <f ca="1"/>
        <v>#N/A</v>
      </c>
      <c r="H111" s="677" t="e">
        <f t="shared" ca="1" si="12"/>
        <v>#N/A</v>
      </c>
    </row>
    <row r="112" spans="3:8">
      <c r="C112" s="682" t="e">
        <f ca="1"/>
        <v>#N/A</v>
      </c>
      <c r="D112" s="677" t="e">
        <f ca="1"/>
        <v>#N/A</v>
      </c>
      <c r="E112" s="677" t="e">
        <f ca="1"/>
        <v>#N/A</v>
      </c>
      <c r="F112" s="677" t="e">
        <f ca="1"/>
        <v>#N/A</v>
      </c>
      <c r="G112" s="677" t="e">
        <f ca="1"/>
        <v>#N/A</v>
      </c>
      <c r="H112" s="677" t="e">
        <f t="shared" ca="1" si="12"/>
        <v>#N/A</v>
      </c>
    </row>
    <row r="113" spans="3:8">
      <c r="C113" s="682" t="e">
        <f ca="1"/>
        <v>#N/A</v>
      </c>
      <c r="D113" s="677" t="e">
        <f ca="1"/>
        <v>#N/A</v>
      </c>
      <c r="E113" s="677" t="e">
        <f ca="1"/>
        <v>#N/A</v>
      </c>
      <c r="F113" s="677" t="e">
        <f ca="1"/>
        <v>#N/A</v>
      </c>
      <c r="G113" s="677" t="e">
        <f ca="1"/>
        <v>#N/A</v>
      </c>
      <c r="H113" s="677" t="e">
        <f t="shared" ca="1" si="12"/>
        <v>#N/A</v>
      </c>
    </row>
    <row r="114" spans="3:8">
      <c r="C114" s="682" t="e">
        <f ca="1"/>
        <v>#N/A</v>
      </c>
      <c r="D114" s="677" t="e">
        <f ca="1"/>
        <v>#N/A</v>
      </c>
      <c r="E114" s="677" t="e">
        <f ca="1"/>
        <v>#N/A</v>
      </c>
      <c r="F114" s="677" t="e">
        <f ca="1"/>
        <v>#N/A</v>
      </c>
      <c r="G114" s="677" t="e">
        <f ca="1"/>
        <v>#N/A</v>
      </c>
      <c r="H114" s="677" t="e">
        <f t="shared" ca="1" si="12"/>
        <v>#N/A</v>
      </c>
    </row>
    <row r="115" spans="3:8">
      <c r="C115" s="682" t="e">
        <f ca="1"/>
        <v>#N/A</v>
      </c>
      <c r="D115" s="677" t="e">
        <f ca="1"/>
        <v>#N/A</v>
      </c>
      <c r="E115" s="677" t="e">
        <f ca="1"/>
        <v>#N/A</v>
      </c>
      <c r="F115" s="677" t="e">
        <f ca="1"/>
        <v>#N/A</v>
      </c>
      <c r="G115" s="677" t="e">
        <f ca="1"/>
        <v>#N/A</v>
      </c>
      <c r="H115" s="677" t="e">
        <f ca="1">SUM(D115:G115)</f>
        <v>#N/A</v>
      </c>
    </row>
    <row r="116" spans="3:8">
      <c r="C116" s="682" t="e">
        <f ca="1"/>
        <v>#N/A</v>
      </c>
      <c r="D116" s="677" t="e">
        <f ca="1"/>
        <v>#N/A</v>
      </c>
      <c r="E116" s="677" t="e">
        <f ca="1"/>
        <v>#N/A</v>
      </c>
      <c r="F116" s="677" t="e">
        <f ca="1"/>
        <v>#N/A</v>
      </c>
      <c r="G116" s="677" t="e">
        <f ca="1"/>
        <v>#N/A</v>
      </c>
      <c r="H116" s="677" t="e">
        <f t="shared" ca="1" si="12"/>
        <v>#N/A</v>
      </c>
    </row>
    <row r="117" spans="3:8">
      <c r="C117" s="682" t="e">
        <f ca="1"/>
        <v>#N/A</v>
      </c>
      <c r="D117" s="677" t="e">
        <f ca="1"/>
        <v>#N/A</v>
      </c>
      <c r="E117" s="677" t="e">
        <f ca="1"/>
        <v>#N/A</v>
      </c>
      <c r="F117" s="677" t="e">
        <f ca="1"/>
        <v>#N/A</v>
      </c>
      <c r="G117" s="677" t="e">
        <f ca="1"/>
        <v>#N/A</v>
      </c>
      <c r="H117" s="677" t="e">
        <f t="shared" ca="1" si="12"/>
        <v>#N/A</v>
      </c>
    </row>
    <row r="118" spans="3:8">
      <c r="C118" s="682" t="e">
        <f ca="1"/>
        <v>#N/A</v>
      </c>
      <c r="D118" s="677" t="e">
        <f ca="1"/>
        <v>#N/A</v>
      </c>
      <c r="E118" s="677" t="e">
        <f ca="1"/>
        <v>#N/A</v>
      </c>
      <c r="F118" s="677" t="e">
        <f ca="1"/>
        <v>#N/A</v>
      </c>
      <c r="G118" s="677" t="e">
        <f ca="1"/>
        <v>#N/A</v>
      </c>
      <c r="H118" s="677" t="e">
        <f t="shared" ca="1" si="12"/>
        <v>#N/A</v>
      </c>
    </row>
    <row r="119" spans="3:8">
      <c r="C119" s="682" t="e">
        <f ca="1"/>
        <v>#N/A</v>
      </c>
      <c r="D119" s="677" t="e">
        <f ca="1"/>
        <v>#N/A</v>
      </c>
      <c r="E119" s="677" t="e">
        <f ca="1"/>
        <v>#N/A</v>
      </c>
      <c r="F119" s="677" t="e">
        <f ca="1"/>
        <v>#N/A</v>
      </c>
      <c r="G119" s="677" t="e">
        <f ca="1"/>
        <v>#N/A</v>
      </c>
      <c r="H119" s="677" t="e">
        <f t="shared" ca="1" si="12"/>
        <v>#N/A</v>
      </c>
    </row>
    <row r="120" spans="3:8">
      <c r="C120" s="682" t="e">
        <f ca="1"/>
        <v>#N/A</v>
      </c>
      <c r="D120" s="677" t="e">
        <f ca="1"/>
        <v>#N/A</v>
      </c>
      <c r="E120" s="677" t="e">
        <f ca="1"/>
        <v>#N/A</v>
      </c>
      <c r="F120" s="677" t="e">
        <f ca="1"/>
        <v>#N/A</v>
      </c>
      <c r="G120" s="677" t="e">
        <f ca="1"/>
        <v>#N/A</v>
      </c>
      <c r="H120" s="677" t="e">
        <f t="shared" ca="1" si="12"/>
        <v>#N/A</v>
      </c>
    </row>
    <row r="121" spans="3:8">
      <c r="C121" s="682" t="e">
        <f ca="1"/>
        <v>#N/A</v>
      </c>
      <c r="D121" s="677" t="e">
        <f ca="1"/>
        <v>#N/A</v>
      </c>
      <c r="E121" s="677" t="e">
        <f ca="1"/>
        <v>#N/A</v>
      </c>
      <c r="F121" s="677" t="e">
        <f ca="1"/>
        <v>#N/A</v>
      </c>
      <c r="G121" s="677" t="e">
        <f ca="1"/>
        <v>#N/A</v>
      </c>
      <c r="H121" s="677" t="e">
        <f t="shared" ca="1" si="12"/>
        <v>#N/A</v>
      </c>
    </row>
    <row r="122" spans="3:8">
      <c r="C122" s="682" t="e">
        <f ca="1"/>
        <v>#N/A</v>
      </c>
      <c r="D122" s="677" t="e">
        <f ca="1"/>
        <v>#N/A</v>
      </c>
      <c r="E122" s="677" t="e">
        <f ca="1"/>
        <v>#N/A</v>
      </c>
      <c r="F122" s="677" t="e">
        <f ca="1"/>
        <v>#N/A</v>
      </c>
      <c r="G122" s="677" t="e">
        <f ca="1"/>
        <v>#N/A</v>
      </c>
      <c r="H122" s="677" t="e">
        <f t="shared" ca="1" si="12"/>
        <v>#N/A</v>
      </c>
    </row>
    <row r="123" spans="3:8">
      <c r="C123" s="682" t="e">
        <f ca="1"/>
        <v>#N/A</v>
      </c>
      <c r="D123" s="677" t="e">
        <f ca="1"/>
        <v>#N/A</v>
      </c>
      <c r="E123" s="677" t="e">
        <f ca="1"/>
        <v>#N/A</v>
      </c>
      <c r="F123" s="677" t="e">
        <f ca="1"/>
        <v>#N/A</v>
      </c>
      <c r="G123" s="677" t="e">
        <f ca="1"/>
        <v>#N/A</v>
      </c>
      <c r="H123" s="677" t="e">
        <f t="shared" ca="1" si="12"/>
        <v>#N/A</v>
      </c>
    </row>
    <row r="124" spans="3:8">
      <c r="C124" s="682" t="e">
        <f ca="1"/>
        <v>#N/A</v>
      </c>
      <c r="D124" s="677" t="e">
        <f ca="1"/>
        <v>#N/A</v>
      </c>
      <c r="E124" s="677" t="e">
        <f ca="1"/>
        <v>#N/A</v>
      </c>
      <c r="F124" s="677" t="e">
        <f ca="1"/>
        <v>#N/A</v>
      </c>
      <c r="G124" s="677" t="e">
        <f ca="1"/>
        <v>#N/A</v>
      </c>
      <c r="H124" s="677" t="e">
        <f t="shared" ca="1" si="12"/>
        <v>#N/A</v>
      </c>
    </row>
    <row r="125" spans="3:8">
      <c r="C125" s="682" t="e">
        <f ca="1"/>
        <v>#N/A</v>
      </c>
      <c r="D125" s="677" t="e">
        <f ca="1"/>
        <v>#N/A</v>
      </c>
      <c r="E125" s="677" t="e">
        <f ca="1"/>
        <v>#N/A</v>
      </c>
      <c r="F125" s="677" t="e">
        <f ca="1"/>
        <v>#N/A</v>
      </c>
      <c r="G125" s="677" t="e">
        <f ca="1"/>
        <v>#N/A</v>
      </c>
      <c r="H125" s="677" t="e">
        <f t="shared" ca="1" si="12"/>
        <v>#N/A</v>
      </c>
    </row>
    <row r="126" spans="3:8">
      <c r="C126" s="682" t="e">
        <f ca="1"/>
        <v>#N/A</v>
      </c>
      <c r="D126" s="677" t="e">
        <f ca="1"/>
        <v>#N/A</v>
      </c>
      <c r="E126" s="677" t="e">
        <f ca="1"/>
        <v>#N/A</v>
      </c>
      <c r="F126" s="677" t="e">
        <f ca="1"/>
        <v>#N/A</v>
      </c>
      <c r="G126" s="677" t="e">
        <f ca="1"/>
        <v>#N/A</v>
      </c>
      <c r="H126" s="677" t="e">
        <f t="shared" ref="H126:H135" ca="1" si="19">SUM(D126:G126)</f>
        <v>#N/A</v>
      </c>
    </row>
    <row r="127" spans="3:8">
      <c r="C127" s="682" t="e">
        <f ca="1"/>
        <v>#N/A</v>
      </c>
      <c r="D127" s="677" t="e">
        <f ca="1"/>
        <v>#N/A</v>
      </c>
      <c r="E127" s="677" t="e">
        <f ca="1"/>
        <v>#N/A</v>
      </c>
      <c r="F127" s="677" t="e">
        <f ca="1"/>
        <v>#N/A</v>
      </c>
      <c r="G127" s="677" t="e">
        <f ca="1"/>
        <v>#N/A</v>
      </c>
      <c r="H127" s="677" t="e">
        <f t="shared" ca="1" si="19"/>
        <v>#N/A</v>
      </c>
    </row>
    <row r="128" spans="3:8">
      <c r="C128" s="682" t="e">
        <f ca="1"/>
        <v>#N/A</v>
      </c>
      <c r="D128" s="677" t="e">
        <f ca="1"/>
        <v>#N/A</v>
      </c>
      <c r="E128" s="677" t="e">
        <f ca="1"/>
        <v>#N/A</v>
      </c>
      <c r="F128" s="677" t="e">
        <f ca="1"/>
        <v>#N/A</v>
      </c>
      <c r="G128" s="677" t="e">
        <f ca="1"/>
        <v>#N/A</v>
      </c>
      <c r="H128" s="677" t="e">
        <f t="shared" ca="1" si="19"/>
        <v>#N/A</v>
      </c>
    </row>
    <row r="129" spans="3:8">
      <c r="C129" s="682" t="e">
        <f ca="1"/>
        <v>#N/A</v>
      </c>
      <c r="D129" s="677" t="e">
        <f ca="1"/>
        <v>#N/A</v>
      </c>
      <c r="E129" s="677" t="e">
        <f ca="1"/>
        <v>#N/A</v>
      </c>
      <c r="F129" s="677" t="e">
        <f ca="1"/>
        <v>#N/A</v>
      </c>
      <c r="G129" s="677" t="e">
        <f ca="1"/>
        <v>#N/A</v>
      </c>
      <c r="H129" s="677" t="e">
        <f t="shared" ca="1" si="19"/>
        <v>#N/A</v>
      </c>
    </row>
    <row r="130" spans="3:8">
      <c r="C130" s="682" t="e">
        <f ca="1"/>
        <v>#N/A</v>
      </c>
      <c r="D130" s="677" t="e">
        <f ca="1"/>
        <v>#N/A</v>
      </c>
      <c r="E130" s="677" t="e">
        <f ca="1"/>
        <v>#N/A</v>
      </c>
      <c r="F130" s="677" t="e">
        <f ca="1"/>
        <v>#N/A</v>
      </c>
      <c r="G130" s="677" t="e">
        <f ca="1"/>
        <v>#N/A</v>
      </c>
      <c r="H130" s="677" t="e">
        <f t="shared" ca="1" si="19"/>
        <v>#N/A</v>
      </c>
    </row>
    <row r="131" spans="3:8">
      <c r="C131" s="682" t="e">
        <f ca="1"/>
        <v>#N/A</v>
      </c>
      <c r="D131" s="677" t="e">
        <f ca="1"/>
        <v>#N/A</v>
      </c>
      <c r="E131" s="677" t="e">
        <f ca="1"/>
        <v>#N/A</v>
      </c>
      <c r="F131" s="677" t="e">
        <f ca="1"/>
        <v>#N/A</v>
      </c>
      <c r="G131" s="677" t="e">
        <f ca="1"/>
        <v>#N/A</v>
      </c>
      <c r="H131" s="677" t="e">
        <f t="shared" ca="1" si="19"/>
        <v>#N/A</v>
      </c>
    </row>
    <row r="132" spans="3:8">
      <c r="C132" s="682" t="e">
        <f ca="1"/>
        <v>#N/A</v>
      </c>
      <c r="D132" s="677" t="e">
        <f ca="1"/>
        <v>#N/A</v>
      </c>
      <c r="E132" s="677" t="e">
        <f ca="1"/>
        <v>#N/A</v>
      </c>
      <c r="F132" s="677" t="e">
        <f ca="1"/>
        <v>#N/A</v>
      </c>
      <c r="G132" s="677" t="e">
        <f ca="1"/>
        <v>#N/A</v>
      </c>
      <c r="H132" s="677" t="e">
        <f t="shared" ca="1" si="19"/>
        <v>#N/A</v>
      </c>
    </row>
    <row r="133" spans="3:8">
      <c r="C133" s="682" t="e">
        <f ca="1"/>
        <v>#N/A</v>
      </c>
      <c r="D133" s="677" t="e">
        <f ca="1"/>
        <v>#N/A</v>
      </c>
      <c r="E133" s="677" t="e">
        <f ca="1"/>
        <v>#N/A</v>
      </c>
      <c r="F133" s="677" t="e">
        <f ca="1"/>
        <v>#N/A</v>
      </c>
      <c r="G133" s="677" t="e">
        <f ca="1"/>
        <v>#N/A</v>
      </c>
      <c r="H133" s="677" t="e">
        <f t="shared" ca="1" si="19"/>
        <v>#N/A</v>
      </c>
    </row>
    <row r="134" spans="3:8">
      <c r="C134" s="682" t="e">
        <f ca="1"/>
        <v>#N/A</v>
      </c>
      <c r="D134" s="677" t="e">
        <f ca="1"/>
        <v>#N/A</v>
      </c>
      <c r="E134" s="677" t="e">
        <f ca="1"/>
        <v>#N/A</v>
      </c>
      <c r="F134" s="677" t="e">
        <f ca="1"/>
        <v>#N/A</v>
      </c>
      <c r="G134" s="677" t="e">
        <f ca="1"/>
        <v>#N/A</v>
      </c>
      <c r="H134" s="677" t="e">
        <f t="shared" ca="1" si="19"/>
        <v>#N/A</v>
      </c>
    </row>
    <row r="135" spans="3:8">
      <c r="C135" s="682" t="e">
        <f ca="1"/>
        <v>#N/A</v>
      </c>
      <c r="D135" s="677" t="e">
        <f ca="1"/>
        <v>#N/A</v>
      </c>
      <c r="E135" s="677" t="e">
        <f ca="1"/>
        <v>#N/A</v>
      </c>
      <c r="F135" s="677" t="e">
        <f ca="1"/>
        <v>#N/A</v>
      </c>
      <c r="G135" s="677" t="e">
        <f ca="1"/>
        <v>#N/A</v>
      </c>
      <c r="H135" s="677" t="e">
        <f t="shared" ca="1" si="19"/>
        <v>#N/A</v>
      </c>
    </row>
  </sheetData>
  <mergeCells count="42">
    <mergeCell ref="AD15:AD17"/>
    <mergeCell ref="AD23:AD25"/>
    <mergeCell ref="Q45:S48"/>
    <mergeCell ref="R12:R13"/>
    <mergeCell ref="S12:S13"/>
    <mergeCell ref="V15:W15"/>
    <mergeCell ref="U13:W13"/>
    <mergeCell ref="V16:W16"/>
    <mergeCell ref="V17:W17"/>
    <mergeCell ref="O58:O59"/>
    <mergeCell ref="B41:C42"/>
    <mergeCell ref="B43:C44"/>
    <mergeCell ref="L58:L59"/>
    <mergeCell ref="M58:M59"/>
    <mergeCell ref="N58:N59"/>
    <mergeCell ref="H41:H42"/>
    <mergeCell ref="B57:H57"/>
    <mergeCell ref="K57:O57"/>
    <mergeCell ref="D41:G42"/>
    <mergeCell ref="B38:C40"/>
    <mergeCell ref="B23:B37"/>
    <mergeCell ref="B16:B18"/>
    <mergeCell ref="B19:B22"/>
    <mergeCell ref="B12:B15"/>
    <mergeCell ref="E1:G1"/>
    <mergeCell ref="E8:E9"/>
    <mergeCell ref="F8:F9"/>
    <mergeCell ref="G8:G9"/>
    <mergeCell ref="B5:H5"/>
    <mergeCell ref="B1:C1"/>
    <mergeCell ref="V10:W10"/>
    <mergeCell ref="U7:W7"/>
    <mergeCell ref="D8:D9"/>
    <mergeCell ref="O8:O9"/>
    <mergeCell ref="N8:N9"/>
    <mergeCell ref="M8:M9"/>
    <mergeCell ref="L8:L9"/>
    <mergeCell ref="H8:H9"/>
    <mergeCell ref="Q7:S7"/>
    <mergeCell ref="K7:O7"/>
    <mergeCell ref="U8:U9"/>
    <mergeCell ref="V8:W9"/>
  </mergeCells>
  <phoneticPr fontId="29" type="noConversion"/>
  <conditionalFormatting sqref="D60:H60 B29:B30 D10:H10 D12:H12">
    <cfRule type="expression" dxfId="147" priority="24" stopIfTrue="1">
      <formula>ContainsFormula</formula>
    </cfRule>
  </conditionalFormatting>
  <conditionalFormatting sqref="D61:H135">
    <cfRule type="expression" dxfId="146" priority="25" stopIfTrue="1">
      <formula>ISERROR(D61)</formula>
    </cfRule>
  </conditionalFormatting>
  <conditionalFormatting sqref="C61:C135">
    <cfRule type="expression" dxfId="145" priority="22" stopIfTrue="1">
      <formula>ISERROR(C61)</formula>
    </cfRule>
  </conditionalFormatting>
  <conditionalFormatting sqref="C61:H135">
    <cfRule type="expression" dxfId="144" priority="23" stopIfTrue="1">
      <formula>AND(ISERROR(C62),ISERROR(C61)&lt;&gt;TRUE())</formula>
    </cfRule>
  </conditionalFormatting>
  <conditionalFormatting sqref="D11:H11">
    <cfRule type="expression" dxfId="143" priority="1" stopIfTrue="1">
      <formula>ContainsFormula</formula>
    </cfRule>
  </conditionalFormatting>
  <hyperlinks>
    <hyperlink ref="B1" location="'Table of Contents'!A1" tooltip="Click here to return to the Table of Contents tab" display="Return to Table of Contents" xr:uid="{00000000-0004-0000-0300-000000000000}"/>
    <hyperlink ref="AD22" r:id="rId1" xr:uid="{00000000-0004-0000-0300-000001000000}"/>
    <hyperlink ref="E1" location="akcorrections" display="Jump to Alaska Offshore Correction and Conversions" xr:uid="{00000000-0004-0000-0300-000002000000}"/>
    <hyperlink ref="AD13" r:id="rId2" xr:uid="{00000000-0004-0000-0300-000003000000}"/>
  </hyperlinks>
  <pageMargins left="0.75" right="0.75" top="1" bottom="1" header="0.5" footer="0.5"/>
  <pageSetup orientation="portrait"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83981" r:id="rId6" name="Group Box 13">
              <controlPr defaultSize="0" autoFill="0" autoPict="0">
                <anchor moveWithCells="1">
                  <from>
                    <xdr:col>2</xdr:col>
                    <xdr:colOff>1066800</xdr:colOff>
                    <xdr:row>5</xdr:row>
                    <xdr:rowOff>66675</xdr:rowOff>
                  </from>
                  <to>
                    <xdr:col>4</xdr:col>
                    <xdr:colOff>561975</xdr:colOff>
                    <xdr:row>6</xdr:row>
                    <xdr:rowOff>171450</xdr:rowOff>
                  </to>
                </anchor>
              </controlPr>
            </control>
          </mc:Choice>
        </mc:AlternateContent>
        <mc:AlternateContent xmlns:mc="http://schemas.openxmlformats.org/markup-compatibility/2006">
          <mc:Choice Requires="x14">
            <control shapeId="83982" r:id="rId7" name="Option Button 14">
              <controlPr defaultSize="0" autoFill="0" autoLine="0" autoPict="0">
                <anchor moveWithCells="1">
                  <from>
                    <xdr:col>2</xdr:col>
                    <xdr:colOff>1162050</xdr:colOff>
                    <xdr:row>5</xdr:row>
                    <xdr:rowOff>133350</xdr:rowOff>
                  </from>
                  <to>
                    <xdr:col>3</xdr:col>
                    <xdr:colOff>561975</xdr:colOff>
                    <xdr:row>6</xdr:row>
                    <xdr:rowOff>133350</xdr:rowOff>
                  </to>
                </anchor>
              </controlPr>
            </control>
          </mc:Choice>
        </mc:AlternateContent>
        <mc:AlternateContent xmlns:mc="http://schemas.openxmlformats.org/markup-compatibility/2006">
          <mc:Choice Requires="x14">
            <control shapeId="83984" r:id="rId8" name="Option Button 16">
              <controlPr defaultSize="0" autoFill="0" autoLine="0" autoPict="0">
                <anchor moveWithCells="1">
                  <from>
                    <xdr:col>3</xdr:col>
                    <xdr:colOff>609600</xdr:colOff>
                    <xdr:row>5</xdr:row>
                    <xdr:rowOff>171450</xdr:rowOff>
                  </from>
                  <to>
                    <xdr:col>4</xdr:col>
                    <xdr:colOff>438150</xdr:colOff>
                    <xdr:row>6</xdr:row>
                    <xdr:rowOff>95250</xdr:rowOff>
                  </to>
                </anchor>
              </controlPr>
            </control>
          </mc:Choice>
        </mc:AlternateContent>
        <mc:AlternateContent xmlns:mc="http://schemas.openxmlformats.org/markup-compatibility/2006">
          <mc:Choice Requires="x14">
            <control shapeId="83985" r:id="rId9" name="Group Box 17">
              <controlPr defaultSize="0" autoFill="0" autoPict="0">
                <anchor moveWithCells="1">
                  <from>
                    <xdr:col>4</xdr:col>
                    <xdr:colOff>1066800</xdr:colOff>
                    <xdr:row>5</xdr:row>
                    <xdr:rowOff>57150</xdr:rowOff>
                  </from>
                  <to>
                    <xdr:col>6</xdr:col>
                    <xdr:colOff>990600</xdr:colOff>
                    <xdr:row>6</xdr:row>
                    <xdr:rowOff>190500</xdr:rowOff>
                  </to>
                </anchor>
              </controlPr>
            </control>
          </mc:Choice>
        </mc:AlternateContent>
        <mc:AlternateContent xmlns:mc="http://schemas.openxmlformats.org/markup-compatibility/2006">
          <mc:Choice Requires="x14">
            <control shapeId="83986" r:id="rId10" name="Option Button 18">
              <controlPr defaultSize="0" autoFill="0" autoLine="0" autoPict="0">
                <anchor moveWithCells="1">
                  <from>
                    <xdr:col>4</xdr:col>
                    <xdr:colOff>1171575</xdr:colOff>
                    <xdr:row>5</xdr:row>
                    <xdr:rowOff>171450</xdr:rowOff>
                  </from>
                  <to>
                    <xdr:col>5</xdr:col>
                    <xdr:colOff>1123950</xdr:colOff>
                    <xdr:row>6</xdr:row>
                    <xdr:rowOff>76200</xdr:rowOff>
                  </to>
                </anchor>
              </controlPr>
            </control>
          </mc:Choice>
        </mc:AlternateContent>
        <mc:AlternateContent xmlns:mc="http://schemas.openxmlformats.org/markup-compatibility/2006">
          <mc:Choice Requires="x14">
            <control shapeId="83987" r:id="rId11" name="Option Button 19">
              <controlPr defaultSize="0" autoFill="0" autoLine="0" autoPict="0">
                <anchor moveWithCells="1">
                  <from>
                    <xdr:col>5</xdr:col>
                    <xdr:colOff>952500</xdr:colOff>
                    <xdr:row>5</xdr:row>
                    <xdr:rowOff>142875</xdr:rowOff>
                  </from>
                  <to>
                    <xdr:col>6</xdr:col>
                    <xdr:colOff>638175</xdr:colOff>
                    <xdr:row>6</xdr:row>
                    <xdr:rowOff>104775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9">
    <tabColor rgb="FFFFFFCC"/>
  </sheetPr>
  <dimension ref="B1:AY58"/>
  <sheetViews>
    <sheetView showGridLines="0" zoomScale="85" zoomScaleNormal="85" workbookViewId="0">
      <selection activeCell="K12" sqref="K12"/>
    </sheetView>
  </sheetViews>
  <sheetFormatPr defaultColWidth="9.28515625" defaultRowHeight="12.75"/>
  <cols>
    <col min="1" max="2" width="9.28515625" style="339"/>
    <col min="3" max="5" width="18.7109375" style="339" customWidth="1"/>
    <col min="6" max="6" width="18.5703125" style="339" customWidth="1"/>
    <col min="7" max="7" width="9.28515625" style="339"/>
    <col min="8" max="8" width="9.28515625" style="339" hidden="1" customWidth="1"/>
    <col min="9" max="16384" width="9.28515625" style="339"/>
  </cols>
  <sheetData>
    <row r="1" spans="2:8" ht="15.75" thickBot="1">
      <c r="B1" s="701" t="s">
        <v>27</v>
      </c>
      <c r="C1" s="702"/>
    </row>
    <row r="2" spans="2:8" ht="6" customHeight="1"/>
    <row r="3" spans="2:8" ht="6" customHeight="1"/>
    <row r="4" spans="2:8" ht="6" customHeight="1"/>
    <row r="5" spans="2:8" s="344" customFormat="1" ht="6" customHeight="1">
      <c r="B5" s="342"/>
      <c r="C5" s="343"/>
      <c r="D5" s="343"/>
      <c r="E5" s="343"/>
    </row>
    <row r="6" spans="2:8" ht="30" customHeight="1">
      <c r="B6" s="345" t="s">
        <v>285</v>
      </c>
      <c r="C6" s="346"/>
      <c r="D6" s="346"/>
      <c r="E6" s="347"/>
      <c r="F6" s="347"/>
    </row>
    <row r="7" spans="2:8" ht="40.5" customHeight="1" thickBot="1">
      <c r="B7" s="340" t="s">
        <v>286</v>
      </c>
      <c r="C7" s="340" t="s">
        <v>116</v>
      </c>
      <c r="D7" s="340" t="s">
        <v>287</v>
      </c>
      <c r="E7" s="340" t="s">
        <v>288</v>
      </c>
      <c r="F7" s="340" t="s">
        <v>289</v>
      </c>
    </row>
    <row r="8" spans="2:8" ht="14.25" customHeight="1">
      <c r="B8" s="22">
        <v>2000</v>
      </c>
      <c r="C8" s="30">
        <v>0.78068499999999996</v>
      </c>
      <c r="D8" s="30">
        <v>2.1807620000000001</v>
      </c>
      <c r="E8" s="30">
        <v>2.116822</v>
      </c>
      <c r="F8" s="30"/>
    </row>
    <row r="9" spans="2:8" ht="15">
      <c r="B9" s="23">
        <v>2001</v>
      </c>
      <c r="C9" s="31">
        <v>0.79821500000000001</v>
      </c>
      <c r="D9" s="31">
        <v>2.2492299999999998</v>
      </c>
      <c r="E9" s="31">
        <v>2.4374380000000002</v>
      </c>
      <c r="F9" s="31"/>
    </row>
    <row r="10" spans="2:8" ht="15">
      <c r="B10" s="22">
        <v>2002</v>
      </c>
      <c r="C10" s="31">
        <v>0.81038699999999997</v>
      </c>
      <c r="D10" s="31">
        <v>2.2958609999999999</v>
      </c>
      <c r="E10" s="31">
        <v>2.4599850000000001</v>
      </c>
      <c r="F10" s="31"/>
    </row>
    <row r="11" spans="2:8" ht="15">
      <c r="B11" s="23">
        <v>2003</v>
      </c>
      <c r="C11" s="31">
        <v>0.82567000000000002</v>
      </c>
      <c r="D11" s="31">
        <v>2.3295180000000002</v>
      </c>
      <c r="E11" s="31">
        <v>2.4432809999999998</v>
      </c>
      <c r="F11" s="31"/>
    </row>
    <row r="12" spans="2:8" ht="15">
      <c r="B12" s="22">
        <v>2004</v>
      </c>
      <c r="C12" s="31">
        <v>0.84778200000000004</v>
      </c>
      <c r="D12" s="31">
        <v>2.3671500000000001</v>
      </c>
      <c r="E12" s="31">
        <v>2.4330690000000001</v>
      </c>
      <c r="F12" s="31"/>
    </row>
    <row r="13" spans="2:8" ht="15">
      <c r="B13" s="23">
        <v>2005</v>
      </c>
      <c r="C13" s="31">
        <v>0.87407000000000001</v>
      </c>
      <c r="D13" s="31">
        <v>2.370018</v>
      </c>
      <c r="E13" s="31">
        <v>2.0263249999999999</v>
      </c>
      <c r="F13" s="31"/>
    </row>
    <row r="14" spans="2:8" ht="15">
      <c r="B14" s="22">
        <v>2006</v>
      </c>
      <c r="C14" s="31">
        <v>0.90073999999999999</v>
      </c>
      <c r="D14" s="31">
        <v>2.4000539999999999</v>
      </c>
      <c r="E14" s="31">
        <v>1.8950020000000001</v>
      </c>
      <c r="F14" s="31"/>
    </row>
    <row r="15" spans="2:8" ht="15">
      <c r="B15" s="23">
        <v>2007</v>
      </c>
      <c r="C15" s="31">
        <v>0.92497700000000005</v>
      </c>
      <c r="D15" s="31">
        <v>2.4512100000000001</v>
      </c>
      <c r="E15" s="31">
        <v>2.046964</v>
      </c>
      <c r="F15" s="31"/>
    </row>
    <row r="16" spans="2:8" ht="15">
      <c r="B16" s="22">
        <v>2008</v>
      </c>
      <c r="C16" s="31">
        <v>0.942635</v>
      </c>
      <c r="D16" s="31">
        <v>2.5109889999999999</v>
      </c>
      <c r="E16" s="31">
        <v>2.1987920000000001</v>
      </c>
      <c r="F16" s="31"/>
      <c r="H16" s="339">
        <f>INDEX(indices,MATCH(inflator_year,Inflation!$B$8:$B$48,0),MATCH(inflation_index,Inflation!$C$7:$F$7,0))/INDEX(indices,MATCH(dollars_year,Inflation!$B$8:$B$48,0),MATCH(inflation_index,Inflation!$C$7:$F$7,0))</f>
        <v>1.2583816135769539</v>
      </c>
    </row>
    <row r="17" spans="2:51" ht="15">
      <c r="B17" s="23">
        <v>2009</v>
      </c>
      <c r="C17" s="31">
        <v>0.94999</v>
      </c>
      <c r="D17" s="31">
        <v>2.5564650000000002</v>
      </c>
      <c r="E17" s="31">
        <v>2.1522510000000001</v>
      </c>
      <c r="F17" s="31"/>
      <c r="M17" s="344"/>
      <c r="N17" s="520"/>
      <c r="O17" s="520"/>
      <c r="P17" s="520"/>
      <c r="Q17" s="520"/>
      <c r="R17" s="520"/>
      <c r="S17" s="520"/>
      <c r="T17" s="520"/>
      <c r="U17" s="520"/>
      <c r="V17" s="520"/>
      <c r="W17" s="520"/>
      <c r="X17" s="520"/>
      <c r="Y17" s="520"/>
      <c r="Z17" s="520"/>
      <c r="AA17" s="520"/>
      <c r="AB17" s="520"/>
      <c r="AC17" s="520"/>
      <c r="AD17" s="520"/>
      <c r="AE17" s="520"/>
      <c r="AF17" s="520"/>
      <c r="AG17" s="520"/>
      <c r="AH17" s="520"/>
      <c r="AI17" s="520"/>
      <c r="AJ17" s="520"/>
      <c r="AK17" s="520"/>
      <c r="AL17" s="520"/>
      <c r="AM17" s="520"/>
      <c r="AN17" s="520"/>
      <c r="AO17" s="520"/>
      <c r="AP17" s="520"/>
      <c r="AQ17" s="520"/>
      <c r="AR17" s="520"/>
      <c r="AS17" s="520"/>
      <c r="AT17" s="520"/>
    </row>
    <row r="18" spans="2:51" ht="15">
      <c r="B18" s="22">
        <v>2010</v>
      </c>
      <c r="C18" s="31">
        <v>0.96164000000000005</v>
      </c>
      <c r="D18" s="31">
        <v>2.5883820000000002</v>
      </c>
      <c r="E18" s="31">
        <v>1.9723839999999999</v>
      </c>
      <c r="F18" s="31"/>
      <c r="K18" s="647"/>
      <c r="L18" s="647"/>
      <c r="M18" s="647"/>
      <c r="N18" s="647"/>
      <c r="O18" s="647"/>
      <c r="P18" s="647"/>
      <c r="Q18" s="647"/>
      <c r="R18" s="647"/>
      <c r="S18" s="647"/>
      <c r="T18" s="647"/>
      <c r="U18" s="647"/>
      <c r="V18" s="647"/>
      <c r="W18" s="647"/>
      <c r="X18" s="647"/>
      <c r="Y18" s="647"/>
      <c r="Z18" s="647"/>
      <c r="AA18" s="647"/>
      <c r="AB18" s="647"/>
      <c r="AC18" s="647"/>
      <c r="AD18" s="647"/>
      <c r="AE18" s="647"/>
      <c r="AF18" s="647"/>
      <c r="AG18" s="647"/>
      <c r="AH18" s="647"/>
      <c r="AI18" s="647"/>
      <c r="AJ18" s="647"/>
      <c r="AK18" s="647"/>
      <c r="AL18" s="647"/>
      <c r="AM18" s="647"/>
      <c r="AN18" s="647"/>
      <c r="AO18" s="647"/>
      <c r="AP18" s="647"/>
      <c r="AQ18" s="647"/>
      <c r="AR18" s="647"/>
      <c r="AS18" s="647"/>
      <c r="AT18" s="647"/>
      <c r="AU18" s="647"/>
      <c r="AV18" s="647"/>
      <c r="AW18" s="647"/>
      <c r="AX18" s="647"/>
      <c r="AY18" s="647"/>
    </row>
    <row r="19" spans="2:51" ht="15">
      <c r="B19" s="23">
        <v>2011</v>
      </c>
      <c r="C19" s="31">
        <v>0.98157000000000005</v>
      </c>
      <c r="D19" s="31">
        <v>2.709654</v>
      </c>
      <c r="E19" s="31">
        <v>2.382787</v>
      </c>
      <c r="F19" s="31"/>
      <c r="K19" s="344"/>
      <c r="L19" s="344"/>
      <c r="M19" s="344"/>
      <c r="N19" s="344"/>
      <c r="O19" s="344"/>
      <c r="P19" s="344"/>
      <c r="Q19" s="344"/>
      <c r="R19" s="344"/>
      <c r="S19" s="344"/>
      <c r="T19" s="344"/>
      <c r="U19" s="344"/>
      <c r="V19" s="344"/>
      <c r="W19" s="344"/>
      <c r="X19" s="344"/>
      <c r="Y19" s="344"/>
      <c r="Z19" s="344"/>
      <c r="AA19" s="344"/>
      <c r="AB19" s="344"/>
      <c r="AC19" s="344"/>
      <c r="AD19" s="344"/>
      <c r="AE19" s="344"/>
      <c r="AF19" s="344"/>
      <c r="AG19" s="344"/>
      <c r="AH19" s="344"/>
      <c r="AI19" s="344"/>
      <c r="AJ19" s="344"/>
      <c r="AK19" s="344"/>
      <c r="AL19" s="344"/>
      <c r="AM19" s="344"/>
      <c r="AN19" s="344"/>
      <c r="AO19" s="344"/>
      <c r="AP19" s="344"/>
      <c r="AQ19" s="344"/>
      <c r="AR19" s="344"/>
      <c r="AS19" s="344"/>
      <c r="AT19" s="344"/>
      <c r="AU19" s="344"/>
      <c r="AV19" s="344"/>
      <c r="AW19" s="344"/>
      <c r="AX19" s="344"/>
      <c r="AY19" s="344"/>
    </row>
    <row r="20" spans="2:51" ht="15">
      <c r="B20" s="22">
        <v>2012</v>
      </c>
      <c r="C20" s="31">
        <v>1</v>
      </c>
      <c r="D20" s="31">
        <v>2.9280360000000001</v>
      </c>
      <c r="E20" s="31">
        <v>3.001973</v>
      </c>
      <c r="F20" s="31"/>
      <c r="K20" s="344"/>
      <c r="L20" s="344"/>
      <c r="M20" s="344"/>
      <c r="N20" s="344"/>
      <c r="O20" s="344"/>
      <c r="P20" s="344"/>
      <c r="Q20" s="344"/>
      <c r="R20" s="344"/>
      <c r="S20" s="344"/>
      <c r="T20" s="344"/>
      <c r="U20" s="344"/>
      <c r="V20" s="344"/>
      <c r="W20" s="344"/>
      <c r="X20" s="344"/>
      <c r="Y20" s="344"/>
      <c r="Z20" s="344"/>
      <c r="AA20" s="344"/>
      <c r="AB20" s="344"/>
      <c r="AC20" s="344"/>
      <c r="AD20" s="344"/>
      <c r="AE20" s="344"/>
      <c r="AF20" s="344"/>
      <c r="AG20" s="344"/>
      <c r="AH20" s="344"/>
      <c r="AI20" s="344"/>
      <c r="AJ20" s="344"/>
      <c r="AK20" s="344"/>
      <c r="AL20" s="344"/>
      <c r="AM20" s="344"/>
      <c r="AN20" s="344"/>
      <c r="AO20" s="344"/>
      <c r="AP20" s="344"/>
      <c r="AQ20" s="344"/>
      <c r="AR20" s="344"/>
      <c r="AS20" s="344"/>
      <c r="AT20" s="344"/>
      <c r="AU20" s="344"/>
      <c r="AV20" s="344"/>
      <c r="AW20" s="344"/>
      <c r="AX20" s="344"/>
      <c r="AY20" s="344"/>
    </row>
    <row r="21" spans="2:51" ht="15">
      <c r="B21" s="23">
        <v>2013</v>
      </c>
      <c r="C21" s="31">
        <v>1.017685</v>
      </c>
      <c r="D21" s="31">
        <v>3.0552860000000002</v>
      </c>
      <c r="E21" s="31">
        <v>3.0116710000000002</v>
      </c>
      <c r="F21" s="31"/>
      <c r="K21" s="344"/>
      <c r="L21" s="344"/>
      <c r="M21" s="344"/>
      <c r="N21" s="344"/>
      <c r="O21" s="344"/>
      <c r="P21" s="344"/>
      <c r="Q21" s="344"/>
      <c r="R21" s="344"/>
      <c r="S21" s="344"/>
      <c r="T21" s="344"/>
      <c r="U21" s="344"/>
      <c r="V21" s="344"/>
      <c r="W21" s="344"/>
      <c r="X21" s="344"/>
      <c r="Y21" s="344"/>
      <c r="Z21" s="344"/>
      <c r="AA21" s="344"/>
      <c r="AB21" s="344"/>
      <c r="AC21" s="344"/>
      <c r="AD21" s="344"/>
      <c r="AE21" s="344"/>
      <c r="AF21" s="344"/>
      <c r="AG21" s="344"/>
      <c r="AH21" s="344"/>
      <c r="AI21" s="344"/>
      <c r="AJ21" s="344"/>
      <c r="AK21" s="344"/>
      <c r="AL21" s="344"/>
      <c r="AM21" s="344"/>
      <c r="AN21" s="344"/>
      <c r="AO21" s="344"/>
      <c r="AP21" s="344"/>
      <c r="AQ21" s="344"/>
      <c r="AR21" s="344"/>
      <c r="AS21" s="344"/>
      <c r="AT21" s="344"/>
      <c r="AU21" s="344"/>
      <c r="AV21" s="344"/>
      <c r="AW21" s="344"/>
      <c r="AX21" s="344"/>
      <c r="AY21" s="344"/>
    </row>
    <row r="22" spans="2:51" ht="15">
      <c r="B22" s="22">
        <v>2014</v>
      </c>
      <c r="C22" s="31">
        <v>1.0366219999999999</v>
      </c>
      <c r="D22" s="31">
        <v>3.1384970000000001</v>
      </c>
      <c r="E22" s="31">
        <v>3.0299360000000002</v>
      </c>
      <c r="F22" s="31"/>
      <c r="K22" s="645"/>
      <c r="L22" s="645"/>
      <c r="M22" s="645"/>
      <c r="N22" s="645"/>
      <c r="O22" s="645"/>
      <c r="P22" s="645"/>
      <c r="Q22" s="645"/>
      <c r="R22" s="645"/>
      <c r="S22" s="645"/>
      <c r="T22" s="645"/>
      <c r="U22" s="645"/>
      <c r="V22" s="645"/>
      <c r="W22" s="645"/>
      <c r="X22" s="645"/>
      <c r="Y22" s="645"/>
      <c r="Z22" s="645"/>
      <c r="AA22" s="645"/>
      <c r="AB22" s="645"/>
      <c r="AC22" s="645"/>
      <c r="AD22" s="645"/>
      <c r="AE22" s="645"/>
      <c r="AF22" s="645"/>
      <c r="AG22" s="645"/>
      <c r="AH22" s="645"/>
      <c r="AI22" s="645"/>
      <c r="AJ22" s="645"/>
      <c r="AK22" s="645"/>
      <c r="AL22" s="645"/>
      <c r="AM22" s="645"/>
      <c r="AN22" s="645"/>
      <c r="AO22" s="645"/>
      <c r="AP22" s="645"/>
      <c r="AQ22" s="645"/>
      <c r="AR22" s="645"/>
      <c r="AS22" s="645"/>
      <c r="AT22" s="645"/>
      <c r="AU22" s="645"/>
      <c r="AV22" s="645"/>
      <c r="AW22" s="645"/>
      <c r="AX22" s="645"/>
      <c r="AY22" s="645"/>
    </row>
    <row r="23" spans="2:51" ht="15">
      <c r="B23" s="23">
        <v>2015</v>
      </c>
      <c r="C23" s="31">
        <v>1.0466120000000001</v>
      </c>
      <c r="D23" s="31">
        <v>3.2015090000000002</v>
      </c>
      <c r="E23" s="31">
        <v>2.9390960000000002</v>
      </c>
      <c r="F23" s="31"/>
      <c r="K23" s="645"/>
      <c r="L23" s="645"/>
      <c r="M23" s="645"/>
      <c r="N23" s="645"/>
      <c r="O23" s="645"/>
      <c r="P23" s="645"/>
      <c r="Q23" s="645"/>
      <c r="R23" s="645"/>
      <c r="S23" s="645"/>
      <c r="T23" s="645"/>
      <c r="U23" s="645"/>
      <c r="V23" s="645"/>
      <c r="W23" s="645"/>
      <c r="X23" s="645"/>
      <c r="Y23" s="645"/>
      <c r="Z23" s="645"/>
      <c r="AA23" s="645"/>
      <c r="AB23" s="645"/>
      <c r="AC23" s="645"/>
      <c r="AD23" s="645"/>
      <c r="AE23" s="645"/>
      <c r="AF23" s="645"/>
      <c r="AG23" s="645"/>
      <c r="AH23" s="645"/>
      <c r="AI23" s="645"/>
      <c r="AJ23" s="645"/>
      <c r="AK23" s="645"/>
      <c r="AL23" s="645"/>
      <c r="AM23" s="645"/>
      <c r="AN23" s="645"/>
      <c r="AO23" s="645"/>
      <c r="AP23" s="645"/>
      <c r="AQ23" s="645"/>
      <c r="AR23" s="645"/>
      <c r="AS23" s="645"/>
      <c r="AT23" s="645"/>
      <c r="AU23" s="645"/>
      <c r="AV23" s="645"/>
      <c r="AW23" s="645"/>
      <c r="AX23" s="645"/>
      <c r="AY23" s="645"/>
    </row>
    <row r="24" spans="2:51" ht="15">
      <c r="B24" s="22">
        <v>2016</v>
      </c>
      <c r="C24" s="31">
        <v>1.0570299999999999</v>
      </c>
      <c r="D24" s="31">
        <v>3.265631</v>
      </c>
      <c r="E24" s="31">
        <v>2.9366780000000001</v>
      </c>
      <c r="F24" s="31"/>
    </row>
    <row r="25" spans="2:51" ht="15">
      <c r="B25" s="23">
        <v>2017</v>
      </c>
      <c r="C25" s="31">
        <v>1.0774170000000001</v>
      </c>
      <c r="D25" s="31">
        <v>3.3318629999999998</v>
      </c>
      <c r="E25" s="31">
        <v>2.9518369999999998</v>
      </c>
      <c r="F25" s="31"/>
    </row>
    <row r="26" spans="2:51" ht="15">
      <c r="B26" s="22">
        <v>2018</v>
      </c>
      <c r="C26" s="31">
        <v>1.103262</v>
      </c>
      <c r="D26" s="31">
        <v>3.399124</v>
      </c>
      <c r="E26" s="31">
        <v>2.980038</v>
      </c>
      <c r="F26" s="31"/>
    </row>
    <row r="27" spans="2:51" ht="15">
      <c r="B27" s="23">
        <v>2019</v>
      </c>
      <c r="C27" s="31">
        <v>1.1227849999999999</v>
      </c>
      <c r="D27" s="31">
        <v>3.4673530000000001</v>
      </c>
      <c r="E27" s="31">
        <v>3.0170509999999999</v>
      </c>
      <c r="F27" s="31"/>
    </row>
    <row r="28" spans="2:51" ht="15">
      <c r="B28" s="22">
        <v>2020</v>
      </c>
      <c r="C28" s="31">
        <v>1.1374</v>
      </c>
      <c r="D28" s="31">
        <v>3.539269</v>
      </c>
      <c r="E28" s="31">
        <v>3.0807000000000002</v>
      </c>
      <c r="F28" s="31"/>
      <c r="P28" s="521"/>
      <c r="Q28" s="521"/>
      <c r="R28" s="521"/>
      <c r="S28" s="521"/>
      <c r="T28" s="521"/>
      <c r="U28" s="521"/>
      <c r="V28" s="521"/>
      <c r="W28" s="521"/>
      <c r="X28" s="521"/>
      <c r="Y28" s="521"/>
      <c r="Z28" s="521"/>
      <c r="AA28" s="521"/>
      <c r="AB28" s="521"/>
      <c r="AC28" s="521"/>
      <c r="AD28" s="521"/>
      <c r="AE28" s="521"/>
      <c r="AF28" s="521"/>
      <c r="AG28" s="521"/>
      <c r="AH28" s="521"/>
      <c r="AI28" s="521"/>
      <c r="AJ28" s="521"/>
      <c r="AK28" s="521"/>
      <c r="AL28" s="521"/>
      <c r="AM28" s="521"/>
      <c r="AN28" s="521"/>
      <c r="AO28" s="521"/>
      <c r="AP28" s="521"/>
      <c r="AQ28" s="521"/>
      <c r="AR28" s="521"/>
      <c r="AS28" s="521"/>
      <c r="AT28" s="521"/>
      <c r="AU28" s="521"/>
      <c r="AV28" s="521"/>
    </row>
    <row r="29" spans="2:51" ht="15">
      <c r="B29" s="23">
        <v>2021</v>
      </c>
      <c r="C29" s="31">
        <v>1.1849019999999999</v>
      </c>
      <c r="D29" s="31">
        <v>3.6136110000000001</v>
      </c>
      <c r="E29" s="31">
        <v>3.1608510000000001</v>
      </c>
      <c r="F29" s="31"/>
      <c r="P29" s="521"/>
      <c r="Q29" s="521"/>
      <c r="R29" s="521"/>
      <c r="S29" s="521"/>
      <c r="T29" s="521"/>
      <c r="U29" s="521"/>
      <c r="V29" s="521"/>
      <c r="W29" s="521"/>
      <c r="X29" s="521"/>
      <c r="Y29" s="521"/>
      <c r="Z29" s="521"/>
      <c r="AA29" s="521"/>
      <c r="AB29" s="521"/>
      <c r="AC29" s="521"/>
      <c r="AD29" s="521"/>
      <c r="AE29" s="521"/>
      <c r="AF29" s="521"/>
      <c r="AG29" s="521"/>
      <c r="AH29" s="521"/>
      <c r="AI29" s="521"/>
      <c r="AJ29" s="521"/>
      <c r="AK29" s="521"/>
      <c r="AL29" s="521"/>
      <c r="AM29" s="521"/>
      <c r="AN29" s="521"/>
      <c r="AO29" s="521"/>
      <c r="AP29" s="521"/>
      <c r="AQ29" s="521"/>
      <c r="AR29" s="521"/>
      <c r="AS29" s="521"/>
      <c r="AT29" s="521"/>
      <c r="AU29" s="521"/>
      <c r="AV29" s="521"/>
    </row>
    <row r="30" spans="2:51" ht="15">
      <c r="B30" s="22">
        <v>2022</v>
      </c>
      <c r="C30" s="31">
        <v>1.2692000000000001</v>
      </c>
      <c r="D30" s="31">
        <v>3.6898650000000002</v>
      </c>
      <c r="E30" s="31">
        <v>3.2423540000000002</v>
      </c>
      <c r="F30" s="31"/>
    </row>
    <row r="31" spans="2:51" ht="15">
      <c r="B31" s="23">
        <v>2023</v>
      </c>
      <c r="C31" s="31">
        <v>1.3216909999999999</v>
      </c>
      <c r="D31" s="31">
        <v>3.7723270000000002</v>
      </c>
      <c r="E31" s="31">
        <v>3.3425220000000002</v>
      </c>
      <c r="F31" s="31"/>
    </row>
    <row r="32" spans="2:51" ht="15">
      <c r="B32" s="22">
        <v>2024</v>
      </c>
      <c r="C32" s="31">
        <v>1.354106</v>
      </c>
      <c r="D32" s="31">
        <v>3.8597419999999998</v>
      </c>
      <c r="E32" s="31">
        <v>3.4362680000000001</v>
      </c>
      <c r="F32" s="31"/>
    </row>
    <row r="33" spans="2:6" ht="15">
      <c r="B33" s="23">
        <v>2025</v>
      </c>
      <c r="C33" s="31">
        <v>1.383478</v>
      </c>
      <c r="D33" s="31">
        <v>3.9478719999999998</v>
      </c>
      <c r="E33" s="31">
        <v>3.5255589999999999</v>
      </c>
      <c r="F33" s="31"/>
    </row>
    <row r="34" spans="2:6" ht="15">
      <c r="B34" s="22">
        <v>2026</v>
      </c>
      <c r="C34" s="31">
        <v>1.412892</v>
      </c>
      <c r="D34" s="31">
        <v>4.0375550000000002</v>
      </c>
      <c r="E34" s="31">
        <v>3.6249359999999999</v>
      </c>
      <c r="F34" s="31"/>
    </row>
    <row r="35" spans="2:6" ht="15">
      <c r="B35" s="23">
        <v>2027</v>
      </c>
      <c r="C35" s="31">
        <v>1.4432430000000001</v>
      </c>
      <c r="D35" s="31">
        <v>4.1263670000000001</v>
      </c>
      <c r="E35" s="31">
        <v>3.7249479999999999</v>
      </c>
      <c r="F35" s="31"/>
    </row>
    <row r="36" spans="2:6" ht="15">
      <c r="B36" s="22">
        <v>2028</v>
      </c>
      <c r="C36" s="31">
        <v>1.4741850000000001</v>
      </c>
      <c r="D36" s="31">
        <v>4.2159389999999997</v>
      </c>
      <c r="E36" s="31">
        <v>3.8320400000000001</v>
      </c>
      <c r="F36" s="31"/>
    </row>
    <row r="37" spans="2:6" ht="15">
      <c r="B37" s="23">
        <v>2029</v>
      </c>
      <c r="C37" s="31">
        <v>1.5058590000000001</v>
      </c>
      <c r="D37" s="31">
        <v>4.3060159999999996</v>
      </c>
      <c r="E37" s="31">
        <v>3.9288539999999998</v>
      </c>
      <c r="F37" s="31"/>
    </row>
    <row r="38" spans="2:6" ht="15">
      <c r="B38" s="22">
        <v>2030</v>
      </c>
      <c r="C38" s="31">
        <v>1.5386200000000001</v>
      </c>
      <c r="D38" s="31">
        <v>4.3988060000000004</v>
      </c>
      <c r="E38" s="31">
        <v>4.0305549999999997</v>
      </c>
      <c r="F38" s="31"/>
    </row>
    <row r="39" spans="2:6" ht="15">
      <c r="B39" s="23">
        <v>2031</v>
      </c>
      <c r="C39" s="31">
        <v>1.572689</v>
      </c>
      <c r="D39" s="31">
        <v>4.4951780000000001</v>
      </c>
      <c r="E39" s="31">
        <v>4.1342590000000001</v>
      </c>
      <c r="F39" s="31"/>
    </row>
    <row r="40" spans="2:6" ht="15">
      <c r="B40" s="22">
        <v>2032</v>
      </c>
      <c r="C40" s="31">
        <v>1.6075060000000001</v>
      </c>
      <c r="D40" s="31">
        <v>4.5937219999999996</v>
      </c>
      <c r="E40" s="31">
        <v>4.2335089999999997</v>
      </c>
      <c r="F40" s="31"/>
    </row>
    <row r="41" spans="2:6" ht="15">
      <c r="B41" s="23">
        <v>2033</v>
      </c>
      <c r="C41" s="31">
        <v>1.644633</v>
      </c>
      <c r="D41" s="31">
        <v>4.6942940000000002</v>
      </c>
      <c r="E41" s="31">
        <v>4.322381</v>
      </c>
      <c r="F41" s="31"/>
    </row>
    <row r="42" spans="2:6" ht="15">
      <c r="B42" s="22">
        <v>2034</v>
      </c>
      <c r="C42" s="31">
        <v>1.683214</v>
      </c>
      <c r="D42" s="31">
        <v>4.7987840000000004</v>
      </c>
      <c r="E42" s="31">
        <v>4.4183810000000001</v>
      </c>
      <c r="F42" s="31"/>
    </row>
    <row r="43" spans="2:6" ht="15">
      <c r="B43" s="23">
        <v>2035</v>
      </c>
      <c r="C43" s="31">
        <v>1.722164</v>
      </c>
      <c r="D43" s="31">
        <v>4.9071249999999997</v>
      </c>
      <c r="E43" s="31">
        <v>4.5216229999999999</v>
      </c>
      <c r="F43" s="31"/>
    </row>
    <row r="44" spans="2:6" ht="15">
      <c r="B44" s="22">
        <v>2036</v>
      </c>
      <c r="C44" s="31">
        <v>1.761736</v>
      </c>
      <c r="D44" s="31">
        <v>5.0195889999999999</v>
      </c>
      <c r="E44" s="31">
        <v>4.6278560000000004</v>
      </c>
      <c r="F44" s="31"/>
    </row>
    <row r="45" spans="2:6" ht="15">
      <c r="B45" s="23">
        <v>2037</v>
      </c>
      <c r="C45" s="31">
        <v>1.801264</v>
      </c>
      <c r="D45" s="31">
        <v>5.1381309999999996</v>
      </c>
      <c r="E45" s="31">
        <v>4.7544779999999998</v>
      </c>
      <c r="F45" s="31"/>
    </row>
    <row r="46" spans="2:6" ht="15">
      <c r="B46" s="22">
        <v>2038</v>
      </c>
      <c r="C46" s="31">
        <v>1.841342</v>
      </c>
      <c r="D46" s="31">
        <v>5.2606719999999996</v>
      </c>
      <c r="E46" s="31">
        <v>4.8781540000000003</v>
      </c>
      <c r="F46" s="31"/>
    </row>
    <row r="47" spans="2:6" ht="15">
      <c r="B47" s="23">
        <v>2039</v>
      </c>
      <c r="C47" s="31">
        <v>1.882166</v>
      </c>
      <c r="D47" s="31">
        <v>5.3862550000000002</v>
      </c>
      <c r="E47" s="31">
        <v>4.9897960000000001</v>
      </c>
      <c r="F47" s="31"/>
    </row>
    <row r="48" spans="2:6" ht="15">
      <c r="B48" s="24">
        <v>2040</v>
      </c>
      <c r="C48" s="145">
        <v>1.9244429999999999</v>
      </c>
      <c r="D48" s="145">
        <v>5.515447</v>
      </c>
      <c r="E48" s="145">
        <v>5.0994999999999999</v>
      </c>
      <c r="F48" s="145"/>
    </row>
    <row r="49" spans="2:6" ht="15.75" thickBot="1">
      <c r="B49" s="341" t="s">
        <v>290</v>
      </c>
      <c r="C49" s="340">
        <v>1.967735</v>
      </c>
      <c r="D49" s="340" t="s">
        <v>291</v>
      </c>
      <c r="E49" s="340" t="s">
        <v>291</v>
      </c>
      <c r="F49" s="340"/>
    </row>
    <row r="50" spans="2:6" ht="15">
      <c r="B50" s="194" t="s">
        <v>292</v>
      </c>
      <c r="C50" s="589">
        <v>2.012073</v>
      </c>
      <c r="D50" s="589" t="s">
        <v>293</v>
      </c>
      <c r="E50" s="589" t="s">
        <v>293</v>
      </c>
    </row>
    <row r="51" spans="2:6" ht="15">
      <c r="B51" s="194" t="s">
        <v>294</v>
      </c>
      <c r="C51" s="107">
        <v>2.057696</v>
      </c>
      <c r="D51" s="107" t="s">
        <v>295</v>
      </c>
      <c r="E51" s="107" t="s">
        <v>295</v>
      </c>
    </row>
    <row r="52" spans="2:6" ht="15">
      <c r="B52" s="194" t="s">
        <v>296</v>
      </c>
      <c r="C52" s="590">
        <v>2.1046420000000001</v>
      </c>
      <c r="D52" s="590" t="s">
        <v>297</v>
      </c>
      <c r="E52" s="590" t="s">
        <v>297</v>
      </c>
    </row>
    <row r="53" spans="2:6" ht="15">
      <c r="B53" s="194" t="s">
        <v>298</v>
      </c>
      <c r="C53" s="600">
        <v>2.152927</v>
      </c>
      <c r="D53" s="600" t="s">
        <v>299</v>
      </c>
      <c r="E53" s="600" t="s">
        <v>299</v>
      </c>
    </row>
    <row r="54" spans="2:6" ht="15">
      <c r="B54" s="194" t="s">
        <v>300</v>
      </c>
      <c r="C54" s="600">
        <v>2.2029489999999998</v>
      </c>
      <c r="D54" s="600">
        <v>2546</v>
      </c>
      <c r="E54" s="600">
        <v>2547</v>
      </c>
    </row>
    <row r="55" spans="2:6" ht="60">
      <c r="B55" s="194" t="s">
        <v>301</v>
      </c>
      <c r="C55" s="601">
        <v>2.2550659999999998</v>
      </c>
      <c r="D55" s="601" t="s">
        <v>302</v>
      </c>
      <c r="E55" s="601" t="s">
        <v>303</v>
      </c>
    </row>
    <row r="56" spans="2:6">
      <c r="C56" s="339">
        <v>2.3090899999999999</v>
      </c>
    </row>
    <row r="57" spans="2:6">
      <c r="C57" s="339">
        <v>2.3647550000000002</v>
      </c>
    </row>
    <row r="58" spans="2:6">
      <c r="C58" s="339">
        <v>2.4222030000000001</v>
      </c>
    </row>
  </sheetData>
  <mergeCells count="1">
    <mergeCell ref="B1:C1"/>
  </mergeCells>
  <phoneticPr fontId="29" type="noConversion"/>
  <hyperlinks>
    <hyperlink ref="B1" location="'Table of Contents'!A1" tooltip="Click here to return to the Table of Contents tab" display="Return to Table of Contents"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6">
    <tabColor indexed="45"/>
    <pageSetUpPr fitToPage="1"/>
  </sheetPr>
  <dimension ref="A1:T92"/>
  <sheetViews>
    <sheetView zoomScale="80" zoomScaleNormal="80" workbookViewId="0">
      <pane xSplit="2" ySplit="9" topLeftCell="C67" activePane="bottomRight" state="frozen"/>
      <selection pane="topRight" sqref="A1:B1"/>
      <selection pane="bottomLeft" sqref="A1:B1"/>
      <selection pane="bottomRight" activeCell="E85" sqref="E85:F87"/>
    </sheetView>
  </sheetViews>
  <sheetFormatPr defaultColWidth="9.28515625" defaultRowHeight="15" customHeight="1"/>
  <cols>
    <col min="1" max="1" width="15.5703125" style="18" customWidth="1"/>
    <col min="2" max="2" width="12" style="1" bestFit="1" customWidth="1"/>
    <col min="3" max="3" width="15.28515625" style="1" customWidth="1"/>
    <col min="4" max="4" width="17.28515625" style="1" bestFit="1" customWidth="1"/>
    <col min="5" max="5" width="17.5703125" style="1" bestFit="1" customWidth="1"/>
    <col min="6" max="6" width="16.7109375" style="1" bestFit="1" customWidth="1"/>
    <col min="7" max="7" width="16.7109375" style="1" customWidth="1"/>
    <col min="8" max="8" width="16.5703125" style="1" customWidth="1"/>
    <col min="9" max="20" width="17.28515625" style="1" customWidth="1"/>
    <col min="21" max="16384" width="9.28515625" style="1"/>
  </cols>
  <sheetData>
    <row r="1" spans="1:20" ht="15.75" thickBot="1">
      <c r="A1" s="701" t="s">
        <v>27</v>
      </c>
      <c r="B1" s="702"/>
      <c r="C1" s="620"/>
      <c r="D1" s="21"/>
      <c r="E1" s="180"/>
      <c r="F1" s="180"/>
      <c r="G1" s="180"/>
      <c r="H1" s="2"/>
    </row>
    <row r="2" spans="1:20" ht="16.5" customHeight="1">
      <c r="A2" s="1"/>
      <c r="B2" s="2"/>
      <c r="C2" s="2"/>
      <c r="D2" s="2"/>
      <c r="E2" s="2"/>
      <c r="F2" s="2"/>
      <c r="G2" s="2"/>
      <c r="H2" s="2"/>
    </row>
    <row r="3" spans="1:20" ht="16.5" customHeight="1">
      <c r="A3" s="1"/>
      <c r="B3" s="2"/>
      <c r="C3" s="2"/>
      <c r="D3" s="2"/>
      <c r="E3" s="2"/>
      <c r="F3" s="2"/>
      <c r="G3" s="2"/>
      <c r="H3" s="2"/>
    </row>
    <row r="4" spans="1:20" ht="16.5" customHeight="1">
      <c r="A4" s="1"/>
      <c r="B4" s="2"/>
      <c r="C4" s="2"/>
      <c r="D4" s="2"/>
      <c r="E4" s="2"/>
      <c r="F4" s="2"/>
      <c r="G4" s="2"/>
      <c r="H4" s="2"/>
    </row>
    <row r="5" spans="1:20" ht="16.5" customHeight="1">
      <c r="A5" s="1"/>
      <c r="B5" s="2"/>
      <c r="C5" s="2"/>
      <c r="D5" s="2"/>
      <c r="E5" s="2"/>
      <c r="F5" s="2"/>
      <c r="G5" s="2"/>
      <c r="H5" s="2"/>
    </row>
    <row r="6" spans="1:20" ht="19.5" customHeight="1">
      <c r="A6" s="16"/>
      <c r="B6" s="11" t="s">
        <v>304</v>
      </c>
      <c r="C6" s="59"/>
      <c r="D6" s="12"/>
      <c r="E6" s="12"/>
      <c r="F6" s="12"/>
      <c r="G6" s="12"/>
      <c r="H6" s="59"/>
      <c r="I6" s="59"/>
      <c r="J6" s="60"/>
      <c r="K6" s="60"/>
      <c r="L6" s="60"/>
    </row>
    <row r="7" spans="1:20" ht="19.5" customHeight="1">
      <c r="A7" s="16"/>
      <c r="B7" s="61"/>
      <c r="C7" s="62"/>
      <c r="D7" s="57"/>
      <c r="E7" s="57"/>
      <c r="F7" s="57"/>
      <c r="G7" s="57"/>
      <c r="H7" s="62"/>
      <c r="I7" s="62"/>
      <c r="J7" s="62"/>
      <c r="K7" s="62"/>
      <c r="L7" s="80"/>
    </row>
    <row r="8" spans="1:20" ht="29.25" customHeight="1">
      <c r="A8" s="16"/>
      <c r="B8" s="650"/>
      <c r="C8" s="650" t="s">
        <v>305</v>
      </c>
      <c r="D8" s="650" t="s">
        <v>306</v>
      </c>
      <c r="E8" s="650" t="s">
        <v>187</v>
      </c>
      <c r="F8" s="650" t="s">
        <v>174</v>
      </c>
      <c r="G8" s="650" t="s">
        <v>192</v>
      </c>
      <c r="H8" s="650" t="s">
        <v>198</v>
      </c>
      <c r="I8" s="650" t="s">
        <v>200</v>
      </c>
      <c r="J8" s="653" t="s">
        <v>202</v>
      </c>
      <c r="K8" s="650" t="s">
        <v>307</v>
      </c>
      <c r="L8" s="244" t="s">
        <v>308</v>
      </c>
      <c r="N8" s="650" t="s">
        <v>309</v>
      </c>
      <c r="P8" s="653" t="s">
        <v>310</v>
      </c>
      <c r="Q8" s="653" t="s">
        <v>311</v>
      </c>
      <c r="R8" s="650" t="s">
        <v>312</v>
      </c>
      <c r="T8" s="507" t="s">
        <v>313</v>
      </c>
    </row>
    <row r="9" spans="1:20" ht="29.25" customHeight="1" thickBot="1">
      <c r="A9" s="16"/>
      <c r="B9" s="95" t="s">
        <v>268</v>
      </c>
      <c r="C9" s="96" t="s">
        <v>314</v>
      </c>
      <c r="D9" s="96" t="s">
        <v>314</v>
      </c>
      <c r="E9" s="96" t="s">
        <v>314</v>
      </c>
      <c r="F9" s="96" t="s">
        <v>314</v>
      </c>
      <c r="G9" s="96" t="s">
        <v>314</v>
      </c>
      <c r="H9" s="96" t="s">
        <v>314</v>
      </c>
      <c r="I9" s="96" t="s">
        <v>314</v>
      </c>
      <c r="J9" s="96" t="s">
        <v>314</v>
      </c>
      <c r="K9" s="96" t="s">
        <v>314</v>
      </c>
      <c r="L9" s="243" t="s">
        <v>314</v>
      </c>
      <c r="N9" s="96" t="s">
        <v>314</v>
      </c>
      <c r="P9" s="96" t="s">
        <v>314</v>
      </c>
      <c r="Q9" s="96" t="s">
        <v>314</v>
      </c>
      <c r="R9" s="96" t="s">
        <v>314</v>
      </c>
      <c r="T9" s="513" t="s">
        <v>315</v>
      </c>
    </row>
    <row r="10" spans="1:20" ht="15" customHeight="1" thickTop="1">
      <c r="A10" s="16"/>
      <c r="B10" s="22">
        <f>baseline_start_year</f>
        <v>2019</v>
      </c>
      <c r="C10" s="683">
        <v>7.9359999999999999</v>
      </c>
      <c r="D10" s="683">
        <v>1.889</v>
      </c>
      <c r="E10" s="31">
        <v>1.954</v>
      </c>
      <c r="F10" s="31">
        <v>0.37979299999999999</v>
      </c>
      <c r="G10" s="31">
        <v>8.5207000000000005E-2</v>
      </c>
      <c r="H10" s="31">
        <v>1.1168190000000002</v>
      </c>
      <c r="I10" s="31">
        <f t="shared" ref="I10:I41" si="0">P10+ R10</f>
        <v>5.5843980000000002</v>
      </c>
      <c r="J10" s="31">
        <v>82.039636000000002</v>
      </c>
      <c r="K10" s="165">
        <f t="array" ref="K10:K84">aeo_sup_oil_l48_t+aeo_sup_oil_l48+aeo_sup_oil_off+aeo_sup_oil_ala_on+aeo_sup_oil_ala_off+aeo_sup_oil_bio+aeo_sup_oil_oth+aeo_sup_oil_row</f>
        <v>100.984853</v>
      </c>
      <c r="L10" s="30">
        <v>2.8804875231009954</v>
      </c>
      <c r="N10" s="30">
        <f>SUM(F10,G10)</f>
        <v>0.46499999999999997</v>
      </c>
      <c r="P10" s="31">
        <v>6.5571219999999997</v>
      </c>
      <c r="Q10" s="30">
        <f t="shared" ref="Q10:Q41" si="1">aeo_sup_oil_l48_t+aeo_sup_oil_l48+aeo_sup_oil_off+aeo_sup_oil_ala_on+aeo_sup_oil_ala_off+aeo_sup_oil_bio+aeo_sup_oil_row+P10</f>
        <v>101.95757699999999</v>
      </c>
      <c r="R10" s="30">
        <f>IF(B10&lt;=baseline_aeo_end_year,'Oil demand projection'!K10-Q10,"")</f>
        <v>-0.97272399999999948</v>
      </c>
      <c r="T10" s="540">
        <v>7.155297370721847E-3</v>
      </c>
    </row>
    <row r="11" spans="1:20" ht="15" customHeight="1">
      <c r="A11" s="17"/>
      <c r="B11" s="23">
        <f t="shared" ref="B11:B42" si="2">B10+1</f>
        <v>2020</v>
      </c>
      <c r="C11" s="683">
        <v>7.4690000000000003</v>
      </c>
      <c r="D11" s="683">
        <v>1.6320000000000001</v>
      </c>
      <c r="E11" s="31">
        <v>1.6950000000000001</v>
      </c>
      <c r="F11" s="31">
        <v>0.36165700000000001</v>
      </c>
      <c r="G11" s="31">
        <v>8.6343000000000003E-2</v>
      </c>
      <c r="H11" s="31">
        <v>1.0036829999999999</v>
      </c>
      <c r="I11" s="31">
        <f t="shared" si="0"/>
        <v>6.0136760000000109</v>
      </c>
      <c r="J11" s="31">
        <v>81.753249999999994</v>
      </c>
      <c r="K11" s="165">
        <v>100.01460900000001</v>
      </c>
      <c r="L11" s="30">
        <v>2.7524577064201705</v>
      </c>
      <c r="N11" s="30">
        <f t="shared" ref="N11:N74" si="3">SUM(F11,G11)</f>
        <v>0.44800000000000001</v>
      </c>
      <c r="P11" s="31">
        <v>6.9735259999999997</v>
      </c>
      <c r="Q11" s="30">
        <f t="shared" si="1"/>
        <v>100.974459</v>
      </c>
      <c r="R11" s="30">
        <f>IF(B11&lt;=baseline_aeo_end_year,'Oil demand projection'!K11-Q11,"")</f>
        <v>-0.95984999999998877</v>
      </c>
      <c r="T11" s="537">
        <f>(INDEX(aeo_sup_oil_tot,MATCH(baseline_aeo_end_year,B10:B84,0),1)/INDEX(aeo_sup_oil_tot,MATCH(baseline_aeo_end_year-10,B10:B84,0),1))^(1/10)-1</f>
        <v>1.4957369109391827E-4</v>
      </c>
    </row>
    <row r="12" spans="1:20" ht="15" customHeight="1">
      <c r="B12" s="23">
        <f t="shared" si="2"/>
        <v>2021</v>
      </c>
      <c r="C12" s="683">
        <v>7.3079999999999998</v>
      </c>
      <c r="D12" s="683">
        <v>1.65</v>
      </c>
      <c r="E12" s="31">
        <v>1.7529999999999999</v>
      </c>
      <c r="F12" s="31">
        <v>0.35377900000000001</v>
      </c>
      <c r="G12" s="31">
        <v>8.3220999999999989E-2</v>
      </c>
      <c r="H12" s="31">
        <v>1.0678890000000001</v>
      </c>
      <c r="I12" s="31">
        <f t="shared" si="0"/>
        <v>8.3978230000000078</v>
      </c>
      <c r="J12" s="31">
        <v>82.460802000000001</v>
      </c>
      <c r="K12" s="165">
        <v>103.07451400000001</v>
      </c>
      <c r="L12" s="30">
        <v>3.1700674946462248</v>
      </c>
      <c r="N12" s="30">
        <f t="shared" si="3"/>
        <v>0.437</v>
      </c>
      <c r="P12" s="31">
        <v>6.9530089999999998</v>
      </c>
      <c r="Q12" s="30">
        <f t="shared" si="1"/>
        <v>101.6297</v>
      </c>
      <c r="R12" s="30">
        <f>IF(B12&lt;=baseline_aeo_end_year,'Oil demand projection'!K12-Q12,"")</f>
        <v>1.444814000000008</v>
      </c>
    </row>
    <row r="13" spans="1:20" ht="15" customHeight="1">
      <c r="B13" s="23">
        <f t="shared" si="2"/>
        <v>2022</v>
      </c>
      <c r="C13" s="683">
        <v>8.0050000000000008</v>
      </c>
      <c r="D13" s="683">
        <v>1.5835539999999999</v>
      </c>
      <c r="E13" s="31">
        <v>1.803407</v>
      </c>
      <c r="F13" s="31">
        <v>0.36202400000000001</v>
      </c>
      <c r="G13" s="31">
        <v>7.4427999999999994E-2</v>
      </c>
      <c r="H13" s="31">
        <v>1.0893170000000001</v>
      </c>
      <c r="I13" s="31">
        <f t="shared" si="0"/>
        <v>7.5139959999999864</v>
      </c>
      <c r="J13" s="31">
        <v>79.639999999999986</v>
      </c>
      <c r="K13" s="165">
        <v>100.07172599999997</v>
      </c>
      <c r="L13" s="30">
        <v>3.4017635963629003</v>
      </c>
      <c r="N13" s="30">
        <f t="shared" si="3"/>
        <v>0.43645200000000001</v>
      </c>
      <c r="P13" s="31">
        <v>7.5139960000000006</v>
      </c>
      <c r="Q13" s="30">
        <f t="shared" si="1"/>
        <v>100.071726</v>
      </c>
      <c r="R13" s="30">
        <f>IF(B13&lt;=baseline_aeo_end_year,'Oil demand projection'!K13-Q13,"")</f>
        <v>-1.4210854715202004E-14</v>
      </c>
    </row>
    <row r="14" spans="1:20" ht="15" customHeight="1">
      <c r="B14" s="23">
        <f t="shared" si="2"/>
        <v>2023</v>
      </c>
      <c r="C14" s="683">
        <v>8.6690349999999992</v>
      </c>
      <c r="D14" s="683">
        <v>1.3900269999999999</v>
      </c>
      <c r="E14" s="31">
        <v>1.855688</v>
      </c>
      <c r="F14" s="31">
        <v>0.33609899999999998</v>
      </c>
      <c r="G14" s="31">
        <v>6.9690000000000002E-2</v>
      </c>
      <c r="H14" s="31">
        <v>1.058557</v>
      </c>
      <c r="I14" s="31">
        <f t="shared" si="0"/>
        <v>7.5788310000000001</v>
      </c>
      <c r="J14" s="31">
        <v>80.11</v>
      </c>
      <c r="K14" s="165">
        <v>101.067927</v>
      </c>
      <c r="L14" s="30">
        <v>3.6603930569088208</v>
      </c>
      <c r="N14" s="30">
        <f t="shared" si="3"/>
        <v>0.40578899999999996</v>
      </c>
      <c r="P14" s="31">
        <v>7.5788310000000001</v>
      </c>
      <c r="Q14" s="30">
        <f t="shared" si="1"/>
        <v>101.067927</v>
      </c>
      <c r="R14" s="30">
        <f>IF(B14&lt;=baseline_aeo_end_year,'Oil demand projection'!K14-Q14,"")</f>
        <v>0</v>
      </c>
    </row>
    <row r="15" spans="1:20" ht="15" customHeight="1">
      <c r="B15" s="23">
        <f t="shared" si="2"/>
        <v>2024</v>
      </c>
      <c r="C15" s="683">
        <v>9.057658</v>
      </c>
      <c r="D15" s="683">
        <v>1.298054</v>
      </c>
      <c r="E15" s="31">
        <v>1.9276530000000001</v>
      </c>
      <c r="F15" s="31">
        <v>0.31116100000000002</v>
      </c>
      <c r="G15" s="31">
        <v>7.084E-2</v>
      </c>
      <c r="H15" s="31">
        <v>1.1347229999999999</v>
      </c>
      <c r="I15" s="31">
        <f t="shared" si="0"/>
        <v>7.635142000000001</v>
      </c>
      <c r="J15" s="31">
        <v>81.06</v>
      </c>
      <c r="K15" s="165">
        <v>102.495231</v>
      </c>
      <c r="L15" s="30">
        <v>3.8281909833908108</v>
      </c>
      <c r="N15" s="30">
        <f t="shared" si="3"/>
        <v>0.38200100000000003</v>
      </c>
      <c r="P15" s="31">
        <v>7.635142000000001</v>
      </c>
      <c r="Q15" s="30">
        <f t="shared" si="1"/>
        <v>102.495231</v>
      </c>
      <c r="R15" s="30">
        <f>IF(B15&lt;=baseline_aeo_end_year,'Oil demand projection'!K15-Q15,"")</f>
        <v>0</v>
      </c>
    </row>
    <row r="16" spans="1:20" ht="15" customHeight="1">
      <c r="B16" s="23">
        <f t="shared" si="2"/>
        <v>2025</v>
      </c>
      <c r="C16" s="683">
        <v>9.0845260000000003</v>
      </c>
      <c r="D16" s="683">
        <v>1.3129199999999999</v>
      </c>
      <c r="E16" s="31">
        <v>1.972143</v>
      </c>
      <c r="F16" s="31">
        <v>0.377749</v>
      </c>
      <c r="G16" s="31">
        <v>7.6492000000000004E-2</v>
      </c>
      <c r="H16" s="31">
        <v>1.122123</v>
      </c>
      <c r="I16" s="31">
        <f t="shared" si="0"/>
        <v>7.7001050000000006</v>
      </c>
      <c r="J16" s="31">
        <v>81.841848164281288</v>
      </c>
      <c r="K16" s="165">
        <v>103.4879061642813</v>
      </c>
      <c r="L16" s="30">
        <v>3.7744068995997977</v>
      </c>
      <c r="N16" s="30">
        <f t="shared" si="3"/>
        <v>0.45424100000000001</v>
      </c>
      <c r="P16" s="31">
        <v>7.7001050000000006</v>
      </c>
      <c r="Q16" s="30">
        <f t="shared" si="1"/>
        <v>103.4879061642813</v>
      </c>
      <c r="R16" s="30">
        <f>IF(B16&lt;=baseline_aeo_end_year,'Oil demand projection'!K16-Q16,"")</f>
        <v>0</v>
      </c>
    </row>
    <row r="17" spans="1:18" ht="15" customHeight="1">
      <c r="B17" s="23">
        <f t="shared" si="2"/>
        <v>2026</v>
      </c>
      <c r="C17" s="683">
        <v>9.141235</v>
      </c>
      <c r="D17" s="683">
        <v>1.3352390000000001</v>
      </c>
      <c r="E17" s="31">
        <v>1.996534</v>
      </c>
      <c r="F17" s="31">
        <v>0.39646799999999999</v>
      </c>
      <c r="G17" s="31">
        <v>8.013300000000001E-2</v>
      </c>
      <c r="H17" s="31">
        <v>1.1171450000000001</v>
      </c>
      <c r="I17" s="31">
        <f t="shared" si="0"/>
        <v>7.7328539999999855</v>
      </c>
      <c r="J17" s="31">
        <v>82.623696328562559</v>
      </c>
      <c r="K17" s="165">
        <v>104.42330432856255</v>
      </c>
      <c r="L17" s="30">
        <v>3.7343871082310467</v>
      </c>
      <c r="N17" s="30">
        <f t="shared" si="3"/>
        <v>0.476601</v>
      </c>
      <c r="P17" s="31">
        <v>7.7328539999999997</v>
      </c>
      <c r="Q17" s="30">
        <f t="shared" si="1"/>
        <v>104.42330432856257</v>
      </c>
      <c r="R17" s="30">
        <f>IF(B17&lt;=baseline_aeo_end_year,'Oil demand projection'!K17-Q17,"")</f>
        <v>-1.4210854715202004E-14</v>
      </c>
    </row>
    <row r="18" spans="1:18" ht="15" customHeight="1">
      <c r="B18" s="23">
        <f t="shared" si="2"/>
        <v>2027</v>
      </c>
      <c r="C18" s="683">
        <v>9.1152460000000008</v>
      </c>
      <c r="D18" s="683">
        <v>1.3542580000000002</v>
      </c>
      <c r="E18" s="31">
        <v>1.972699</v>
      </c>
      <c r="F18" s="31">
        <v>0.42872399999999999</v>
      </c>
      <c r="G18" s="31">
        <v>7.6696E-2</v>
      </c>
      <c r="H18" s="31">
        <v>1.1176010000000003</v>
      </c>
      <c r="I18" s="31">
        <f t="shared" si="0"/>
        <v>7.8286150000000143</v>
      </c>
      <c r="J18" s="31">
        <v>83.405544492843831</v>
      </c>
      <c r="K18" s="165">
        <v>105.29938349284384</v>
      </c>
      <c r="L18" s="30">
        <v>3.8535111871183445</v>
      </c>
      <c r="N18" s="30">
        <f t="shared" si="3"/>
        <v>0.50541999999999998</v>
      </c>
      <c r="P18" s="31">
        <v>7.8286150000000001</v>
      </c>
      <c r="Q18" s="30">
        <f t="shared" si="1"/>
        <v>105.29938349284383</v>
      </c>
      <c r="R18" s="30">
        <f>IF(B18&lt;=baseline_aeo_end_year,'Oil demand projection'!K18-Q18,"")</f>
        <v>1.4210854715202004E-14</v>
      </c>
    </row>
    <row r="19" spans="1:18" ht="15" customHeight="1">
      <c r="B19" s="23">
        <f t="shared" si="2"/>
        <v>2028</v>
      </c>
      <c r="C19" s="683">
        <v>9.1133059999999997</v>
      </c>
      <c r="D19" s="683">
        <v>1.3758980000000001</v>
      </c>
      <c r="E19" s="31">
        <v>1.9361250000000001</v>
      </c>
      <c r="F19" s="31">
        <v>0.47810799999999998</v>
      </c>
      <c r="G19" s="31">
        <v>7.3567000000000007E-2</v>
      </c>
      <c r="H19" s="31">
        <v>1.0953930000000001</v>
      </c>
      <c r="I19" s="31">
        <f t="shared" si="0"/>
        <v>7.8847150000000141</v>
      </c>
      <c r="J19" s="31">
        <v>84.187392657125102</v>
      </c>
      <c r="K19" s="165">
        <v>106.14450465712511</v>
      </c>
      <c r="L19" s="30">
        <v>3.9214651290265632</v>
      </c>
      <c r="N19" s="30">
        <f t="shared" si="3"/>
        <v>0.55167500000000003</v>
      </c>
      <c r="P19" s="31">
        <v>7.8847149999999999</v>
      </c>
      <c r="Q19" s="30">
        <f t="shared" si="1"/>
        <v>106.1445046571251</v>
      </c>
      <c r="R19" s="30">
        <f>IF(B19&lt;=baseline_aeo_end_year,'Oil demand projection'!K19-Q19,"")</f>
        <v>1.4210854715202004E-14</v>
      </c>
    </row>
    <row r="20" spans="1:18" ht="15" customHeight="1">
      <c r="B20" s="23">
        <f t="shared" si="2"/>
        <v>2029</v>
      </c>
      <c r="C20" s="683">
        <v>9.0533319999999993</v>
      </c>
      <c r="D20" s="683">
        <v>1.4009239999999998</v>
      </c>
      <c r="E20" s="31">
        <v>1.929052</v>
      </c>
      <c r="F20" s="31">
        <v>0.49165599999999998</v>
      </c>
      <c r="G20" s="31">
        <v>7.0713000000000012E-2</v>
      </c>
      <c r="H20" s="31">
        <v>1.095818</v>
      </c>
      <c r="I20" s="31">
        <f t="shared" si="0"/>
        <v>7.9311150000000001</v>
      </c>
      <c r="J20" s="31">
        <v>84.969240821406373</v>
      </c>
      <c r="K20" s="165">
        <v>106.94185082140638</v>
      </c>
      <c r="L20" s="30">
        <v>4.0011598724833384</v>
      </c>
      <c r="N20" s="30">
        <f t="shared" si="3"/>
        <v>0.56236900000000001</v>
      </c>
      <c r="P20" s="31">
        <v>7.9311150000000001</v>
      </c>
      <c r="Q20" s="30">
        <f t="shared" si="1"/>
        <v>106.94185082140638</v>
      </c>
      <c r="R20" s="30">
        <f>IF(B20&lt;=baseline_aeo_end_year,'Oil demand projection'!K20-Q20,"")</f>
        <v>0</v>
      </c>
    </row>
    <row r="21" spans="1:18" ht="15" customHeight="1">
      <c r="A21" s="17"/>
      <c r="B21" s="23">
        <f t="shared" si="2"/>
        <v>2030</v>
      </c>
      <c r="C21" s="683">
        <v>9.0685730000000007</v>
      </c>
      <c r="D21" s="683">
        <v>1.43167</v>
      </c>
      <c r="E21" s="31">
        <v>1.853453</v>
      </c>
      <c r="F21" s="31">
        <v>0.49938500000000002</v>
      </c>
      <c r="G21" s="31">
        <v>0.100983</v>
      </c>
      <c r="H21" s="31">
        <v>1.0948470000000001</v>
      </c>
      <c r="I21" s="31">
        <f t="shared" si="0"/>
        <v>7.8700329999999994</v>
      </c>
      <c r="J21" s="31">
        <v>85.751088985687602</v>
      </c>
      <c r="K21" s="165">
        <v>107.6700329856876</v>
      </c>
      <c r="L21" s="30">
        <v>4.0043225258237243</v>
      </c>
      <c r="N21" s="30">
        <f t="shared" si="3"/>
        <v>0.60036800000000001</v>
      </c>
      <c r="P21" s="31">
        <v>7.8700329999999994</v>
      </c>
      <c r="Q21" s="30">
        <f t="shared" si="1"/>
        <v>107.67003298568761</v>
      </c>
      <c r="R21" s="30">
        <f>IF(B21&lt;=baseline_aeo_end_year,'Oil demand projection'!K21-Q21,"")</f>
        <v>0</v>
      </c>
    </row>
    <row r="22" spans="1:18" ht="15" customHeight="1">
      <c r="A22" s="17"/>
      <c r="B22" s="23">
        <f t="shared" si="2"/>
        <v>2031</v>
      </c>
      <c r="C22" s="683">
        <v>9.0638290000000001</v>
      </c>
      <c r="D22" s="683">
        <v>1.4493499999999999</v>
      </c>
      <c r="E22" s="31">
        <v>1.7992779999999999</v>
      </c>
      <c r="F22" s="31">
        <v>0.492452</v>
      </c>
      <c r="G22" s="31">
        <v>0.107721</v>
      </c>
      <c r="H22" s="31">
        <v>1.093637</v>
      </c>
      <c r="I22" s="31">
        <f t="shared" si="0"/>
        <v>7.8621929999999862</v>
      </c>
      <c r="J22" s="31">
        <v>85.786398257622878</v>
      </c>
      <c r="K22" s="165">
        <v>107.65485825762286</v>
      </c>
      <c r="L22" s="30">
        <v>4.0484565317556251</v>
      </c>
      <c r="N22" s="30">
        <f t="shared" si="3"/>
        <v>0.60017299999999996</v>
      </c>
      <c r="P22" s="31">
        <v>7.8621930000000004</v>
      </c>
      <c r="Q22" s="30">
        <f t="shared" si="1"/>
        <v>107.65485825762288</v>
      </c>
      <c r="R22" s="30">
        <f>IF(B22&lt;=baseline_aeo_end_year,'Oil demand projection'!K22-Q22,"")</f>
        <v>-1.4210854715202004E-14</v>
      </c>
    </row>
    <row r="23" spans="1:18" ht="15" customHeight="1">
      <c r="A23" s="17"/>
      <c r="B23" s="23">
        <f t="shared" si="2"/>
        <v>2032</v>
      </c>
      <c r="C23" s="683">
        <v>9.1321840000000005</v>
      </c>
      <c r="D23" s="683">
        <v>1.459578</v>
      </c>
      <c r="E23" s="31">
        <v>1.7271289999999999</v>
      </c>
      <c r="F23" s="31">
        <v>0.52298800000000001</v>
      </c>
      <c r="G23" s="31">
        <v>0.107015</v>
      </c>
      <c r="H23" s="31">
        <v>1.090641</v>
      </c>
      <c r="I23" s="31">
        <f t="shared" si="0"/>
        <v>7.8234950000000145</v>
      </c>
      <c r="J23" s="31">
        <v>85.821707529558154</v>
      </c>
      <c r="K23" s="165">
        <v>107.68473752955816</v>
      </c>
      <c r="L23" s="30">
        <v>4.044411718808723</v>
      </c>
      <c r="N23" s="30">
        <f t="shared" si="3"/>
        <v>0.63000299999999998</v>
      </c>
      <c r="P23" s="31">
        <v>7.8234950000000003</v>
      </c>
      <c r="Q23" s="30">
        <f t="shared" si="1"/>
        <v>107.68473752955815</v>
      </c>
      <c r="R23" s="30">
        <f>IF(B23&lt;=baseline_aeo_end_year,'Oil demand projection'!K23-Q23,"")</f>
        <v>1.4210854715202004E-14</v>
      </c>
    </row>
    <row r="24" spans="1:18" ht="15" customHeight="1">
      <c r="A24" s="17"/>
      <c r="B24" s="23">
        <f t="shared" si="2"/>
        <v>2033</v>
      </c>
      <c r="C24" s="683">
        <v>9.1588150000000006</v>
      </c>
      <c r="D24" s="683">
        <v>1.479457</v>
      </c>
      <c r="E24" s="31">
        <v>1.67994</v>
      </c>
      <c r="F24" s="31">
        <v>0.54794799999999999</v>
      </c>
      <c r="G24" s="31">
        <v>0.105987</v>
      </c>
      <c r="H24" s="31">
        <v>1.091011</v>
      </c>
      <c r="I24" s="31">
        <f t="shared" si="0"/>
        <v>7.8084210000000001</v>
      </c>
      <c r="J24" s="31">
        <v>85.85701680149343</v>
      </c>
      <c r="K24" s="165">
        <v>107.72859580149343</v>
      </c>
      <c r="L24" s="30">
        <v>4.0473574920983371</v>
      </c>
      <c r="N24" s="30">
        <f t="shared" si="3"/>
        <v>0.65393499999999993</v>
      </c>
      <c r="P24" s="31">
        <v>7.8084210000000001</v>
      </c>
      <c r="Q24" s="30">
        <f t="shared" si="1"/>
        <v>107.72859580149343</v>
      </c>
      <c r="R24" s="30">
        <f>IF(B24&lt;=baseline_aeo_end_year,'Oil demand projection'!K24-Q24,"")</f>
        <v>0</v>
      </c>
    </row>
    <row r="25" spans="1:18" ht="15" customHeight="1">
      <c r="A25" s="17"/>
      <c r="B25" s="23">
        <f t="shared" si="2"/>
        <v>2034</v>
      </c>
      <c r="C25" s="683">
        <v>9.139443</v>
      </c>
      <c r="D25" s="683">
        <v>1.4988410000000001</v>
      </c>
      <c r="E25" s="31">
        <v>1.644083</v>
      </c>
      <c r="F25" s="31">
        <v>0.50728499999999999</v>
      </c>
      <c r="G25" s="31">
        <v>0.101629</v>
      </c>
      <c r="H25" s="31">
        <v>1.0907450000000001</v>
      </c>
      <c r="I25" s="31">
        <f t="shared" si="0"/>
        <v>7.8454420000000002</v>
      </c>
      <c r="J25" s="31">
        <v>85.892326073428706</v>
      </c>
      <c r="K25" s="165">
        <v>107.71979407342872</v>
      </c>
      <c r="L25" s="30">
        <v>4.0810243245798423</v>
      </c>
      <c r="N25" s="30">
        <f t="shared" si="3"/>
        <v>0.60891399999999996</v>
      </c>
      <c r="P25" s="31">
        <v>7.8454420000000002</v>
      </c>
      <c r="Q25" s="30">
        <f t="shared" si="1"/>
        <v>107.71979407342872</v>
      </c>
      <c r="R25" s="30">
        <f>IF(B25&lt;=baseline_aeo_end_year,'Oil demand projection'!K25-Q25,"")</f>
        <v>0</v>
      </c>
    </row>
    <row r="26" spans="1:18" ht="15" customHeight="1">
      <c r="A26" s="17"/>
      <c r="B26" s="23">
        <f t="shared" si="2"/>
        <v>2035</v>
      </c>
      <c r="C26" s="683">
        <v>9.161778</v>
      </c>
      <c r="D26" s="683">
        <v>1.5250729999999999</v>
      </c>
      <c r="E26" s="31">
        <v>1.638444</v>
      </c>
      <c r="F26" s="31">
        <v>0.46602700000000002</v>
      </c>
      <c r="G26" s="31">
        <v>9.6934000000000006E-2</v>
      </c>
      <c r="H26" s="31">
        <v>1.09646</v>
      </c>
      <c r="I26" s="31">
        <f t="shared" si="0"/>
        <v>7.8819669999999862</v>
      </c>
      <c r="J26" s="31">
        <v>85.927635345363996</v>
      </c>
      <c r="K26" s="165">
        <v>107.79431834536399</v>
      </c>
      <c r="L26" s="30">
        <v>4.0639759259887613</v>
      </c>
      <c r="N26" s="30">
        <f t="shared" si="3"/>
        <v>0.56296100000000004</v>
      </c>
      <c r="P26" s="31">
        <v>7.8819670000000004</v>
      </c>
      <c r="Q26" s="30">
        <f t="shared" si="1"/>
        <v>107.794318345364</v>
      </c>
      <c r="R26" s="30">
        <f>IF(B26&lt;=baseline_aeo_end_year,'Oil demand projection'!K26-Q26,"")</f>
        <v>-1.4210854715202004E-14</v>
      </c>
    </row>
    <row r="27" spans="1:18" ht="15" customHeight="1">
      <c r="A27" s="17"/>
      <c r="B27" s="23">
        <f t="shared" si="2"/>
        <v>2036</v>
      </c>
      <c r="C27" s="683">
        <v>9.1865120000000005</v>
      </c>
      <c r="D27" s="683">
        <v>1.5405250000000001</v>
      </c>
      <c r="E27" s="31">
        <v>1.54287</v>
      </c>
      <c r="F27" s="31">
        <v>0.45870300000000003</v>
      </c>
      <c r="G27" s="31">
        <v>0.102577</v>
      </c>
      <c r="H27" s="31">
        <v>1.0940259999999999</v>
      </c>
      <c r="I27" s="31">
        <f t="shared" si="0"/>
        <v>7.8667699999999998</v>
      </c>
      <c r="J27" s="31">
        <v>85.962944617299271</v>
      </c>
      <c r="K27" s="165">
        <v>107.75492761729927</v>
      </c>
      <c r="L27" s="30">
        <v>4.0732426683581329</v>
      </c>
      <c r="N27" s="30">
        <f t="shared" si="3"/>
        <v>0.56128</v>
      </c>
      <c r="P27" s="31">
        <v>7.8667699999999998</v>
      </c>
      <c r="Q27" s="30">
        <f t="shared" si="1"/>
        <v>107.75492761729927</v>
      </c>
      <c r="R27" s="30">
        <f>IF(B27&lt;=baseline_aeo_end_year,'Oil demand projection'!K27-Q27,"")</f>
        <v>0</v>
      </c>
    </row>
    <row r="28" spans="1:18" ht="15" customHeight="1">
      <c r="A28" s="19"/>
      <c r="B28" s="23">
        <f t="shared" si="2"/>
        <v>2037</v>
      </c>
      <c r="C28" s="683">
        <v>9.1898169999999997</v>
      </c>
      <c r="D28" s="683">
        <v>1.5600260000000001</v>
      </c>
      <c r="E28" s="31">
        <v>1.4199029999999999</v>
      </c>
      <c r="F28" s="31">
        <v>0.48343399999999997</v>
      </c>
      <c r="G28" s="31">
        <v>0.118478</v>
      </c>
      <c r="H28" s="31">
        <v>1.0929799999999998</v>
      </c>
      <c r="I28" s="31">
        <f t="shared" si="0"/>
        <v>7.8243250000000142</v>
      </c>
      <c r="J28" s="31">
        <v>85.998253889234547</v>
      </c>
      <c r="K28" s="165">
        <v>107.68721688923456</v>
      </c>
      <c r="L28" s="30">
        <v>4.0988887343619531</v>
      </c>
      <c r="N28" s="30">
        <f t="shared" si="3"/>
        <v>0.601912</v>
      </c>
      <c r="P28" s="31">
        <v>7.824325</v>
      </c>
      <c r="Q28" s="30">
        <f t="shared" si="1"/>
        <v>107.68721688923455</v>
      </c>
      <c r="R28" s="30">
        <f>IF(B28&lt;=baseline_aeo_end_year,'Oil demand projection'!K28-Q28,"")</f>
        <v>1.4210854715202004E-14</v>
      </c>
    </row>
    <row r="29" spans="1:18" ht="15" customHeight="1">
      <c r="A29" s="17"/>
      <c r="B29" s="23">
        <f t="shared" si="2"/>
        <v>2038</v>
      </c>
      <c r="C29" s="683">
        <v>9.2001399999999993</v>
      </c>
      <c r="D29" s="683">
        <v>1.583296</v>
      </c>
      <c r="E29" s="31">
        <v>1.28342</v>
      </c>
      <c r="F29" s="31">
        <v>0.51067799999999997</v>
      </c>
      <c r="G29" s="31">
        <v>0.13480999999999999</v>
      </c>
      <c r="H29" s="31">
        <v>1.0928469999999999</v>
      </c>
      <c r="I29" s="31">
        <f t="shared" si="0"/>
        <v>7.8127710000000148</v>
      </c>
      <c r="J29" s="31">
        <v>86.033563161169823</v>
      </c>
      <c r="K29" s="165">
        <v>107.65152516116984</v>
      </c>
      <c r="L29" s="30">
        <v>4.109223068781251</v>
      </c>
      <c r="N29" s="30">
        <f t="shared" si="3"/>
        <v>0.64548799999999995</v>
      </c>
      <c r="P29" s="31">
        <v>7.8127710000000006</v>
      </c>
      <c r="Q29" s="30">
        <f t="shared" si="1"/>
        <v>107.65152516116981</v>
      </c>
      <c r="R29" s="30">
        <f>IF(B29&lt;=baseline_aeo_end_year,'Oil demand projection'!K29-Q29,"")</f>
        <v>1.4210854715202004E-14</v>
      </c>
    </row>
    <row r="30" spans="1:18" ht="15" customHeight="1">
      <c r="A30" s="17"/>
      <c r="B30" s="23">
        <f t="shared" si="2"/>
        <v>2039</v>
      </c>
      <c r="C30" s="683">
        <v>9.2062220000000003</v>
      </c>
      <c r="D30" s="683">
        <v>1.6043509999999999</v>
      </c>
      <c r="E30" s="31">
        <v>1.1632290000000001</v>
      </c>
      <c r="F30" s="31">
        <v>0.52914600000000001</v>
      </c>
      <c r="G30" s="31">
        <v>0.148202</v>
      </c>
      <c r="H30" s="31">
        <v>1.0933519999999999</v>
      </c>
      <c r="I30" s="31">
        <f t="shared" si="0"/>
        <v>7.7730970000000141</v>
      </c>
      <c r="J30" s="31">
        <v>86.068872433105099</v>
      </c>
      <c r="K30" s="165">
        <v>107.58647143310512</v>
      </c>
      <c r="L30" s="30">
        <v>4.1023756233782436</v>
      </c>
      <c r="N30" s="30">
        <f t="shared" si="3"/>
        <v>0.67734800000000006</v>
      </c>
      <c r="P30" s="31">
        <v>7.7730969999999999</v>
      </c>
      <c r="Q30" s="30">
        <f t="shared" si="1"/>
        <v>107.58647143310509</v>
      </c>
      <c r="R30" s="30">
        <f>IF(B30&lt;=baseline_aeo_end_year,'Oil demand projection'!K30-Q30,"")</f>
        <v>1.4210854715202004E-14</v>
      </c>
    </row>
    <row r="31" spans="1:18" ht="15" customHeight="1">
      <c r="A31" s="17"/>
      <c r="B31" s="23">
        <f t="shared" si="2"/>
        <v>2040</v>
      </c>
      <c r="C31" s="683">
        <v>9.2067029999999992</v>
      </c>
      <c r="D31" s="683">
        <v>1.629489</v>
      </c>
      <c r="E31" s="31">
        <v>1.103925</v>
      </c>
      <c r="F31" s="31">
        <v>0.50343000000000004</v>
      </c>
      <c r="G31" s="31">
        <v>0.14566899999999999</v>
      </c>
      <c r="H31" s="31">
        <v>1.0952899999999999</v>
      </c>
      <c r="I31" s="31">
        <f t="shared" si="0"/>
        <v>7.7886350000000002</v>
      </c>
      <c r="J31" s="31">
        <v>86.104181705040389</v>
      </c>
      <c r="K31" s="165">
        <v>107.57732270504039</v>
      </c>
      <c r="L31" s="30">
        <v>4.1530518160416898</v>
      </c>
      <c r="N31" s="30">
        <f t="shared" si="3"/>
        <v>0.64909900000000009</v>
      </c>
      <c r="P31" s="31">
        <v>7.7886350000000002</v>
      </c>
      <c r="Q31" s="30">
        <f t="shared" si="1"/>
        <v>107.57732270504039</v>
      </c>
      <c r="R31" s="30">
        <f>IF(B31&lt;=baseline_aeo_end_year,'Oil demand projection'!K31-Q31,"")</f>
        <v>0</v>
      </c>
    </row>
    <row r="32" spans="1:18" ht="15" customHeight="1">
      <c r="A32" s="17"/>
      <c r="B32" s="23">
        <f t="shared" si="2"/>
        <v>2041</v>
      </c>
      <c r="C32" s="683">
        <v>9.2264920000000004</v>
      </c>
      <c r="D32" s="683">
        <v>1.644169</v>
      </c>
      <c r="E32" s="31">
        <v>0.96745599999999998</v>
      </c>
      <c r="F32" s="31">
        <v>0.49379099999999998</v>
      </c>
      <c r="G32" s="31">
        <v>0.148089</v>
      </c>
      <c r="H32" s="31">
        <v>1.0979989999999999</v>
      </c>
      <c r="I32" s="31">
        <f t="shared" si="0"/>
        <v>7.7933149999999998</v>
      </c>
      <c r="J32" s="31">
        <v>86.139490976975665</v>
      </c>
      <c r="K32" s="165">
        <v>107.51080197697567</v>
      </c>
      <c r="L32" s="30">
        <v>4.1636176699151877</v>
      </c>
      <c r="N32" s="30">
        <f t="shared" si="3"/>
        <v>0.64188000000000001</v>
      </c>
      <c r="P32" s="31">
        <v>7.7933149999999998</v>
      </c>
      <c r="Q32" s="30">
        <f t="shared" si="1"/>
        <v>107.51080197697567</v>
      </c>
      <c r="R32" s="30">
        <f>IF(B32&lt;=baseline_aeo_end_year,'Oil demand projection'!K32-Q32,"")</f>
        <v>0</v>
      </c>
    </row>
    <row r="33" spans="1:18" ht="15" customHeight="1">
      <c r="A33" s="17"/>
      <c r="B33" s="23">
        <f t="shared" si="2"/>
        <v>2042</v>
      </c>
      <c r="C33" s="683">
        <v>9.2660610000000005</v>
      </c>
      <c r="D33" s="683">
        <v>1.646015</v>
      </c>
      <c r="E33" s="31">
        <v>0.88578199999999996</v>
      </c>
      <c r="F33" s="31">
        <v>0.487037</v>
      </c>
      <c r="G33" s="31">
        <v>0.15079199999999998</v>
      </c>
      <c r="H33" s="31">
        <v>1.1100510000000001</v>
      </c>
      <c r="I33" s="31">
        <f t="shared" si="0"/>
        <v>7.8109280000000147</v>
      </c>
      <c r="J33" s="31">
        <v>86.174800248910941</v>
      </c>
      <c r="K33" s="165">
        <v>107.53146624891096</v>
      </c>
      <c r="L33" s="30">
        <v>4.1794770236279097</v>
      </c>
      <c r="N33" s="30">
        <f t="shared" si="3"/>
        <v>0.63782899999999998</v>
      </c>
      <c r="P33" s="31">
        <v>7.8109280000000005</v>
      </c>
      <c r="Q33" s="30">
        <f t="shared" si="1"/>
        <v>107.53146624891095</v>
      </c>
      <c r="R33" s="30">
        <f>IF(B33&lt;=baseline_aeo_end_year,'Oil demand projection'!K33-Q33,"")</f>
        <v>1.4210854715202004E-14</v>
      </c>
    </row>
    <row r="34" spans="1:18" ht="15" customHeight="1">
      <c r="A34" s="17"/>
      <c r="B34" s="23">
        <f t="shared" si="2"/>
        <v>2043</v>
      </c>
      <c r="C34" s="683">
        <v>9.2691960000000009</v>
      </c>
      <c r="D34" s="683">
        <v>1.644766</v>
      </c>
      <c r="E34" s="31">
        <v>0.86127399999999998</v>
      </c>
      <c r="F34" s="31">
        <v>0.523953</v>
      </c>
      <c r="G34" s="31">
        <v>0.16870299999999999</v>
      </c>
      <c r="H34" s="31">
        <v>1.113993</v>
      </c>
      <c r="I34" s="31">
        <f t="shared" si="0"/>
        <v>7.8168629999999997</v>
      </c>
      <c r="J34" s="31">
        <v>86.210109520846217</v>
      </c>
      <c r="K34" s="165">
        <v>107.60885752084621</v>
      </c>
      <c r="L34" s="30">
        <v>4.1822449552758902</v>
      </c>
      <c r="N34" s="30">
        <f t="shared" si="3"/>
        <v>0.69265599999999994</v>
      </c>
      <c r="P34" s="31">
        <v>7.8168629999999997</v>
      </c>
      <c r="Q34" s="30">
        <f t="shared" si="1"/>
        <v>107.60885752084621</v>
      </c>
      <c r="R34" s="30">
        <f>IF(B34&lt;=baseline_aeo_end_year,'Oil demand projection'!K34-Q34,"")</f>
        <v>0</v>
      </c>
    </row>
    <row r="35" spans="1:18" ht="15" customHeight="1">
      <c r="A35" s="17"/>
      <c r="B35" s="23">
        <f t="shared" si="2"/>
        <v>2044</v>
      </c>
      <c r="C35" s="683">
        <v>9.3461719999999993</v>
      </c>
      <c r="D35" s="683">
        <v>1.644261</v>
      </c>
      <c r="E35" s="31">
        <v>0.80535000000000001</v>
      </c>
      <c r="F35" s="31">
        <v>0.53939000000000004</v>
      </c>
      <c r="G35" s="31">
        <v>0.17943800000000001</v>
      </c>
      <c r="H35" s="31">
        <v>1.1120729999999999</v>
      </c>
      <c r="I35" s="31">
        <f t="shared" si="0"/>
        <v>7.7899720000000139</v>
      </c>
      <c r="J35" s="31">
        <v>86.245418792781493</v>
      </c>
      <c r="K35" s="165">
        <v>107.66207479278151</v>
      </c>
      <c r="L35" s="30">
        <v>4.1541584465007562</v>
      </c>
      <c r="N35" s="30">
        <f t="shared" si="3"/>
        <v>0.71882800000000002</v>
      </c>
      <c r="P35" s="31">
        <v>7.7899719999999997</v>
      </c>
      <c r="Q35" s="30">
        <f t="shared" si="1"/>
        <v>107.6620747927815</v>
      </c>
      <c r="R35" s="30">
        <f>IF(B35&lt;=baseline_aeo_end_year,'Oil demand projection'!K35-Q35,"")</f>
        <v>1.4210854715202004E-14</v>
      </c>
    </row>
    <row r="36" spans="1:18" ht="15" customHeight="1">
      <c r="A36" s="17"/>
      <c r="B36" s="23">
        <f t="shared" si="2"/>
        <v>2045</v>
      </c>
      <c r="C36" s="683">
        <v>9.3998449999999991</v>
      </c>
      <c r="D36" s="683">
        <v>1.636396</v>
      </c>
      <c r="E36" s="31">
        <v>0.76494700000000004</v>
      </c>
      <c r="F36" s="31">
        <v>0.578237</v>
      </c>
      <c r="G36" s="31">
        <v>0.19775299999999998</v>
      </c>
      <c r="H36" s="31">
        <v>1.1193310000000001</v>
      </c>
      <c r="I36" s="31">
        <f t="shared" si="0"/>
        <v>7.7825250000000006</v>
      </c>
      <c r="J36" s="31">
        <v>86.280728064716783</v>
      </c>
      <c r="K36" s="165">
        <v>107.75976206471678</v>
      </c>
      <c r="L36" s="30">
        <v>4.1370829379033287</v>
      </c>
      <c r="N36" s="30">
        <f t="shared" si="3"/>
        <v>0.77598999999999996</v>
      </c>
      <c r="P36" s="31">
        <v>7.7825250000000006</v>
      </c>
      <c r="Q36" s="30">
        <f t="shared" si="1"/>
        <v>107.75976206471678</v>
      </c>
      <c r="R36" s="30">
        <f>IF(B36&lt;=baseline_aeo_end_year,'Oil demand projection'!K36-Q36,"")</f>
        <v>0</v>
      </c>
    </row>
    <row r="37" spans="1:18" ht="15" customHeight="1">
      <c r="A37" s="17"/>
      <c r="B37" s="23">
        <f t="shared" si="2"/>
        <v>2046</v>
      </c>
      <c r="C37" s="627">
        <v>9.4485449999999993</v>
      </c>
      <c r="D37" s="627">
        <v>1.626601</v>
      </c>
      <c r="E37" s="508">
        <v>0.74492599999999998</v>
      </c>
      <c r="F37" s="508">
        <v>0.58421999999999996</v>
      </c>
      <c r="G37" s="508">
        <v>0.203957</v>
      </c>
      <c r="H37" s="508">
        <v>1.1290929999999999</v>
      </c>
      <c r="I37" s="508">
        <f t="shared" si="0"/>
        <v>7.7733629999999998</v>
      </c>
      <c r="J37" s="508">
        <v>86.316037336652059</v>
      </c>
      <c r="K37" s="165">
        <v>107.82674233665206</v>
      </c>
      <c r="L37" s="508">
        <v>4.1288870407846447</v>
      </c>
      <c r="N37" s="30">
        <f t="shared" si="3"/>
        <v>0.78817699999999991</v>
      </c>
      <c r="P37" s="508">
        <v>7.7733629999999998</v>
      </c>
      <c r="Q37" s="30">
        <f t="shared" si="1"/>
        <v>107.82674233665206</v>
      </c>
      <c r="R37" s="30">
        <f>IF(B37&lt;=baseline_aeo_end_year,'Oil demand projection'!K37-Q37,"")</f>
        <v>0</v>
      </c>
    </row>
    <row r="38" spans="1:18" ht="15" customHeight="1">
      <c r="A38" s="17"/>
      <c r="B38" s="23">
        <f t="shared" si="2"/>
        <v>2047</v>
      </c>
      <c r="C38" s="627">
        <v>9.5056419999999999</v>
      </c>
      <c r="D38" s="627">
        <v>1.6113870000000001</v>
      </c>
      <c r="E38" s="508">
        <v>0.69913099999999995</v>
      </c>
      <c r="F38" s="508">
        <v>0.59222799999999998</v>
      </c>
      <c r="G38" s="508">
        <v>0.21037900000000001</v>
      </c>
      <c r="H38" s="508">
        <v>1.140779</v>
      </c>
      <c r="I38" s="508">
        <f t="shared" si="0"/>
        <v>7.7620209999999998</v>
      </c>
      <c r="J38" s="508">
        <v>86.351346608587335</v>
      </c>
      <c r="K38" s="165">
        <v>107.87291360858734</v>
      </c>
      <c r="L38" s="508">
        <v>4.0123557629043294</v>
      </c>
      <c r="N38" s="30">
        <f t="shared" si="3"/>
        <v>0.80260699999999996</v>
      </c>
      <c r="P38" s="508">
        <v>7.7620209999999998</v>
      </c>
      <c r="Q38" s="30">
        <f t="shared" si="1"/>
        <v>107.87291360858734</v>
      </c>
      <c r="R38" s="30">
        <f>IF(B38&lt;=baseline_aeo_end_year,'Oil demand projection'!K38-Q38,"")</f>
        <v>0</v>
      </c>
    </row>
    <row r="39" spans="1:18" ht="15" customHeight="1">
      <c r="A39" s="19"/>
      <c r="B39" s="23">
        <f t="shared" si="2"/>
        <v>2048</v>
      </c>
      <c r="C39" s="627">
        <v>9.5291479999999993</v>
      </c>
      <c r="D39" s="627">
        <v>1.5938590000000001</v>
      </c>
      <c r="E39" s="508">
        <v>0.67825899999999995</v>
      </c>
      <c r="F39" s="508">
        <v>0.58324799999999999</v>
      </c>
      <c r="G39" s="508">
        <v>0.21040399999999998</v>
      </c>
      <c r="H39" s="508">
        <v>1.161575</v>
      </c>
      <c r="I39" s="508">
        <f t="shared" si="0"/>
        <v>7.7552069999999862</v>
      </c>
      <c r="J39" s="508">
        <v>86.386655880522625</v>
      </c>
      <c r="K39" s="165">
        <v>107.89835588052262</v>
      </c>
      <c r="L39" s="508">
        <v>4.0337108571036193</v>
      </c>
      <c r="N39" s="30">
        <f t="shared" si="3"/>
        <v>0.79365200000000002</v>
      </c>
      <c r="P39" s="508">
        <v>7.7552070000000004</v>
      </c>
      <c r="Q39" s="30">
        <f t="shared" si="1"/>
        <v>107.89835588052263</v>
      </c>
      <c r="R39" s="30">
        <f>IF(B39&lt;=baseline_aeo_end_year,'Oil demand projection'!K39-Q39,"")</f>
        <v>-1.4210854715202004E-14</v>
      </c>
    </row>
    <row r="40" spans="1:18" ht="15" customHeight="1">
      <c r="A40" s="17"/>
      <c r="B40" s="23">
        <f t="shared" si="2"/>
        <v>2049</v>
      </c>
      <c r="C40" s="627">
        <v>9.595243</v>
      </c>
      <c r="D40" s="627">
        <v>1.5768810000000002</v>
      </c>
      <c r="E40" s="508">
        <v>0.65434499999999995</v>
      </c>
      <c r="F40" s="508">
        <v>0.555508</v>
      </c>
      <c r="G40" s="508">
        <v>0.203733</v>
      </c>
      <c r="H40" s="508">
        <v>1.1650090000000002</v>
      </c>
      <c r="I40" s="508">
        <f t="shared" si="0"/>
        <v>7.7595410000000005</v>
      </c>
      <c r="J40" s="508">
        <v>86.421965152457901</v>
      </c>
      <c r="K40" s="165">
        <v>107.9322251524579</v>
      </c>
      <c r="L40" s="508">
        <v>3.9924320770401351</v>
      </c>
      <c r="N40" s="30">
        <f t="shared" si="3"/>
        <v>0.75924100000000005</v>
      </c>
      <c r="P40" s="508">
        <v>7.7595410000000005</v>
      </c>
      <c r="Q40" s="30">
        <f t="shared" si="1"/>
        <v>107.9322251524579</v>
      </c>
      <c r="R40" s="30">
        <f>IF(B40&lt;=baseline_aeo_end_year,'Oil demand projection'!K40-Q40,"")</f>
        <v>0</v>
      </c>
    </row>
    <row r="41" spans="1:18" ht="15" customHeight="1">
      <c r="A41" s="17"/>
      <c r="B41" s="23">
        <f t="shared" si="2"/>
        <v>2050</v>
      </c>
      <c r="C41" s="627">
        <v>9.6419920000000001</v>
      </c>
      <c r="D41" s="627">
        <v>1.5564469999999999</v>
      </c>
      <c r="E41" s="508">
        <v>0.56188899999999997</v>
      </c>
      <c r="F41" s="508">
        <v>0.52496900000000002</v>
      </c>
      <c r="G41" s="508">
        <v>0.19595300000000002</v>
      </c>
      <c r="H41" s="508">
        <v>1.1762640000000002</v>
      </c>
      <c r="I41" s="508">
        <f t="shared" si="0"/>
        <v>7.6235499999999998</v>
      </c>
      <c r="J41" s="508">
        <v>86.457274424393248</v>
      </c>
      <c r="K41" s="165">
        <v>107.73833842439325</v>
      </c>
      <c r="L41" s="508">
        <v>3.9982650660056551</v>
      </c>
      <c r="N41" s="30">
        <f t="shared" si="3"/>
        <v>0.72092200000000006</v>
      </c>
      <c r="P41" s="508">
        <v>7.6235499999999998</v>
      </c>
      <c r="Q41" s="30">
        <f t="shared" si="1"/>
        <v>107.73833842439325</v>
      </c>
      <c r="R41" s="30">
        <f>IF(B41&lt;=baseline_aeo_end_year,'Oil demand projection'!K41-Q41,"")</f>
        <v>0</v>
      </c>
    </row>
    <row r="42" spans="1:18" ht="15" customHeight="1">
      <c r="A42" s="17"/>
      <c r="B42" s="23">
        <f t="shared" si="2"/>
        <v>2051</v>
      </c>
      <c r="C42" s="627">
        <f t="shared" ref="C42:C84" si="4">C41*(1+oil_forecast)</f>
        <v>9.7109833200061217</v>
      </c>
      <c r="D42" s="508">
        <f t="shared" ref="D42:D84" si="5">D41*(1+oil_forecast)</f>
        <v>1.5675838411267677</v>
      </c>
      <c r="E42" s="508">
        <f t="shared" ref="E42:E84" si="6">E41*(1+oil_forecast)</f>
        <v>0.56590948288433751</v>
      </c>
      <c r="F42" s="508">
        <f t="shared" ref="F42:F84" si="7">F41*(1+oil_forecast)</f>
        <v>0.52872530930541051</v>
      </c>
      <c r="G42" s="508">
        <f t="shared" ref="G42:G84" si="8">G41*(1+oil_forecast)</f>
        <v>0.19735510198568507</v>
      </c>
      <c r="H42" s="508">
        <f t="shared" ref="H42:H84" si="9">H41*(1+oil_forecast)</f>
        <v>1.1846805187064751</v>
      </c>
      <c r="I42" s="508">
        <f t="shared" ref="I42:I84" si="10">I41*(1+oil_forecast)</f>
        <v>7.6780987672705665</v>
      </c>
      <c r="J42" s="508">
        <f t="shared" ref="J42:J84" si="11">J41*(1+oil_forecast)</f>
        <v>87.07590193276188</v>
      </c>
      <c r="K42" s="165">
        <v>108.50923827404725</v>
      </c>
      <c r="L42" s="508">
        <f t="shared" ref="L42:L84" si="12">L41*(1+oil_forecast)</f>
        <v>4.0268738415198948</v>
      </c>
      <c r="N42" s="30">
        <f t="shared" si="3"/>
        <v>0.72608041129109557</v>
      </c>
      <c r="P42" s="508">
        <f t="shared" ref="P42:P84" si="13">P41*(1+oil_forecast)</f>
        <v>7.6780987672705665</v>
      </c>
      <c r="Q42" s="30">
        <f t="shared" ref="Q42:Q73" si="14">aeo_sup_oil_l48_t+aeo_sup_oil_l48+aeo_sup_oil_off+aeo_sup_oil_ala_on+aeo_sup_oil_ala_off+aeo_sup_oil_bio+aeo_sup_oil_row+P42</f>
        <v>108.50923827404725</v>
      </c>
      <c r="R42" s="30" t="str">
        <f>IF(B42&lt;=baseline_aeo_end_year,'Oil demand projection'!K42-Q42,"")</f>
        <v/>
      </c>
    </row>
    <row r="43" spans="1:18" ht="15" customHeight="1">
      <c r="A43" s="17"/>
      <c r="B43" s="23">
        <f t="shared" ref="B43:B84" si="15">B42+1</f>
        <v>2052</v>
      </c>
      <c r="C43" s="627">
        <f t="shared" si="4"/>
        <v>9.780468293422885</v>
      </c>
      <c r="D43" s="508">
        <f t="shared" si="5"/>
        <v>1.5788003696635682</v>
      </c>
      <c r="E43" s="508">
        <f t="shared" si="6"/>
        <v>0.56995873351928639</v>
      </c>
      <c r="F43" s="508">
        <f t="shared" si="7"/>
        <v>0.53250849612091755</v>
      </c>
      <c r="G43" s="508">
        <f t="shared" si="8"/>
        <v>0.19876723642802177</v>
      </c>
      <c r="H43" s="508">
        <f t="shared" si="9"/>
        <v>1.193157260107121</v>
      </c>
      <c r="I43" s="508">
        <f t="shared" si="10"/>
        <v>7.7330378471921604</v>
      </c>
      <c r="J43" s="508">
        <f t="shared" si="11"/>
        <v>87.698955904914598</v>
      </c>
      <c r="K43" s="165">
        <v>109.28565414136855</v>
      </c>
      <c r="L43" s="508">
        <f t="shared" si="12"/>
        <v>4.0556873213303506</v>
      </c>
      <c r="N43" s="30">
        <f t="shared" si="3"/>
        <v>0.73127573254893929</v>
      </c>
      <c r="P43" s="508">
        <f t="shared" si="13"/>
        <v>7.7330378471921604</v>
      </c>
      <c r="Q43" s="30">
        <f t="shared" si="14"/>
        <v>109.28565414136857</v>
      </c>
      <c r="R43" s="30" t="str">
        <f>IF(B43&lt;=baseline_aeo_end_year,'Oil demand projection'!K43-Q43,"")</f>
        <v/>
      </c>
    </row>
    <row r="44" spans="1:18" ht="15" customHeight="1">
      <c r="A44" s="17"/>
      <c r="B44" s="23">
        <f t="shared" si="15"/>
        <v>2053</v>
      </c>
      <c r="C44" s="627">
        <f t="shared" si="4"/>
        <v>9.8504504524872427</v>
      </c>
      <c r="D44" s="508">
        <f t="shared" si="5"/>
        <v>1.5900971557975165</v>
      </c>
      <c r="E44" s="508">
        <f t="shared" si="6"/>
        <v>0.57403695774665686</v>
      </c>
      <c r="F44" s="508">
        <f t="shared" si="7"/>
        <v>0.53631875276309859</v>
      </c>
      <c r="G44" s="508">
        <f t="shared" si="8"/>
        <v>0.20018947511222085</v>
      </c>
      <c r="H44" s="508">
        <f t="shared" si="9"/>
        <v>1.201694655113223</v>
      </c>
      <c r="I44" s="508">
        <f t="shared" si="10"/>
        <v>7.7883700325678671</v>
      </c>
      <c r="J44" s="508">
        <f t="shared" si="11"/>
        <v>88.326468013516092</v>
      </c>
      <c r="K44" s="165">
        <v>110.06762549510393</v>
      </c>
      <c r="L44" s="508">
        <f t="shared" si="12"/>
        <v>4.0847069701571357</v>
      </c>
      <c r="N44" s="30">
        <f t="shared" si="3"/>
        <v>0.73650822787531944</v>
      </c>
      <c r="P44" s="508">
        <f t="shared" si="13"/>
        <v>7.7883700325678671</v>
      </c>
      <c r="Q44" s="30">
        <f t="shared" si="14"/>
        <v>110.06762549510391</v>
      </c>
      <c r="R44" s="30" t="str">
        <f>IF(B44&lt;=baseline_aeo_end_year,'Oil demand projection'!K44-Q44,"")</f>
        <v/>
      </c>
    </row>
    <row r="45" spans="1:18" ht="15" customHeight="1">
      <c r="A45" s="17"/>
      <c r="B45" s="23">
        <f t="shared" si="15"/>
        <v>2054</v>
      </c>
      <c r="C45" s="627">
        <f t="shared" si="4"/>
        <v>9.9209333547103498</v>
      </c>
      <c r="D45" s="508">
        <f t="shared" si="5"/>
        <v>1.6014747737955868</v>
      </c>
      <c r="E45" s="508">
        <f t="shared" si="6"/>
        <v>0.5781443628811187</v>
      </c>
      <c r="F45" s="508">
        <f t="shared" si="7"/>
        <v>0.54015627292461321</v>
      </c>
      <c r="G45" s="508">
        <f t="shared" si="8"/>
        <v>0.20162189033713751</v>
      </c>
      <c r="H45" s="508">
        <f t="shared" si="9"/>
        <v>1.2102931377193651</v>
      </c>
      <c r="I45" s="508">
        <f t="shared" si="10"/>
        <v>7.8440981361841091</v>
      </c>
      <c r="J45" s="508">
        <f t="shared" si="11"/>
        <v>88.958470157858358</v>
      </c>
      <c r="K45" s="165">
        <v>110.85519208641064</v>
      </c>
      <c r="L45" s="508">
        <f t="shared" si="12"/>
        <v>4.1139342632008704</v>
      </c>
      <c r="N45" s="30">
        <f t="shared" si="3"/>
        <v>0.74177816326175072</v>
      </c>
      <c r="P45" s="508">
        <f t="shared" si="13"/>
        <v>7.8440981361841091</v>
      </c>
      <c r="Q45" s="30">
        <f t="shared" si="14"/>
        <v>110.85519208641064</v>
      </c>
      <c r="R45" s="30" t="str">
        <f>IF(B45&lt;=baseline_aeo_end_year,'Oil demand projection'!K45-Q45,"")</f>
        <v/>
      </c>
    </row>
    <row r="46" spans="1:18" ht="15" customHeight="1">
      <c r="A46" s="17"/>
      <c r="B46" s="23">
        <f t="shared" si="15"/>
        <v>2055</v>
      </c>
      <c r="C46" s="627">
        <f t="shared" si="4"/>
        <v>9.9919205830584161</v>
      </c>
      <c r="D46" s="508">
        <f t="shared" si="5"/>
        <v>1.6129338020338038</v>
      </c>
      <c r="E46" s="508">
        <f t="shared" si="6"/>
        <v>0.58228115772073963</v>
      </c>
      <c r="F46" s="508">
        <f t="shared" si="7"/>
        <v>0.54402125168404958</v>
      </c>
      <c r="G46" s="508">
        <f t="shared" si="8"/>
        <v>0.20306455491894679</v>
      </c>
      <c r="H46" s="508">
        <f t="shared" si="9"/>
        <v>1.2189531450254911</v>
      </c>
      <c r="I46" s="508">
        <f t="shared" si="10"/>
        <v>7.9002249909536317</v>
      </c>
      <c r="J46" s="508">
        <f t="shared" si="11"/>
        <v>89.594994465482316</v>
      </c>
      <c r="K46" s="165">
        <v>111.64839395087739</v>
      </c>
      <c r="L46" s="508">
        <f t="shared" si="12"/>
        <v>4.1433706862176738</v>
      </c>
      <c r="N46" s="30">
        <f t="shared" si="3"/>
        <v>0.74708580660299639</v>
      </c>
      <c r="P46" s="508">
        <f t="shared" si="13"/>
        <v>7.9002249909536317</v>
      </c>
      <c r="Q46" s="30">
        <f t="shared" si="14"/>
        <v>111.64839395087739</v>
      </c>
      <c r="R46" s="30" t="str">
        <f>IF(B46&lt;=baseline_aeo_end_year,'Oil demand projection'!K46-Q46,"")</f>
        <v/>
      </c>
    </row>
    <row r="47" spans="1:18" ht="15" customHeight="1">
      <c r="A47" s="17"/>
      <c r="B47" s="23">
        <f t="shared" si="15"/>
        <v>2056</v>
      </c>
      <c r="C47" s="627">
        <f t="shared" si="4"/>
        <v>10.063415746134835</v>
      </c>
      <c r="D47" s="508">
        <f t="shared" si="5"/>
        <v>1.6244748230266446</v>
      </c>
      <c r="E47" s="508">
        <f t="shared" si="6"/>
        <v>0.58644755255759973</v>
      </c>
      <c r="F47" s="508">
        <f t="shared" si="7"/>
        <v>0.5479138855158413</v>
      </c>
      <c r="G47" s="508">
        <f t="shared" si="8"/>
        <v>0.20451754219484514</v>
      </c>
      <c r="H47" s="508">
        <f t="shared" si="9"/>
        <v>1.2276751172591251</v>
      </c>
      <c r="I47" s="508">
        <f t="shared" si="10"/>
        <v>7.9567534500595132</v>
      </c>
      <c r="J47" s="508">
        <f t="shared" si="11"/>
        <v>90.236073293811017</v>
      </c>
      <c r="K47" s="165">
        <v>112.44727141055942</v>
      </c>
      <c r="L47" s="508">
        <f t="shared" si="12"/>
        <v>4.1730177355946934</v>
      </c>
      <c r="N47" s="30">
        <f t="shared" si="3"/>
        <v>0.7524314277106865</v>
      </c>
      <c r="P47" s="508">
        <f t="shared" si="13"/>
        <v>7.9567534500595132</v>
      </c>
      <c r="Q47" s="30">
        <f t="shared" si="14"/>
        <v>112.44727141055942</v>
      </c>
      <c r="R47" s="30" t="str">
        <f>IF(B47&lt;=baseline_aeo_end_year,'Oil demand projection'!K47-Q47,"")</f>
        <v/>
      </c>
    </row>
    <row r="48" spans="1:18" ht="15" customHeight="1">
      <c r="A48" s="17"/>
      <c r="B48" s="23">
        <f t="shared" si="15"/>
        <v>2057</v>
      </c>
      <c r="C48" s="627">
        <f t="shared" si="4"/>
        <v>10.135422478363635</v>
      </c>
      <c r="D48" s="508">
        <f t="shared" si="5"/>
        <v>1.6360984234566509</v>
      </c>
      <c r="E48" s="508">
        <f t="shared" si="6"/>
        <v>0.59064375918848133</v>
      </c>
      <c r="F48" s="508">
        <f t="shared" si="7"/>
        <v>0.55183437230025478</v>
      </c>
      <c r="G48" s="508">
        <f t="shared" si="8"/>
        <v>0.20598092602677839</v>
      </c>
      <c r="H48" s="508">
        <f t="shared" si="9"/>
        <v>1.2364594977977501</v>
      </c>
      <c r="I48" s="508">
        <f t="shared" si="10"/>
        <v>8.013686387100206</v>
      </c>
      <c r="J48" s="508">
        <f t="shared" si="11"/>
        <v>90.881739231794484</v>
      </c>
      <c r="K48" s="165">
        <v>113.25186507602824</v>
      </c>
      <c r="L48" s="508">
        <f t="shared" si="12"/>
        <v>4.2028769184261696</v>
      </c>
      <c r="N48" s="30">
        <f t="shared" si="3"/>
        <v>0.7578152983270332</v>
      </c>
      <c r="P48" s="508">
        <f t="shared" si="13"/>
        <v>8.013686387100206</v>
      </c>
      <c r="Q48" s="30">
        <f t="shared" si="14"/>
        <v>113.25186507602824</v>
      </c>
      <c r="R48" s="30" t="str">
        <f>IF(B48&lt;=baseline_aeo_end_year,'Oil demand projection'!K48-Q48,"")</f>
        <v/>
      </c>
    </row>
    <row r="49" spans="1:18" ht="15" customHeight="1">
      <c r="A49" s="17"/>
      <c r="B49" s="23">
        <f t="shared" si="15"/>
        <v>2058</v>
      </c>
      <c r="C49" s="627">
        <f t="shared" si="4"/>
        <v>10.207944440174225</v>
      </c>
      <c r="D49" s="508">
        <f t="shared" si="5"/>
        <v>1.6478051942042524</v>
      </c>
      <c r="E49" s="508">
        <f t="shared" si="6"/>
        <v>0.59486999092563597</v>
      </c>
      <c r="F49" s="508">
        <f t="shared" si="7"/>
        <v>0.5557829113334487</v>
      </c>
      <c r="G49" s="508">
        <f t="shared" si="8"/>
        <v>0.20745478080519666</v>
      </c>
      <c r="H49" s="508">
        <f t="shared" si="9"/>
        <v>1.2453067331913463</v>
      </c>
      <c r="I49" s="508">
        <f t="shared" si="10"/>
        <v>8.071026696235613</v>
      </c>
      <c r="J49" s="508">
        <f t="shared" si="11"/>
        <v>91.532025101566376</v>
      </c>
      <c r="K49" s="165">
        <v>114.0622158484361</v>
      </c>
      <c r="L49" s="508">
        <f t="shared" si="12"/>
        <v>4.2329497525900521</v>
      </c>
      <c r="N49" s="30">
        <f t="shared" si="3"/>
        <v>0.76323769213864534</v>
      </c>
      <c r="P49" s="508">
        <f t="shared" si="13"/>
        <v>8.071026696235613</v>
      </c>
      <c r="Q49" s="30">
        <f t="shared" si="14"/>
        <v>114.0622158484361</v>
      </c>
      <c r="R49" s="30" t="str">
        <f>IF(B49&lt;=baseline_aeo_end_year,'Oil demand projection'!K49-Q49,"")</f>
        <v/>
      </c>
    </row>
    <row r="50" spans="1:18" ht="15" customHeight="1">
      <c r="A50" s="17"/>
      <c r="B50" s="23">
        <f t="shared" si="15"/>
        <v>2059</v>
      </c>
      <c r="C50" s="627">
        <f t="shared" si="4"/>
        <v>10.280985318187479</v>
      </c>
      <c r="D50" s="508">
        <f t="shared" si="5"/>
        <v>1.6595957303778039</v>
      </c>
      <c r="E50" s="508">
        <f t="shared" si="6"/>
        <v>0.59912646260762747</v>
      </c>
      <c r="F50" s="508">
        <f t="shared" si="7"/>
        <v>0.55975970333760505</v>
      </c>
      <c r="G50" s="508">
        <f t="shared" si="8"/>
        <v>0.20893918145283577</v>
      </c>
      <c r="H50" s="508">
        <f t="shared" si="9"/>
        <v>1.2542172731850927</v>
      </c>
      <c r="I50" s="508">
        <f t="shared" si="10"/>
        <v>8.1287772923342132</v>
      </c>
      <c r="J50" s="508">
        <f t="shared" si="11"/>
        <v>92.186963960112465</v>
      </c>
      <c r="K50" s="165">
        <v>114.87836492159512</v>
      </c>
      <c r="L50" s="508">
        <f t="shared" si="12"/>
        <v>4.2632377668251573</v>
      </c>
      <c r="N50" s="30">
        <f t="shared" si="3"/>
        <v>0.7686988847904408</v>
      </c>
      <c r="P50" s="508">
        <f t="shared" si="13"/>
        <v>8.1287772923342132</v>
      </c>
      <c r="Q50" s="30">
        <f t="shared" si="14"/>
        <v>114.87836492159511</v>
      </c>
      <c r="R50" s="30" t="str">
        <f>IF(B50&lt;=baseline_aeo_end_year,'Oil demand projection'!K50-Q50,"")</f>
        <v/>
      </c>
    </row>
    <row r="51" spans="1:18" ht="15" customHeight="1">
      <c r="A51" s="17"/>
      <c r="B51" s="23">
        <f t="shared" si="15"/>
        <v>2060</v>
      </c>
      <c r="C51" s="627">
        <f t="shared" si="4"/>
        <v>10.354548825403135</v>
      </c>
      <c r="D51" s="508">
        <f t="shared" si="5"/>
        <v>1.6714706313438374</v>
      </c>
      <c r="E51" s="508">
        <f t="shared" si="6"/>
        <v>0.60341339061025367</v>
      </c>
      <c r="F51" s="508">
        <f t="shared" si="7"/>
        <v>0.56376495047113262</v>
      </c>
      <c r="G51" s="508">
        <f t="shared" si="8"/>
        <v>0.21043420342852603</v>
      </c>
      <c r="H51" s="508">
        <f t="shared" si="9"/>
        <v>1.2631915707422279</v>
      </c>
      <c r="I51" s="508">
        <f t="shared" si="10"/>
        <v>8.1869411111212358</v>
      </c>
      <c r="J51" s="508">
        <f t="shared" si="11"/>
        <v>92.846589100951093</v>
      </c>
      <c r="K51" s="165">
        <v>115.70035378407144</v>
      </c>
      <c r="L51" s="508">
        <f t="shared" si="12"/>
        <v>4.2937425008088832</v>
      </c>
      <c r="N51" s="30">
        <f t="shared" si="3"/>
        <v>0.77419915389965865</v>
      </c>
      <c r="P51" s="508">
        <f t="shared" si="13"/>
        <v>8.1869411111212358</v>
      </c>
      <c r="Q51" s="30">
        <f t="shared" si="14"/>
        <v>115.70035378407144</v>
      </c>
      <c r="R51" s="30" t="str">
        <f>IF(B51&lt;=baseline_aeo_end_year,'Oil demand projection'!K51-Q51,"")</f>
        <v/>
      </c>
    </row>
    <row r="52" spans="1:18" ht="15" customHeight="1">
      <c r="A52" s="17"/>
      <c r="B52" s="23">
        <f t="shared" si="15"/>
        <v>2061</v>
      </c>
      <c r="C52" s="627">
        <f t="shared" si="4"/>
        <v>10.428638701388554</v>
      </c>
      <c r="D52" s="508">
        <f t="shared" si="5"/>
        <v>1.6834305007575308</v>
      </c>
      <c r="E52" s="508">
        <f t="shared" si="6"/>
        <v>0.60773099285754562</v>
      </c>
      <c r="F52" s="508">
        <f t="shared" si="7"/>
        <v>0.56779885633894389</v>
      </c>
      <c r="G52" s="508">
        <f t="shared" si="8"/>
        <v>0.2119399227310281</v>
      </c>
      <c r="H52" s="508">
        <f t="shared" si="9"/>
        <v>1.2722300820670778</v>
      </c>
      <c r="I52" s="508">
        <f t="shared" si="10"/>
        <v>8.2455211093278962</v>
      </c>
      <c r="J52" s="508">
        <f t="shared" si="11"/>
        <v>93.510934055825615</v>
      </c>
      <c r="K52" s="165">
        <v>116.5282242212942</v>
      </c>
      <c r="L52" s="508">
        <f t="shared" si="12"/>
        <v>4.3244655052354775</v>
      </c>
      <c r="N52" s="30">
        <f t="shared" si="3"/>
        <v>0.77973877906997202</v>
      </c>
      <c r="P52" s="508">
        <f t="shared" si="13"/>
        <v>8.2455211093278962</v>
      </c>
      <c r="Q52" s="30">
        <f t="shared" si="14"/>
        <v>116.5282242212942</v>
      </c>
      <c r="R52" s="30" t="str">
        <f>IF(B52&lt;=baseline_aeo_end_year,'Oil demand projection'!K52-Q52,"")</f>
        <v/>
      </c>
    </row>
    <row r="53" spans="1:18" ht="15" customHeight="1">
      <c r="A53" s="16"/>
      <c r="B53" s="23">
        <f t="shared" si="15"/>
        <v>2062</v>
      </c>
      <c r="C53" s="627">
        <f t="shared" si="4"/>
        <v>10.503258712468808</v>
      </c>
      <c r="D53" s="508">
        <f t="shared" si="5"/>
        <v>1.6954759465933942</v>
      </c>
      <c r="E53" s="508">
        <f t="shared" si="6"/>
        <v>0.61207948883284535</v>
      </c>
      <c r="F53" s="508">
        <f t="shared" si="7"/>
        <v>0.57186162600280477</v>
      </c>
      <c r="G53" s="508">
        <f t="shared" si="8"/>
        <v>0.21345641590289641</v>
      </c>
      <c r="H53" s="508">
        <f t="shared" si="9"/>
        <v>1.2813332666282455</v>
      </c>
      <c r="I53" s="508">
        <f t="shared" si="10"/>
        <v>8.3045202648417007</v>
      </c>
      <c r="J53" s="508">
        <f t="shared" si="11"/>
        <v>94.180032596409006</v>
      </c>
      <c r="K53" s="165">
        <v>117.3620183176797</v>
      </c>
      <c r="L53" s="508">
        <f t="shared" si="12"/>
        <v>4.3554083418948659</v>
      </c>
      <c r="N53" s="30">
        <f t="shared" si="3"/>
        <v>0.7853180419057012</v>
      </c>
      <c r="P53" s="508">
        <f t="shared" si="13"/>
        <v>8.3045202648417007</v>
      </c>
      <c r="Q53" s="30">
        <f t="shared" si="14"/>
        <v>117.3620183176797</v>
      </c>
      <c r="R53" s="30" t="str">
        <f>IF(B53&lt;=baseline_aeo_end_year,'Oil demand projection'!K53-Q53,"")</f>
        <v/>
      </c>
    </row>
    <row r="54" spans="1:18" ht="15" customHeight="1">
      <c r="A54" s="16"/>
      <c r="B54" s="23">
        <f t="shared" si="15"/>
        <v>2063</v>
      </c>
      <c r="C54" s="627">
        <f t="shared" si="4"/>
        <v>10.578412651918148</v>
      </c>
      <c r="D54" s="508">
        <f t="shared" si="5"/>
        <v>1.7076075811761759</v>
      </c>
      <c r="E54" s="508">
        <f t="shared" si="6"/>
        <v>0.61645909958996381</v>
      </c>
      <c r="F54" s="508">
        <f t="shared" si="7"/>
        <v>0.57595346599175934</v>
      </c>
      <c r="G54" s="508">
        <f t="shared" si="8"/>
        <v>0.21498376003437011</v>
      </c>
      <c r="H54" s="508">
        <f t="shared" si="9"/>
        <v>1.2905015871819692</v>
      </c>
      <c r="I54" s="508">
        <f t="shared" si="10"/>
        <v>8.3639415768578296</v>
      </c>
      <c r="J54" s="508">
        <f t="shared" si="11"/>
        <v>94.853918736020589</v>
      </c>
      <c r="K54" s="165">
        <v>118.2017784587708</v>
      </c>
      <c r="L54" s="508">
        <f t="shared" si="12"/>
        <v>4.386572583752046</v>
      </c>
      <c r="N54" s="30">
        <f t="shared" si="3"/>
        <v>0.79093722602612948</v>
      </c>
      <c r="P54" s="508">
        <f t="shared" si="13"/>
        <v>8.3639415768578296</v>
      </c>
      <c r="Q54" s="30">
        <f t="shared" si="14"/>
        <v>118.2017784587708</v>
      </c>
      <c r="R54" s="30" t="str">
        <f>IF(B54&lt;=baseline_aeo_end_year,'Oil demand projection'!K54-Q54,"")</f>
        <v/>
      </c>
    </row>
    <row r="55" spans="1:18" ht="15" customHeight="1">
      <c r="A55" s="16"/>
      <c r="B55" s="23">
        <f t="shared" si="15"/>
        <v>2064</v>
      </c>
      <c r="C55" s="627">
        <f t="shared" si="4"/>
        <v>10.654104340152829</v>
      </c>
      <c r="D55" s="508">
        <f t="shared" si="5"/>
        <v>1.7198260212119905</v>
      </c>
      <c r="E55" s="508">
        <f t="shared" si="6"/>
        <v>0.62087004776441745</v>
      </c>
      <c r="F55" s="508">
        <f t="shared" si="7"/>
        <v>0.58007458431262826</v>
      </c>
      <c r="G55" s="508">
        <f t="shared" si="8"/>
        <v>0.21652203276729193</v>
      </c>
      <c r="H55" s="508">
        <f t="shared" si="9"/>
        <v>1.2997355097956447</v>
      </c>
      <c r="I55" s="508">
        <f t="shared" si="10"/>
        <v>8.4237880660315909</v>
      </c>
      <c r="J55" s="508">
        <f t="shared" si="11"/>
        <v>95.532626731355094</v>
      </c>
      <c r="K55" s="165">
        <v>119.04754733339149</v>
      </c>
      <c r="L55" s="508">
        <f t="shared" si="12"/>
        <v>4.4179598150270474</v>
      </c>
      <c r="N55" s="30">
        <f t="shared" si="3"/>
        <v>0.79659661707992013</v>
      </c>
      <c r="P55" s="508">
        <f t="shared" si="13"/>
        <v>8.4237880660315909</v>
      </c>
      <c r="Q55" s="30">
        <f t="shared" si="14"/>
        <v>119.04754733339149</v>
      </c>
      <c r="R55" s="30" t="str">
        <f>IF(B55&lt;=baseline_aeo_end_year,'Oil demand projection'!K55-Q55,"")</f>
        <v/>
      </c>
    </row>
    <row r="56" spans="1:18" ht="15" customHeight="1">
      <c r="A56" s="16"/>
      <c r="B56" s="23">
        <f t="shared" si="15"/>
        <v>2065</v>
      </c>
      <c r="C56" s="627">
        <f t="shared" si="4"/>
        <v>10.730337624925321</v>
      </c>
      <c r="D56" s="508">
        <f t="shared" si="5"/>
        <v>1.7321318878196676</v>
      </c>
      <c r="E56" s="508">
        <f t="shared" si="6"/>
        <v>0.62531255758474613</v>
      </c>
      <c r="F56" s="508">
        <f t="shared" si="7"/>
        <v>0.58422519046058297</v>
      </c>
      <c r="G56" s="508">
        <f t="shared" si="8"/>
        <v>0.21807131229905508</v>
      </c>
      <c r="H56" s="508">
        <f t="shared" si="9"/>
        <v>1.3090355038715193</v>
      </c>
      <c r="I56" s="508">
        <f t="shared" si="10"/>
        <v>8.484062774631985</v>
      </c>
      <c r="J56" s="508">
        <f t="shared" si="11"/>
        <v>96.216191084224107</v>
      </c>
      <c r="K56" s="165">
        <v>119.89936793581698</v>
      </c>
      <c r="L56" s="508">
        <f t="shared" si="12"/>
        <v>4.4495716312754654</v>
      </c>
      <c r="N56" s="30">
        <f t="shared" si="3"/>
        <v>0.80229650275963804</v>
      </c>
      <c r="P56" s="508">
        <f t="shared" si="13"/>
        <v>8.484062774631985</v>
      </c>
      <c r="Q56" s="30">
        <f t="shared" si="14"/>
        <v>119.89936793581697</v>
      </c>
      <c r="R56" s="30" t="str">
        <f>IF(B56&lt;=baseline_aeo_end_year,'Oil demand projection'!K56-Q56,"")</f>
        <v/>
      </c>
    </row>
    <row r="57" spans="1:18" ht="15" customHeight="1">
      <c r="A57" s="16"/>
      <c r="B57" s="23">
        <f t="shared" si="15"/>
        <v>2066</v>
      </c>
      <c r="C57" s="627">
        <f t="shared" si="4"/>
        <v>10.807116381519906</v>
      </c>
      <c r="D57" s="508">
        <f t="shared" si="5"/>
        <v>1.7445258065623273</v>
      </c>
      <c r="E57" s="508">
        <f t="shared" si="6"/>
        <v>0.62978685488391162</v>
      </c>
      <c r="F57" s="508">
        <f t="shared" si="7"/>
        <v>0.58840549542979503</v>
      </c>
      <c r="G57" s="508">
        <f t="shared" si="8"/>
        <v>0.21963167738657838</v>
      </c>
      <c r="H57" s="508">
        <f t="shared" si="9"/>
        <v>1.3184020421705527</v>
      </c>
      <c r="I57" s="508">
        <f t="shared" si="10"/>
        <v>8.5447687666963485</v>
      </c>
      <c r="J57" s="508">
        <f t="shared" si="11"/>
        <v>96.904646543309923</v>
      </c>
      <c r="K57" s="165">
        <v>120.75728356795935</v>
      </c>
      <c r="L57" s="508">
        <f t="shared" si="12"/>
        <v>4.4814096394695691</v>
      </c>
      <c r="N57" s="30">
        <f t="shared" si="3"/>
        <v>0.80803717281637344</v>
      </c>
      <c r="P57" s="508">
        <f t="shared" si="13"/>
        <v>8.5447687666963485</v>
      </c>
      <c r="Q57" s="30">
        <f t="shared" si="14"/>
        <v>120.75728356795935</v>
      </c>
      <c r="R57" s="30" t="str">
        <f>IF(B57&lt;=baseline_aeo_end_year,'Oil demand projection'!K57-Q57,"")</f>
        <v/>
      </c>
    </row>
    <row r="58" spans="1:18" ht="15" customHeight="1">
      <c r="A58" s="16"/>
      <c r="B58" s="23">
        <f t="shared" si="15"/>
        <v>2067</v>
      </c>
      <c r="C58" s="627">
        <f t="shared" si="4"/>
        <v>10.884444512949681</v>
      </c>
      <c r="D58" s="508">
        <f t="shared" si="5"/>
        <v>1.7570084074791792</v>
      </c>
      <c r="E58" s="508">
        <f t="shared" si="6"/>
        <v>0.63429316711077766</v>
      </c>
      <c r="F58" s="508">
        <f t="shared" si="7"/>
        <v>0.59261571172416216</v>
      </c>
      <c r="G58" s="508">
        <f t="shared" si="8"/>
        <v>0.22120320735030979</v>
      </c>
      <c r="H58" s="508">
        <f t="shared" si="9"/>
        <v>1.32783560083645</v>
      </c>
      <c r="I58" s="508">
        <f t="shared" si="10"/>
        <v>8.6059091281861164</v>
      </c>
      <c r="J58" s="508">
        <f t="shared" si="11"/>
        <v>97.598028105932002</v>
      </c>
      <c r="K58" s="165">
        <v>121.62133784156867</v>
      </c>
      <c r="L58" s="508">
        <f t="shared" si="12"/>
        <v>4.5134754580799932</v>
      </c>
      <c r="N58" s="30">
        <f t="shared" si="3"/>
        <v>0.81381891907447201</v>
      </c>
      <c r="P58" s="508">
        <f t="shared" si="13"/>
        <v>8.6059091281861164</v>
      </c>
      <c r="Q58" s="30">
        <f t="shared" si="14"/>
        <v>121.62133784156867</v>
      </c>
      <c r="R58" s="30" t="str">
        <f>IF(B58&lt;=baseline_aeo_end_year,'Oil demand projection'!K58-Q58,"")</f>
        <v/>
      </c>
    </row>
    <row r="59" spans="1:18" ht="15" customHeight="1">
      <c r="A59" s="16"/>
      <c r="B59" s="23">
        <f t="shared" si="15"/>
        <v>2068</v>
      </c>
      <c r="C59" s="627">
        <f t="shared" si="4"/>
        <v>10.962325950154957</v>
      </c>
      <c r="D59" s="508">
        <f t="shared" si="5"/>
        <v>1.769580325117551</v>
      </c>
      <c r="E59" s="508">
        <f t="shared" si="6"/>
        <v>0.63883172334167226</v>
      </c>
      <c r="F59" s="508">
        <f t="shared" si="7"/>
        <v>0.59685605336811054</v>
      </c>
      <c r="G59" s="508">
        <f t="shared" si="8"/>
        <v>0.2227859820782587</v>
      </c>
      <c r="H59" s="508">
        <f t="shared" si="9"/>
        <v>1.3373366594198659</v>
      </c>
      <c r="I59" s="508">
        <f t="shared" si="10"/>
        <v>8.6674869671436969</v>
      </c>
      <c r="J59" s="508">
        <f t="shared" si="11"/>
        <v>98.296371019826012</v>
      </c>
      <c r="K59" s="165">
        <v>122.49157468045013</v>
      </c>
      <c r="L59" s="508">
        <f t="shared" si="12"/>
        <v>4.5457707171580104</v>
      </c>
      <c r="N59" s="30">
        <f t="shared" si="3"/>
        <v>0.81964203544636927</v>
      </c>
      <c r="P59" s="508">
        <f t="shared" si="13"/>
        <v>8.6674869671436969</v>
      </c>
      <c r="Q59" s="30">
        <f t="shared" si="14"/>
        <v>122.49157468045013</v>
      </c>
      <c r="R59" s="30" t="str">
        <f>IF(B59&lt;=baseline_aeo_end_year,'Oil demand projection'!K59-Q59,"")</f>
        <v/>
      </c>
    </row>
    <row r="60" spans="1:18" ht="15" customHeight="1">
      <c r="A60" s="16"/>
      <c r="B60" s="23">
        <f t="shared" si="15"/>
        <v>2069</v>
      </c>
      <c r="C60" s="627">
        <f t="shared" si="4"/>
        <v>11.040764652203096</v>
      </c>
      <c r="D60" s="508">
        <f t="shared" si="5"/>
        <v>1.7822421985651458</v>
      </c>
      <c r="E60" s="508">
        <f t="shared" si="6"/>
        <v>0.64340275429203264</v>
      </c>
      <c r="F60" s="508">
        <f t="shared" si="7"/>
        <v>0.60112673591747479</v>
      </c>
      <c r="G60" s="508">
        <f t="shared" si="8"/>
        <v>0.22438008203005694</v>
      </c>
      <c r="H60" s="508">
        <f t="shared" si="9"/>
        <v>1.3469057009027827</v>
      </c>
      <c r="I60" s="508">
        <f t="shared" si="10"/>
        <v>8.7295054138504664</v>
      </c>
      <c r="J60" s="508">
        <f t="shared" si="11"/>
        <v>98.999710784935672</v>
      </c>
      <c r="K60" s="165">
        <v>123.36803832269672</v>
      </c>
      <c r="L60" s="508">
        <f t="shared" si="12"/>
        <v>4.5782970584183955</v>
      </c>
      <c r="N60" s="30">
        <f t="shared" si="3"/>
        <v>0.82550681794753178</v>
      </c>
      <c r="P60" s="508">
        <f t="shared" si="13"/>
        <v>8.7295054138504664</v>
      </c>
      <c r="Q60" s="30">
        <f t="shared" si="14"/>
        <v>123.36803832269672</v>
      </c>
      <c r="R60" s="30" t="str">
        <f>IF(B60&lt;=baseline_aeo_end_year,'Oil demand projection'!K60-Q60,"")</f>
        <v/>
      </c>
    </row>
    <row r="61" spans="1:18" ht="15" customHeight="1">
      <c r="A61" s="16"/>
      <c r="B61" s="23">
        <f t="shared" si="15"/>
        <v>2070</v>
      </c>
      <c r="C61" s="627">
        <f t="shared" si="4"/>
        <v>11.119764606489763</v>
      </c>
      <c r="D61" s="508">
        <f t="shared" si="5"/>
        <v>1.7949946714825284</v>
      </c>
      <c r="E61" s="508">
        <f t="shared" si="6"/>
        <v>0.64800649232813357</v>
      </c>
      <c r="F61" s="508">
        <f t="shared" si="7"/>
        <v>0.60542797647045565</v>
      </c>
      <c r="G61" s="508">
        <f t="shared" si="8"/>
        <v>0.22598558824104895</v>
      </c>
      <c r="H61" s="508">
        <f t="shared" si="9"/>
        <v>1.3565432117230627</v>
      </c>
      <c r="I61" s="508">
        <f t="shared" si="10"/>
        <v>8.7919676209858935</v>
      </c>
      <c r="J61" s="508">
        <f t="shared" si="11"/>
        <v>99.708083155217352</v>
      </c>
      <c r="K61" s="165">
        <v>124.25077332293824</v>
      </c>
      <c r="L61" s="508">
        <f t="shared" si="12"/>
        <v>4.6110561353228805</v>
      </c>
      <c r="N61" s="30">
        <f t="shared" si="3"/>
        <v>0.83141356471150463</v>
      </c>
      <c r="P61" s="508">
        <f t="shared" si="13"/>
        <v>8.7919676209858935</v>
      </c>
      <c r="Q61" s="30">
        <f t="shared" si="14"/>
        <v>124.25077332293824</v>
      </c>
      <c r="R61" s="30" t="str">
        <f>IF(B61&lt;=baseline_aeo_end_year,'Oil demand projection'!K61-Q61,"")</f>
        <v/>
      </c>
    </row>
    <row r="62" spans="1:18" ht="15" customHeight="1">
      <c r="A62" s="16"/>
      <c r="B62" s="23">
        <f t="shared" si="15"/>
        <v>2071</v>
      </c>
      <c r="C62" s="627">
        <f t="shared" si="4"/>
        <v>11.199329828941625</v>
      </c>
      <c r="D62" s="508">
        <f t="shared" si="5"/>
        <v>1.8078383921358472</v>
      </c>
      <c r="E62" s="508">
        <f t="shared" si="6"/>
        <v>0.65264317147889972</v>
      </c>
      <c r="F62" s="508">
        <f t="shared" si="7"/>
        <v>0.60975999367865619</v>
      </c>
      <c r="G62" s="508">
        <f t="shared" si="8"/>
        <v>0.22760258232641115</v>
      </c>
      <c r="H62" s="508">
        <f t="shared" si="9"/>
        <v>1.3662496817991754</v>
      </c>
      <c r="I62" s="508">
        <f t="shared" si="10"/>
        <v>8.8548767637878054</v>
      </c>
      <c r="J62" s="508">
        <f t="shared" si="11"/>
        <v>100.42152414045759</v>
      </c>
      <c r="K62" s="165">
        <v>125.13982455460601</v>
      </c>
      <c r="L62" s="508">
        <f t="shared" si="12"/>
        <v>4.6440496131642073</v>
      </c>
      <c r="N62" s="30">
        <f t="shared" si="3"/>
        <v>0.83736257600506736</v>
      </c>
      <c r="P62" s="508">
        <f t="shared" si="13"/>
        <v>8.8548767637878054</v>
      </c>
      <c r="Q62" s="30">
        <f t="shared" si="14"/>
        <v>125.13982455460601</v>
      </c>
      <c r="R62" s="30" t="str">
        <f>IF(B62&lt;=baseline_aeo_end_year,'Oil demand projection'!K62-Q62,"")</f>
        <v/>
      </c>
    </row>
    <row r="63" spans="1:18" ht="15" customHeight="1">
      <c r="A63" s="16"/>
      <c r="B63" s="23">
        <f t="shared" si="15"/>
        <v>2072</v>
      </c>
      <c r="C63" s="627">
        <f t="shared" si="4"/>
        <v>11.279464364220498</v>
      </c>
      <c r="D63" s="508">
        <f t="shared" si="5"/>
        <v>1.8207740134297867</v>
      </c>
      <c r="E63" s="508">
        <f t="shared" si="6"/>
        <v>0.65731302744780229</v>
      </c>
      <c r="F63" s="508">
        <f t="shared" si="7"/>
        <v>0.61412300775819639</v>
      </c>
      <c r="G63" s="508">
        <f t="shared" si="8"/>
        <v>0.22923114648530082</v>
      </c>
      <c r="H63" s="508">
        <f t="shared" si="9"/>
        <v>1.3760256045551025</v>
      </c>
      <c r="I63" s="508">
        <f t="shared" si="10"/>
        <v>8.9182360402138023</v>
      </c>
      <c r="J63" s="508">
        <f t="shared" si="11"/>
        <v>101.14007000810369</v>
      </c>
      <c r="K63" s="165">
        <v>126.03523721221418</v>
      </c>
      <c r="L63" s="508">
        <f t="shared" si="12"/>
        <v>4.6772791691507827</v>
      </c>
      <c r="N63" s="30">
        <f t="shared" si="3"/>
        <v>0.84335415424349724</v>
      </c>
      <c r="P63" s="508">
        <f t="shared" si="13"/>
        <v>8.9182360402138023</v>
      </c>
      <c r="Q63" s="30">
        <f t="shared" si="14"/>
        <v>126.03523721221418</v>
      </c>
      <c r="R63" s="30" t="str">
        <f>IF(B63&lt;=baseline_aeo_end_year,'Oil demand projection'!K63-Q63,"")</f>
        <v/>
      </c>
    </row>
    <row r="64" spans="1:18" ht="15" customHeight="1">
      <c r="A64" s="16"/>
      <c r="B64" s="23">
        <f t="shared" si="15"/>
        <v>2073</v>
      </c>
      <c r="C64" s="627">
        <f t="shared" si="4"/>
        <v>11.360172285928956</v>
      </c>
      <c r="D64" s="508">
        <f t="shared" si="5"/>
        <v>1.8338021929407595</v>
      </c>
      <c r="E64" s="508">
        <f t="shared" si="6"/>
        <v>0.66201629762484082</v>
      </c>
      <c r="F64" s="508">
        <f t="shared" si="7"/>
        <v>0.61851724050090839</v>
      </c>
      <c r="G64" s="508">
        <f t="shared" si="8"/>
        <v>0.23087136350503465</v>
      </c>
      <c r="H64" s="508">
        <f t="shared" si="9"/>
        <v>1.3858714769454215</v>
      </c>
      <c r="I64" s="508">
        <f t="shared" si="10"/>
        <v>8.9820486711038203</v>
      </c>
      <c r="J64" s="508">
        <f t="shared" si="11"/>
        <v>101.8637572851073</v>
      </c>
      <c r="K64" s="165">
        <v>126.93705681365704</v>
      </c>
      <c r="L64" s="508">
        <f t="shared" si="12"/>
        <v>4.7107464924919391</v>
      </c>
      <c r="N64" s="30">
        <f t="shared" si="3"/>
        <v>0.84938860400594307</v>
      </c>
      <c r="P64" s="508">
        <f t="shared" si="13"/>
        <v>8.9820486711038203</v>
      </c>
      <c r="Q64" s="30">
        <f t="shared" si="14"/>
        <v>126.93705681365705</v>
      </c>
      <c r="R64" s="30" t="str">
        <f>IF(B64&lt;=baseline_aeo_end_year,'Oil demand projection'!K64-Q64,"")</f>
        <v/>
      </c>
    </row>
    <row r="65" spans="1:18" ht="15" customHeight="1">
      <c r="A65" s="16"/>
      <c r="B65" s="23">
        <f t="shared" si="15"/>
        <v>2074</v>
      </c>
      <c r="C65" s="627">
        <f t="shared" si="4"/>
        <v>11.441457696817411</v>
      </c>
      <c r="D65" s="508">
        <f t="shared" si="5"/>
        <v>1.8469235929503325</v>
      </c>
      <c r="E65" s="508">
        <f t="shared" si="6"/>
        <v>0.6667532210986109</v>
      </c>
      <c r="F65" s="508">
        <f t="shared" si="7"/>
        <v>0.62294291528561063</v>
      </c>
      <c r="G65" s="508">
        <f t="shared" si="8"/>
        <v>0.23252331676529719</v>
      </c>
      <c r="H65" s="508">
        <f t="shared" si="9"/>
        <v>1.3957877994805674</v>
      </c>
      <c r="I65" s="508">
        <f t="shared" si="10"/>
        <v>9.0463179003438654</v>
      </c>
      <c r="J65" s="508">
        <f t="shared" si="11"/>
        <v>102.59262275978128</v>
      </c>
      <c r="K65" s="165">
        <v>127.84532920252298</v>
      </c>
      <c r="L65" s="508">
        <f t="shared" si="12"/>
        <v>4.7444532844838037</v>
      </c>
      <c r="N65" s="30">
        <f t="shared" si="3"/>
        <v>0.85546623205090788</v>
      </c>
      <c r="P65" s="508">
        <f t="shared" si="13"/>
        <v>9.0463179003438654</v>
      </c>
      <c r="Q65" s="30">
        <f t="shared" si="14"/>
        <v>127.84532920252298</v>
      </c>
      <c r="R65" s="30" t="str">
        <f>IF(B65&lt;=baseline_aeo_end_year,'Oil demand projection'!K65-Q65,"")</f>
        <v/>
      </c>
    </row>
    <row r="66" spans="1:18" ht="15" customHeight="1">
      <c r="A66" s="16"/>
      <c r="B66" s="23">
        <f t="shared" si="15"/>
        <v>2075</v>
      </c>
      <c r="C66" s="627">
        <f t="shared" si="4"/>
        <v>11.523324728992673</v>
      </c>
      <c r="D66" s="508">
        <f t="shared" si="5"/>
        <v>1.8601388804788941</v>
      </c>
      <c r="E66" s="508">
        <f t="shared" si="6"/>
        <v>0.67152403866845811</v>
      </c>
      <c r="F66" s="508">
        <f t="shared" si="7"/>
        <v>0.62740025708946356</v>
      </c>
      <c r="G66" s="508">
        <f t="shared" si="8"/>
        <v>0.23418709024237944</v>
      </c>
      <c r="H66" s="508">
        <f t="shared" si="9"/>
        <v>1.4057750762522763</v>
      </c>
      <c r="I66" s="508">
        <f t="shared" si="10"/>
        <v>9.1110469950309092</v>
      </c>
      <c r="J66" s="508">
        <f t="shared" si="11"/>
        <v>103.3267034836698</v>
      </c>
      <c r="K66" s="165">
        <v>128.76010055042485</v>
      </c>
      <c r="L66" s="508">
        <f t="shared" si="12"/>
        <v>4.7784012585957836</v>
      </c>
      <c r="N66" s="30">
        <f t="shared" si="3"/>
        <v>0.86158734733184295</v>
      </c>
      <c r="P66" s="508">
        <f t="shared" si="13"/>
        <v>9.1110469950309092</v>
      </c>
      <c r="Q66" s="30">
        <f t="shared" si="14"/>
        <v>128.76010055042485</v>
      </c>
      <c r="R66" s="30" t="str">
        <f>IF(B66&lt;=baseline_aeo_end_year,'Oil demand projection'!K66-Q66,"")</f>
        <v/>
      </c>
    </row>
    <row r="67" spans="1:18" ht="15" customHeight="1">
      <c r="A67" s="16"/>
      <c r="B67" s="23">
        <f t="shared" si="15"/>
        <v>2076</v>
      </c>
      <c r="C67" s="627">
        <f t="shared" si="4"/>
        <v>11.605777544128008</v>
      </c>
      <c r="D67" s="508">
        <f t="shared" si="5"/>
        <v>1.8734487273195621</v>
      </c>
      <c r="E67" s="508">
        <f t="shared" si="6"/>
        <v>0.67632899285671899</v>
      </c>
      <c r="F67" s="508">
        <f t="shared" si="7"/>
        <v>0.63188949249940607</v>
      </c>
      <c r="G67" s="508">
        <f t="shared" si="8"/>
        <v>0.23586276851344773</v>
      </c>
      <c r="H67" s="508">
        <f t="shared" si="9"/>
        <v>1.4158338149592105</v>
      </c>
      <c r="I67" s="508">
        <f t="shared" si="10"/>
        <v>9.1762392456389765</v>
      </c>
      <c r="J67" s="508">
        <f t="shared" si="11"/>
        <v>104.06603677343186</v>
      </c>
      <c r="K67" s="165">
        <v>129.68141735934719</v>
      </c>
      <c r="L67" s="508">
        <f t="shared" si="12"/>
        <v>4.8125921405576682</v>
      </c>
      <c r="N67" s="30">
        <f t="shared" si="3"/>
        <v>0.86775226101285385</v>
      </c>
      <c r="P67" s="508">
        <f t="shared" si="13"/>
        <v>9.1762392456389765</v>
      </c>
      <c r="Q67" s="30">
        <f t="shared" si="14"/>
        <v>129.68141735934719</v>
      </c>
      <c r="R67" s="30" t="str">
        <f>IF(B67&lt;=baseline_aeo_end_year,'Oil demand projection'!K67-Q67,"")</f>
        <v/>
      </c>
    </row>
    <row r="68" spans="1:18" ht="15" customHeight="1">
      <c r="A68" s="16"/>
      <c r="B68" s="23">
        <f t="shared" si="15"/>
        <v>2077</v>
      </c>
      <c r="C68" s="627">
        <f t="shared" si="4"/>
        <v>11.688820333674689</v>
      </c>
      <c r="D68" s="508">
        <f t="shared" si="5"/>
        <v>1.886853810072334</v>
      </c>
      <c r="E68" s="508">
        <f t="shared" si="6"/>
        <v>0.68116832792104964</v>
      </c>
      <c r="F68" s="508">
        <f t="shared" si="7"/>
        <v>0.63641084972367379</v>
      </c>
      <c r="G68" s="508">
        <f t="shared" si="8"/>
        <v>0.23755043676084317</v>
      </c>
      <c r="H68" s="508">
        <f t="shared" si="9"/>
        <v>1.4259645269327672</v>
      </c>
      <c r="I68" s="508">
        <f t="shared" si="10"/>
        <v>9.2418979661864125</v>
      </c>
      <c r="J68" s="508">
        <f t="shared" si="11"/>
        <v>104.81066021273824</v>
      </c>
      <c r="K68" s="165">
        <v>130.60932646401</v>
      </c>
      <c r="L68" s="508">
        <f t="shared" si="12"/>
        <v>4.8470276684473568</v>
      </c>
      <c r="N68" s="30">
        <f t="shared" si="3"/>
        <v>0.87396128648451699</v>
      </c>
      <c r="P68" s="508">
        <f t="shared" si="13"/>
        <v>9.2418979661864125</v>
      </c>
      <c r="Q68" s="30">
        <f t="shared" si="14"/>
        <v>130.60932646401</v>
      </c>
      <c r="R68" s="30" t="str">
        <f>IF(B68&lt;=baseline_aeo_end_year,'Oil demand projection'!K68-Q68,"")</f>
        <v/>
      </c>
    </row>
    <row r="69" spans="1:18" ht="15" customHeight="1">
      <c r="A69" s="16"/>
      <c r="B69" s="23">
        <f t="shared" si="15"/>
        <v>2078</v>
      </c>
      <c r="C69" s="627">
        <f t="shared" si="4"/>
        <v>11.772457319075071</v>
      </c>
      <c r="D69" s="508">
        <f t="shared" si="5"/>
        <v>1.9003548101784811</v>
      </c>
      <c r="E69" s="508">
        <f t="shared" si="6"/>
        <v>0.68604228986684213</v>
      </c>
      <c r="F69" s="508">
        <f t="shared" si="7"/>
        <v>0.6409645586034004</v>
      </c>
      <c r="G69" s="508">
        <f t="shared" si="8"/>
        <v>0.23925018077641186</v>
      </c>
      <c r="H69" s="508">
        <f t="shared" si="9"/>
        <v>1.4361677271630719</v>
      </c>
      <c r="I69" s="508">
        <f t="shared" si="10"/>
        <v>9.3080264944043449</v>
      </c>
      <c r="J69" s="508">
        <f t="shared" si="11"/>
        <v>105.56061165418207</v>
      </c>
      <c r="K69" s="165">
        <v>131.54387503424968</v>
      </c>
      <c r="L69" s="508">
        <f t="shared" si="12"/>
        <v>4.881709592779214</v>
      </c>
      <c r="N69" s="30">
        <f t="shared" si="3"/>
        <v>0.88021473937981232</v>
      </c>
      <c r="P69" s="508">
        <f t="shared" si="13"/>
        <v>9.3080264944043449</v>
      </c>
      <c r="Q69" s="30">
        <f t="shared" si="14"/>
        <v>131.54387503424971</v>
      </c>
      <c r="R69" s="30" t="str">
        <f>IF(B69&lt;=baseline_aeo_end_year,'Oil demand projection'!K69-Q69,"")</f>
        <v/>
      </c>
    </row>
    <row r="70" spans="1:18" ht="15" customHeight="1">
      <c r="A70" s="16"/>
      <c r="B70" s="23">
        <f t="shared" si="15"/>
        <v>2079</v>
      </c>
      <c r="C70" s="627">
        <f t="shared" si="4"/>
        <v>11.856692751977185</v>
      </c>
      <c r="D70" s="508">
        <f t="shared" si="5"/>
        <v>1.9139524139551898</v>
      </c>
      <c r="E70" s="508">
        <f t="shared" si="6"/>
        <v>0.69095112645973034</v>
      </c>
      <c r="F70" s="508">
        <f t="shared" si="7"/>
        <v>0.64555085062430118</v>
      </c>
      <c r="G70" s="508">
        <f t="shared" si="8"/>
        <v>0.24096208696586605</v>
      </c>
      <c r="H70" s="508">
        <f t="shared" si="9"/>
        <v>1.4464439343251574</v>
      </c>
      <c r="I70" s="508">
        <f t="shared" si="10"/>
        <v>9.3746281919063659</v>
      </c>
      <c r="J70" s="508">
        <f t="shared" si="11"/>
        <v>106.31592922120302</v>
      </c>
      <c r="K70" s="165">
        <v>132.48511057741683</v>
      </c>
      <c r="L70" s="508">
        <f t="shared" si="12"/>
        <v>4.9166396765930545</v>
      </c>
      <c r="N70" s="30">
        <f t="shared" si="3"/>
        <v>0.88651293759016725</v>
      </c>
      <c r="P70" s="508">
        <f t="shared" si="13"/>
        <v>9.3746281919063659</v>
      </c>
      <c r="Q70" s="30">
        <f t="shared" si="14"/>
        <v>132.4851105774168</v>
      </c>
      <c r="R70" s="30" t="str">
        <f>IF(B70&lt;=baseline_aeo_end_year,'Oil demand projection'!K70-Q70,"")</f>
        <v/>
      </c>
    </row>
    <row r="71" spans="1:18" ht="15" customHeight="1">
      <c r="A71" s="16"/>
      <c r="B71" s="23">
        <f t="shared" si="15"/>
        <v>2080</v>
      </c>
      <c r="C71" s="627">
        <f t="shared" si="4"/>
        <v>11.941530914450864</v>
      </c>
      <c r="D71" s="508">
        <f t="shared" si="5"/>
        <v>1.9276473126304501</v>
      </c>
      <c r="E71" s="508">
        <f t="shared" si="6"/>
        <v>0.69589508723818494</v>
      </c>
      <c r="F71" s="508">
        <f t="shared" si="7"/>
        <v>0.65016995892844054</v>
      </c>
      <c r="G71" s="508">
        <f t="shared" si="8"/>
        <v>0.24268624235317657</v>
      </c>
      <c r="H71" s="508">
        <f t="shared" si="9"/>
        <v>1.4567936708053308</v>
      </c>
      <c r="I71" s="508">
        <f t="shared" si="10"/>
        <v>9.4417064443594079</v>
      </c>
      <c r="J71" s="508">
        <f t="shared" si="11"/>
        <v>107.07665131002534</v>
      </c>
      <c r="K71" s="165">
        <v>133.4330809407912</v>
      </c>
      <c r="L71" s="508">
        <f t="shared" si="12"/>
        <v>4.9518196955437679</v>
      </c>
      <c r="N71" s="30">
        <f t="shared" si="3"/>
        <v>0.89285620128161713</v>
      </c>
      <c r="P71" s="508">
        <f t="shared" si="13"/>
        <v>9.4417064443594079</v>
      </c>
      <c r="Q71" s="30">
        <f t="shared" si="14"/>
        <v>133.4330809407912</v>
      </c>
      <c r="R71" s="30" t="str">
        <f>IF(B71&lt;=baseline_aeo_end_year,'Oil demand projection'!K71-Q71,"")</f>
        <v/>
      </c>
    </row>
    <row r="72" spans="1:18" ht="15" customHeight="1">
      <c r="A72" s="16"/>
      <c r="B72" s="23">
        <f t="shared" si="15"/>
        <v>2081</v>
      </c>
      <c r="C72" s="627">
        <f t="shared" si="4"/>
        <v>12.026976119205427</v>
      </c>
      <c r="D72" s="508">
        <f t="shared" si="5"/>
        <v>1.9414402023781938</v>
      </c>
      <c r="E72" s="508">
        <f t="shared" si="6"/>
        <v>0.70087442352619855</v>
      </c>
      <c r="F72" s="508">
        <f t="shared" si="7"/>
        <v>0.6548221183260835</v>
      </c>
      <c r="G72" s="508">
        <f t="shared" si="8"/>
        <v>0.24442273458499661</v>
      </c>
      <c r="H72" s="508">
        <f t="shared" si="9"/>
        <v>1.4672174627277283</v>
      </c>
      <c r="I72" s="508">
        <f t="shared" si="10"/>
        <v>9.5092646616558607</v>
      </c>
      <c r="J72" s="508">
        <f t="shared" si="11"/>
        <v>107.84281659160966</v>
      </c>
      <c r="K72" s="165">
        <v>134.38783431401416</v>
      </c>
      <c r="L72" s="508">
        <f t="shared" si="12"/>
        <v>4.9872514379915804</v>
      </c>
      <c r="N72" s="30">
        <f t="shared" si="3"/>
        <v>0.89924485291108014</v>
      </c>
      <c r="P72" s="508">
        <f t="shared" si="13"/>
        <v>9.5092646616558607</v>
      </c>
      <c r="Q72" s="30">
        <f t="shared" si="14"/>
        <v>134.38783431401416</v>
      </c>
      <c r="R72" s="30" t="str">
        <f>IF(B72&lt;=baseline_aeo_end_year,'Oil demand projection'!K72-Q72,"")</f>
        <v/>
      </c>
    </row>
    <row r="73" spans="1:18" ht="15" customHeight="1">
      <c r="A73" s="16"/>
      <c r="B73" s="23">
        <f t="shared" si="15"/>
        <v>2082</v>
      </c>
      <c r="C73" s="627">
        <f t="shared" si="4"/>
        <v>12.113032709808913</v>
      </c>
      <c r="D73" s="508">
        <f t="shared" si="5"/>
        <v>1.9553317843536842</v>
      </c>
      <c r="E73" s="508">
        <f t="shared" si="6"/>
        <v>0.70588938844606175</v>
      </c>
      <c r="F73" s="508">
        <f t="shared" si="7"/>
        <v>0.65950756530763266</v>
      </c>
      <c r="G73" s="508">
        <f t="shared" si="8"/>
        <v>0.24617165193511728</v>
      </c>
      <c r="H73" s="508">
        <f t="shared" si="9"/>
        <v>1.4777158399810613</v>
      </c>
      <c r="I73" s="508">
        <f t="shared" si="10"/>
        <v>9.5773062780869047</v>
      </c>
      <c r="J73" s="508">
        <f t="shared" si="11"/>
        <v>108.61446401361884</v>
      </c>
      <c r="K73" s="165">
        <v>135.34941923153821</v>
      </c>
      <c r="L73" s="508">
        <f t="shared" si="12"/>
        <v>5.0229367050929703</v>
      </c>
      <c r="N73" s="30">
        <f t="shared" si="3"/>
        <v>0.90567921724274991</v>
      </c>
      <c r="P73" s="508">
        <f t="shared" si="13"/>
        <v>9.5773062780869047</v>
      </c>
      <c r="Q73" s="30">
        <f t="shared" si="14"/>
        <v>135.34941923153821</v>
      </c>
      <c r="R73" s="30" t="str">
        <f>IF(B73&lt;=baseline_aeo_end_year,'Oil demand projection'!K73-Q73,"")</f>
        <v/>
      </c>
    </row>
    <row r="74" spans="1:18" ht="15" customHeight="1">
      <c r="A74" s="16"/>
      <c r="B74" s="23">
        <f t="shared" si="15"/>
        <v>2083</v>
      </c>
      <c r="C74" s="627">
        <f t="shared" si="4"/>
        <v>12.199705060908876</v>
      </c>
      <c r="D74" s="508">
        <f t="shared" si="5"/>
        <v>1.9693227647291589</v>
      </c>
      <c r="E74" s="508">
        <f t="shared" si="6"/>
        <v>0.71094023693123032</v>
      </c>
      <c r="F74" s="508">
        <f t="shared" si="7"/>
        <v>0.66422653805564957</v>
      </c>
      <c r="G74" s="508">
        <f t="shared" si="8"/>
        <v>0.24793308330895489</v>
      </c>
      <c r="H74" s="508">
        <f t="shared" si="9"/>
        <v>1.4882893362455518</v>
      </c>
      <c r="I74" s="508">
        <f t="shared" si="10"/>
        <v>9.6458347525170982</v>
      </c>
      <c r="J74" s="508">
        <f t="shared" si="11"/>
        <v>109.39163280239785</v>
      </c>
      <c r="K74" s="165">
        <v>136.31788457509435</v>
      </c>
      <c r="L74" s="508">
        <f t="shared" si="12"/>
        <v>5.0588773108922247</v>
      </c>
      <c r="N74" s="30">
        <f t="shared" si="3"/>
        <v>0.91215962136460449</v>
      </c>
      <c r="P74" s="508">
        <f t="shared" si="13"/>
        <v>9.6458347525170982</v>
      </c>
      <c r="Q74" s="30">
        <f t="shared" ref="Q74:Q84" si="16">aeo_sup_oil_l48_t+aeo_sup_oil_l48+aeo_sup_oil_off+aeo_sup_oil_ala_on+aeo_sup_oil_ala_off+aeo_sup_oil_bio+aeo_sup_oil_row+P74</f>
        <v>136.31788457509435</v>
      </c>
      <c r="R74" s="30" t="str">
        <f>IF(B74&lt;=baseline_aeo_end_year,'Oil demand projection'!K74-Q74,"")</f>
        <v/>
      </c>
    </row>
    <row r="75" spans="1:18" ht="15" customHeight="1">
      <c r="A75" s="16"/>
      <c r="B75" s="23">
        <f t="shared" si="15"/>
        <v>2084</v>
      </c>
      <c r="C75" s="627">
        <f t="shared" si="4"/>
        <v>12.286997578454779</v>
      </c>
      <c r="D75" s="508">
        <f t="shared" si="5"/>
        <v>1.9834138547297282</v>
      </c>
      <c r="E75" s="508">
        <f t="shared" si="6"/>
        <v>0.71602722573928468</v>
      </c>
      <c r="F75" s="508">
        <f t="shared" si="7"/>
        <v>0.66897927645696287</v>
      </c>
      <c r="G75" s="508">
        <f t="shared" si="8"/>
        <v>0.2497071182480704</v>
      </c>
      <c r="H75" s="508">
        <f t="shared" si="9"/>
        <v>1.498938489020063</v>
      </c>
      <c r="I75" s="508">
        <f t="shared" si="10"/>
        <v>9.7148535685602013</v>
      </c>
      <c r="J75" s="508">
        <f t="shared" si="11"/>
        <v>110.17436246496781</v>
      </c>
      <c r="K75" s="165">
        <v>137.2932795761769</v>
      </c>
      <c r="L75" s="508">
        <f t="shared" si="12"/>
        <v>5.0950750824136559</v>
      </c>
      <c r="N75" s="30">
        <f t="shared" ref="N75:N84" si="17">SUM(F75,G75)</f>
        <v>0.91868639470503322</v>
      </c>
      <c r="P75" s="508">
        <f t="shared" si="13"/>
        <v>9.7148535685602013</v>
      </c>
      <c r="Q75" s="30">
        <f t="shared" si="16"/>
        <v>137.2932795761769</v>
      </c>
      <c r="R75" s="30" t="str">
        <f>IF(B75&lt;=baseline_aeo_end_year,'Oil demand projection'!K75-Q75,"")</f>
        <v/>
      </c>
    </row>
    <row r="76" spans="1:18" ht="15" customHeight="1">
      <c r="A76" s="16"/>
      <c r="B76" s="23">
        <f t="shared" si="15"/>
        <v>2085</v>
      </c>
      <c r="C76" s="627">
        <f t="shared" si="4"/>
        <v>12.374914699921963</v>
      </c>
      <c r="D76" s="508">
        <f t="shared" si="5"/>
        <v>1.9976057706695292</v>
      </c>
      <c r="E76" s="508">
        <f t="shared" si="6"/>
        <v>0.72115061346498222</v>
      </c>
      <c r="F76" s="508">
        <f t="shared" si="7"/>
        <v>0.67376602211486281</v>
      </c>
      <c r="G76" s="508">
        <f t="shared" si="8"/>
        <v>0.25149384693472138</v>
      </c>
      <c r="H76" s="508">
        <f t="shared" si="9"/>
        <v>1.509663839649422</v>
      </c>
      <c r="I76" s="508">
        <f t="shared" si="10"/>
        <v>9.7843662347562681</v>
      </c>
      <c r="J76" s="508">
        <f t="shared" si="11"/>
        <v>110.96269279103436</v>
      </c>
      <c r="K76" s="165">
        <v>138.27565381854612</v>
      </c>
      <c r="L76" s="508">
        <f t="shared" si="12"/>
        <v>5.1315318597544808</v>
      </c>
      <c r="N76" s="30">
        <f t="shared" si="17"/>
        <v>0.92525986904958413</v>
      </c>
      <c r="P76" s="508">
        <f t="shared" si="13"/>
        <v>9.7843662347562681</v>
      </c>
      <c r="Q76" s="30">
        <f t="shared" si="16"/>
        <v>138.27565381854612</v>
      </c>
      <c r="R76" s="30" t="str">
        <f>IF(B76&lt;=baseline_aeo_end_year,'Oil demand projection'!K76-Q76,"")</f>
        <v/>
      </c>
    </row>
    <row r="77" spans="1:18" ht="15" customHeight="1">
      <c r="A77" s="16"/>
      <c r="B77" s="23">
        <f t="shared" si="15"/>
        <v>2086</v>
      </c>
      <c r="C77" s="627">
        <f t="shared" si="4"/>
        <v>12.463460894537221</v>
      </c>
      <c r="D77" s="508">
        <f t="shared" si="5"/>
        <v>2.0118992339881396</v>
      </c>
      <c r="E77" s="508">
        <f t="shared" si="6"/>
        <v>0.72631066055340265</v>
      </c>
      <c r="F77" s="508">
        <f t="shared" si="7"/>
        <v>0.67858701836138302</v>
      </c>
      <c r="G77" s="508">
        <f t="shared" si="8"/>
        <v>0.2532933601964461</v>
      </c>
      <c r="H77" s="508">
        <f t="shared" si="9"/>
        <v>1.5204659333519392</v>
      </c>
      <c r="I77" s="508">
        <f t="shared" si="10"/>
        <v>9.8543762847499998</v>
      </c>
      <c r="J77" s="508">
        <f t="shared" si="11"/>
        <v>111.75666385501026</v>
      </c>
      <c r="K77" s="165">
        <v>139.26505724074877</v>
      </c>
      <c r="L77" s="508">
        <f t="shared" si="12"/>
        <v>5.1682494961783574</v>
      </c>
      <c r="N77" s="30">
        <f t="shared" si="17"/>
        <v>0.93188037855782913</v>
      </c>
      <c r="P77" s="508">
        <f t="shared" si="13"/>
        <v>9.8543762847499998</v>
      </c>
      <c r="Q77" s="30">
        <f t="shared" si="16"/>
        <v>139.2650572407488</v>
      </c>
      <c r="R77" s="30" t="str">
        <f>IF(B77&lt;=baseline_aeo_end_year,'Oil demand projection'!K77-Q77,"")</f>
        <v/>
      </c>
    </row>
    <row r="78" spans="1:18" ht="15" customHeight="1">
      <c r="A78" s="16"/>
      <c r="B78" s="23">
        <f t="shared" si="15"/>
        <v>2087</v>
      </c>
      <c r="C78" s="627">
        <f t="shared" si="4"/>
        <v>12.552640663505997</v>
      </c>
      <c r="D78" s="508">
        <f t="shared" si="5"/>
        <v>2.0262949712872524</v>
      </c>
      <c r="E78" s="508">
        <f t="shared" si="6"/>
        <v>0.73150762931318769</v>
      </c>
      <c r="F78" s="508">
        <f t="shared" si="7"/>
        <v>0.68344251026967018</v>
      </c>
      <c r="G78" s="508">
        <f t="shared" si="8"/>
        <v>0.25510574951068105</v>
      </c>
      <c r="H78" s="508">
        <f t="shared" si="9"/>
        <v>1.5313453192471245</v>
      </c>
      <c r="I78" s="508">
        <f t="shared" si="10"/>
        <v>9.9248872774703756</v>
      </c>
      <c r="J78" s="508">
        <f t="shared" si="11"/>
        <v>112.55631601805266</v>
      </c>
      <c r="K78" s="165">
        <v>140.26154013865693</v>
      </c>
      <c r="L78" s="508">
        <f t="shared" si="12"/>
        <v>5.2052298582095968</v>
      </c>
      <c r="N78" s="30">
        <f t="shared" si="17"/>
        <v>0.93854825978035117</v>
      </c>
      <c r="P78" s="508">
        <f t="shared" si="13"/>
        <v>9.9248872774703756</v>
      </c>
      <c r="Q78" s="30">
        <f t="shared" si="16"/>
        <v>140.26154013865693</v>
      </c>
      <c r="R78" s="30" t="str">
        <f>IF(B78&lt;=baseline_aeo_end_year,'Oil demand projection'!K78-Q78,"")</f>
        <v/>
      </c>
    </row>
    <row r="79" spans="1:18" ht="15" customHeight="1">
      <c r="A79" s="16"/>
      <c r="B79" s="23">
        <f t="shared" si="15"/>
        <v>2088</v>
      </c>
      <c r="C79" s="627">
        <f t="shared" si="4"/>
        <v>12.642458540241197</v>
      </c>
      <c r="D79" s="508">
        <f t="shared" si="5"/>
        <v>2.0407937143676111</v>
      </c>
      <c r="E79" s="508">
        <f t="shared" si="6"/>
        <v>0.73674178392987533</v>
      </c>
      <c r="F79" s="508">
        <f t="shared" si="7"/>
        <v>0.68833274466644234</v>
      </c>
      <c r="G79" s="508">
        <f t="shared" si="8"/>
        <v>0.25693110700941085</v>
      </c>
      <c r="H79" s="508">
        <f t="shared" si="9"/>
        <v>1.5423025503836005</v>
      </c>
      <c r="I79" s="508">
        <f t="shared" si="10"/>
        <v>9.9959027973115706</v>
      </c>
      <c r="J79" s="508">
        <f t="shared" si="11"/>
        <v>113.36168993011476</v>
      </c>
      <c r="K79" s="165">
        <v>141.26515316802448</v>
      </c>
      <c r="L79" s="508">
        <f t="shared" si="12"/>
        <v>5.2424748257280465</v>
      </c>
      <c r="N79" s="30">
        <f t="shared" si="17"/>
        <v>0.94526385167585314</v>
      </c>
      <c r="P79" s="508">
        <f t="shared" si="13"/>
        <v>9.9959027973115706</v>
      </c>
      <c r="Q79" s="30">
        <f t="shared" si="16"/>
        <v>141.26515316802448</v>
      </c>
      <c r="R79" s="30" t="str">
        <f>IF(B79&lt;=baseline_aeo_end_year,'Oil demand projection'!K79-Q79,"")</f>
        <v/>
      </c>
    </row>
    <row r="80" spans="1:18" ht="15" customHeight="1">
      <c r="A80" s="16"/>
      <c r="B80" s="23">
        <f t="shared" si="15"/>
        <v>2089</v>
      </c>
      <c r="C80" s="627">
        <f t="shared" si="4"/>
        <v>12.732919090593645</v>
      </c>
      <c r="D80" s="508">
        <f t="shared" si="5"/>
        <v>2.0553962002662112</v>
      </c>
      <c r="E80" s="508">
        <f t="shared" si="6"/>
        <v>0.74201339047932968</v>
      </c>
      <c r="F80" s="508">
        <f t="shared" si="7"/>
        <v>0.69325797014453594</v>
      </c>
      <c r="G80" s="508">
        <f t="shared" si="8"/>
        <v>0.25876952548385196</v>
      </c>
      <c r="H80" s="508">
        <f t="shared" si="9"/>
        <v>1.553338183767218</v>
      </c>
      <c r="I80" s="508">
        <f t="shared" si="10"/>
        <v>10.067426454315164</v>
      </c>
      <c r="J80" s="508">
        <f t="shared" si="11"/>
        <v>114.17282653201229</v>
      </c>
      <c r="K80" s="165">
        <v>142.27594734706224</v>
      </c>
      <c r="L80" s="508">
        <f t="shared" si="12"/>
        <v>5.2799862920646534</v>
      </c>
      <c r="N80" s="30">
        <f t="shared" si="17"/>
        <v>0.95202749562838784</v>
      </c>
      <c r="P80" s="508">
        <f t="shared" si="13"/>
        <v>10.067426454315164</v>
      </c>
      <c r="Q80" s="30">
        <f t="shared" si="16"/>
        <v>142.27594734706224</v>
      </c>
      <c r="R80" s="30" t="str">
        <f>IF(B80&lt;=baseline_aeo_end_year,'Oil demand projection'!K80-Q80,"")</f>
        <v/>
      </c>
    </row>
    <row r="81" spans="1:18" ht="15" customHeight="1">
      <c r="A81" s="16"/>
      <c r="B81" s="23">
        <f t="shared" si="15"/>
        <v>2090</v>
      </c>
      <c r="C81" s="627">
        <f t="shared" si="4"/>
        <v>12.824026913084184</v>
      </c>
      <c r="D81" s="508">
        <f t="shared" si="5"/>
        <v>2.0701031712937676</v>
      </c>
      <c r="E81" s="508">
        <f t="shared" si="6"/>
        <v>0.74732271694126684</v>
      </c>
      <c r="F81" s="508">
        <f t="shared" si="7"/>
        <v>0.6982184370755431</v>
      </c>
      <c r="G81" s="508">
        <f t="shared" si="8"/>
        <v>0.26062109838916953</v>
      </c>
      <c r="H81" s="508">
        <f t="shared" si="9"/>
        <v>1.5644527803893695</v>
      </c>
      <c r="I81" s="508">
        <f t="shared" si="10"/>
        <v>10.139461884353661</v>
      </c>
      <c r="J81" s="508">
        <f t="shared" si="11"/>
        <v>114.98976705750468</v>
      </c>
      <c r="K81" s="165">
        <v>143.29397405903165</v>
      </c>
      <c r="L81" s="508">
        <f t="shared" si="12"/>
        <v>5.3177661640977112</v>
      </c>
      <c r="N81" s="30">
        <f t="shared" si="17"/>
        <v>0.95883953546471257</v>
      </c>
      <c r="P81" s="508">
        <f t="shared" si="13"/>
        <v>10.139461884353661</v>
      </c>
      <c r="Q81" s="30">
        <f t="shared" si="16"/>
        <v>143.29397405903165</v>
      </c>
      <c r="R81" s="30" t="str">
        <f>IF(B81&lt;=baseline_aeo_end_year,'Oil demand projection'!K81-Q81,"")</f>
        <v/>
      </c>
    </row>
    <row r="82" spans="1:18" ht="15" customHeight="1">
      <c r="A82" s="16"/>
      <c r="B82" s="23">
        <f t="shared" si="15"/>
        <v>2091</v>
      </c>
      <c r="C82" s="627">
        <f t="shared" si="4"/>
        <v>12.915786639137442</v>
      </c>
      <c r="D82" s="508">
        <f t="shared" si="5"/>
        <v>2.0849153750724487</v>
      </c>
      <c r="E82" s="508">
        <f t="shared" si="6"/>
        <v>0.7526700332128774</v>
      </c>
      <c r="F82" s="508">
        <f t="shared" si="7"/>
        <v>0.70321439762253923</v>
      </c>
      <c r="G82" s="508">
        <f t="shared" si="8"/>
        <v>0.2624859198492282</v>
      </c>
      <c r="H82" s="508">
        <f t="shared" si="9"/>
        <v>1.575646905255508</v>
      </c>
      <c r="I82" s="508">
        <f t="shared" si="10"/>
        <v>10.212012749315312</v>
      </c>
      <c r="J82" s="508">
        <f t="shared" si="11"/>
        <v>115.81255303539116</v>
      </c>
      <c r="K82" s="165">
        <v>144.31928505485652</v>
      </c>
      <c r="L82" s="508">
        <f t="shared" si="12"/>
        <v>5.3558163623497927</v>
      </c>
      <c r="N82" s="30">
        <f t="shared" si="17"/>
        <v>0.96570031747176743</v>
      </c>
      <c r="P82" s="508">
        <f t="shared" si="13"/>
        <v>10.212012749315312</v>
      </c>
      <c r="Q82" s="30">
        <f t="shared" si="16"/>
        <v>144.31928505485652</v>
      </c>
      <c r="R82" s="30" t="str">
        <f>IF(B82&lt;=baseline_aeo_end_year,'Oil demand projection'!K82-Q82,"")</f>
        <v/>
      </c>
    </row>
    <row r="83" spans="1:18" ht="15" customHeight="1">
      <c r="A83" s="16"/>
      <c r="B83" s="23">
        <f t="shared" si="15"/>
        <v>2092</v>
      </c>
      <c r="C83" s="627">
        <f t="shared" si="4"/>
        <v>13.008202933317266</v>
      </c>
      <c r="D83" s="508">
        <f t="shared" si="5"/>
        <v>2.0998335645738821</v>
      </c>
      <c r="E83" s="508">
        <f t="shared" si="6"/>
        <v>0.7580556111225466</v>
      </c>
      <c r="F83" s="508">
        <f t="shared" si="7"/>
        <v>0.70824610575290159</v>
      </c>
      <c r="G83" s="508">
        <f t="shared" si="8"/>
        <v>0.2643640846613769</v>
      </c>
      <c r="H83" s="508">
        <f t="shared" si="9"/>
        <v>1.5869211274138688</v>
      </c>
      <c r="I83" s="508">
        <f t="shared" si="10"/>
        <v>10.285082737290265</v>
      </c>
      <c r="J83" s="508">
        <f t="shared" si="11"/>
        <v>116.64122629162188</v>
      </c>
      <c r="K83" s="165">
        <v>145.351932455754</v>
      </c>
      <c r="L83" s="508">
        <f t="shared" si="12"/>
        <v>5.3941388210853836</v>
      </c>
      <c r="N83" s="30">
        <f t="shared" si="17"/>
        <v>0.97261019041427854</v>
      </c>
      <c r="P83" s="508">
        <f t="shared" si="13"/>
        <v>10.285082737290265</v>
      </c>
      <c r="Q83" s="30">
        <f t="shared" si="16"/>
        <v>145.35193245575397</v>
      </c>
      <c r="R83" s="30" t="str">
        <f>IF(B83&lt;=baseline_aeo_end_year,'Oil demand projection'!K83-Q83,"")</f>
        <v/>
      </c>
    </row>
    <row r="84" spans="1:18" ht="15" customHeight="1">
      <c r="A84" s="16"/>
      <c r="B84" s="24">
        <f t="shared" si="15"/>
        <v>2093</v>
      </c>
      <c r="C84" s="627">
        <f t="shared" si="4"/>
        <v>13.101280493563847</v>
      </c>
      <c r="D84" s="508">
        <f t="shared" si="5"/>
        <v>2.1148584981574312</v>
      </c>
      <c r="E84" s="508">
        <f t="shared" si="6"/>
        <v>0.76347972444367274</v>
      </c>
      <c r="F84" s="508">
        <f t="shared" si="7"/>
        <v>0.71331381725121934</v>
      </c>
      <c r="G84" s="508">
        <f t="shared" si="8"/>
        <v>0.26625568830126772</v>
      </c>
      <c r="H84" s="508">
        <f t="shared" si="9"/>
        <v>1.5982760199843962</v>
      </c>
      <c r="I84" s="508">
        <f t="shared" si="10"/>
        <v>10.358675562758055</v>
      </c>
      <c r="J84" s="508">
        <f t="shared" si="11"/>
        <v>117.47582895142409</v>
      </c>
      <c r="K84" s="436">
        <v>146.39196875588399</v>
      </c>
      <c r="L84" s="508">
        <f t="shared" si="12"/>
        <v>5.4327354884092047</v>
      </c>
      <c r="N84" s="30">
        <f t="shared" si="17"/>
        <v>0.97956950555248712</v>
      </c>
      <c r="P84" s="508">
        <f t="shared" si="13"/>
        <v>10.358675562758055</v>
      </c>
      <c r="Q84" s="30">
        <f t="shared" si="16"/>
        <v>146.39196875588399</v>
      </c>
      <c r="R84" s="30" t="str">
        <f>IF(B84&lt;=baseline_aeo_end_year,'Oil demand projection'!K84-Q84,"")</f>
        <v/>
      </c>
    </row>
    <row r="85" spans="1:18" ht="15" customHeight="1">
      <c r="A85" s="16"/>
      <c r="B85" s="194" t="s">
        <v>292</v>
      </c>
      <c r="C85" s="643" t="s">
        <v>316</v>
      </c>
      <c r="D85" s="643" t="s">
        <v>316</v>
      </c>
      <c r="E85" s="589" t="s">
        <v>316</v>
      </c>
      <c r="F85" s="589" t="s">
        <v>316</v>
      </c>
      <c r="G85" s="589" t="s">
        <v>316</v>
      </c>
      <c r="H85" s="589" t="s">
        <v>316</v>
      </c>
      <c r="I85" s="107"/>
      <c r="J85" s="589" t="s">
        <v>316</v>
      </c>
      <c r="K85" s="497" t="s">
        <v>317</v>
      </c>
      <c r="L85" s="107" t="s">
        <v>318</v>
      </c>
      <c r="N85" s="589" t="s">
        <v>316</v>
      </c>
      <c r="P85" s="589" t="s">
        <v>316</v>
      </c>
    </row>
    <row r="86" spans="1:18" ht="15" customHeight="1">
      <c r="A86" s="16"/>
      <c r="B86" s="194" t="s">
        <v>294</v>
      </c>
      <c r="C86" s="629" t="s">
        <v>319</v>
      </c>
      <c r="D86" s="629" t="s">
        <v>319</v>
      </c>
      <c r="E86" s="107" t="s">
        <v>319</v>
      </c>
      <c r="F86" s="107" t="s">
        <v>319</v>
      </c>
      <c r="G86" s="107" t="s">
        <v>319</v>
      </c>
      <c r="H86" s="107" t="s">
        <v>319</v>
      </c>
      <c r="I86" s="107"/>
      <c r="J86" s="107" t="s">
        <v>319</v>
      </c>
      <c r="K86" s="81"/>
      <c r="L86" s="107" t="s">
        <v>320</v>
      </c>
      <c r="N86" s="107" t="s">
        <v>319</v>
      </c>
      <c r="P86" s="107" t="s">
        <v>319</v>
      </c>
    </row>
    <row r="87" spans="1:18" ht="15" customHeight="1">
      <c r="B87" s="194" t="s">
        <v>296</v>
      </c>
      <c r="C87" s="642" t="s">
        <v>321</v>
      </c>
      <c r="D87" s="642" t="s">
        <v>321</v>
      </c>
      <c r="E87" s="590" t="s">
        <v>321</v>
      </c>
      <c r="F87" s="590" t="s">
        <v>321</v>
      </c>
      <c r="G87" s="590" t="s">
        <v>321</v>
      </c>
      <c r="H87" s="590" t="s">
        <v>321</v>
      </c>
      <c r="I87" s="590" t="s">
        <v>321</v>
      </c>
      <c r="J87" s="590" t="s">
        <v>321</v>
      </c>
      <c r="K87" s="108"/>
      <c r="L87" s="590" t="s">
        <v>322</v>
      </c>
      <c r="N87" s="590" t="s">
        <v>321</v>
      </c>
      <c r="P87" s="590" t="s">
        <v>321</v>
      </c>
    </row>
    <row r="88" spans="1:18" ht="15" customHeight="1">
      <c r="B88" s="194" t="s">
        <v>298</v>
      </c>
      <c r="C88" s="643" t="s">
        <v>323</v>
      </c>
      <c r="D88" s="643" t="s">
        <v>323</v>
      </c>
      <c r="E88" s="598" t="s">
        <v>323</v>
      </c>
      <c r="F88" s="598" t="s">
        <v>323</v>
      </c>
      <c r="G88" s="598" t="s">
        <v>323</v>
      </c>
      <c r="H88" s="598" t="s">
        <v>324</v>
      </c>
      <c r="I88" s="598" t="s">
        <v>325</v>
      </c>
      <c r="J88" s="593" t="s">
        <v>326</v>
      </c>
      <c r="K88" s="81"/>
      <c r="L88" s="194" t="s">
        <v>327</v>
      </c>
      <c r="N88" s="598" t="s">
        <v>328</v>
      </c>
      <c r="P88" s="598" t="s">
        <v>324</v>
      </c>
    </row>
    <row r="89" spans="1:18" ht="15" customHeight="1">
      <c r="B89" s="194" t="s">
        <v>300</v>
      </c>
      <c r="C89" s="643">
        <v>2113</v>
      </c>
      <c r="D89" s="644" t="s">
        <v>329</v>
      </c>
      <c r="E89" s="598">
        <v>2116</v>
      </c>
      <c r="F89" s="598">
        <v>2120</v>
      </c>
      <c r="G89" s="598" t="s">
        <v>330</v>
      </c>
      <c r="H89" s="598" t="s">
        <v>331</v>
      </c>
      <c r="I89" s="598" t="s">
        <v>332</v>
      </c>
      <c r="J89" s="598" t="s">
        <v>333</v>
      </c>
      <c r="K89" s="194"/>
      <c r="L89" s="598" t="s">
        <v>334</v>
      </c>
      <c r="N89" s="194" t="s">
        <v>335</v>
      </c>
      <c r="P89" s="598" t="s">
        <v>336</v>
      </c>
    </row>
    <row r="90" spans="1:18" ht="15" customHeight="1">
      <c r="B90" s="194" t="s">
        <v>301</v>
      </c>
      <c r="C90" s="628" t="s">
        <v>337</v>
      </c>
      <c r="D90" s="630" t="s">
        <v>338</v>
      </c>
      <c r="E90" s="194" t="s">
        <v>187</v>
      </c>
      <c r="F90" s="194" t="s">
        <v>339</v>
      </c>
      <c r="G90" s="194" t="s">
        <v>340</v>
      </c>
      <c r="H90" s="194" t="s">
        <v>341</v>
      </c>
      <c r="I90" s="194"/>
      <c r="J90" s="81" t="s">
        <v>342</v>
      </c>
      <c r="K90" s="81"/>
      <c r="L90" s="81" t="s">
        <v>343</v>
      </c>
      <c r="M90" s="1" t="s">
        <v>0</v>
      </c>
      <c r="N90" s="194" t="s">
        <v>344</v>
      </c>
      <c r="P90" s="194" t="s">
        <v>345</v>
      </c>
    </row>
    <row r="91" spans="1:18" ht="15" customHeight="1">
      <c r="B91" s="401"/>
      <c r="C91" s="401"/>
      <c r="D91" s="401"/>
      <c r="E91" s="401"/>
      <c r="F91" s="401"/>
      <c r="G91" s="401"/>
      <c r="H91" s="401"/>
      <c r="I91" s="401"/>
      <c r="J91" s="21"/>
      <c r="K91" s="21"/>
      <c r="L91" s="21"/>
    </row>
    <row r="92" spans="1:18" ht="15" customHeight="1">
      <c r="H92" s="21"/>
      <c r="I92" s="21"/>
      <c r="L92" s="531" t="s">
        <v>346</v>
      </c>
    </row>
  </sheetData>
  <mergeCells count="1">
    <mergeCell ref="A1:B1"/>
  </mergeCells>
  <phoneticPr fontId="29" type="noConversion"/>
  <hyperlinks>
    <hyperlink ref="A1" location="'Table of Contents'!A1" tooltip="Click here to return to the Table of Contents tab" display="Return to Table of Contents" xr:uid="{00000000-0004-0000-05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7">
    <tabColor indexed="45"/>
    <pageSetUpPr fitToPage="1"/>
  </sheetPr>
  <dimension ref="A1:M91"/>
  <sheetViews>
    <sheetView topLeftCell="A70" zoomScaleNormal="100" workbookViewId="0">
      <selection activeCell="J85" sqref="J85:J87"/>
    </sheetView>
  </sheetViews>
  <sheetFormatPr defaultColWidth="9.28515625" defaultRowHeight="15" customHeight="1"/>
  <cols>
    <col min="1" max="1" width="15.5703125" style="18" customWidth="1"/>
    <col min="2" max="2" width="10.28515625" style="1" customWidth="1"/>
    <col min="3" max="10" width="17.28515625" style="1" customWidth="1"/>
    <col min="11" max="11" width="17.28515625" style="48" customWidth="1"/>
    <col min="12" max="13" width="17.28515625" style="1" customWidth="1"/>
    <col min="14" max="16384" width="9.28515625" style="1"/>
  </cols>
  <sheetData>
    <row r="1" spans="1:13" ht="15.75" thickBot="1">
      <c r="A1" s="701" t="s">
        <v>27</v>
      </c>
      <c r="B1" s="702"/>
      <c r="D1" s="180"/>
      <c r="E1" s="2"/>
      <c r="F1" s="180"/>
      <c r="G1" s="2"/>
      <c r="K1" s="1"/>
    </row>
    <row r="2" spans="1:13" ht="16.5" customHeight="1">
      <c r="A2" s="1"/>
      <c r="B2" s="2"/>
      <c r="C2" s="2"/>
      <c r="D2" s="2"/>
      <c r="E2" s="2"/>
      <c r="F2" s="2"/>
      <c r="G2" s="2"/>
      <c r="K2" s="1"/>
    </row>
    <row r="3" spans="1:13" ht="16.5" customHeight="1">
      <c r="A3" s="1"/>
      <c r="B3" s="2"/>
      <c r="C3" s="2"/>
      <c r="D3" s="2"/>
      <c r="E3" s="2"/>
      <c r="F3" s="2"/>
      <c r="G3" s="2"/>
      <c r="K3" s="1"/>
    </row>
    <row r="4" spans="1:13" ht="16.5" customHeight="1">
      <c r="A4" s="1"/>
      <c r="B4" s="2"/>
      <c r="C4" s="113"/>
      <c r="D4" s="113"/>
      <c r="E4" s="113"/>
      <c r="F4" s="113"/>
      <c r="G4" s="113"/>
      <c r="H4" s="113"/>
      <c r="I4" s="113"/>
      <c r="J4" s="113"/>
      <c r="K4" s="21"/>
    </row>
    <row r="5" spans="1:13" ht="16.5" customHeight="1">
      <c r="A5" s="1"/>
      <c r="B5" s="2"/>
      <c r="C5" s="2"/>
      <c r="D5" s="2"/>
      <c r="E5" s="2"/>
      <c r="F5" s="2"/>
      <c r="G5" s="2"/>
      <c r="K5" s="1"/>
    </row>
    <row r="6" spans="1:13" ht="19.5" customHeight="1">
      <c r="A6" s="16"/>
      <c r="B6" s="11" t="s">
        <v>347</v>
      </c>
      <c r="C6" s="12"/>
      <c r="D6" s="12"/>
      <c r="E6" s="59"/>
      <c r="F6" s="12"/>
      <c r="G6" s="12"/>
      <c r="H6" s="59"/>
      <c r="I6" s="59"/>
      <c r="J6" s="60"/>
      <c r="K6" s="60"/>
    </row>
    <row r="7" spans="1:13" ht="19.5" customHeight="1">
      <c r="A7" s="16"/>
      <c r="B7" s="14"/>
      <c r="C7" s="58"/>
      <c r="D7" s="58"/>
      <c r="E7" s="10"/>
      <c r="F7" s="58"/>
      <c r="G7" s="58"/>
      <c r="H7" s="10"/>
      <c r="I7" s="10"/>
      <c r="J7" s="10"/>
      <c r="K7" s="63"/>
    </row>
    <row r="8" spans="1:13" ht="29.25" customHeight="1">
      <c r="A8" s="16"/>
      <c r="B8" s="650"/>
      <c r="C8" s="650" t="s">
        <v>348</v>
      </c>
      <c r="D8" s="650" t="s">
        <v>349</v>
      </c>
      <c r="E8" s="650" t="s">
        <v>350</v>
      </c>
      <c r="F8" s="650" t="s">
        <v>351</v>
      </c>
      <c r="G8" s="650" t="s">
        <v>352</v>
      </c>
      <c r="H8" s="650" t="s">
        <v>200</v>
      </c>
      <c r="I8" s="653" t="s">
        <v>353</v>
      </c>
      <c r="J8" s="653" t="s">
        <v>354</v>
      </c>
      <c r="K8" s="650" t="s">
        <v>307</v>
      </c>
      <c r="M8" s="507" t="s">
        <v>313</v>
      </c>
    </row>
    <row r="9" spans="1:13" ht="29.25" customHeight="1" thickBot="1">
      <c r="A9" s="16"/>
      <c r="B9" s="66" t="s">
        <v>268</v>
      </c>
      <c r="C9" s="67" t="s">
        <v>355</v>
      </c>
      <c r="D9" s="67" t="s">
        <v>355</v>
      </c>
      <c r="E9" s="67" t="s">
        <v>355</v>
      </c>
      <c r="F9" s="67" t="s">
        <v>355</v>
      </c>
      <c r="G9" s="67" t="s">
        <v>355</v>
      </c>
      <c r="H9" s="67" t="s">
        <v>355</v>
      </c>
      <c r="I9" s="67" t="s">
        <v>355</v>
      </c>
      <c r="J9" s="67" t="s">
        <v>355</v>
      </c>
      <c r="K9" s="67" t="s">
        <v>355</v>
      </c>
      <c r="M9" s="513" t="s">
        <v>315</v>
      </c>
    </row>
    <row r="10" spans="1:13" ht="15" customHeight="1" thickTop="1">
      <c r="A10" s="16"/>
      <c r="B10" s="22">
        <f>'Oil supply projection'!$B10</f>
        <v>2019</v>
      </c>
      <c r="C10" s="31">
        <v>2.6527799999999999</v>
      </c>
      <c r="D10" s="31">
        <v>29.915885000000003</v>
      </c>
      <c r="E10" s="31">
        <v>1.0198640000000001</v>
      </c>
      <c r="F10" s="31">
        <v>0.30485099999999998</v>
      </c>
      <c r="G10" s="30"/>
      <c r="H10" s="31">
        <v>6.0765E-2</v>
      </c>
      <c r="I10" s="31">
        <v>2.6877789999999999</v>
      </c>
      <c r="J10" s="31">
        <v>5.2678000000000003E-2</v>
      </c>
      <c r="K10" s="165">
        <f t="array" ref="K10:K84">aeo_sup_gas_con+aeo_sup_gas_unc+aeo_sup_gas_ala_on+aeo_sup_gas_ala_off+aeo_sup_gas_off+aeo_sup_gas_oth+aeo_sup_gas_pip+aeo_sup_gas_lng</f>
        <v>36.694602000000003</v>
      </c>
      <c r="M10" s="538">
        <v>2.9695849924333828E-3</v>
      </c>
    </row>
    <row r="11" spans="1:13" ht="15" customHeight="1">
      <c r="A11" s="17"/>
      <c r="B11" s="22">
        <f>'Oil supply projection'!$B11</f>
        <v>2020</v>
      </c>
      <c r="C11" s="31">
        <v>2.5652409999999999</v>
      </c>
      <c r="D11" s="31">
        <v>29.809835000000003</v>
      </c>
      <c r="E11" s="31">
        <v>0.792516</v>
      </c>
      <c r="F11" s="31">
        <v>0.303039</v>
      </c>
      <c r="G11" s="30"/>
      <c r="H11" s="31">
        <v>6.3145000000000007E-2</v>
      </c>
      <c r="I11" s="31">
        <v>2.5018350000000003</v>
      </c>
      <c r="J11" s="31">
        <v>4.9168999999999997E-2</v>
      </c>
      <c r="K11" s="165">
        <v>36.084779999999995</v>
      </c>
      <c r="M11" s="539">
        <f>(INDEX(aeo_sup_gas_tot,MATCH(baseline_aeo_end_year,B10:B84,0),1)/INDEX(aeo_sup_gas_tot,MATCH(baseline_aeo_end_year-10,B10:B84,0),1))^(1/10)-1</f>
        <v>2.9695849924333828E-3</v>
      </c>
    </row>
    <row r="12" spans="1:13" ht="15" customHeight="1">
      <c r="B12" s="22">
        <f>'Oil supply projection'!$B12</f>
        <v>2021</v>
      </c>
      <c r="C12" s="31">
        <v>2.6489910000000001</v>
      </c>
      <c r="D12" s="31">
        <v>30.985999</v>
      </c>
      <c r="E12" s="31">
        <v>0.80931799999999998</v>
      </c>
      <c r="F12" s="31">
        <v>0.30272399999999999</v>
      </c>
      <c r="G12" s="30"/>
      <c r="H12" s="31">
        <v>6.5688999999999997E-2</v>
      </c>
      <c r="I12" s="31">
        <v>2.7656000000000001</v>
      </c>
      <c r="J12" s="31">
        <v>2.1423999999999999E-2</v>
      </c>
      <c r="K12" s="165">
        <v>37.599744999999999</v>
      </c>
    </row>
    <row r="13" spans="1:13" ht="15" customHeight="1">
      <c r="B13" s="22">
        <f>'Oil supply projection'!$B13</f>
        <v>2022</v>
      </c>
      <c r="C13" s="31">
        <v>2.6248200000000002</v>
      </c>
      <c r="D13" s="31">
        <v>32.421447000000001</v>
      </c>
      <c r="E13" s="31">
        <v>1.070654</v>
      </c>
      <c r="F13" s="31">
        <v>0.347862</v>
      </c>
      <c r="G13" s="30"/>
      <c r="H13" s="31">
        <v>6.6782999999999995E-2</v>
      </c>
      <c r="I13" s="31">
        <v>2.8832629999999999</v>
      </c>
      <c r="J13" s="31">
        <v>2.5682E-2</v>
      </c>
      <c r="K13" s="165">
        <v>39.440511000000001</v>
      </c>
    </row>
    <row r="14" spans="1:13" ht="15" customHeight="1">
      <c r="B14" s="22">
        <f>'Oil supply projection'!$B14</f>
        <v>2023</v>
      </c>
      <c r="C14" s="31">
        <v>2.4711029999999998</v>
      </c>
      <c r="D14" s="31">
        <v>32.866078000000002</v>
      </c>
      <c r="E14" s="31">
        <v>0.82395499999999999</v>
      </c>
      <c r="F14" s="31">
        <v>0.32537199999999999</v>
      </c>
      <c r="G14" s="30"/>
      <c r="H14" s="31">
        <v>6.8294999999999995E-2</v>
      </c>
      <c r="I14" s="31">
        <v>2.7183169999999999</v>
      </c>
      <c r="J14" s="31">
        <v>2.1319999999999999E-2</v>
      </c>
      <c r="K14" s="165">
        <v>39.294440000000002</v>
      </c>
    </row>
    <row r="15" spans="1:13" ht="15" customHeight="1">
      <c r="B15" s="22">
        <f>'Oil supply projection'!$B15</f>
        <v>2024</v>
      </c>
      <c r="C15" s="31">
        <v>2.1944720000000002</v>
      </c>
      <c r="D15" s="31">
        <v>32.244557</v>
      </c>
      <c r="E15" s="31">
        <v>0.79542500000000005</v>
      </c>
      <c r="F15" s="31">
        <v>0.33059100000000002</v>
      </c>
      <c r="G15" s="30"/>
      <c r="H15" s="31">
        <v>6.7214999999999997E-2</v>
      </c>
      <c r="I15" s="31">
        <v>2.3739889999999999</v>
      </c>
      <c r="J15" s="31">
        <v>2.8101000000000001E-2</v>
      </c>
      <c r="K15" s="165">
        <v>38.034349999999996</v>
      </c>
    </row>
    <row r="16" spans="1:13" ht="15" customHeight="1">
      <c r="B16" s="22">
        <f>'Oil supply projection'!$B16</f>
        <v>2025</v>
      </c>
      <c r="C16" s="31">
        <v>2.1447799999999999</v>
      </c>
      <c r="D16" s="31">
        <v>32.359822000000001</v>
      </c>
      <c r="E16" s="31">
        <v>0.846275</v>
      </c>
      <c r="F16" s="31">
        <v>0.34037299999999998</v>
      </c>
      <c r="G16" s="30"/>
      <c r="H16" s="31">
        <v>6.6133999999999998E-2</v>
      </c>
      <c r="I16" s="31">
        <v>2.2615259999999999</v>
      </c>
      <c r="J16" s="31">
        <v>3.4882999999999997E-2</v>
      </c>
      <c r="K16" s="165">
        <v>38.053792999999992</v>
      </c>
    </row>
    <row r="17" spans="2:11" ht="15" customHeight="1">
      <c r="B17" s="22">
        <f>'Oil supply projection'!$B17</f>
        <v>2026</v>
      </c>
      <c r="C17" s="31">
        <v>2.071491</v>
      </c>
      <c r="D17" s="31">
        <v>32.832016000000003</v>
      </c>
      <c r="E17" s="31">
        <v>0.86876699999999996</v>
      </c>
      <c r="F17" s="31">
        <v>0.34107100000000001</v>
      </c>
      <c r="G17" s="30"/>
      <c r="H17" s="31">
        <v>6.5053E-2</v>
      </c>
      <c r="I17" s="31">
        <v>2.1608420000000002</v>
      </c>
      <c r="J17" s="31">
        <v>4.1664E-2</v>
      </c>
      <c r="K17" s="165">
        <v>38.380904000000001</v>
      </c>
    </row>
    <row r="18" spans="2:11" ht="15" customHeight="1">
      <c r="B18" s="22">
        <f>'Oil supply projection'!$B18</f>
        <v>2027</v>
      </c>
      <c r="C18" s="31">
        <v>1.928922</v>
      </c>
      <c r="D18" s="31">
        <v>32.875060000000005</v>
      </c>
      <c r="E18" s="31">
        <v>0.86991200000000002</v>
      </c>
      <c r="F18" s="31">
        <v>0.34650999999999998</v>
      </c>
      <c r="G18" s="30"/>
      <c r="H18" s="31">
        <v>6.3973000000000002E-2</v>
      </c>
      <c r="I18" s="31">
        <v>2.095736</v>
      </c>
      <c r="J18" s="31">
        <v>4.8446000000000003E-2</v>
      </c>
      <c r="K18" s="165">
        <v>38.228559000000004</v>
      </c>
    </row>
    <row r="19" spans="2:11" ht="15" customHeight="1">
      <c r="B19" s="22">
        <f>'Oil supply projection'!$B19</f>
        <v>2028</v>
      </c>
      <c r="C19" s="31">
        <v>1.8307359999999999</v>
      </c>
      <c r="D19" s="31">
        <v>33.135716999999993</v>
      </c>
      <c r="E19" s="31">
        <v>0.86071600000000004</v>
      </c>
      <c r="F19" s="31">
        <v>0.35272599999999998</v>
      </c>
      <c r="G19" s="30"/>
      <c r="H19" s="31">
        <v>6.2892000000000003E-2</v>
      </c>
      <c r="I19" s="31">
        <v>1.992164</v>
      </c>
      <c r="J19" s="31">
        <v>5.5226999999999998E-2</v>
      </c>
      <c r="K19" s="165">
        <v>38.29017799999999</v>
      </c>
    </row>
    <row r="20" spans="2:11" ht="15" customHeight="1">
      <c r="B20" s="22">
        <f>'Oil supply projection'!$B20</f>
        <v>2029</v>
      </c>
      <c r="C20" s="31">
        <v>1.744173</v>
      </c>
      <c r="D20" s="31">
        <v>33.248218000000001</v>
      </c>
      <c r="E20" s="31">
        <v>0.86690800000000001</v>
      </c>
      <c r="F20" s="31">
        <v>0.35295500000000002</v>
      </c>
      <c r="G20" s="30"/>
      <c r="H20" s="31">
        <v>6.2892000000000003E-2</v>
      </c>
      <c r="I20" s="31">
        <v>1.9362760000000001</v>
      </c>
      <c r="J20" s="31">
        <v>5.5226999999999998E-2</v>
      </c>
      <c r="K20" s="165">
        <v>38.266649000000001</v>
      </c>
    </row>
    <row r="21" spans="2:11" ht="15" customHeight="1">
      <c r="B21" s="22">
        <f>'Oil supply projection'!$B21</f>
        <v>2030</v>
      </c>
      <c r="C21" s="31">
        <v>1.6940789999999999</v>
      </c>
      <c r="D21" s="31">
        <v>33.634055999999994</v>
      </c>
      <c r="E21" s="31">
        <v>0.84834799999999999</v>
      </c>
      <c r="F21" s="31">
        <v>0.35975000000000001</v>
      </c>
      <c r="G21" s="30"/>
      <c r="H21" s="31">
        <v>6.2892000000000003E-2</v>
      </c>
      <c r="I21" s="31">
        <v>1.97868</v>
      </c>
      <c r="J21" s="31">
        <v>5.5226999999999998E-2</v>
      </c>
      <c r="K21" s="165">
        <v>38.633031999999993</v>
      </c>
    </row>
    <row r="22" spans="2:11" ht="15" customHeight="1">
      <c r="B22" s="22">
        <f>'Oil supply projection'!$B22</f>
        <v>2031</v>
      </c>
      <c r="C22" s="31">
        <v>1.6418550000000001</v>
      </c>
      <c r="D22" s="31">
        <v>34.215995999999997</v>
      </c>
      <c r="E22" s="31">
        <v>0.83726999999999996</v>
      </c>
      <c r="F22" s="31">
        <v>0.35787200000000002</v>
      </c>
      <c r="G22" s="30"/>
      <c r="H22" s="31">
        <v>6.2892000000000003E-2</v>
      </c>
      <c r="I22" s="31">
        <v>1.980683</v>
      </c>
      <c r="J22" s="31">
        <v>5.5226999999999998E-2</v>
      </c>
      <c r="K22" s="165">
        <v>39.151794999999993</v>
      </c>
    </row>
    <row r="23" spans="2:11" ht="15" customHeight="1">
      <c r="B23" s="22">
        <f>'Oil supply projection'!$B23</f>
        <v>2032</v>
      </c>
      <c r="C23" s="31">
        <v>1.600781</v>
      </c>
      <c r="D23" s="31">
        <v>34.936124999999997</v>
      </c>
      <c r="E23" s="31">
        <v>0.81332099999999996</v>
      </c>
      <c r="F23" s="31">
        <v>0.36433399999999999</v>
      </c>
      <c r="G23" s="30"/>
      <c r="H23" s="31">
        <v>6.2892000000000003E-2</v>
      </c>
      <c r="I23" s="31">
        <v>2.040562</v>
      </c>
      <c r="J23" s="31">
        <v>5.5226999999999998E-2</v>
      </c>
      <c r="K23" s="165">
        <v>39.873241999999998</v>
      </c>
    </row>
    <row r="24" spans="2:11" ht="15" customHeight="1">
      <c r="B24" s="22">
        <f>'Oil supply projection'!$B24</f>
        <v>2033</v>
      </c>
      <c r="C24" s="31">
        <v>1.5672820000000001</v>
      </c>
      <c r="D24" s="31">
        <v>35.508389000000001</v>
      </c>
      <c r="E24" s="31">
        <v>0.80279599999999995</v>
      </c>
      <c r="F24" s="31">
        <v>0.366593</v>
      </c>
      <c r="G24" s="30"/>
      <c r="H24" s="31">
        <v>6.2892000000000003E-2</v>
      </c>
      <c r="I24" s="31">
        <v>2.0385659999999999</v>
      </c>
      <c r="J24" s="31">
        <v>5.5226999999999998E-2</v>
      </c>
      <c r="K24" s="165">
        <v>40.401745000000005</v>
      </c>
    </row>
    <row r="25" spans="2:11" ht="15" customHeight="1">
      <c r="B25" s="22">
        <f>'Oil supply projection'!$B25</f>
        <v>2034</v>
      </c>
      <c r="C25" s="31">
        <v>1.5059039999999999</v>
      </c>
      <c r="D25" s="31">
        <v>36.053310999999994</v>
      </c>
      <c r="E25" s="31">
        <v>0.78898199999999996</v>
      </c>
      <c r="F25" s="31">
        <v>0.35971399999999998</v>
      </c>
      <c r="G25" s="30"/>
      <c r="H25" s="31">
        <v>6.2892000000000003E-2</v>
      </c>
      <c r="I25" s="31">
        <v>2.0490560000000002</v>
      </c>
      <c r="J25" s="31">
        <v>5.5226999999999998E-2</v>
      </c>
      <c r="K25" s="165">
        <v>40.875085999999989</v>
      </c>
    </row>
    <row r="26" spans="2:11" ht="15" customHeight="1">
      <c r="B26" s="22">
        <f>'Oil supply projection'!$B26</f>
        <v>2035</v>
      </c>
      <c r="C26" s="31">
        <v>1.466658</v>
      </c>
      <c r="D26" s="31">
        <v>36.584351999999996</v>
      </c>
      <c r="E26" s="31">
        <v>0.78569699999999998</v>
      </c>
      <c r="F26" s="31">
        <v>0.356348</v>
      </c>
      <c r="G26" s="30"/>
      <c r="H26" s="31">
        <v>6.2892000000000003E-2</v>
      </c>
      <c r="I26" s="31">
        <v>2.0267379999999999</v>
      </c>
      <c r="J26" s="31">
        <v>5.5226999999999998E-2</v>
      </c>
      <c r="K26" s="165">
        <v>41.337911999999996</v>
      </c>
    </row>
    <row r="27" spans="2:11" ht="15" customHeight="1">
      <c r="B27" s="22">
        <f>'Oil supply projection'!$B27</f>
        <v>2036</v>
      </c>
      <c r="C27" s="31">
        <v>1.4130210000000001</v>
      </c>
      <c r="D27" s="31">
        <v>37.021601999999994</v>
      </c>
      <c r="E27" s="31">
        <v>0.74231899999999995</v>
      </c>
      <c r="F27" s="31">
        <v>0.35858099999999998</v>
      </c>
      <c r="G27" s="30"/>
      <c r="H27" s="31">
        <v>6.2892000000000003E-2</v>
      </c>
      <c r="I27" s="31">
        <v>1.9794799999999999</v>
      </c>
      <c r="J27" s="31">
        <v>5.5226999999999998E-2</v>
      </c>
      <c r="K27" s="165">
        <v>41.633122</v>
      </c>
    </row>
    <row r="28" spans="2:11" ht="15" customHeight="1">
      <c r="B28" s="22">
        <f>'Oil supply projection'!$B28</f>
        <v>2037</v>
      </c>
      <c r="C28" s="31">
        <v>1.386787</v>
      </c>
      <c r="D28" s="31">
        <v>37.453499000000001</v>
      </c>
      <c r="E28" s="31">
        <v>0.68682600000000005</v>
      </c>
      <c r="F28" s="31">
        <v>0.36521700000000001</v>
      </c>
      <c r="G28" s="30"/>
      <c r="H28" s="31">
        <v>6.2892000000000003E-2</v>
      </c>
      <c r="I28" s="31">
        <v>1.994615</v>
      </c>
      <c r="J28" s="31">
        <v>5.5226999999999998E-2</v>
      </c>
      <c r="K28" s="165">
        <v>42.005063000000007</v>
      </c>
    </row>
    <row r="29" spans="2:11" ht="15" customHeight="1">
      <c r="B29" s="22">
        <f>'Oil supply projection'!$B29</f>
        <v>2038</v>
      </c>
      <c r="C29" s="31">
        <v>1.365869</v>
      </c>
      <c r="D29" s="31">
        <v>37.750726999999998</v>
      </c>
      <c r="E29" s="31">
        <v>0.62727100000000002</v>
      </c>
      <c r="F29" s="31">
        <v>0.37056</v>
      </c>
      <c r="G29" s="30"/>
      <c r="H29" s="31">
        <v>6.2892000000000003E-2</v>
      </c>
      <c r="I29" s="31">
        <v>2.0503749999999998</v>
      </c>
      <c r="J29" s="31">
        <v>5.5226999999999998E-2</v>
      </c>
      <c r="K29" s="165">
        <v>42.282921000000002</v>
      </c>
    </row>
    <row r="30" spans="2:11" ht="15" customHeight="1">
      <c r="B30" s="22">
        <f>'Oil supply projection'!$B30</f>
        <v>2039</v>
      </c>
      <c r="C30" s="31">
        <v>1.3414520000000001</v>
      </c>
      <c r="D30" s="31">
        <v>38.012912999999998</v>
      </c>
      <c r="E30" s="31">
        <v>0.56023800000000001</v>
      </c>
      <c r="F30" s="31">
        <v>0.37458200000000003</v>
      </c>
      <c r="G30" s="30"/>
      <c r="H30" s="31">
        <v>6.2892000000000003E-2</v>
      </c>
      <c r="I30" s="31">
        <v>2.009906</v>
      </c>
      <c r="J30" s="31">
        <v>5.5226999999999998E-2</v>
      </c>
      <c r="K30" s="165">
        <v>42.41720999999999</v>
      </c>
    </row>
    <row r="31" spans="2:11" ht="15" customHeight="1">
      <c r="B31" s="22">
        <f>'Oil supply projection'!$B31</f>
        <v>2040</v>
      </c>
      <c r="C31" s="31">
        <v>1.345154</v>
      </c>
      <c r="D31" s="31">
        <v>38.107723999999997</v>
      </c>
      <c r="E31" s="31">
        <v>0.53752599999999995</v>
      </c>
      <c r="F31" s="31">
        <v>0.36972100000000002</v>
      </c>
      <c r="G31" s="30"/>
      <c r="H31" s="31">
        <v>6.2892000000000003E-2</v>
      </c>
      <c r="I31" s="31">
        <v>2.131634</v>
      </c>
      <c r="J31" s="31">
        <v>5.5226999999999998E-2</v>
      </c>
      <c r="K31" s="165">
        <v>42.609877999999995</v>
      </c>
    </row>
    <row r="32" spans="2:11" ht="15" customHeight="1">
      <c r="B32" s="22">
        <f>'Oil supply projection'!$B32</f>
        <v>2041</v>
      </c>
      <c r="C32" s="31">
        <v>1.3427469999999999</v>
      </c>
      <c r="D32" s="31">
        <v>38.251835</v>
      </c>
      <c r="E32" s="31">
        <v>0.469304</v>
      </c>
      <c r="F32" s="31">
        <v>0.37175000000000002</v>
      </c>
      <c r="G32" s="30"/>
      <c r="H32" s="31">
        <v>6.2892000000000003E-2</v>
      </c>
      <c r="I32" s="31">
        <v>2.1596739999999999</v>
      </c>
      <c r="J32" s="31">
        <v>5.5226999999999998E-2</v>
      </c>
      <c r="K32" s="165">
        <v>42.713429000000005</v>
      </c>
    </row>
    <row r="33" spans="1:13" ht="15" customHeight="1">
      <c r="B33" s="22">
        <f>'Oil supply projection'!$B33</f>
        <v>2042</v>
      </c>
      <c r="C33" s="31">
        <v>1.3301719999999999</v>
      </c>
      <c r="D33" s="31">
        <v>38.389817999999998</v>
      </c>
      <c r="E33" s="31">
        <v>0.43257800000000002</v>
      </c>
      <c r="F33" s="31">
        <v>0.37150699999999998</v>
      </c>
      <c r="G33" s="30"/>
      <c r="H33" s="31">
        <v>6.2892000000000003E-2</v>
      </c>
      <c r="I33" s="31">
        <v>2.1832220000000002</v>
      </c>
      <c r="J33" s="31">
        <v>5.5226999999999998E-2</v>
      </c>
      <c r="K33" s="165">
        <v>42.825415999999997</v>
      </c>
    </row>
    <row r="34" spans="1:13" ht="15" customHeight="1">
      <c r="B34" s="22">
        <f>'Oil supply projection'!$B34</f>
        <v>2043</v>
      </c>
      <c r="C34" s="31">
        <v>1.3055870000000001</v>
      </c>
      <c r="D34" s="31">
        <v>38.528727000000003</v>
      </c>
      <c r="E34" s="31">
        <v>0.44380900000000001</v>
      </c>
      <c r="F34" s="31">
        <v>0.38136700000000001</v>
      </c>
      <c r="G34" s="30"/>
      <c r="H34" s="31">
        <v>6.2892000000000003E-2</v>
      </c>
      <c r="I34" s="31">
        <v>2.2357089999999999</v>
      </c>
      <c r="J34" s="31">
        <v>5.5226999999999998E-2</v>
      </c>
      <c r="K34" s="165">
        <v>43.013318000000005</v>
      </c>
    </row>
    <row r="35" spans="1:13" ht="15" customHeight="1">
      <c r="B35" s="22">
        <f>'Oil supply projection'!$B35</f>
        <v>2044</v>
      </c>
      <c r="C35" s="31">
        <v>1.2876989999999999</v>
      </c>
      <c r="D35" s="31">
        <v>38.607630999999998</v>
      </c>
      <c r="E35" s="31">
        <v>0.42263000000000001</v>
      </c>
      <c r="F35" s="31">
        <v>0.38263799999999998</v>
      </c>
      <c r="G35" s="30"/>
      <c r="H35" s="31">
        <v>6.2892000000000003E-2</v>
      </c>
      <c r="I35" s="31">
        <v>2.3202729999999998</v>
      </c>
      <c r="J35" s="31">
        <v>5.5226999999999998E-2</v>
      </c>
      <c r="K35" s="165">
        <v>43.13899</v>
      </c>
    </row>
    <row r="36" spans="1:13" ht="15" customHeight="1">
      <c r="B36" s="22">
        <f>'Oil supply projection'!$B36</f>
        <v>2045</v>
      </c>
      <c r="C36" s="31">
        <v>1.2644150000000001</v>
      </c>
      <c r="D36" s="31">
        <v>38.667001999999997</v>
      </c>
      <c r="E36" s="31">
        <v>0.43621199999999999</v>
      </c>
      <c r="F36" s="31">
        <v>0.39222299999999999</v>
      </c>
      <c r="G36" s="30"/>
      <c r="H36" s="31">
        <v>6.2892000000000003E-2</v>
      </c>
      <c r="I36" s="31">
        <v>2.377046</v>
      </c>
      <c r="J36" s="31">
        <v>5.5226999999999998E-2</v>
      </c>
      <c r="K36" s="165">
        <v>43.255016999999995</v>
      </c>
    </row>
    <row r="37" spans="1:13" ht="15" customHeight="1">
      <c r="B37" s="22">
        <f>'Oil supply projection'!$B37</f>
        <v>2046</v>
      </c>
      <c r="C37" s="484">
        <v>1.242848</v>
      </c>
      <c r="D37" s="484">
        <v>38.634566999999997</v>
      </c>
      <c r="E37" s="484">
        <v>0.44638800000000001</v>
      </c>
      <c r="F37" s="484">
        <v>0.39147700000000002</v>
      </c>
      <c r="G37" s="484"/>
      <c r="H37" s="484">
        <v>6.2892000000000003E-2</v>
      </c>
      <c r="I37" s="484">
        <v>2.4384239999999999</v>
      </c>
      <c r="J37" s="484">
        <v>5.5226999999999998E-2</v>
      </c>
      <c r="K37" s="165">
        <v>43.271822999999998</v>
      </c>
    </row>
    <row r="38" spans="1:13" ht="15" customHeight="1">
      <c r="B38" s="22">
        <f>'Oil supply projection'!$B38</f>
        <v>2047</v>
      </c>
      <c r="C38" s="484">
        <v>1.2147019999999999</v>
      </c>
      <c r="D38" s="484">
        <v>38.800922999999997</v>
      </c>
      <c r="E38" s="484">
        <v>0.41516199999999998</v>
      </c>
      <c r="F38" s="484">
        <v>0.39526800000000001</v>
      </c>
      <c r="G38" s="484"/>
      <c r="H38" s="484">
        <v>6.2892000000000003E-2</v>
      </c>
      <c r="I38" s="484">
        <v>2.4440759999999999</v>
      </c>
      <c r="J38" s="484">
        <v>5.5226999999999998E-2</v>
      </c>
      <c r="K38" s="165">
        <v>43.388250000000006</v>
      </c>
    </row>
    <row r="39" spans="1:13" ht="15" customHeight="1">
      <c r="B39" s="22">
        <f>'Oil supply projection'!$B39</f>
        <v>2048</v>
      </c>
      <c r="C39" s="484">
        <v>1.199813</v>
      </c>
      <c r="D39" s="484">
        <v>38.870442000000004</v>
      </c>
      <c r="E39" s="484">
        <v>0.41677199999999998</v>
      </c>
      <c r="F39" s="484">
        <v>0.39365299999999998</v>
      </c>
      <c r="G39" s="484"/>
      <c r="H39" s="484">
        <v>6.2892000000000003E-2</v>
      </c>
      <c r="I39" s="484">
        <v>2.4959159999999998</v>
      </c>
      <c r="J39" s="484">
        <v>5.5226999999999998E-2</v>
      </c>
      <c r="K39" s="165">
        <v>43.494715000000006</v>
      </c>
    </row>
    <row r="40" spans="1:13" ht="15" customHeight="1">
      <c r="B40" s="22">
        <f>'Oil supply projection'!$B40</f>
        <v>2049</v>
      </c>
      <c r="C40" s="484">
        <v>1.1800679999999999</v>
      </c>
      <c r="D40" s="484">
        <v>38.891840999999999</v>
      </c>
      <c r="E40" s="484">
        <v>0.41614699999999999</v>
      </c>
      <c r="F40" s="484">
        <v>0.39010099999999998</v>
      </c>
      <c r="G40" s="484"/>
      <c r="H40" s="484">
        <v>6.2892000000000003E-2</v>
      </c>
      <c r="I40" s="484">
        <v>2.514815</v>
      </c>
      <c r="J40" s="484">
        <v>5.5226999999999998E-2</v>
      </c>
      <c r="K40" s="165">
        <v>43.511091</v>
      </c>
      <c r="M40" s="509"/>
    </row>
    <row r="41" spans="1:13" ht="15" customHeight="1">
      <c r="A41" s="17"/>
      <c r="B41" s="22">
        <f>'Oil supply projection'!$B41</f>
        <v>2050</v>
      </c>
      <c r="C41" s="484">
        <v>1.1736740000000001</v>
      </c>
      <c r="D41" s="484">
        <v>39.297328999999998</v>
      </c>
      <c r="E41" s="484">
        <v>0.37913000000000002</v>
      </c>
      <c r="F41" s="484">
        <v>0.38671899999999998</v>
      </c>
      <c r="G41" s="484"/>
      <c r="H41" s="484">
        <v>6.2892000000000003E-2</v>
      </c>
      <c r="I41" s="484">
        <v>2.5372870000000001</v>
      </c>
      <c r="J41" s="484">
        <v>5.5226999999999998E-2</v>
      </c>
      <c r="K41" s="165">
        <v>43.892257999999998</v>
      </c>
      <c r="M41" s="509"/>
    </row>
    <row r="42" spans="1:13" ht="15" customHeight="1">
      <c r="A42" s="17"/>
      <c r="B42" s="22">
        <f>'Oil supply projection'!$B42</f>
        <v>2051</v>
      </c>
      <c r="C42" s="484">
        <f t="shared" ref="C42:C84" si="0">C41*(1+gas_forecast)</f>
        <v>1.1771593246964094</v>
      </c>
      <c r="D42" s="484">
        <f t="shared" ref="D42:D84" si="1">D41*(1+gas_forecast)</f>
        <v>39.414025758441113</v>
      </c>
      <c r="E42" s="484">
        <f t="shared" ref="E42:E84" si="2">E41*(1+gas_forecast)</f>
        <v>0.3802558587581813</v>
      </c>
      <c r="F42" s="484">
        <f t="shared" ref="F42:F84" si="3">F41*(1+gas_forecast)</f>
        <v>0.38786739493868883</v>
      </c>
      <c r="G42" s="484">
        <f t="shared" ref="G42:G84" si="4">G41*(1+gas_forecast)</f>
        <v>0</v>
      </c>
      <c r="H42" s="484">
        <f t="shared" ref="H42:H84" si="5">H41*(1+gas_forecast)</f>
        <v>6.3078763139344129E-2</v>
      </c>
      <c r="I42" s="484">
        <f t="shared" ref="I42:I84" si="6">I41*(1+gas_forecast)</f>
        <v>2.5448216893966964</v>
      </c>
      <c r="J42" s="484">
        <f t="shared" ref="J42:J84" si="7">J41*(1+gas_forecast)</f>
        <v>5.5391001270377119E-2</v>
      </c>
      <c r="K42" s="165">
        <v>44.022599790640818</v>
      </c>
    </row>
    <row r="43" spans="1:13" ht="15" customHeight="1">
      <c r="A43" s="17"/>
      <c r="B43" s="22">
        <f>'Oil supply projection'!$B43</f>
        <v>2052</v>
      </c>
      <c r="C43" s="484">
        <f t="shared" si="0"/>
        <v>1.1806549993607309</v>
      </c>
      <c r="D43" s="484">
        <f t="shared" si="1"/>
        <v>39.531069057824766</v>
      </c>
      <c r="E43" s="484">
        <f t="shared" si="2"/>
        <v>0.38138506084963447</v>
      </c>
      <c r="F43" s="484">
        <f t="shared" si="3"/>
        <v>0.38901920013375296</v>
      </c>
      <c r="G43" s="484">
        <f t="shared" si="4"/>
        <v>0</v>
      </c>
      <c r="H43" s="484">
        <f t="shared" si="5"/>
        <v>6.3266080887703982E-2</v>
      </c>
      <c r="I43" s="484">
        <f t="shared" si="6"/>
        <v>2.5523787536939477</v>
      </c>
      <c r="J43" s="484">
        <f t="shared" si="7"/>
        <v>5.5555489556465491E-2</v>
      </c>
      <c r="K43" s="165">
        <v>44.153328642307002</v>
      </c>
    </row>
    <row r="44" spans="1:13" ht="15" customHeight="1">
      <c r="A44" s="17"/>
      <c r="B44" s="22">
        <f>'Oil supply projection'!$B44</f>
        <v>2053</v>
      </c>
      <c r="C44" s="484">
        <f t="shared" si="0"/>
        <v>1.1841610547280741</v>
      </c>
      <c r="D44" s="484">
        <f t="shared" si="1"/>
        <v>39.648459927233731</v>
      </c>
      <c r="E44" s="484">
        <f t="shared" si="2"/>
        <v>0.38251761620267183</v>
      </c>
      <c r="F44" s="484">
        <f t="shared" si="3"/>
        <v>0.39017442571223859</v>
      </c>
      <c r="G44" s="484">
        <f t="shared" si="4"/>
        <v>0</v>
      </c>
      <c r="H44" s="484">
        <f t="shared" si="5"/>
        <v>6.3453954892038186E-2</v>
      </c>
      <c r="I44" s="484">
        <f t="shared" si="6"/>
        <v>2.5599582593359229</v>
      </c>
      <c r="J44" s="484">
        <f t="shared" si="7"/>
        <v>5.5720466304499658E-2</v>
      </c>
      <c r="K44" s="165">
        <v>44.284445704409173</v>
      </c>
    </row>
    <row r="45" spans="1:13" ht="15" customHeight="1">
      <c r="A45" s="17"/>
      <c r="B45" s="22">
        <f>'Oil supply projection'!$B45</f>
        <v>2054</v>
      </c>
      <c r="C45" s="484">
        <f t="shared" si="0"/>
        <v>1.1876775216248188</v>
      </c>
      <c r="D45" s="484">
        <f t="shared" si="1"/>
        <v>39.766199398806741</v>
      </c>
      <c r="E45" s="484">
        <f t="shared" si="2"/>
        <v>0.38365353477508868</v>
      </c>
      <c r="F45" s="484">
        <f t="shared" si="3"/>
        <v>0.39133308183126497</v>
      </c>
      <c r="G45" s="484">
        <f t="shared" si="4"/>
        <v>0</v>
      </c>
      <c r="H45" s="484">
        <f t="shared" si="5"/>
        <v>6.3642386804196122E-2</v>
      </c>
      <c r="I45" s="484">
        <f t="shared" si="6"/>
        <v>2.5675602729641027</v>
      </c>
      <c r="J45" s="484">
        <f t="shared" si="7"/>
        <v>5.5885932965008892E-2</v>
      </c>
      <c r="K45" s="165">
        <v>44.41595212977122</v>
      </c>
    </row>
    <row r="46" spans="1:13" ht="15" customHeight="1">
      <c r="A46" s="17"/>
      <c r="B46" s="22">
        <f>'Oil supply projection'!$B46</f>
        <v>2055</v>
      </c>
      <c r="C46" s="484">
        <f t="shared" si="0"/>
        <v>1.1912044309688863</v>
      </c>
      <c r="D46" s="484">
        <f t="shared" si="1"/>
        <v>39.884288507747549</v>
      </c>
      <c r="E46" s="484">
        <f t="shared" si="2"/>
        <v>0.38479282655425079</v>
      </c>
      <c r="F46" s="484">
        <f t="shared" si="3"/>
        <v>0.39249517867811379</v>
      </c>
      <c r="G46" s="484">
        <f t="shared" si="4"/>
        <v>0</v>
      </c>
      <c r="H46" s="484">
        <f t="shared" si="5"/>
        <v>6.3831378280932508E-2</v>
      </c>
      <c r="I46" s="484">
        <f t="shared" si="6"/>
        <v>2.5751848614178652</v>
      </c>
      <c r="J46" s="484">
        <f t="shared" si="7"/>
        <v>5.6051890992829922E-2</v>
      </c>
      <c r="K46" s="165">
        <v>44.547849074640432</v>
      </c>
    </row>
    <row r="47" spans="1:13" ht="15" customHeight="1">
      <c r="A47" s="17"/>
      <c r="B47" s="22">
        <f>'Oil supply projection'!$B47</f>
        <v>2056</v>
      </c>
      <c r="C47" s="484">
        <f t="shared" si="0"/>
        <v>1.1947418137700117</v>
      </c>
      <c r="D47" s="484">
        <f t="shared" si="1"/>
        <v>40.002728292334041</v>
      </c>
      <c r="E47" s="484">
        <f t="shared" si="2"/>
        <v>0.38593550155718231</v>
      </c>
      <c r="F47" s="484">
        <f t="shared" si="3"/>
        <v>0.3936607264703188</v>
      </c>
      <c r="G47" s="484">
        <f t="shared" si="4"/>
        <v>0</v>
      </c>
      <c r="H47" s="484">
        <f t="shared" si="5"/>
        <v>6.4020930983921906E-2</v>
      </c>
      <c r="I47" s="484">
        <f t="shared" si="6"/>
        <v>2.5828320917350731</v>
      </c>
      <c r="J47" s="484">
        <f t="shared" si="7"/>
        <v>5.621834184711974E-2</v>
      </c>
      <c r="K47" s="165">
        <v>44.680137698697663</v>
      </c>
    </row>
    <row r="48" spans="1:13" ht="15" customHeight="1">
      <c r="A48" s="19"/>
      <c r="B48" s="22">
        <f>'Oil supply projection'!$B48</f>
        <v>2057</v>
      </c>
      <c r="C48" s="484">
        <f t="shared" si="0"/>
        <v>1.1982897011300158</v>
      </c>
      <c r="D48" s="484">
        <f t="shared" si="1"/>
        <v>40.121519793927348</v>
      </c>
      <c r="E48" s="484">
        <f t="shared" si="2"/>
        <v>0.38708156983065378</v>
      </c>
      <c r="F48" s="484">
        <f t="shared" si="3"/>
        <v>0.3948297354557555</v>
      </c>
      <c r="G48" s="484">
        <f t="shared" si="4"/>
        <v>0</v>
      </c>
      <c r="H48" s="484">
        <f t="shared" si="5"/>
        <v>6.4211046579773376E-2</v>
      </c>
      <c r="I48" s="484">
        <f t="shared" si="6"/>
        <v>2.5905020311526648</v>
      </c>
      <c r="J48" s="484">
        <f t="shared" si="7"/>
        <v>5.6385286991368438E-2</v>
      </c>
      <c r="K48" s="165">
        <v>44.812819165067587</v>
      </c>
    </row>
    <row r="49" spans="1:11" ht="15" customHeight="1">
      <c r="A49" s="17"/>
      <c r="B49" s="22">
        <f>'Oil supply projection'!$B49</f>
        <v>2058</v>
      </c>
      <c r="C49" s="484">
        <f t="shared" si="0"/>
        <v>1.201848124243079</v>
      </c>
      <c r="D49" s="484">
        <f t="shared" si="1"/>
        <v>40.240664056981011</v>
      </c>
      <c r="E49" s="484">
        <f t="shared" si="2"/>
        <v>0.38823104145127046</v>
      </c>
      <c r="F49" s="484">
        <f t="shared" si="3"/>
        <v>0.39600221591273138</v>
      </c>
      <c r="G49" s="484">
        <f t="shared" si="4"/>
        <v>0</v>
      </c>
      <c r="H49" s="484">
        <f t="shared" si="5"/>
        <v>6.4401726740045115E-2</v>
      </c>
      <c r="I49" s="484">
        <f t="shared" si="6"/>
        <v>2.598194747107244</v>
      </c>
      <c r="J49" s="484">
        <f t="shared" si="7"/>
        <v>5.6552727893412057E-2</v>
      </c>
      <c r="K49" s="165">
        <v>44.945894640328788</v>
      </c>
    </row>
    <row r="50" spans="1:11" ht="15" customHeight="1">
      <c r="A50" s="17"/>
      <c r="B50" s="22">
        <f>'Oil supply projection'!$B50</f>
        <v>2059</v>
      </c>
      <c r="C50" s="484">
        <f t="shared" si="0"/>
        <v>1.2054171143960155</v>
      </c>
      <c r="D50" s="484">
        <f t="shared" si="1"/>
        <v>40.360162129050174</v>
      </c>
      <c r="E50" s="484">
        <f t="shared" si="2"/>
        <v>0.38938392652556092</v>
      </c>
      <c r="F50" s="484">
        <f t="shared" si="3"/>
        <v>0.39717817815007617</v>
      </c>
      <c r="G50" s="484">
        <f t="shared" si="4"/>
        <v>0</v>
      </c>
      <c r="H50" s="484">
        <f t="shared" si="5"/>
        <v>6.4592973141259155E-2</v>
      </c>
      <c r="I50" s="484">
        <f t="shared" si="6"/>
        <v>2.6059103072356731</v>
      </c>
      <c r="J50" s="484">
        <f t="shared" si="7"/>
        <v>5.6720666025445503E-2</v>
      </c>
      <c r="K50" s="165">
        <v>45.079365294524209</v>
      </c>
    </row>
    <row r="51" spans="1:11" ht="15" customHeight="1">
      <c r="A51" s="17"/>
      <c r="B51" s="22">
        <f>'Oil supply projection'!$B51</f>
        <v>2060</v>
      </c>
      <c r="C51" s="484">
        <f t="shared" si="0"/>
        <v>1.2089967029685482</v>
      </c>
      <c r="D51" s="484">
        <f t="shared" si="1"/>
        <v>40.480015060800781</v>
      </c>
      <c r="E51" s="484">
        <f t="shared" si="2"/>
        <v>0.39054023519006603</v>
      </c>
      <c r="F51" s="484">
        <f t="shared" si="3"/>
        <v>0.39835763250723266</v>
      </c>
      <c r="G51" s="484">
        <f t="shared" si="4"/>
        <v>0</v>
      </c>
      <c r="H51" s="484">
        <f t="shared" si="5"/>
        <v>6.4784787464916088E-2</v>
      </c>
      <c r="I51" s="484">
        <f t="shared" si="6"/>
        <v>2.6136487793756675</v>
      </c>
      <c r="J51" s="484">
        <f t="shared" si="7"/>
        <v>5.6889102864035493E-2</v>
      </c>
      <c r="K51" s="165">
        <v>45.213232301171246</v>
      </c>
    </row>
    <row r="52" spans="1:11" ht="15" customHeight="1">
      <c r="A52" s="17"/>
      <c r="B52" s="22">
        <f>'Oil supply projection'!$B52</f>
        <v>2061</v>
      </c>
      <c r="C52" s="484">
        <f t="shared" si="0"/>
        <v>1.2125869214335852</v>
      </c>
      <c r="D52" s="484">
        <f t="shared" si="1"/>
        <v>40.600223906018812</v>
      </c>
      <c r="E52" s="484">
        <f t="shared" si="2"/>
        <v>0.39169997761142783</v>
      </c>
      <c r="F52" s="484">
        <f t="shared" si="3"/>
        <v>0.39954058935434744</v>
      </c>
      <c r="G52" s="484">
        <f t="shared" si="4"/>
        <v>0</v>
      </c>
      <c r="H52" s="484">
        <f t="shared" si="5"/>
        <v>6.4977171397509886E-2</v>
      </c>
      <c r="I52" s="484">
        <f t="shared" si="6"/>
        <v>2.6214102315663932</v>
      </c>
      <c r="J52" s="484">
        <f t="shared" si="7"/>
        <v>5.7058039890133534E-2</v>
      </c>
      <c r="K52" s="165">
        <v>45.34749683727221</v>
      </c>
    </row>
    <row r="53" spans="1:11" ht="15" customHeight="1">
      <c r="A53" s="17"/>
      <c r="B53" s="22">
        <f>'Oil supply projection'!$B53</f>
        <v>2062</v>
      </c>
      <c r="C53" s="484">
        <f t="shared" si="0"/>
        <v>1.2161878013574954</v>
      </c>
      <c r="D53" s="484">
        <f t="shared" si="1"/>
        <v>40.72078972161956</v>
      </c>
      <c r="E53" s="484">
        <f t="shared" si="2"/>
        <v>0.39286316398647919</v>
      </c>
      <c r="F53" s="484">
        <f t="shared" si="3"/>
        <v>0.40072705909236211</v>
      </c>
      <c r="G53" s="484">
        <f t="shared" si="4"/>
        <v>0</v>
      </c>
      <c r="H53" s="484">
        <f t="shared" si="5"/>
        <v>6.517012663054271E-2</v>
      </c>
      <c r="I53" s="484">
        <f t="shared" si="6"/>
        <v>2.6291947320490641</v>
      </c>
      <c r="J53" s="484">
        <f t="shared" si="7"/>
        <v>5.7227478589088943E-2</v>
      </c>
      <c r="K53" s="165">
        <v>45.482160083324587</v>
      </c>
    </row>
    <row r="54" spans="1:11" ht="15" customHeight="1">
      <c r="A54" s="17"/>
      <c r="B54" s="22">
        <f>'Oil supply projection'!$B54</f>
        <v>2063</v>
      </c>
      <c r="C54" s="484">
        <f t="shared" si="0"/>
        <v>1.2197993744003872</v>
      </c>
      <c r="D54" s="484">
        <f t="shared" si="1"/>
        <v>40.841713567656917</v>
      </c>
      <c r="E54" s="484">
        <f t="shared" si="2"/>
        <v>0.39402980454233333</v>
      </c>
      <c r="F54" s="484">
        <f t="shared" si="3"/>
        <v>0.40191705215310475</v>
      </c>
      <c r="G54" s="484">
        <f t="shared" si="4"/>
        <v>0</v>
      </c>
      <c r="H54" s="484">
        <f t="shared" si="5"/>
        <v>6.5363654860539758E-2</v>
      </c>
      <c r="I54" s="484">
        <f t="shared" si="6"/>
        <v>2.6370023492675418</v>
      </c>
      <c r="J54" s="484">
        <f t="shared" si="7"/>
        <v>5.7397420450661901E-2</v>
      </c>
      <c r="K54" s="165">
        <v>45.617223223331486</v>
      </c>
    </row>
    <row r="55" spans="1:11" ht="15" customHeight="1">
      <c r="A55" s="17"/>
      <c r="B55" s="22">
        <f>'Oil supply projection'!$B55</f>
        <v>2064</v>
      </c>
      <c r="C55" s="484">
        <f t="shared" si="0"/>
        <v>1.2234216723163862</v>
      </c>
      <c r="D55" s="484">
        <f t="shared" si="1"/>
        <v>40.962996507332697</v>
      </c>
      <c r="E55" s="484">
        <f t="shared" si="2"/>
        <v>0.39519990953647371</v>
      </c>
      <c r="F55" s="484">
        <f t="shared" si="3"/>
        <v>0.40311057899938169</v>
      </c>
      <c r="G55" s="484">
        <f t="shared" si="4"/>
        <v>0</v>
      </c>
      <c r="H55" s="484">
        <f t="shared" si="5"/>
        <v>6.5557757789064211E-2</v>
      </c>
      <c r="I55" s="484">
        <f t="shared" si="6"/>
        <v>2.6448331518689385</v>
      </c>
      <c r="J55" s="484">
        <f t="shared" si="7"/>
        <v>5.7567866969036575E-2</v>
      </c>
      <c r="K55" s="165">
        <v>45.752687444811976</v>
      </c>
    </row>
    <row r="56" spans="1:11" ht="15" customHeight="1">
      <c r="A56" s="17"/>
      <c r="B56" s="22">
        <f>'Oil supply projection'!$B56</f>
        <v>2065</v>
      </c>
      <c r="C56" s="484">
        <f t="shared" si="0"/>
        <v>1.2270547269539147</v>
      </c>
      <c r="D56" s="484">
        <f t="shared" si="1"/>
        <v>41.084639607005975</v>
      </c>
      <c r="E56" s="484">
        <f t="shared" si="2"/>
        <v>0.39637348925684424</v>
      </c>
      <c r="F56" s="484">
        <f t="shared" si="3"/>
        <v>0.40430765012506936</v>
      </c>
      <c r="G56" s="484">
        <f t="shared" si="4"/>
        <v>0</v>
      </c>
      <c r="H56" s="484">
        <f t="shared" si="5"/>
        <v>6.5752437122732196E-2</v>
      </c>
      <c r="I56" s="484">
        <f t="shared" si="6"/>
        <v>2.6526872087042186</v>
      </c>
      <c r="J56" s="484">
        <f t="shared" si="7"/>
        <v>5.7738819642834227E-2</v>
      </c>
      <c r="K56" s="165">
        <v>45.888553938811597</v>
      </c>
    </row>
    <row r="57" spans="1:11" ht="15" customHeight="1">
      <c r="A57" s="17"/>
      <c r="B57" s="22">
        <f>'Oil supply projection'!$B57</f>
        <v>2066</v>
      </c>
      <c r="C57" s="484">
        <f t="shared" si="0"/>
        <v>1.2306985702559714</v>
      </c>
      <c r="D57" s="484">
        <f t="shared" si="1"/>
        <v>41.206643936202475</v>
      </c>
      <c r="E57" s="484">
        <f t="shared" si="2"/>
        <v>0.39755055402193984</v>
      </c>
      <c r="F57" s="484">
        <f t="shared" si="3"/>
        <v>0.40550827605520678</v>
      </c>
      <c r="G57" s="484">
        <f t="shared" si="4"/>
        <v>0</v>
      </c>
      <c r="H57" s="484">
        <f t="shared" si="5"/>
        <v>6.5947694573227786E-2</v>
      </c>
      <c r="I57" s="484">
        <f t="shared" si="6"/>
        <v>2.6605645888288065</v>
      </c>
      <c r="J57" s="484">
        <f t="shared" si="7"/>
        <v>5.7910279975126405E-2</v>
      </c>
      <c r="K57" s="165">
        <v>46.024823899912754</v>
      </c>
    </row>
    <row r="58" spans="1:11" ht="15" customHeight="1">
      <c r="A58" s="17"/>
      <c r="B58" s="22">
        <f>'Oil supply projection'!$B58</f>
        <v>2067</v>
      </c>
      <c r="C58" s="484">
        <f t="shared" si="0"/>
        <v>1.2343532342604127</v>
      </c>
      <c r="D58" s="484">
        <f t="shared" si="1"/>
        <v>41.329010567623968</v>
      </c>
      <c r="E58" s="484">
        <f t="shared" si="2"/>
        <v>0.39873111418089696</v>
      </c>
      <c r="F58" s="484">
        <f t="shared" si="3"/>
        <v>0.40671246734608785</v>
      </c>
      <c r="G58" s="484">
        <f t="shared" si="4"/>
        <v>0</v>
      </c>
      <c r="H58" s="484">
        <f t="shared" si="5"/>
        <v>6.6143531857318028E-2</v>
      </c>
      <c r="I58" s="484">
        <f t="shared" si="6"/>
        <v>2.6684653615031921</v>
      </c>
      <c r="J58" s="484">
        <f t="shared" si="7"/>
        <v>5.8082249473448158E-2</v>
      </c>
      <c r="K58" s="165">
        <v>46.161498526245332</v>
      </c>
    </row>
    <row r="59" spans="1:11" ht="15" customHeight="1">
      <c r="A59" s="19"/>
      <c r="B59" s="22">
        <f>'Oil supply projection'!$B59</f>
        <v>2068</v>
      </c>
      <c r="C59" s="484">
        <f t="shared" si="0"/>
        <v>1.2380187511002341</v>
      </c>
      <c r="D59" s="484">
        <f t="shared" si="1"/>
        <v>41.451740577157707</v>
      </c>
      <c r="E59" s="484">
        <f t="shared" si="2"/>
        <v>0.39991518011358479</v>
      </c>
      <c r="F59" s="484">
        <f t="shared" si="3"/>
        <v>0.40792023458535437</v>
      </c>
      <c r="G59" s="484">
        <f t="shared" si="4"/>
        <v>0</v>
      </c>
      <c r="H59" s="484">
        <f t="shared" si="5"/>
        <v>6.6339950696868058E-2</v>
      </c>
      <c r="I59" s="484">
        <f t="shared" si="6"/>
        <v>2.6763895961935402</v>
      </c>
      <c r="J59" s="484">
        <f t="shared" si="7"/>
        <v>5.8254729649811279E-2</v>
      </c>
      <c r="K59" s="165">
        <v>46.298579019497105</v>
      </c>
    </row>
    <row r="60" spans="1:11" ht="15" customHeight="1">
      <c r="A60" s="17"/>
      <c r="B60" s="22">
        <f>'Oil supply projection'!$B60</f>
        <v>2069</v>
      </c>
      <c r="C60" s="484">
        <f t="shared" si="0"/>
        <v>1.2416951530038525</v>
      </c>
      <c r="D60" s="484">
        <f t="shared" si="1"/>
        <v>41.574835043885876</v>
      </c>
      <c r="E60" s="484">
        <f t="shared" si="2"/>
        <v>0.40110276223069641</v>
      </c>
      <c r="F60" s="484">
        <f t="shared" si="3"/>
        <v>0.40913158839208896</v>
      </c>
      <c r="G60" s="484">
        <f t="shared" si="4"/>
        <v>0</v>
      </c>
      <c r="H60" s="484">
        <f t="shared" si="5"/>
        <v>6.6536952818856243E-2</v>
      </c>
      <c r="I60" s="484">
        <f t="shared" si="6"/>
        <v>2.6843373625723013</v>
      </c>
      <c r="J60" s="484">
        <f t="shared" si="7"/>
        <v>5.8427722020717623E-2</v>
      </c>
      <c r="K60" s="165">
        <v>46.43606658492439</v>
      </c>
    </row>
    <row r="61" spans="1:11" ht="15" customHeight="1">
      <c r="A61" s="17"/>
      <c r="B61" s="22">
        <f>'Oil supply projection'!$B61</f>
        <v>2070</v>
      </c>
      <c r="C61" s="484">
        <f t="shared" si="0"/>
        <v>1.2453824722953899</v>
      </c>
      <c r="D61" s="484">
        <f t="shared" si="1"/>
        <v>41.698295050095091</v>
      </c>
      <c r="E61" s="484">
        <f t="shared" si="2"/>
        <v>0.40229387097384028</v>
      </c>
      <c r="F61" s="484">
        <f t="shared" si="3"/>
        <v>0.41034653941690852</v>
      </c>
      <c r="G61" s="484">
        <f t="shared" si="4"/>
        <v>0</v>
      </c>
      <c r="H61" s="484">
        <f t="shared" si="5"/>
        <v>6.673453995538936E-2</v>
      </c>
      <c r="I61" s="484">
        <f t="shared" si="6"/>
        <v>2.6923087305188242</v>
      </c>
      <c r="J61" s="484">
        <f t="shared" si="7"/>
        <v>5.8601228107172415E-2</v>
      </c>
      <c r="K61" s="165">
        <v>46.573962431362617</v>
      </c>
    </row>
    <row r="62" spans="1:11" ht="15" customHeight="1">
      <c r="A62" s="17"/>
      <c r="B62" s="22">
        <f>'Oil supply projection'!$B62</f>
        <v>2071</v>
      </c>
      <c r="C62" s="484">
        <f t="shared" si="0"/>
        <v>1.2490807413949578</v>
      </c>
      <c r="D62" s="484">
        <f t="shared" si="1"/>
        <v>41.822121681285914</v>
      </c>
      <c r="E62" s="484">
        <f t="shared" si="2"/>
        <v>0.40348851681563214</v>
      </c>
      <c r="F62" s="484">
        <f t="shared" si="3"/>
        <v>0.41156509834205796</v>
      </c>
      <c r="G62" s="484">
        <f t="shared" si="4"/>
        <v>0</v>
      </c>
      <c r="H62" s="484">
        <f t="shared" si="5"/>
        <v>6.6932713843717836E-2</v>
      </c>
      <c r="I62" s="484">
        <f t="shared" si="6"/>
        <v>2.7003037701199704</v>
      </c>
      <c r="J62" s="484">
        <f t="shared" si="7"/>
        <v>5.8775249434697641E-2</v>
      </c>
      <c r="K62" s="165">
        <v>46.712267771236952</v>
      </c>
    </row>
    <row r="63" spans="1:11" ht="15" customHeight="1">
      <c r="A63" s="17"/>
      <c r="B63" s="22">
        <f>'Oil supply projection'!$B63</f>
        <v>2072</v>
      </c>
      <c r="C63" s="484">
        <f t="shared" si="0"/>
        <v>1.2527899928189419</v>
      </c>
      <c r="D63" s="484">
        <f t="shared" si="1"/>
        <v>41.94631602618238</v>
      </c>
      <c r="E63" s="484">
        <f t="shared" si="2"/>
        <v>0.40468671025978703</v>
      </c>
      <c r="F63" s="484">
        <f t="shared" si="3"/>
        <v>0.41278727588150388</v>
      </c>
      <c r="G63" s="484">
        <f t="shared" si="4"/>
        <v>0</v>
      </c>
      <c r="H63" s="484">
        <f t="shared" si="5"/>
        <v>6.7131476226250986E-2</v>
      </c>
      <c r="I63" s="484">
        <f t="shared" si="6"/>
        <v>2.7083225516707299</v>
      </c>
      <c r="J63" s="484">
        <f t="shared" si="7"/>
        <v>5.8949787533345448E-2</v>
      </c>
      <c r="K63" s="165">
        <v>46.850983820572942</v>
      </c>
    </row>
    <row r="64" spans="1:11" ht="15" customHeight="1">
      <c r="A64" s="17"/>
      <c r="B64" s="22">
        <f>'Oil supply projection'!$B64</f>
        <v>2073</v>
      </c>
      <c r="C64" s="484">
        <f t="shared" si="0"/>
        <v>1.2565102591802877</v>
      </c>
      <c r="D64" s="484">
        <f t="shared" si="1"/>
        <v>42.070879176741599</v>
      </c>
      <c r="E64" s="484">
        <f t="shared" si="2"/>
        <v>0.40588846184121175</v>
      </c>
      <c r="F64" s="484">
        <f t="shared" si="3"/>
        <v>0.41401308278102905</v>
      </c>
      <c r="G64" s="484">
        <f t="shared" si="4"/>
        <v>0</v>
      </c>
      <c r="H64" s="484">
        <f t="shared" si="5"/>
        <v>6.7330828850572358E-2</v>
      </c>
      <c r="I64" s="484">
        <f t="shared" si="6"/>
        <v>2.7163651456748403</v>
      </c>
      <c r="J64" s="484">
        <f t="shared" si="7"/>
        <v>5.9124843937711606E-2</v>
      </c>
      <c r="K64" s="165">
        <v>46.990111799007259</v>
      </c>
    </row>
    <row r="65" spans="1:11" ht="15" customHeight="1">
      <c r="A65" s="17"/>
      <c r="B65" s="22">
        <f>'Oil supply projection'!$B65</f>
        <v>2074</v>
      </c>
      <c r="C65" s="484">
        <f t="shared" si="0"/>
        <v>1.2602415731887882</v>
      </c>
      <c r="D65" s="484">
        <f t="shared" si="1"/>
        <v>42.195812228163327</v>
      </c>
      <c r="E65" s="484">
        <f t="shared" si="2"/>
        <v>0.40709378212609726</v>
      </c>
      <c r="F65" s="484">
        <f t="shared" si="3"/>
        <v>0.41524252981832666</v>
      </c>
      <c r="G65" s="484">
        <f t="shared" si="4"/>
        <v>0</v>
      </c>
      <c r="H65" s="484">
        <f t="shared" si="5"/>
        <v>6.7530773469455116E-2</v>
      </c>
      <c r="I65" s="484">
        <f t="shared" si="6"/>
        <v>2.7244316228454055</v>
      </c>
      <c r="J65" s="484">
        <f t="shared" si="7"/>
        <v>5.9300420186948997E-2</v>
      </c>
      <c r="K65" s="165">
        <v>47.129652929798354</v>
      </c>
    </row>
    <row r="66" spans="1:11" ht="15" customHeight="1">
      <c r="A66" s="17"/>
      <c r="B66" s="22">
        <f>'Oil supply projection'!$B66</f>
        <v>2075</v>
      </c>
      <c r="C66" s="484">
        <f t="shared" si="0"/>
        <v>1.2639839676513702</v>
      </c>
      <c r="D66" s="484">
        <f t="shared" si="1"/>
        <v>42.321116278899616</v>
      </c>
      <c r="E66" s="484">
        <f t="shared" si="2"/>
        <v>0.40830268171201184</v>
      </c>
      <c r="F66" s="484">
        <f t="shared" si="3"/>
        <v>0.41647562780309522</v>
      </c>
      <c r="G66" s="484">
        <f t="shared" si="4"/>
        <v>0</v>
      </c>
      <c r="H66" s="484">
        <f t="shared" si="5"/>
        <v>6.7731311840877426E-2</v>
      </c>
      <c r="I66" s="484">
        <f t="shared" si="6"/>
        <v>2.7325220541055182</v>
      </c>
      <c r="J66" s="484">
        <f t="shared" si="7"/>
        <v>5.9476517824781153E-2</v>
      </c>
      <c r="K66" s="165">
        <v>47.26960843983727</v>
      </c>
    </row>
    <row r="67" spans="1:11" ht="15" customHeight="1">
      <c r="A67" s="17"/>
      <c r="B67" s="22">
        <f>'Oil supply projection'!$B67</f>
        <v>2076</v>
      </c>
      <c r="C67" s="484">
        <f t="shared" si="0"/>
        <v>1.267737475472384</v>
      </c>
      <c r="D67" s="484">
        <f t="shared" si="1"/>
        <v>42.446792430664466</v>
      </c>
      <c r="E67" s="484">
        <f t="shared" si="2"/>
        <v>0.40951517122799413</v>
      </c>
      <c r="F67" s="484">
        <f t="shared" si="3"/>
        <v>0.41771238757713358</v>
      </c>
      <c r="G67" s="484">
        <f t="shared" si="4"/>
        <v>0</v>
      </c>
      <c r="H67" s="484">
        <f t="shared" si="5"/>
        <v>6.7932445728037916E-2</v>
      </c>
      <c r="I67" s="484">
        <f t="shared" si="6"/>
        <v>2.740636510588883</v>
      </c>
      <c r="J67" s="484">
        <f t="shared" si="7"/>
        <v>5.9653138399515818E-2</v>
      </c>
      <c r="K67" s="165">
        <v>47.409979559658424</v>
      </c>
    </row>
    <row r="68" spans="1:11" ht="15" customHeight="1">
      <c r="A68" s="17"/>
      <c r="B68" s="22">
        <f>'Oil supply projection'!$B68</f>
        <v>2077</v>
      </c>
      <c r="C68" s="484">
        <f t="shared" si="0"/>
        <v>1.2715021296538922</v>
      </c>
      <c r="D68" s="484">
        <f t="shared" si="1"/>
        <v>42.572841788443505</v>
      </c>
      <c r="E68" s="484">
        <f t="shared" si="2"/>
        <v>0.41073126133464655</v>
      </c>
      <c r="F68" s="484">
        <f t="shared" si="3"/>
        <v>0.41895282001443618</v>
      </c>
      <c r="G68" s="484">
        <f t="shared" si="4"/>
        <v>0</v>
      </c>
      <c r="H68" s="484">
        <f t="shared" si="5"/>
        <v>6.8134176899371193E-2</v>
      </c>
      <c r="I68" s="484">
        <f t="shared" si="6"/>
        <v>2.7487750636404429</v>
      </c>
      <c r="J68" s="484">
        <f t="shared" si="7"/>
        <v>5.9830283464058574E-2</v>
      </c>
      <c r="K68" s="165">
        <v>47.550767523450354</v>
      </c>
    </row>
    <row r="69" spans="1:11" ht="15" customHeight="1">
      <c r="A69" s="17"/>
      <c r="B69" s="22">
        <f>'Oil supply projection'!$B69</f>
        <v>2078</v>
      </c>
      <c r="C69" s="484">
        <f t="shared" si="0"/>
        <v>1.2752779632959594</v>
      </c>
      <c r="D69" s="484">
        <f t="shared" si="1"/>
        <v>42.69926546050371</v>
      </c>
      <c r="E69" s="484">
        <f t="shared" si="2"/>
        <v>0.41195096272422915</v>
      </c>
      <c r="F69" s="484">
        <f t="shared" si="3"/>
        <v>0.42019693602128871</v>
      </c>
      <c r="G69" s="484">
        <f t="shared" si="4"/>
        <v>0</v>
      </c>
      <c r="H69" s="484">
        <f t="shared" si="5"/>
        <v>6.8336507128563373E-2</v>
      </c>
      <c r="I69" s="484">
        <f t="shared" si="6"/>
        <v>2.7569377848170045</v>
      </c>
      <c r="J69" s="484">
        <f t="shared" si="7"/>
        <v>6.0007954575926475E-2</v>
      </c>
      <c r="K69" s="165">
        <v>47.69197356906669</v>
      </c>
    </row>
    <row r="70" spans="1:11" ht="15" customHeight="1">
      <c r="A70" s="17"/>
      <c r="B70" s="22">
        <f>'Oil supply projection'!$B70</f>
        <v>2079</v>
      </c>
      <c r="C70" s="484">
        <f t="shared" si="0"/>
        <v>1.279065009596944</v>
      </c>
      <c r="D70" s="484">
        <f t="shared" si="1"/>
        <v>42.826064558403154</v>
      </c>
      <c r="E70" s="484">
        <f t="shared" si="2"/>
        <v>0.41317428612075352</v>
      </c>
      <c r="F70" s="484">
        <f t="shared" si="3"/>
        <v>0.42144474653636405</v>
      </c>
      <c r="G70" s="484">
        <f t="shared" si="4"/>
        <v>0</v>
      </c>
      <c r="H70" s="484">
        <f t="shared" si="5"/>
        <v>6.8539438194567676E-2</v>
      </c>
      <c r="I70" s="484">
        <f t="shared" si="6"/>
        <v>2.7651247458878694</v>
      </c>
      <c r="J70" s="484">
        <f t="shared" si="7"/>
        <v>6.018615329726177E-2</v>
      </c>
      <c r="K70" s="165">
        <v>47.833598938036914</v>
      </c>
    </row>
    <row r="71" spans="1:11" ht="15" customHeight="1">
      <c r="A71" s="17"/>
      <c r="B71" s="22">
        <f>'Oil supply projection'!$B71</f>
        <v>2080</v>
      </c>
      <c r="C71" s="484">
        <f t="shared" si="0"/>
        <v>1.2828633018537898</v>
      </c>
      <c r="D71" s="484">
        <f t="shared" si="1"/>
        <v>42.953240197000774</v>
      </c>
      <c r="E71" s="484">
        <f t="shared" si="2"/>
        <v>0.41440124228007708</v>
      </c>
      <c r="F71" s="484">
        <f t="shared" si="3"/>
        <v>0.42269626253081832</v>
      </c>
      <c r="G71" s="484">
        <f t="shared" si="4"/>
        <v>0</v>
      </c>
      <c r="H71" s="484">
        <f t="shared" si="5"/>
        <v>6.8742971881620082E-2</v>
      </c>
      <c r="I71" s="484">
        <f t="shared" si="6"/>
        <v>2.7733360188354643</v>
      </c>
      <c r="J71" s="484">
        <f t="shared" si="7"/>
        <v>6.0364881194845614E-2</v>
      </c>
      <c r="K71" s="165">
        <v>47.975644875577387</v>
      </c>
    </row>
    <row r="72" spans="1:11" ht="15" customHeight="1">
      <c r="A72" s="17"/>
      <c r="B72" s="22">
        <f>'Oil supply projection'!$B72</f>
        <v>2081</v>
      </c>
      <c r="C72" s="484">
        <f t="shared" si="0"/>
        <v>1.2866728734623183</v>
      </c>
      <c r="D72" s="484">
        <f t="shared" si="1"/>
        <v>43.080793494466171</v>
      </c>
      <c r="E72" s="484">
        <f t="shared" si="2"/>
        <v>0.41563184198999775</v>
      </c>
      <c r="F72" s="484">
        <f t="shared" si="3"/>
        <v>0.42395149500838752</v>
      </c>
      <c r="G72" s="484">
        <f t="shared" si="4"/>
        <v>0</v>
      </c>
      <c r="H72" s="484">
        <f t="shared" si="5"/>
        <v>6.8947109979255017E-2</v>
      </c>
      <c r="I72" s="484">
        <f t="shared" si="6"/>
        <v>2.781571675855973</v>
      </c>
      <c r="J72" s="484">
        <f t="shared" si="7"/>
        <v>6.0544139840111852E-2</v>
      </c>
      <c r="K72" s="165">
        <v>48.118112630602212</v>
      </c>
    </row>
    <row r="73" spans="1:11" ht="15" customHeight="1">
      <c r="A73" s="16"/>
      <c r="B73" s="22">
        <f>'Oil supply projection'!$B73</f>
        <v>2082</v>
      </c>
      <c r="C73" s="484">
        <f t="shared" si="0"/>
        <v>1.2904937579175231</v>
      </c>
      <c r="D73" s="484">
        <f t="shared" si="1"/>
        <v>43.20872557228946</v>
      </c>
      <c r="E73" s="484">
        <f t="shared" si="2"/>
        <v>0.41686609607034869</v>
      </c>
      <c r="F73" s="484">
        <f t="shared" si="3"/>
        <v>0.42521045500548416</v>
      </c>
      <c r="G73" s="484">
        <f t="shared" si="4"/>
        <v>0</v>
      </c>
      <c r="H73" s="484">
        <f t="shared" si="5"/>
        <v>6.9151854282321068E-2</v>
      </c>
      <c r="I73" s="484">
        <f t="shared" si="6"/>
        <v>2.7898317893599724</v>
      </c>
      <c r="J73" s="484">
        <f t="shared" si="7"/>
        <v>6.0723930809160838E-2</v>
      </c>
      <c r="K73" s="165">
        <v>48.261003455734276</v>
      </c>
    </row>
    <row r="74" spans="1:11" ht="15" customHeight="1">
      <c r="A74" s="16"/>
      <c r="B74" s="22">
        <f>'Oil supply projection'!$B74</f>
        <v>2083</v>
      </c>
      <c r="C74" s="484">
        <f t="shared" si="0"/>
        <v>1.2943259888138638</v>
      </c>
      <c r="D74" s="484">
        <f t="shared" si="1"/>
        <v>43.337037555291104</v>
      </c>
      <c r="E74" s="484">
        <f t="shared" si="2"/>
        <v>0.4181040153730935</v>
      </c>
      <c r="F74" s="484">
        <f t="shared" si="3"/>
        <v>0.42647315359129423</v>
      </c>
      <c r="G74" s="484">
        <f t="shared" si="4"/>
        <v>0</v>
      </c>
      <c r="H74" s="484">
        <f t="shared" si="5"/>
        <v>6.9357206590996784E-2</v>
      </c>
      <c r="I74" s="484">
        <f t="shared" si="6"/>
        <v>2.7981164319730696</v>
      </c>
      <c r="J74" s="484">
        <f t="shared" si="7"/>
        <v>6.0904255682773287E-2</v>
      </c>
      <c r="K74" s="165">
        <v>48.404318607316199</v>
      </c>
    </row>
    <row r="75" spans="1:11" ht="15" customHeight="1">
      <c r="A75" s="16"/>
      <c r="B75" s="22">
        <f>'Oil supply projection'!$B75</f>
        <v>2084</v>
      </c>
      <c r="C75" s="484">
        <f t="shared" si="0"/>
        <v>1.298169599845562</v>
      </c>
      <c r="D75" s="484">
        <f t="shared" si="1"/>
        <v>43.465730571631816</v>
      </c>
      <c r="E75" s="484">
        <f t="shared" si="2"/>
        <v>0.41934561078242155</v>
      </c>
      <c r="F75" s="484">
        <f t="shared" si="3"/>
        <v>0.42773960186787469</v>
      </c>
      <c r="G75" s="484">
        <f t="shared" si="4"/>
        <v>0</v>
      </c>
      <c r="H75" s="484">
        <f t="shared" si="5"/>
        <v>6.9563168710806506E-2</v>
      </c>
      <c r="I75" s="484">
        <f t="shared" si="6"/>
        <v>2.8064256765365378</v>
      </c>
      <c r="J75" s="484">
        <f t="shared" si="7"/>
        <v>6.1085116046424179E-2</v>
      </c>
      <c r="K75" s="165">
        <v>48.548059345421443</v>
      </c>
    </row>
    <row r="76" spans="1:11" ht="15" customHeight="1">
      <c r="A76" s="16"/>
      <c r="B76" s="22">
        <f>'Oil supply projection'!$B76</f>
        <v>2085</v>
      </c>
      <c r="C76" s="484">
        <f t="shared" si="0"/>
        <v>1.3020246248068967</v>
      </c>
      <c r="D76" s="484">
        <f t="shared" si="1"/>
        <v>43.594805752822488</v>
      </c>
      <c r="E76" s="484">
        <f t="shared" si="2"/>
        <v>0.42059089321484383</v>
      </c>
      <c r="F76" s="484">
        <f t="shared" si="3"/>
        <v>0.42900981097025098</v>
      </c>
      <c r="G76" s="484">
        <f t="shared" si="4"/>
        <v>0</v>
      </c>
      <c r="H76" s="484">
        <f t="shared" si="5"/>
        <v>6.976974245263623E-2</v>
      </c>
      <c r="I76" s="484">
        <f t="shared" si="6"/>
        <v>2.8147595961079603</v>
      </c>
      <c r="J76" s="484">
        <f t="shared" si="7"/>
        <v>6.1266513490296694E-2</v>
      </c>
      <c r="K76" s="165">
        <v>48.692226933865371</v>
      </c>
    </row>
    <row r="77" spans="1:11" ht="15" customHeight="1">
      <c r="A77" s="16"/>
      <c r="B77" s="22">
        <f>'Oil supply projection'!$B77</f>
        <v>2086</v>
      </c>
      <c r="C77" s="484">
        <f t="shared" si="0"/>
        <v>1.305891097592502</v>
      </c>
      <c r="D77" s="484">
        <f t="shared" si="1"/>
        <v>43.724264233734118</v>
      </c>
      <c r="E77" s="484">
        <f t="shared" si="2"/>
        <v>0.42183987361928876</v>
      </c>
      <c r="F77" s="484">
        <f t="shared" si="3"/>
        <v>0.4302837920665149</v>
      </c>
      <c r="G77" s="484">
        <f t="shared" si="4"/>
        <v>0</v>
      </c>
      <c r="H77" s="484">
        <f t="shared" si="5"/>
        <v>6.9976929632749527E-2</v>
      </c>
      <c r="I77" s="484">
        <f t="shared" si="6"/>
        <v>2.8231182639618706</v>
      </c>
      <c r="J77" s="484">
        <f t="shared" si="7"/>
        <v>6.1448449609296199E-2</v>
      </c>
      <c r="K77" s="165">
        <v>48.836822640216347</v>
      </c>
    </row>
    <row r="78" spans="1:11" ht="15" customHeight="1">
      <c r="A78" s="16"/>
      <c r="B78" s="22">
        <f>'Oil supply projection'!$B78</f>
        <v>2087</v>
      </c>
      <c r="C78" s="484">
        <f t="shared" si="0"/>
        <v>1.309769052197665</v>
      </c>
      <c r="D78" s="484">
        <f t="shared" si="1"/>
        <v>43.85410715260781</v>
      </c>
      <c r="E78" s="484">
        <f t="shared" si="2"/>
        <v>0.42309256297719861</v>
      </c>
      <c r="F78" s="484">
        <f t="shared" si="3"/>
        <v>0.43156155635792293</v>
      </c>
      <c r="G78" s="484">
        <f t="shared" si="4"/>
        <v>0</v>
      </c>
      <c r="H78" s="484">
        <f t="shared" si="5"/>
        <v>7.0184732072803513E-2</v>
      </c>
      <c r="I78" s="484">
        <f t="shared" si="6"/>
        <v>2.8315017535903966</v>
      </c>
      <c r="J78" s="484">
        <f t="shared" si="7"/>
        <v>6.1630926003064267E-2</v>
      </c>
      <c r="K78" s="165">
        <v>48.981847735806852</v>
      </c>
    </row>
    <row r="79" spans="1:11" ht="15" customHeight="1">
      <c r="A79" s="16"/>
      <c r="B79" s="22">
        <f>'Oil supply projection'!$B79</f>
        <v>2088</v>
      </c>
      <c r="C79" s="484">
        <f t="shared" si="0"/>
        <v>1.3136585227186248</v>
      </c>
      <c r="D79" s="484">
        <f t="shared" si="1"/>
        <v>43.984335651064761</v>
      </c>
      <c r="E79" s="484">
        <f t="shared" si="2"/>
        <v>0.42434897230262586</v>
      </c>
      <c r="F79" s="484">
        <f t="shared" si="3"/>
        <v>0.43284311507899459</v>
      </c>
      <c r="G79" s="484">
        <f t="shared" si="4"/>
        <v>0</v>
      </c>
      <c r="H79" s="484">
        <f t="shared" si="5"/>
        <v>7.0393151599864867E-2</v>
      </c>
      <c r="I79" s="484">
        <f t="shared" si="6"/>
        <v>2.8399101387039076</v>
      </c>
      <c r="J79" s="484">
        <f t="shared" si="7"/>
        <v>6.1813944275992738E-2</v>
      </c>
      <c r="K79" s="165">
        <v>49.127303495744769</v>
      </c>
    </row>
    <row r="80" spans="1:11" ht="15" customHeight="1">
      <c r="A80" s="16"/>
      <c r="B80" s="22">
        <f>'Oil supply projection'!$B80</f>
        <v>2089</v>
      </c>
      <c r="C80" s="484">
        <f t="shared" si="0"/>
        <v>1.3175595433528722</v>
      </c>
      <c r="D80" s="484">
        <f t="shared" si="1"/>
        <v>44.114950874116317</v>
      </c>
      <c r="E80" s="484">
        <f t="shared" si="2"/>
        <v>0.42560911264233026</v>
      </c>
      <c r="F80" s="484">
        <f t="shared" si="3"/>
        <v>0.4341284794976113</v>
      </c>
      <c r="G80" s="484">
        <f t="shared" si="4"/>
        <v>0</v>
      </c>
      <c r="H80" s="484">
        <f t="shared" si="5"/>
        <v>7.0602190046425914E-2</v>
      </c>
      <c r="I80" s="484">
        <f t="shared" si="6"/>
        <v>2.848343493231662</v>
      </c>
      <c r="J80" s="484">
        <f t="shared" si="7"/>
        <v>6.1997506037237839E-2</v>
      </c>
      <c r="K80" s="165">
        <v>49.273191198924451</v>
      </c>
    </row>
    <row r="81" spans="1:11" ht="15" customHeight="1">
      <c r="A81" s="16"/>
      <c r="B81" s="22">
        <f>'Oil supply projection'!$B81</f>
        <v>2090</v>
      </c>
      <c r="C81" s="484">
        <f t="shared" si="0"/>
        <v>1.3214721483994503</v>
      </c>
      <c r="D81" s="484">
        <f t="shared" si="1"/>
        <v>44.245953970174028</v>
      </c>
      <c r="E81" s="484">
        <f t="shared" si="2"/>
        <v>0.42687299507587578</v>
      </c>
      <c r="F81" s="484">
        <f t="shared" si="3"/>
        <v>0.4354176609151153</v>
      </c>
      <c r="G81" s="484">
        <f t="shared" si="4"/>
        <v>0</v>
      </c>
      <c r="H81" s="484">
        <f t="shared" si="5"/>
        <v>7.0811849250420708E-2</v>
      </c>
      <c r="I81" s="484">
        <f t="shared" si="6"/>
        <v>2.856801891322458</v>
      </c>
      <c r="J81" s="484">
        <f t="shared" si="7"/>
        <v>6.2181612900734318E-2</v>
      </c>
      <c r="K81" s="165">
        <v>49.419512128038079</v>
      </c>
    </row>
    <row r="82" spans="1:11" ht="15" customHeight="1">
      <c r="A82" s="16"/>
      <c r="B82" s="22">
        <f>'Oil supply projection'!$B82</f>
        <v>2091</v>
      </c>
      <c r="C82" s="484">
        <f t="shared" si="0"/>
        <v>1.3253963722592559</v>
      </c>
      <c r="D82" s="484">
        <f t="shared" si="1"/>
        <v>44.377346091059756</v>
      </c>
      <c r="E82" s="484">
        <f t="shared" si="2"/>
        <v>0.42814063071572817</v>
      </c>
      <c r="F82" s="484">
        <f t="shared" si="3"/>
        <v>0.43671067066640928</v>
      </c>
      <c r="G82" s="484">
        <f t="shared" si="4"/>
        <v>0</v>
      </c>
      <c r="H82" s="484">
        <f t="shared" si="5"/>
        <v>7.1022131055241217E-2</v>
      </c>
      <c r="I82" s="484">
        <f t="shared" si="6"/>
        <v>2.8652854073452843</v>
      </c>
      <c r="J82" s="484">
        <f t="shared" si="7"/>
        <v>6.236626648520964E-2</v>
      </c>
      <c r="K82" s="165">
        <v>49.566267569586884</v>
      </c>
    </row>
    <row r="83" spans="1:11" ht="15" customHeight="1">
      <c r="A83" s="16"/>
      <c r="B83" s="22">
        <f>'Oil supply projection'!$B83</f>
        <v>2092</v>
      </c>
      <c r="C83" s="484">
        <f t="shared" si="0"/>
        <v>1.3293322494353426</v>
      </c>
      <c r="D83" s="484">
        <f t="shared" si="1"/>
        <v>44.509128392015789</v>
      </c>
      <c r="E83" s="484">
        <f t="shared" si="2"/>
        <v>0.42941203070735257</v>
      </c>
      <c r="F83" s="484">
        <f t="shared" si="3"/>
        <v>0.43800752012005578</v>
      </c>
      <c r="G83" s="484">
        <f t="shared" si="4"/>
        <v>0</v>
      </c>
      <c r="H83" s="484">
        <f t="shared" si="5"/>
        <v>7.12330373097535E-2</v>
      </c>
      <c r="I83" s="484">
        <f t="shared" si="6"/>
        <v>2.8737941158899751</v>
      </c>
      <c r="J83" s="484">
        <f t="shared" si="7"/>
        <v>6.2551468414198216E-2</v>
      </c>
      <c r="K83" s="165">
        <v>49.713458813892473</v>
      </c>
    </row>
    <row r="84" spans="1:11" ht="15" customHeight="1">
      <c r="A84" s="16"/>
      <c r="B84" s="22">
        <f>'Oil supply projection'!$B84</f>
        <v>2093</v>
      </c>
      <c r="C84" s="484">
        <f t="shared" si="0"/>
        <v>1.3332798145332234</v>
      </c>
      <c r="D84" s="484">
        <f t="shared" si="1"/>
        <v>44.641302031715007</v>
      </c>
      <c r="E84" s="484">
        <f t="shared" si="2"/>
        <v>0.43068720622931145</v>
      </c>
      <c r="F84" s="484">
        <f t="shared" si="3"/>
        <v>0.43930822067837727</v>
      </c>
      <c r="G84" s="484">
        <f t="shared" si="4"/>
        <v>0</v>
      </c>
      <c r="H84" s="484">
        <f t="shared" si="5"/>
        <v>7.144456986831399E-2</v>
      </c>
      <c r="I84" s="484">
        <f t="shared" si="6"/>
        <v>2.8823280917678655</v>
      </c>
      <c r="J84" s="484">
        <f t="shared" si="7"/>
        <v>6.2737220316055692E-2</v>
      </c>
      <c r="K84" s="436">
        <v>49.861087155108152</v>
      </c>
    </row>
    <row r="85" spans="1:11" ht="15" customHeight="1">
      <c r="A85" s="16"/>
      <c r="B85" s="194" t="s">
        <v>292</v>
      </c>
      <c r="C85" s="589" t="s">
        <v>316</v>
      </c>
      <c r="D85" s="589" t="s">
        <v>316</v>
      </c>
      <c r="E85" s="589" t="s">
        <v>316</v>
      </c>
      <c r="F85" s="589" t="s">
        <v>316</v>
      </c>
      <c r="G85" s="589" t="s">
        <v>356</v>
      </c>
      <c r="H85" s="589" t="s">
        <v>316</v>
      </c>
      <c r="I85" s="589" t="s">
        <v>316</v>
      </c>
      <c r="J85" s="589" t="s">
        <v>316</v>
      </c>
      <c r="K85" s="106" t="s">
        <v>317</v>
      </c>
    </row>
    <row r="86" spans="1:11" ht="15" customHeight="1">
      <c r="A86" s="16"/>
      <c r="B86" s="194" t="s">
        <v>294</v>
      </c>
      <c r="C86" s="107" t="s">
        <v>319</v>
      </c>
      <c r="D86" s="107" t="s">
        <v>319</v>
      </c>
      <c r="E86" s="107" t="s">
        <v>319</v>
      </c>
      <c r="F86" s="107" t="s">
        <v>319</v>
      </c>
      <c r="G86" s="107"/>
      <c r="H86" s="107" t="s">
        <v>319</v>
      </c>
      <c r="I86" s="107" t="s">
        <v>319</v>
      </c>
      <c r="J86" s="107" t="s">
        <v>319</v>
      </c>
      <c r="K86" s="106"/>
    </row>
    <row r="87" spans="1:11" ht="15" customHeight="1">
      <c r="B87" s="194" t="s">
        <v>296</v>
      </c>
      <c r="C87" s="590" t="s">
        <v>321</v>
      </c>
      <c r="D87" s="590" t="s">
        <v>321</v>
      </c>
      <c r="E87" s="590" t="s">
        <v>321</v>
      </c>
      <c r="F87" s="590" t="s">
        <v>321</v>
      </c>
      <c r="G87" s="108"/>
      <c r="H87" s="590" t="s">
        <v>321</v>
      </c>
      <c r="I87" s="590" t="s">
        <v>321</v>
      </c>
      <c r="J87" s="590" t="s">
        <v>321</v>
      </c>
      <c r="K87" s="106"/>
    </row>
    <row r="88" spans="1:11" ht="28.5" customHeight="1">
      <c r="B88" s="194" t="s">
        <v>298</v>
      </c>
      <c r="C88" s="598" t="s">
        <v>323</v>
      </c>
      <c r="D88" s="598" t="s">
        <v>323</v>
      </c>
      <c r="E88" s="598" t="s">
        <v>323</v>
      </c>
      <c r="F88" s="598" t="s">
        <v>323</v>
      </c>
      <c r="G88" s="435"/>
      <c r="H88" s="435" t="s">
        <v>357</v>
      </c>
      <c r="I88" s="81" t="s">
        <v>358</v>
      </c>
      <c r="J88" s="81" t="s">
        <v>358</v>
      </c>
      <c r="K88" s="106"/>
    </row>
    <row r="89" spans="1:11" ht="15" customHeight="1">
      <c r="B89" s="194" t="s">
        <v>300</v>
      </c>
      <c r="C89" s="598">
        <v>2142</v>
      </c>
      <c r="D89" s="598" t="s">
        <v>359</v>
      </c>
      <c r="E89" s="598">
        <v>2143</v>
      </c>
      <c r="F89" s="598">
        <v>2146</v>
      </c>
      <c r="G89" s="194"/>
      <c r="H89" s="598">
        <v>2148</v>
      </c>
      <c r="I89" s="598" t="s">
        <v>360</v>
      </c>
      <c r="J89" s="598" t="s">
        <v>361</v>
      </c>
      <c r="K89" s="106"/>
    </row>
    <row r="90" spans="1:11" ht="15" customHeight="1">
      <c r="B90" s="81" t="s">
        <v>301</v>
      </c>
      <c r="C90" s="593" t="s">
        <v>362</v>
      </c>
      <c r="D90" s="593" t="s">
        <v>363</v>
      </c>
      <c r="E90" s="593" t="s">
        <v>187</v>
      </c>
      <c r="F90" s="593" t="s">
        <v>364</v>
      </c>
      <c r="G90" s="81"/>
      <c r="H90" s="81" t="s">
        <v>365</v>
      </c>
      <c r="I90" s="593" t="s">
        <v>366</v>
      </c>
      <c r="J90" s="81" t="s">
        <v>367</v>
      </c>
      <c r="K90" s="81"/>
    </row>
    <row r="91" spans="1:11" ht="15" customHeight="1">
      <c r="F91" s="1" t="s">
        <v>368</v>
      </c>
      <c r="G91" s="1" t="s">
        <v>368</v>
      </c>
    </row>
  </sheetData>
  <mergeCells count="1">
    <mergeCell ref="A1:B1"/>
  </mergeCells>
  <phoneticPr fontId="29" type="noConversion"/>
  <hyperlinks>
    <hyperlink ref="A1" location="'Table of Contents'!A1" tooltip="Click here to return to the Table of Contents tab" display="Return to Table of Contents" xr:uid="{00000000-0004-0000-06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8">
    <tabColor indexed="45"/>
    <pageSetUpPr fitToPage="1"/>
  </sheetPr>
  <dimension ref="A1:O90"/>
  <sheetViews>
    <sheetView zoomScaleNormal="100" workbookViewId="0">
      <selection activeCell="L85" sqref="L85:L87"/>
    </sheetView>
  </sheetViews>
  <sheetFormatPr defaultColWidth="9.28515625" defaultRowHeight="15" customHeight="1"/>
  <cols>
    <col min="1" max="1" width="15.5703125" style="18" customWidth="1"/>
    <col min="2" max="2" width="10.28515625" style="1" customWidth="1"/>
    <col min="3" max="12" width="17.28515625" style="1" customWidth="1"/>
    <col min="13" max="13" width="17.28515625" style="48" customWidth="1"/>
    <col min="14" max="14" width="14.5703125" style="1" customWidth="1"/>
    <col min="15" max="15" width="17.28515625" style="1" customWidth="1"/>
    <col min="16" max="16" width="14" style="1" customWidth="1"/>
    <col min="17" max="16384" width="9.28515625" style="1"/>
  </cols>
  <sheetData>
    <row r="1" spans="1:15" ht="15.75" thickBot="1">
      <c r="A1" s="701" t="s">
        <v>27</v>
      </c>
      <c r="B1" s="702"/>
      <c r="C1" s="180"/>
      <c r="E1" s="2"/>
      <c r="F1" s="2"/>
      <c r="G1" s="2"/>
      <c r="H1" s="2"/>
      <c r="I1" s="2"/>
      <c r="J1" s="2"/>
      <c r="K1" s="2"/>
      <c r="M1" s="1"/>
    </row>
    <row r="2" spans="1:15" ht="16.5" customHeight="1">
      <c r="A2" s="1"/>
      <c r="B2" s="2"/>
      <c r="C2" s="2"/>
      <c r="D2" s="2"/>
      <c r="E2" s="2"/>
      <c r="F2" s="2"/>
      <c r="G2" s="2"/>
      <c r="H2" s="2"/>
      <c r="I2" s="2"/>
      <c r="J2" s="2"/>
      <c r="K2" s="2"/>
      <c r="M2" s="1"/>
    </row>
    <row r="3" spans="1:15" ht="16.5" customHeight="1">
      <c r="A3" s="1"/>
      <c r="B3" s="2"/>
      <c r="C3" s="2"/>
      <c r="D3" s="154"/>
      <c r="E3" s="2"/>
      <c r="F3" s="2"/>
      <c r="G3" s="2"/>
      <c r="H3" s="2"/>
      <c r="I3" s="2"/>
      <c r="J3" s="2"/>
      <c r="K3" s="2"/>
      <c r="M3" s="1"/>
    </row>
    <row r="4" spans="1:15" ht="16.5" customHeight="1">
      <c r="A4" s="1"/>
      <c r="B4" s="2"/>
      <c r="C4" s="2"/>
      <c r="D4" s="154"/>
      <c r="E4" s="154" t="s">
        <v>369</v>
      </c>
      <c r="F4" s="155" t="str">
        <f ca="1">ele_equil</f>
        <v>In equilibrium</v>
      </c>
      <c r="G4" s="2"/>
      <c r="H4" s="2"/>
      <c r="I4" s="2"/>
      <c r="J4" s="2"/>
      <c r="K4" s="2"/>
      <c r="M4" s="1"/>
    </row>
    <row r="5" spans="1:15" ht="16.5" customHeight="1">
      <c r="A5" s="1"/>
      <c r="B5" s="2"/>
      <c r="C5" s="2"/>
      <c r="D5" s="2"/>
      <c r="E5" s="2"/>
      <c r="F5" s="2"/>
      <c r="G5" s="2"/>
      <c r="H5" s="2"/>
      <c r="I5" s="2"/>
      <c r="J5" s="2"/>
      <c r="K5" s="2"/>
      <c r="M5" s="1"/>
    </row>
    <row r="6" spans="1:15" ht="19.5" customHeight="1">
      <c r="A6" s="16"/>
      <c r="B6" s="11" t="s">
        <v>370</v>
      </c>
      <c r="C6" s="12"/>
      <c r="D6" s="12"/>
      <c r="E6" s="12"/>
      <c r="F6" s="59"/>
      <c r="G6" s="59"/>
      <c r="H6" s="59"/>
      <c r="I6" s="59"/>
      <c r="J6" s="59"/>
      <c r="K6" s="59"/>
      <c r="L6" s="60"/>
      <c r="M6" s="60"/>
    </row>
    <row r="7" spans="1:15" ht="19.5" customHeight="1">
      <c r="A7" s="16"/>
      <c r="B7" s="14"/>
      <c r="C7" s="58"/>
      <c r="D7" s="58"/>
      <c r="E7" s="58"/>
      <c r="F7" s="10"/>
      <c r="G7" s="10"/>
      <c r="H7" s="10"/>
      <c r="I7" s="10"/>
      <c r="J7" s="10"/>
      <c r="K7" s="10"/>
      <c r="L7" s="10"/>
      <c r="M7" s="63"/>
    </row>
    <row r="8" spans="1:15" ht="29.25" customHeight="1">
      <c r="A8" s="16"/>
      <c r="B8" s="650"/>
      <c r="C8" s="653" t="s">
        <v>11</v>
      </c>
      <c r="D8" s="650" t="s">
        <v>256</v>
      </c>
      <c r="E8" s="650" t="s">
        <v>15</v>
      </c>
      <c r="F8" s="650" t="s">
        <v>260</v>
      </c>
      <c r="G8" s="650" t="s">
        <v>261</v>
      </c>
      <c r="H8" s="653" t="s">
        <v>262</v>
      </c>
      <c r="I8" s="653" t="s">
        <v>371</v>
      </c>
      <c r="J8" s="653" t="s">
        <v>372</v>
      </c>
      <c r="K8" s="653" t="s">
        <v>265</v>
      </c>
      <c r="L8" s="653" t="s">
        <v>373</v>
      </c>
      <c r="M8" s="650" t="s">
        <v>307</v>
      </c>
      <c r="O8" s="507" t="s">
        <v>313</v>
      </c>
    </row>
    <row r="9" spans="1:15" ht="29.25" customHeight="1" thickBot="1">
      <c r="A9" s="16"/>
      <c r="B9" s="66" t="s">
        <v>268</v>
      </c>
      <c r="C9" s="502" t="s">
        <v>374</v>
      </c>
      <c r="D9" s="502" t="s">
        <v>374</v>
      </c>
      <c r="E9" s="502" t="s">
        <v>374</v>
      </c>
      <c r="F9" s="502" t="s">
        <v>374</v>
      </c>
      <c r="G9" s="502" t="s">
        <v>374</v>
      </c>
      <c r="H9" s="502" t="s">
        <v>374</v>
      </c>
      <c r="I9" s="502" t="s">
        <v>374</v>
      </c>
      <c r="J9" s="502" t="s">
        <v>374</v>
      </c>
      <c r="K9" s="502" t="s">
        <v>374</v>
      </c>
      <c r="L9" s="502" t="s">
        <v>374</v>
      </c>
      <c r="M9" s="502" t="s">
        <v>374</v>
      </c>
      <c r="O9" s="513" t="s">
        <v>315</v>
      </c>
    </row>
    <row r="10" spans="1:15" ht="15" customHeight="1" thickTop="1">
      <c r="A10" s="16"/>
      <c r="B10" s="22">
        <f>'Oil supply projection'!$B10</f>
        <v>2019</v>
      </c>
      <c r="C10" s="31">
        <v>15.373374</v>
      </c>
      <c r="D10" s="31">
        <v>1360.8629149999999</v>
      </c>
      <c r="E10" s="31">
        <v>947.890625</v>
      </c>
      <c r="F10" s="31">
        <v>809.40924099999995</v>
      </c>
      <c r="G10" s="31">
        <v>286.407104</v>
      </c>
      <c r="H10" s="31">
        <v>68.046822000000006</v>
      </c>
      <c r="I10" s="31">
        <v>295.60403400000001</v>
      </c>
      <c r="J10" s="31">
        <v>0</v>
      </c>
      <c r="K10" s="31">
        <v>19.57921</v>
      </c>
      <c r="L10" s="511">
        <v>39.044429999999998</v>
      </c>
      <c r="M10" s="165">
        <f t="array" ref="M10:M84">aeo_sup_ele_oil+aeo_sup_ele_gas+aeo_sup_ele_coa+aeo_sup_ele_nuc+aeo_sup_ele_hyd+aeo_sup_ele_sol+aeo_sup_ele_won+aeo_sup_ele_wof+aeo_sup_ele_oth+aeo_sup_ele_imp</f>
        <v>3842.2177549999992</v>
      </c>
      <c r="O10" s="540">
        <v>8.4083081773842494E-3</v>
      </c>
    </row>
    <row r="11" spans="1:15" ht="15" customHeight="1">
      <c r="A11" s="17"/>
      <c r="B11" s="22">
        <f>'Oil supply projection'!$B11</f>
        <v>2020</v>
      </c>
      <c r="C11" s="31">
        <v>13.665286</v>
      </c>
      <c r="D11" s="31">
        <v>1405.1779790000001</v>
      </c>
      <c r="E11" s="31">
        <v>757.76324499999998</v>
      </c>
      <c r="F11" s="31">
        <v>789.87884499999996</v>
      </c>
      <c r="G11" s="31">
        <v>284.059326</v>
      </c>
      <c r="H11" s="31">
        <v>85.378699999999995</v>
      </c>
      <c r="I11" s="31">
        <v>337.15289300000001</v>
      </c>
      <c r="J11" s="31">
        <v>0</v>
      </c>
      <c r="K11" s="31">
        <v>18.539802999999999</v>
      </c>
      <c r="L11" s="511">
        <v>48.077648000000003</v>
      </c>
      <c r="M11" s="165">
        <v>3739.6937250000001</v>
      </c>
      <c r="O11" s="537">
        <f t="array" ref="O11">(INDEX(aeo_sup_ele_tot,MATCH(baseline_aeo_end_year,B10:B84,0),1)/INDEX(aeo_sup_ele_tot,MATCH(baseline_aeo_end_year-10,B10:B84,0),1))^(1/10)-1</f>
        <v>8.4083081773842494E-3</v>
      </c>
    </row>
    <row r="12" spans="1:15" ht="15" customHeight="1">
      <c r="B12" s="22">
        <f>'Oil supply projection'!$B12</f>
        <v>2021</v>
      </c>
      <c r="C12" s="31">
        <v>15.614943</v>
      </c>
      <c r="D12" s="31">
        <v>1363.643677</v>
      </c>
      <c r="E12" s="31">
        <v>882.30535899999995</v>
      </c>
      <c r="F12" s="31">
        <v>778.18798800000002</v>
      </c>
      <c r="G12" s="31">
        <v>250.39097599999999</v>
      </c>
      <c r="H12" s="31">
        <v>111.601555</v>
      </c>
      <c r="I12" s="31">
        <v>377.917328</v>
      </c>
      <c r="J12" s="31">
        <v>0</v>
      </c>
      <c r="K12" s="31">
        <v>17.285990000000002</v>
      </c>
      <c r="L12" s="511">
        <v>37.968921999999999</v>
      </c>
      <c r="M12" s="165">
        <v>3834.9167380000004</v>
      </c>
    </row>
    <row r="13" spans="1:15" ht="15" customHeight="1">
      <c r="B13" s="22">
        <f>'Oil supply projection'!$B13</f>
        <v>2022</v>
      </c>
      <c r="C13" s="31">
        <v>10.011640999999999</v>
      </c>
      <c r="D13" s="31">
        <v>1451.549072</v>
      </c>
      <c r="E13" s="31">
        <v>832.22631799999999</v>
      </c>
      <c r="F13" s="31">
        <v>771.984375</v>
      </c>
      <c r="G13" s="31">
        <v>275.04476899999997</v>
      </c>
      <c r="H13" s="31">
        <v>131.15711999999999</v>
      </c>
      <c r="I13" s="31">
        <v>437.395264</v>
      </c>
      <c r="J13" s="31">
        <v>1.4493499999999999</v>
      </c>
      <c r="K13" s="31">
        <v>13.175932</v>
      </c>
      <c r="L13" s="511">
        <v>42.686222000000001</v>
      </c>
      <c r="M13" s="165">
        <v>3966.6800629999993</v>
      </c>
    </row>
    <row r="14" spans="1:15" ht="15" customHeight="1">
      <c r="B14" s="22">
        <f>'Oil supply projection'!$B14</f>
        <v>2023</v>
      </c>
      <c r="C14" s="31">
        <v>9.5074550000000002</v>
      </c>
      <c r="D14" s="31">
        <v>1354.007568</v>
      </c>
      <c r="E14" s="31">
        <v>783.51873799999998</v>
      </c>
      <c r="F14" s="31">
        <v>783.71594200000004</v>
      </c>
      <c r="G14" s="31">
        <v>281.19339000000002</v>
      </c>
      <c r="H14" s="31">
        <v>172.775757</v>
      </c>
      <c r="I14" s="31">
        <v>462.89889499999998</v>
      </c>
      <c r="J14" s="31">
        <v>3.1028720000000001</v>
      </c>
      <c r="K14" s="31">
        <v>12.663155</v>
      </c>
      <c r="L14" s="511">
        <v>50.749699</v>
      </c>
      <c r="M14" s="165">
        <v>3914.1334709999992</v>
      </c>
    </row>
    <row r="15" spans="1:15" ht="15" customHeight="1">
      <c r="B15" s="22">
        <f>'Oil supply projection'!$B15</f>
        <v>2024</v>
      </c>
      <c r="C15" s="31">
        <v>9.5801850000000002</v>
      </c>
      <c r="D15" s="31">
        <v>1260.2685550000001</v>
      </c>
      <c r="E15" s="31">
        <v>822.87207000000001</v>
      </c>
      <c r="F15" s="31">
        <v>789.40368699999999</v>
      </c>
      <c r="G15" s="31">
        <v>290.520172</v>
      </c>
      <c r="H15" s="31">
        <v>247.21266199999999</v>
      </c>
      <c r="I15" s="31">
        <v>466.08728000000002</v>
      </c>
      <c r="J15" s="31">
        <v>5.5697780000000003</v>
      </c>
      <c r="K15" s="31">
        <v>13.129585000000001</v>
      </c>
      <c r="L15" s="511">
        <v>43.728789999999996</v>
      </c>
      <c r="M15" s="165">
        <v>3948.3727640000006</v>
      </c>
    </row>
    <row r="16" spans="1:15" ht="15" customHeight="1">
      <c r="B16" s="22">
        <f>'Oil supply projection'!$B16</f>
        <v>2025</v>
      </c>
      <c r="C16" s="31">
        <v>9.2644540000000006</v>
      </c>
      <c r="D16" s="31">
        <v>1193.9293210000001</v>
      </c>
      <c r="E16" s="31">
        <v>754.82116699999995</v>
      </c>
      <c r="F16" s="31">
        <v>782.25647000000004</v>
      </c>
      <c r="G16" s="31">
        <v>298.564911</v>
      </c>
      <c r="H16" s="31">
        <v>365.23226899999997</v>
      </c>
      <c r="I16" s="31">
        <v>505.680969</v>
      </c>
      <c r="J16" s="31">
        <v>6.0719719999999997</v>
      </c>
      <c r="K16" s="31">
        <v>12.511452</v>
      </c>
      <c r="L16" s="511">
        <v>38.605705</v>
      </c>
      <c r="M16" s="165">
        <v>3966.9386900000004</v>
      </c>
    </row>
    <row r="17" spans="1:13" ht="15" customHeight="1">
      <c r="B17" s="22">
        <f>'Oil supply projection'!$B17</f>
        <v>2026</v>
      </c>
      <c r="C17" s="31">
        <v>8.5667869999999997</v>
      </c>
      <c r="D17" s="31">
        <v>1133.4957280000001</v>
      </c>
      <c r="E17" s="31">
        <v>650.24542199999996</v>
      </c>
      <c r="F17" s="31">
        <v>774.68359399999997</v>
      </c>
      <c r="G17" s="31">
        <v>299.28417999999999</v>
      </c>
      <c r="H17" s="31">
        <v>500.200714</v>
      </c>
      <c r="I17" s="31">
        <v>574.66332999999997</v>
      </c>
      <c r="J17" s="31">
        <v>6.8837390000000003</v>
      </c>
      <c r="K17" s="31">
        <v>12.187555</v>
      </c>
      <c r="L17" s="511">
        <v>39.763869999999997</v>
      </c>
      <c r="M17" s="165">
        <v>3999.9749190000002</v>
      </c>
    </row>
    <row r="18" spans="1:13" ht="15" customHeight="1">
      <c r="B18" s="22">
        <f>'Oil supply projection'!$B18</f>
        <v>2027</v>
      </c>
      <c r="C18" s="31">
        <v>7.882752</v>
      </c>
      <c r="D18" s="31">
        <v>1045.3156739999999</v>
      </c>
      <c r="E18" s="31">
        <v>554.14318800000001</v>
      </c>
      <c r="F18" s="31">
        <v>774.66992200000004</v>
      </c>
      <c r="G18" s="31">
        <v>299.32052599999997</v>
      </c>
      <c r="H18" s="31">
        <v>621.42309599999999</v>
      </c>
      <c r="I18" s="31">
        <v>662.603027</v>
      </c>
      <c r="J18" s="31">
        <v>6.8813440000000003</v>
      </c>
      <c r="K18" s="31">
        <v>11.813079999999999</v>
      </c>
      <c r="L18" s="511">
        <v>43.742728999999997</v>
      </c>
      <c r="M18" s="165">
        <v>4027.7953379999999</v>
      </c>
    </row>
    <row r="19" spans="1:13" ht="15" customHeight="1">
      <c r="B19" s="22">
        <f>'Oil supply projection'!$B19</f>
        <v>2028</v>
      </c>
      <c r="C19" s="31">
        <v>7.1739449999999998</v>
      </c>
      <c r="D19" s="31">
        <v>995.14343299999996</v>
      </c>
      <c r="E19" s="31">
        <v>455.10488900000001</v>
      </c>
      <c r="F19" s="31">
        <v>765.54077099999995</v>
      </c>
      <c r="G19" s="31">
        <v>297.98275799999999</v>
      </c>
      <c r="H19" s="31">
        <v>703.25769000000003</v>
      </c>
      <c r="I19" s="31">
        <v>769.13452099999995</v>
      </c>
      <c r="J19" s="31">
        <v>10.333074999999999</v>
      </c>
      <c r="K19" s="31">
        <v>10.422988999999999</v>
      </c>
      <c r="L19" s="511">
        <v>46.183383999999997</v>
      </c>
      <c r="M19" s="165">
        <v>4060.2774549999999</v>
      </c>
    </row>
    <row r="20" spans="1:13" ht="15" customHeight="1">
      <c r="B20" s="22">
        <f>'Oil supply projection'!$B20</f>
        <v>2029</v>
      </c>
      <c r="C20" s="31">
        <v>6.7830450000000004</v>
      </c>
      <c r="D20" s="31">
        <v>927.64160200000003</v>
      </c>
      <c r="E20" s="31">
        <v>389.37210099999999</v>
      </c>
      <c r="F20" s="31">
        <v>765.54077099999995</v>
      </c>
      <c r="G20" s="31">
        <v>295.70837399999999</v>
      </c>
      <c r="H20" s="31">
        <v>750.57293700000002</v>
      </c>
      <c r="I20" s="31">
        <v>890.17480499999999</v>
      </c>
      <c r="J20" s="31">
        <v>11.199923999999999</v>
      </c>
      <c r="K20" s="31">
        <v>9.4465020000000006</v>
      </c>
      <c r="L20" s="511">
        <v>43.442635000000003</v>
      </c>
      <c r="M20" s="165">
        <v>4089.8826959999992</v>
      </c>
    </row>
    <row r="21" spans="1:13" ht="15" customHeight="1">
      <c r="A21" s="17"/>
      <c r="B21" s="22">
        <f>'Oil supply projection'!$B21</f>
        <v>2030</v>
      </c>
      <c r="C21" s="31">
        <v>6.4519330000000004</v>
      </c>
      <c r="D21" s="31">
        <v>880.17126499999995</v>
      </c>
      <c r="E21" s="31">
        <v>340.84738199999998</v>
      </c>
      <c r="F21" s="31">
        <v>765.54174799999998</v>
      </c>
      <c r="G21" s="31">
        <v>292.43408199999999</v>
      </c>
      <c r="H21" s="31">
        <v>772.65405299999998</v>
      </c>
      <c r="I21" s="31">
        <v>971.27752699999996</v>
      </c>
      <c r="J21" s="31">
        <v>31.590298000000001</v>
      </c>
      <c r="K21" s="31">
        <v>9.1349680000000006</v>
      </c>
      <c r="L21" s="511">
        <v>46.496150999999998</v>
      </c>
      <c r="M21" s="165">
        <v>4116.5994069999997</v>
      </c>
    </row>
    <row r="22" spans="1:13" ht="15" customHeight="1">
      <c r="A22" s="17"/>
      <c r="B22" s="22">
        <f>'Oil supply projection'!$B22</f>
        <v>2031</v>
      </c>
      <c r="C22" s="31">
        <v>6.1715549999999997</v>
      </c>
      <c r="D22" s="31">
        <v>848.72186299999998</v>
      </c>
      <c r="E22" s="31">
        <v>333.40100100000001</v>
      </c>
      <c r="F22" s="31">
        <v>760.275757</v>
      </c>
      <c r="G22" s="31">
        <v>292.51760899999999</v>
      </c>
      <c r="H22" s="31">
        <v>806.37115500000004</v>
      </c>
      <c r="I22" s="31">
        <v>1008.949036</v>
      </c>
      <c r="J22" s="31">
        <v>36.692779999999999</v>
      </c>
      <c r="K22" s="31">
        <v>7.6867710000000002</v>
      </c>
      <c r="L22" s="511">
        <v>43.695644000000001</v>
      </c>
      <c r="M22" s="165">
        <v>4144.4831710000008</v>
      </c>
    </row>
    <row r="23" spans="1:13" ht="15" customHeight="1">
      <c r="A23" s="17"/>
      <c r="B23" s="22">
        <f>'Oil supply projection'!$B23</f>
        <v>2032</v>
      </c>
      <c r="C23" s="31">
        <v>6.1717120000000003</v>
      </c>
      <c r="D23" s="31">
        <v>835.04119900000001</v>
      </c>
      <c r="E23" s="31">
        <v>342.18566900000002</v>
      </c>
      <c r="F23" s="31">
        <v>760.28320299999996</v>
      </c>
      <c r="G23" s="31">
        <v>291.10406499999999</v>
      </c>
      <c r="H23" s="31">
        <v>839.74267599999996</v>
      </c>
      <c r="I23" s="31">
        <v>1017.776978</v>
      </c>
      <c r="J23" s="31">
        <v>36.695628999999997</v>
      </c>
      <c r="K23" s="31">
        <v>6.9181299999999997</v>
      </c>
      <c r="L23" s="511">
        <v>44.675964</v>
      </c>
      <c r="M23" s="165">
        <v>4180.595225</v>
      </c>
    </row>
    <row r="24" spans="1:13" ht="15" customHeight="1">
      <c r="A24" s="17"/>
      <c r="B24" s="22">
        <f>'Oil supply projection'!$B24</f>
        <v>2033</v>
      </c>
      <c r="C24" s="31">
        <v>6.1632680000000004</v>
      </c>
      <c r="D24" s="31">
        <v>801.416382</v>
      </c>
      <c r="E24" s="31">
        <v>349.845032</v>
      </c>
      <c r="F24" s="31">
        <v>723.33691399999998</v>
      </c>
      <c r="G24" s="31">
        <v>289.68283100000002</v>
      </c>
      <c r="H24" s="31">
        <v>882.38372800000002</v>
      </c>
      <c r="I24" s="31">
        <v>1066.0367429999999</v>
      </c>
      <c r="J24" s="31">
        <v>37.142876000000001</v>
      </c>
      <c r="K24" s="31">
        <v>5.6215270000000004</v>
      </c>
      <c r="L24" s="511">
        <v>42.695923000000001</v>
      </c>
      <c r="M24" s="165">
        <v>4204.3252240000002</v>
      </c>
    </row>
    <row r="25" spans="1:13" ht="15" customHeight="1">
      <c r="A25" s="17"/>
      <c r="B25" s="22">
        <f>'Oil supply projection'!$B25</f>
        <v>2034</v>
      </c>
      <c r="C25" s="31">
        <v>6.1130639999999996</v>
      </c>
      <c r="D25" s="31">
        <v>773.24676499999998</v>
      </c>
      <c r="E25" s="31">
        <v>340.11288500000001</v>
      </c>
      <c r="F25" s="31">
        <v>713.47985800000004</v>
      </c>
      <c r="G25" s="31">
        <v>289.378693</v>
      </c>
      <c r="H25" s="31">
        <v>921.50457800000004</v>
      </c>
      <c r="I25" s="31">
        <v>1085.9564210000001</v>
      </c>
      <c r="J25" s="31">
        <v>52.592292999999998</v>
      </c>
      <c r="K25" s="31">
        <v>4.3021320000000003</v>
      </c>
      <c r="L25" s="511">
        <v>44.018687999999997</v>
      </c>
      <c r="M25" s="165">
        <v>4230.7053770000002</v>
      </c>
    </row>
    <row r="26" spans="1:13" ht="15" customHeight="1">
      <c r="A26" s="17"/>
      <c r="B26" s="22">
        <f>'Oil supply projection'!$B26</f>
        <v>2035</v>
      </c>
      <c r="C26" s="31">
        <v>6.0859449999999997</v>
      </c>
      <c r="D26" s="31">
        <v>766.52331500000003</v>
      </c>
      <c r="E26" s="31">
        <v>337.73391700000002</v>
      </c>
      <c r="F26" s="31">
        <v>697.54510500000004</v>
      </c>
      <c r="G26" s="31">
        <v>290.44045999999997</v>
      </c>
      <c r="H26" s="31">
        <v>948.94750999999997</v>
      </c>
      <c r="I26" s="31">
        <v>1091.9239500000001</v>
      </c>
      <c r="J26" s="31">
        <v>77.986678999999995</v>
      </c>
      <c r="K26" s="31">
        <v>2.816074</v>
      </c>
      <c r="L26" s="511">
        <v>43.269103999999999</v>
      </c>
      <c r="M26" s="165">
        <v>4263.2720589999999</v>
      </c>
    </row>
    <row r="27" spans="1:13" ht="15" customHeight="1">
      <c r="A27" s="17"/>
      <c r="B27" s="22">
        <f>'Oil supply projection'!$B27</f>
        <v>2036</v>
      </c>
      <c r="C27" s="31">
        <v>5.9661030000000004</v>
      </c>
      <c r="D27" s="31">
        <v>764.89202899999998</v>
      </c>
      <c r="E27" s="31">
        <v>329.04345699999999</v>
      </c>
      <c r="F27" s="31">
        <v>692.59680200000003</v>
      </c>
      <c r="G27" s="31">
        <v>289.89865099999997</v>
      </c>
      <c r="H27" s="31">
        <v>980.00799600000005</v>
      </c>
      <c r="I27" s="31">
        <v>1095.6832280000001</v>
      </c>
      <c r="J27" s="31">
        <v>89.196106</v>
      </c>
      <c r="K27" s="31">
        <v>0.76498500000000003</v>
      </c>
      <c r="L27" s="511">
        <v>42.771712999999998</v>
      </c>
      <c r="M27" s="165">
        <v>4290.82107</v>
      </c>
    </row>
    <row r="28" spans="1:13" ht="15" customHeight="1">
      <c r="A28" s="19"/>
      <c r="B28" s="22">
        <f>'Oil supply projection'!$B28</f>
        <v>2037</v>
      </c>
      <c r="C28" s="31">
        <v>5.7849190000000004</v>
      </c>
      <c r="D28" s="31">
        <v>777.92687999999998</v>
      </c>
      <c r="E28" s="31">
        <v>317.14404300000001</v>
      </c>
      <c r="F28" s="31">
        <v>690.27758800000004</v>
      </c>
      <c r="G28" s="31">
        <v>289.65612800000002</v>
      </c>
      <c r="H28" s="31">
        <v>1009.938232</v>
      </c>
      <c r="I28" s="31">
        <v>1098.348389</v>
      </c>
      <c r="J28" s="31">
        <v>88.550849999999997</v>
      </c>
      <c r="K28" s="31">
        <v>-1.3926769999999999</v>
      </c>
      <c r="L28" s="511">
        <v>42.354270999999997</v>
      </c>
      <c r="M28" s="165">
        <v>4318.5886229999996</v>
      </c>
    </row>
    <row r="29" spans="1:13" ht="15" customHeight="1">
      <c r="A29" s="17"/>
      <c r="B29" s="22">
        <f>'Oil supply projection'!$B29</f>
        <v>2038</v>
      </c>
      <c r="C29" s="31">
        <v>5.5026229999999998</v>
      </c>
      <c r="D29" s="31">
        <v>795.72100799999998</v>
      </c>
      <c r="E29" s="31">
        <v>303.00882000000001</v>
      </c>
      <c r="F29" s="31">
        <v>678.76904300000001</v>
      </c>
      <c r="G29" s="31">
        <v>289.10537699999998</v>
      </c>
      <c r="H29" s="31">
        <v>1048.928467</v>
      </c>
      <c r="I29" s="31">
        <v>1099.3482670000001</v>
      </c>
      <c r="J29" s="31">
        <v>86.671829000000002</v>
      </c>
      <c r="K29" s="31">
        <v>-3.884036</v>
      </c>
      <c r="L29" s="511">
        <v>43.742542</v>
      </c>
      <c r="M29" s="165">
        <v>4346.9139399999995</v>
      </c>
    </row>
    <row r="30" spans="1:13" ht="15" customHeight="1">
      <c r="A30" s="17"/>
      <c r="B30" s="22">
        <f>'Oil supply projection'!$B30</f>
        <v>2039</v>
      </c>
      <c r="C30" s="31">
        <v>5.3730349999999998</v>
      </c>
      <c r="D30" s="31">
        <v>799.26873799999998</v>
      </c>
      <c r="E30" s="31">
        <v>291.60855099999998</v>
      </c>
      <c r="F30" s="31">
        <v>678.30932600000006</v>
      </c>
      <c r="G30" s="31">
        <v>288.35522500000002</v>
      </c>
      <c r="H30" s="31">
        <v>1080.7979740000001</v>
      </c>
      <c r="I30" s="31">
        <v>1101.076904</v>
      </c>
      <c r="J30" s="31">
        <v>87.305205999999998</v>
      </c>
      <c r="K30" s="31">
        <v>-6.3138490000000003</v>
      </c>
      <c r="L30" s="511">
        <v>44.083804999999998</v>
      </c>
      <c r="M30" s="165">
        <v>4369.8649150000001</v>
      </c>
    </row>
    <row r="31" spans="1:13" ht="15" customHeight="1">
      <c r="A31" s="17"/>
      <c r="B31" s="22">
        <f>'Oil supply projection'!$B31</f>
        <v>2040</v>
      </c>
      <c r="C31" s="31">
        <v>5.2795730000000001</v>
      </c>
      <c r="D31" s="31">
        <v>815.78271500000005</v>
      </c>
      <c r="E31" s="31">
        <v>286.91546599999998</v>
      </c>
      <c r="F31" s="31">
        <v>658.96191399999998</v>
      </c>
      <c r="G31" s="31">
        <v>287.27090500000003</v>
      </c>
      <c r="H31" s="31">
        <v>1117.077393</v>
      </c>
      <c r="I31" s="31">
        <v>1102.685547</v>
      </c>
      <c r="J31" s="31">
        <v>85.858138999999994</v>
      </c>
      <c r="K31" s="31">
        <v>-8.8335659999999994</v>
      </c>
      <c r="L31" s="511">
        <v>44.560111999999997</v>
      </c>
      <c r="M31" s="165">
        <v>4395.5581979999997</v>
      </c>
    </row>
    <row r="32" spans="1:13" ht="15" customHeight="1">
      <c r="A32" s="17"/>
      <c r="B32" s="22">
        <f>'Oil supply projection'!$B32</f>
        <v>2041</v>
      </c>
      <c r="C32" s="31">
        <v>5.0096889999999998</v>
      </c>
      <c r="D32" s="31">
        <v>820.80584699999997</v>
      </c>
      <c r="E32" s="31">
        <v>289.45929000000001</v>
      </c>
      <c r="F32" s="31">
        <v>658.99951199999998</v>
      </c>
      <c r="G32" s="31">
        <v>286.36322000000001</v>
      </c>
      <c r="H32" s="31">
        <v>1142.006836</v>
      </c>
      <c r="I32" s="31">
        <v>1105.775879</v>
      </c>
      <c r="J32" s="31">
        <v>86.556281999999996</v>
      </c>
      <c r="K32" s="31">
        <v>-11.170367000000001</v>
      </c>
      <c r="L32" s="511">
        <v>43.143768000000001</v>
      </c>
      <c r="M32" s="165">
        <v>4426.9499559999995</v>
      </c>
    </row>
    <row r="33" spans="1:13" ht="15" customHeight="1">
      <c r="A33" s="17"/>
      <c r="B33" s="22">
        <f>'Oil supply projection'!$B33</f>
        <v>2042</v>
      </c>
      <c r="C33" s="31">
        <v>4.7057270000000004</v>
      </c>
      <c r="D33" s="31">
        <v>825.57653800000003</v>
      </c>
      <c r="E33" s="31">
        <v>288.86123700000002</v>
      </c>
      <c r="F33" s="31">
        <v>658.99780299999998</v>
      </c>
      <c r="G33" s="31">
        <v>286.65527300000002</v>
      </c>
      <c r="H33" s="31">
        <v>1173.4117429999999</v>
      </c>
      <c r="I33" s="31">
        <v>1107.0272219999999</v>
      </c>
      <c r="J33" s="31">
        <v>86.190414000000004</v>
      </c>
      <c r="K33" s="31">
        <v>-12.584531</v>
      </c>
      <c r="L33" s="511">
        <v>42.631931000000002</v>
      </c>
      <c r="M33" s="165">
        <v>4461.4733569999989</v>
      </c>
    </row>
    <row r="34" spans="1:13" ht="15" customHeight="1">
      <c r="A34" s="17"/>
      <c r="B34" s="22">
        <f>'Oil supply projection'!$B34</f>
        <v>2043</v>
      </c>
      <c r="C34" s="31">
        <v>4.3581310000000002</v>
      </c>
      <c r="D34" s="31">
        <v>839.01550299999997</v>
      </c>
      <c r="E34" s="31">
        <v>284.04461700000002</v>
      </c>
      <c r="F34" s="31">
        <v>658.99658199999999</v>
      </c>
      <c r="G34" s="31">
        <v>286.80542000000003</v>
      </c>
      <c r="H34" s="31">
        <v>1201.8596190000001</v>
      </c>
      <c r="I34" s="31">
        <v>1110.727539</v>
      </c>
      <c r="J34" s="31">
        <v>86.359275999999994</v>
      </c>
      <c r="K34" s="31">
        <v>-13.956576</v>
      </c>
      <c r="L34" s="511">
        <v>42.805073</v>
      </c>
      <c r="M34" s="165">
        <v>4501.0151840000008</v>
      </c>
    </row>
    <row r="35" spans="1:13" ht="15" customHeight="1">
      <c r="A35" s="17"/>
      <c r="B35" s="22">
        <f>'Oil supply projection'!$B35</f>
        <v>2044</v>
      </c>
      <c r="C35" s="31">
        <v>4.0199639999999999</v>
      </c>
      <c r="D35" s="31">
        <v>840.47241199999996</v>
      </c>
      <c r="E35" s="31">
        <v>279.06158399999998</v>
      </c>
      <c r="F35" s="31">
        <v>658.10626200000002</v>
      </c>
      <c r="G35" s="31">
        <v>286.49581899999998</v>
      </c>
      <c r="H35" s="31">
        <v>1238.204956</v>
      </c>
      <c r="I35" s="31">
        <v>1115.936279</v>
      </c>
      <c r="J35" s="31">
        <v>86.802031999999997</v>
      </c>
      <c r="K35" s="31">
        <v>-15.436888</v>
      </c>
      <c r="L35" s="511">
        <v>43.312237000000003</v>
      </c>
      <c r="M35" s="165">
        <v>4536.9746569999998</v>
      </c>
    </row>
    <row r="36" spans="1:13" ht="15" customHeight="1">
      <c r="A36" s="17"/>
      <c r="B36" s="22">
        <f>'Oil supply projection'!$B36</f>
        <v>2045</v>
      </c>
      <c r="C36" s="31">
        <v>3.685667</v>
      </c>
      <c r="D36" s="31">
        <v>833.18713400000001</v>
      </c>
      <c r="E36" s="31">
        <v>275.87051400000001</v>
      </c>
      <c r="F36" s="31">
        <v>658.80487100000005</v>
      </c>
      <c r="G36" s="31">
        <v>286.470215</v>
      </c>
      <c r="H36" s="31">
        <v>1287.1461179999999</v>
      </c>
      <c r="I36" s="31">
        <v>1118.555908</v>
      </c>
      <c r="J36" s="31">
        <v>87.801642999999999</v>
      </c>
      <c r="K36" s="31">
        <v>-17.177644999999998</v>
      </c>
      <c r="L36" s="511">
        <v>41.575080999999997</v>
      </c>
      <c r="M36" s="165">
        <v>4575.9195060000002</v>
      </c>
    </row>
    <row r="37" spans="1:13" ht="15" customHeight="1">
      <c r="A37" s="17"/>
      <c r="B37" s="22">
        <f>'Oil supply projection'!$B37</f>
        <v>2046</v>
      </c>
      <c r="C37" s="31">
        <v>3.6581730000000001</v>
      </c>
      <c r="D37" s="31">
        <v>841.22033699999997</v>
      </c>
      <c r="E37" s="31">
        <v>264.391998</v>
      </c>
      <c r="F37" s="31">
        <v>658.22100799999998</v>
      </c>
      <c r="G37" s="31">
        <v>285.99667399999998</v>
      </c>
      <c r="H37" s="31">
        <v>1332.1292719999999</v>
      </c>
      <c r="I37" s="31">
        <v>1119.5538329999999</v>
      </c>
      <c r="J37" s="31">
        <v>86.945662999999996</v>
      </c>
      <c r="K37" s="31">
        <v>-18.442575000000001</v>
      </c>
      <c r="L37" s="31">
        <v>40.850346000000002</v>
      </c>
      <c r="M37" s="165">
        <v>4614.5247290000007</v>
      </c>
    </row>
    <row r="38" spans="1:13" ht="15" customHeight="1">
      <c r="A38" s="17"/>
      <c r="B38" s="22">
        <f>'Oil supply projection'!$B38</f>
        <v>2047</v>
      </c>
      <c r="C38" s="31">
        <v>3.6974610000000001</v>
      </c>
      <c r="D38" s="31">
        <v>835.87609899999995</v>
      </c>
      <c r="E38" s="31">
        <v>266.890198</v>
      </c>
      <c r="F38" s="31">
        <v>657.87011700000005</v>
      </c>
      <c r="G38" s="31">
        <v>286.16754200000003</v>
      </c>
      <c r="H38" s="31">
        <v>1365.502563</v>
      </c>
      <c r="I38" s="31">
        <v>1130.4539789999999</v>
      </c>
      <c r="J38" s="31">
        <v>87.192818000000003</v>
      </c>
      <c r="K38" s="31">
        <v>-20.166788</v>
      </c>
      <c r="L38" s="31">
        <v>41.390774</v>
      </c>
      <c r="M38" s="165">
        <v>4654.8747629999998</v>
      </c>
    </row>
    <row r="39" spans="1:13" ht="15" customHeight="1">
      <c r="A39" s="19"/>
      <c r="B39" s="22">
        <f>'Oil supply projection'!$B39</f>
        <v>2048</v>
      </c>
      <c r="C39" s="31">
        <v>3.6815899999999999</v>
      </c>
      <c r="D39" s="31">
        <v>854.24475099999995</v>
      </c>
      <c r="E39" s="31">
        <v>258.35049400000003</v>
      </c>
      <c r="F39" s="31">
        <v>658.77417000000003</v>
      </c>
      <c r="G39" s="31">
        <v>285.745026</v>
      </c>
      <c r="H39" s="31">
        <v>1396.4722899999999</v>
      </c>
      <c r="I39" s="31">
        <v>1137.038452</v>
      </c>
      <c r="J39" s="31">
        <v>85.371810999999994</v>
      </c>
      <c r="K39" s="31">
        <v>-22.115106999999998</v>
      </c>
      <c r="L39" s="31">
        <v>40.744461000000001</v>
      </c>
      <c r="M39" s="165">
        <v>4698.3079380000008</v>
      </c>
    </row>
    <row r="40" spans="1:13" ht="15" customHeight="1">
      <c r="A40" s="17"/>
      <c r="B40" s="22">
        <f>'Oil supply projection'!$B40</f>
        <v>2049</v>
      </c>
      <c r="C40" s="31">
        <v>3.6870479999999999</v>
      </c>
      <c r="D40" s="31">
        <v>854.40374799999995</v>
      </c>
      <c r="E40" s="31">
        <v>254.083405</v>
      </c>
      <c r="F40" s="31">
        <v>650.47723399999995</v>
      </c>
      <c r="G40" s="31">
        <v>284.25701900000001</v>
      </c>
      <c r="H40" s="31">
        <v>1440.3801269999999</v>
      </c>
      <c r="I40" s="31">
        <v>1145.4486079999999</v>
      </c>
      <c r="J40" s="31">
        <v>85.594550999999996</v>
      </c>
      <c r="K40" s="31">
        <v>-24.563406000000001</v>
      </c>
      <c r="L40" s="31">
        <v>40.817172999999997</v>
      </c>
      <c r="M40" s="165">
        <v>4734.5855069999998</v>
      </c>
    </row>
    <row r="41" spans="1:13" ht="15" customHeight="1">
      <c r="A41" s="17"/>
      <c r="B41" s="22">
        <f>'Oil supply projection'!$B41</f>
        <v>2050</v>
      </c>
      <c r="C41" s="31">
        <v>3.6434829999999998</v>
      </c>
      <c r="D41" s="31">
        <v>868.44592299999999</v>
      </c>
      <c r="E41" s="31">
        <v>239.03779599999999</v>
      </c>
      <c r="F41" s="31">
        <v>636.42034899999999</v>
      </c>
      <c r="G41" s="31">
        <v>284.26333599999998</v>
      </c>
      <c r="H41" s="31">
        <v>1494.102539</v>
      </c>
      <c r="I41" s="31">
        <v>1155.7757570000001</v>
      </c>
      <c r="J41" s="31">
        <v>84.791870000000003</v>
      </c>
      <c r="K41" s="31">
        <v>-27.376453000000001</v>
      </c>
      <c r="L41" s="31">
        <v>40.348297000000002</v>
      </c>
      <c r="M41" s="165">
        <v>4779.452897000001</v>
      </c>
    </row>
    <row r="42" spans="1:13" ht="15" customHeight="1">
      <c r="A42" s="17"/>
      <c r="B42" s="22">
        <f>'Oil supply projection'!$B42</f>
        <v>2051</v>
      </c>
      <c r="C42" s="31">
        <f t="shared" ref="C42:C84" si="0">C41*(1+elect_forecast)</f>
        <v>3.6741185279030604</v>
      </c>
      <c r="D42" s="31">
        <f t="shared" ref="D42:D84" si="1">D41*(1+elect_forecast)</f>
        <v>875.74808395597688</v>
      </c>
      <c r="E42" s="31">
        <f t="shared" ref="E42:E84" si="2">E41*(1+elect_forecast)</f>
        <v>241.0476994548107</v>
      </c>
      <c r="F42" s="31">
        <f t="shared" ref="F42:F84" si="3">F41*(1+elect_forecast)</f>
        <v>641.7715674247504</v>
      </c>
      <c r="G42" s="31">
        <f t="shared" ref="G42:G84" si="4">G41*(1+elect_forecast)</f>
        <v>286.65350973261928</v>
      </c>
      <c r="H42" s="31">
        <f t="shared" ref="H42:H84" si="5">H41*(1+elect_forecast)</f>
        <v>1506.6654135965243</v>
      </c>
      <c r="I42" s="31">
        <f t="shared" ref="I42:I84" si="6">I41*(1+elect_forecast)</f>
        <v>1165.4938757488057</v>
      </c>
      <c r="J42" s="31">
        <f t="shared" ref="J42:J84" si="7">J41*(1+elect_forecast)</f>
        <v>85.504826173896703</v>
      </c>
      <c r="K42" s="31">
        <f t="shared" ref="K42:K84" si="8">K41*(1+elect_forecast)</f>
        <v>-27.606642653627677</v>
      </c>
      <c r="L42" s="31">
        <f t="shared" ref="L42:L84" si="9">L41*(1+elect_forecast)</f>
        <v>40.687557915608629</v>
      </c>
      <c r="M42" s="165">
        <v>4819.6400098772674</v>
      </c>
    </row>
    <row r="43" spans="1:13" ht="15" customHeight="1">
      <c r="A43" s="17"/>
      <c r="B43" s="22">
        <f>'Oil supply projection'!$B43</f>
        <v>2052</v>
      </c>
      <c r="C43" s="31">
        <f t="shared" si="0"/>
        <v>3.7050116487659066</v>
      </c>
      <c r="D43" s="31">
        <f t="shared" si="1"/>
        <v>883.11164373163251</v>
      </c>
      <c r="E43" s="31">
        <f t="shared" si="2"/>
        <v>243.07450279727624</v>
      </c>
      <c r="F43" s="31">
        <f t="shared" si="3"/>
        <v>647.16778054314068</v>
      </c>
      <c r="G43" s="31">
        <f t="shared" si="4"/>
        <v>289.06378078257995</v>
      </c>
      <c r="H43" s="31">
        <f t="shared" si="5"/>
        <v>1519.3339207142501</v>
      </c>
      <c r="I43" s="31">
        <f t="shared" si="6"/>
        <v>1175.2937074349556</v>
      </c>
      <c r="J43" s="31">
        <f t="shared" si="7"/>
        <v>86.223777103020495</v>
      </c>
      <c r="K43" s="31">
        <f t="shared" si="8"/>
        <v>-27.838767812802299</v>
      </c>
      <c r="L43" s="31">
        <f t="shared" si="9"/>
        <v>41.029671441548238</v>
      </c>
      <c r="M43" s="165">
        <v>4860.1650283843674</v>
      </c>
    </row>
    <row r="44" spans="1:13" ht="15" customHeight="1">
      <c r="A44" s="17"/>
      <c r="B44" s="22">
        <f>'Oil supply projection'!$B44</f>
        <v>2053</v>
      </c>
      <c r="C44" s="31">
        <f t="shared" si="0"/>
        <v>3.7361645285095291</v>
      </c>
      <c r="D44" s="31">
        <f t="shared" si="1"/>
        <v>890.5371185871644</v>
      </c>
      <c r="E44" s="31">
        <f t="shared" si="2"/>
        <v>245.11834812686018</v>
      </c>
      <c r="F44" s="31">
        <f t="shared" si="3"/>
        <v>652.60936668442116</v>
      </c>
      <c r="G44" s="31">
        <f t="shared" si="4"/>
        <v>291.49431813431971</v>
      </c>
      <c r="H44" s="31">
        <f t="shared" si="5"/>
        <v>1532.1089485439691</v>
      </c>
      <c r="I44" s="31">
        <f t="shared" si="6"/>
        <v>1185.1759391260093</v>
      </c>
      <c r="J44" s="31">
        <f t="shared" si="7"/>
        <v>86.948773193120786</v>
      </c>
      <c r="K44" s="31">
        <f t="shared" si="8"/>
        <v>-28.072844751850987</v>
      </c>
      <c r="L44" s="31">
        <f t="shared" si="9"/>
        <v>41.374661563445599</v>
      </c>
      <c r="M44" s="165">
        <v>4901.0307937359676</v>
      </c>
    </row>
    <row r="45" spans="1:13" ht="15" customHeight="1">
      <c r="A45" s="17"/>
      <c r="B45" s="22">
        <f>'Oil supply projection'!$B45</f>
        <v>2054</v>
      </c>
      <c r="C45" s="31">
        <f t="shared" si="0"/>
        <v>3.7675793512666487</v>
      </c>
      <c r="D45" s="31">
        <f t="shared" si="1"/>
        <v>898.02502912364503</v>
      </c>
      <c r="E45" s="31">
        <f t="shared" si="2"/>
        <v>247.17937873784217</v>
      </c>
      <c r="F45" s="31">
        <f t="shared" si="3"/>
        <v>658.09670735895133</v>
      </c>
      <c r="G45" s="31">
        <f t="shared" si="4"/>
        <v>293.94529219314956</v>
      </c>
      <c r="H45" s="31">
        <f t="shared" si="5"/>
        <v>1544.9913927446548</v>
      </c>
      <c r="I45" s="31">
        <f t="shared" si="6"/>
        <v>1195.1412636666016</v>
      </c>
      <c r="J45" s="31">
        <f t="shared" si="7"/>
        <v>87.679865273774027</v>
      </c>
      <c r="K45" s="31">
        <f t="shared" si="8"/>
        <v>-28.308889881940413</v>
      </c>
      <c r="L45" s="31">
        <f t="shared" si="9"/>
        <v>41.722552468606025</v>
      </c>
      <c r="M45" s="165">
        <v>4942.2401710365521</v>
      </c>
    </row>
    <row r="46" spans="1:13" ht="15" customHeight="1">
      <c r="A46" s="17"/>
      <c r="B46" s="22">
        <f>'Oil supply projection'!$B46</f>
        <v>2055</v>
      </c>
      <c r="C46" s="31">
        <f t="shared" si="0"/>
        <v>3.7992583195348479</v>
      </c>
      <c r="D46" s="31">
        <f t="shared" si="1"/>
        <v>905.57590031952111</v>
      </c>
      <c r="E46" s="31">
        <f t="shared" si="2"/>
        <v>249.25773912936432</v>
      </c>
      <c r="F46" s="31">
        <f t="shared" si="3"/>
        <v>663.63018728494728</v>
      </c>
      <c r="G46" s="31">
        <f t="shared" si="4"/>
        <v>296.41687479720082</v>
      </c>
      <c r="H46" s="31">
        <f t="shared" si="5"/>
        <v>1557.982156506258</v>
      </c>
      <c r="I46" s="31">
        <f t="shared" si="6"/>
        <v>1205.1903797270188</v>
      </c>
      <c r="J46" s="31">
        <f t="shared" si="7"/>
        <v>88.417104601947457</v>
      </c>
      <c r="K46" s="31">
        <f t="shared" si="8"/>
        <v>-28.546919752227403</v>
      </c>
      <c r="L46" s="31">
        <f t="shared" si="9"/>
        <v>42.073368547709151</v>
      </c>
      <c r="M46" s="165">
        <v>4983.7960494812742</v>
      </c>
    </row>
    <row r="47" spans="1:13" ht="15" customHeight="1">
      <c r="A47" s="17"/>
      <c r="B47" s="22">
        <f>'Oil supply projection'!$B47</f>
        <v>2056</v>
      </c>
      <c r="C47" s="31">
        <f t="shared" si="0"/>
        <v>3.831203654330988</v>
      </c>
      <c r="D47" s="31">
        <f t="shared" si="1"/>
        <v>913.19026156741984</v>
      </c>
      <c r="E47" s="31">
        <f t="shared" si="2"/>
        <v>251.35357501556206</v>
      </c>
      <c r="F47" s="31">
        <f t="shared" si="3"/>
        <v>669.21019441545434</v>
      </c>
      <c r="G47" s="31">
        <f t="shared" si="4"/>
        <v>298.9092392294728</v>
      </c>
      <c r="H47" s="31">
        <f t="shared" si="5"/>
        <v>1571.0821506130283</v>
      </c>
      <c r="I47" s="31">
        <f t="shared" si="6"/>
        <v>1215.3239918521824</v>
      </c>
      <c r="J47" s="31">
        <f t="shared" si="7"/>
        <v>89.160542865592646</v>
      </c>
      <c r="K47" s="31">
        <f t="shared" si="8"/>
        <v>-28.786951051019187</v>
      </c>
      <c r="L47" s="31">
        <f t="shared" si="9"/>
        <v>42.427134396518959</v>
      </c>
      <c r="M47" s="165">
        <v>5025.7013425585437</v>
      </c>
    </row>
    <row r="48" spans="1:13" ht="15" customHeight="1">
      <c r="A48" s="17"/>
      <c r="B48" s="22">
        <f>'Oil supply projection'!$B48</f>
        <v>2057</v>
      </c>
      <c r="C48" s="31">
        <f t="shared" si="0"/>
        <v>3.8634175953469239</v>
      </c>
      <c r="D48" s="31">
        <f t="shared" si="1"/>
        <v>920.86864671126489</v>
      </c>
      <c r="E48" s="31">
        <f t="shared" si="2"/>
        <v>253.46703333578017</v>
      </c>
      <c r="F48" s="31">
        <f t="shared" si="3"/>
        <v>674.83711996554666</v>
      </c>
      <c r="G48" s="31">
        <f t="shared" si="4"/>
        <v>301.42256022998168</v>
      </c>
      <c r="H48" s="31">
        <f t="shared" si="5"/>
        <v>1584.2922935073702</v>
      </c>
      <c r="I48" s="31">
        <f t="shared" si="6"/>
        <v>1225.5428105110443</v>
      </c>
      <c r="J48" s="31">
        <f t="shared" si="7"/>
        <v>89.910232187269429</v>
      </c>
      <c r="K48" s="31">
        <f t="shared" si="8"/>
        <v>-29.029000606943431</v>
      </c>
      <c r="L48" s="31">
        <f t="shared" si="9"/>
        <v>42.783874817608186</v>
      </c>
      <c r="M48" s="165">
        <v>5067.9589882542696</v>
      </c>
    </row>
    <row r="49" spans="1:13" ht="15" customHeight="1">
      <c r="A49" s="17"/>
      <c r="B49" s="22">
        <f>'Oil supply projection'!$B49</f>
        <v>2058</v>
      </c>
      <c r="C49" s="31">
        <f t="shared" si="0"/>
        <v>3.8959024011065297</v>
      </c>
      <c r="D49" s="31">
        <f t="shared" si="1"/>
        <v>928.61159408370395</v>
      </c>
      <c r="E49" s="31">
        <f t="shared" si="2"/>
        <v>255.59826226487473</v>
      </c>
      <c r="F49" s="31">
        <f t="shared" si="3"/>
        <v>680.51135843975544</v>
      </c>
      <c r="G49" s="31">
        <f t="shared" si="4"/>
        <v>303.95701400801153</v>
      </c>
      <c r="H49" s="31">
        <f t="shared" si="5"/>
        <v>1597.613511354235</v>
      </c>
      <c r="I49" s="31">
        <f t="shared" si="6"/>
        <v>1235.8475521463988</v>
      </c>
      <c r="J49" s="31">
        <f t="shared" si="7"/>
        <v>90.666225127800161</v>
      </c>
      <c r="K49" s="31">
        <f t="shared" si="8"/>
        <v>-29.273085390128085</v>
      </c>
      <c r="L49" s="31">
        <f t="shared" si="9"/>
        <v>43.143614822097263</v>
      </c>
      <c r="M49" s="165">
        <v>5110.5719492578555</v>
      </c>
    </row>
    <row r="50" spans="1:13" ht="15" customHeight="1">
      <c r="A50" s="17"/>
      <c r="B50" s="22">
        <f>'Oil supply projection'!$B50</f>
        <v>2059</v>
      </c>
      <c r="C50" s="31">
        <f t="shared" si="0"/>
        <v>3.9286603491240446</v>
      </c>
      <c r="D50" s="31">
        <f t="shared" si="1"/>
        <v>936.41964654385174</v>
      </c>
      <c r="E50" s="31">
        <f t="shared" si="2"/>
        <v>257.74741122360166</v>
      </c>
      <c r="F50" s="31">
        <f t="shared" si="3"/>
        <v>686.2333076597273</v>
      </c>
      <c r="G50" s="31">
        <f t="shared" si="4"/>
        <v>306.5127782544684</v>
      </c>
      <c r="H50" s="31">
        <f t="shared" si="5"/>
        <v>1611.0467381060544</v>
      </c>
      <c r="I50" s="31">
        <f t="shared" si="6"/>
        <v>1246.2389392251116</v>
      </c>
      <c r="J50" s="31">
        <f t="shared" si="7"/>
        <v>91.4285746899548</v>
      </c>
      <c r="K50" s="31">
        <f t="shared" si="8"/>
        <v>-29.519222513391167</v>
      </c>
      <c r="L50" s="31">
        <f t="shared" si="9"/>
        <v>43.506379631407817</v>
      </c>
      <c r="M50" s="165">
        <v>5153.5432131699099</v>
      </c>
    </row>
    <row r="51" spans="1:13" ht="15" customHeight="1">
      <c r="A51" s="17"/>
      <c r="B51" s="22">
        <f>'Oil supply projection'!$B51</f>
        <v>2060</v>
      </c>
      <c r="C51" s="31">
        <f t="shared" si="0"/>
        <v>3.9616937360637494</v>
      </c>
      <c r="D51" s="31">
        <f t="shared" si="1"/>
        <v>944.29335151534963</v>
      </c>
      <c r="E51" s="31">
        <f t="shared" si="2"/>
        <v>259.91463088909268</v>
      </c>
      <c r="F51" s="31">
        <f t="shared" si="3"/>
        <v>692.00336879211602</v>
      </c>
      <c r="G51" s="31">
        <f t="shared" si="4"/>
        <v>309.09003215433819</v>
      </c>
      <c r="H51" s="31">
        <f t="shared" si="5"/>
        <v>1624.5929155682197</v>
      </c>
      <c r="I51" s="31">
        <f t="shared" si="6"/>
        <v>1256.7177002887727</v>
      </c>
      <c r="J51" s="31">
        <f t="shared" si="7"/>
        <v>92.197334322166938</v>
      </c>
      <c r="K51" s="31">
        <f t="shared" si="8"/>
        <v>-29.767429233440538</v>
      </c>
      <c r="L51" s="31">
        <f t="shared" si="9"/>
        <v>43.872194679030969</v>
      </c>
      <c r="M51" s="165">
        <v>5196.8757927117103</v>
      </c>
    </row>
    <row r="52" spans="1:13" ht="15" customHeight="1">
      <c r="A52" s="17"/>
      <c r="B52" s="22">
        <f>'Oil supply projection'!$B52</f>
        <v>2061</v>
      </c>
      <c r="C52" s="31">
        <f t="shared" si="0"/>
        <v>3.9950048779009864</v>
      </c>
      <c r="D52" s="31">
        <f t="shared" si="1"/>
        <v>952.23326102474573</v>
      </c>
      <c r="E52" s="31">
        <f t="shared" si="2"/>
        <v>262.10007320541922</v>
      </c>
      <c r="F52" s="31">
        <f t="shared" si="3"/>
        <v>697.82194637670818</v>
      </c>
      <c r="G52" s="31">
        <f t="shared" si="4"/>
        <v>311.68895639924949</v>
      </c>
      <c r="H52" s="31">
        <f t="shared" si="5"/>
        <v>1638.2529934651125</v>
      </c>
      <c r="I52" s="31">
        <f t="shared" si="6"/>
        <v>1267.2845700047742</v>
      </c>
      <c r="J52" s="31">
        <f t="shared" si="7"/>
        <v>92.972557922281041</v>
      </c>
      <c r="K52" s="31">
        <f t="shared" si="8"/>
        <v>-30.017722952083783</v>
      </c>
      <c r="L52" s="31">
        <f t="shared" si="9"/>
        <v>44.241085612310457</v>
      </c>
      <c r="M52" s="165">
        <v>5240.5727259364176</v>
      </c>
    </row>
    <row r="53" spans="1:13" ht="15" customHeight="1">
      <c r="A53" s="16"/>
      <c r="B53" s="22">
        <f>'Oil supply projection'!$B53</f>
        <v>2062</v>
      </c>
      <c r="C53" s="31">
        <f t="shared" si="0"/>
        <v>4.0285961100845311</v>
      </c>
      <c r="D53" s="31">
        <f t="shared" si="1"/>
        <v>960.23993174019733</v>
      </c>
      <c r="E53" s="31">
        <f t="shared" si="2"/>
        <v>264.30389139424534</v>
      </c>
      <c r="F53" s="31">
        <f t="shared" si="3"/>
        <v>703.68944835478567</v>
      </c>
      <c r="G53" s="31">
        <f t="shared" si="4"/>
        <v>314.30973320014164</v>
      </c>
      <c r="H53" s="31">
        <f t="shared" si="5"/>
        <v>1652.0279295066894</v>
      </c>
      <c r="I53" s="31">
        <f t="shared" si="6"/>
        <v>1277.9402892178182</v>
      </c>
      <c r="J53" s="31">
        <f t="shared" si="7"/>
        <v>93.754299841331289</v>
      </c>
      <c r="K53" s="31">
        <f t="shared" si="8"/>
        <v>-30.270121217448246</v>
      </c>
      <c r="L53" s="31">
        <f t="shared" si="9"/>
        <v>44.6130782942408</v>
      </c>
      <c r="M53" s="165">
        <v>5284.6370764420863</v>
      </c>
    </row>
    <row r="54" spans="1:13" ht="15" customHeight="1">
      <c r="A54" s="16"/>
      <c r="B54" s="22">
        <f>'Oil supply projection'!$B54</f>
        <v>2063</v>
      </c>
      <c r="C54" s="31">
        <f t="shared" si="0"/>
        <v>4.0624697877003335</v>
      </c>
      <c r="D54" s="31">
        <f t="shared" si="1"/>
        <v>968.31392501049936</v>
      </c>
      <c r="E54" s="31">
        <f t="shared" si="2"/>
        <v>266.52623996557003</v>
      </c>
      <c r="F54" s="31">
        <f t="shared" si="3"/>
        <v>709.60628609772618</v>
      </c>
      <c r="G54" s="31">
        <f t="shared" si="4"/>
        <v>316.95254630003984</v>
      </c>
      <c r="H54" s="31">
        <f t="shared" si="5"/>
        <v>1665.9186894556276</v>
      </c>
      <c r="I54" s="31">
        <f t="shared" si="6"/>
        <v>1288.6856050018571</v>
      </c>
      <c r="J54" s="31">
        <f t="shared" si="7"/>
        <v>94.542614887352087</v>
      </c>
      <c r="K54" s="31">
        <f t="shared" si="8"/>
        <v>-30.524641725211328</v>
      </c>
      <c r="L54" s="31">
        <f t="shared" si="9"/>
        <v>44.988198805280547</v>
      </c>
      <c r="M54" s="165">
        <v>5329.0719335864414</v>
      </c>
    </row>
    <row r="55" spans="1:13" ht="15" customHeight="1">
      <c r="A55" s="16"/>
      <c r="B55" s="22">
        <f>'Oil supply projection'!$B55</f>
        <v>2064</v>
      </c>
      <c r="C55" s="31">
        <f t="shared" si="0"/>
        <v>4.0966282856366307</v>
      </c>
      <c r="D55" s="31">
        <f t="shared" si="1"/>
        <v>976.45580690444024</v>
      </c>
      <c r="E55" s="31">
        <f t="shared" si="2"/>
        <v>268.76727472855998</v>
      </c>
      <c r="F55" s="31">
        <f t="shared" si="3"/>
        <v>715.57287443584494</v>
      </c>
      <c r="G55" s="31">
        <f t="shared" si="4"/>
        <v>319.61758098693724</v>
      </c>
      <c r="H55" s="31">
        <f t="shared" si="5"/>
        <v>1679.9262471950346</v>
      </c>
      <c r="I55" s="31">
        <f t="shared" si="6"/>
        <v>1299.5212707124715</v>
      </c>
      <c r="J55" s="31">
        <f t="shared" si="7"/>
        <v>95.337558329220698</v>
      </c>
      <c r="K55" s="31">
        <f t="shared" si="8"/>
        <v>-30.781302319841146</v>
      </c>
      <c r="L55" s="31">
        <f t="shared" si="9"/>
        <v>45.366473445180773</v>
      </c>
      <c r="M55" s="165">
        <v>5373.8804127034855</v>
      </c>
    </row>
    <row r="56" spans="1:13" ht="15" customHeight="1">
      <c r="A56" s="16"/>
      <c r="B56" s="22">
        <f>'Oil supply projection'!$B56</f>
        <v>2065</v>
      </c>
      <c r="C56" s="31">
        <f t="shared" si="0"/>
        <v>4.1310739987504528</v>
      </c>
      <c r="D56" s="31">
        <f t="shared" si="1"/>
        <v>984.66614825048919</v>
      </c>
      <c r="E56" s="31">
        <f t="shared" si="2"/>
        <v>271.02715280247344</v>
      </c>
      <c r="F56" s="31">
        <f t="shared" si="3"/>
        <v>721.58963168747823</v>
      </c>
      <c r="G56" s="31">
        <f t="shared" si="4"/>
        <v>322.30502410678548</v>
      </c>
      <c r="H56" s="31">
        <f t="shared" si="5"/>
        <v>1694.0515847967272</v>
      </c>
      <c r="I56" s="31">
        <f t="shared" si="6"/>
        <v>1310.4480460396881</v>
      </c>
      <c r="J56" s="31">
        <f t="shared" si="7"/>
        <v>96.139185900532127</v>
      </c>
      <c r="K56" s="31">
        <f t="shared" si="8"/>
        <v>-31.040120995847602</v>
      </c>
      <c r="L56" s="31">
        <f t="shared" si="9"/>
        <v>45.747928734828974</v>
      </c>
      <c r="M56" s="165">
        <v>5419.065655321906</v>
      </c>
    </row>
    <row r="57" spans="1:13" ht="15" customHeight="1">
      <c r="A57" s="16"/>
      <c r="B57" s="22">
        <f>'Oil supply projection'!$B57</f>
        <v>2066</v>
      </c>
      <c r="C57" s="31">
        <f t="shared" si="0"/>
        <v>4.1658093420355256</v>
      </c>
      <c r="D57" s="31">
        <f t="shared" si="1"/>
        <v>992.94552467681717</v>
      </c>
      <c r="E57" s="31">
        <f t="shared" si="2"/>
        <v>273.30603262767562</v>
      </c>
      <c r="F57" s="31">
        <f t="shared" si="3"/>
        <v>727.65697968831171</v>
      </c>
      <c r="G57" s="31">
        <f t="shared" si="4"/>
        <v>325.01506407659457</v>
      </c>
      <c r="H57" s="31">
        <f t="shared" si="5"/>
        <v>1708.2956925900842</v>
      </c>
      <c r="I57" s="31">
        <f t="shared" si="6"/>
        <v>1321.4666970612407</v>
      </c>
      <c r="J57" s="31">
        <f t="shared" si="7"/>
        <v>96.947553803506636</v>
      </c>
      <c r="K57" s="31">
        <f t="shared" si="8"/>
        <v>-31.301115899043985</v>
      </c>
      <c r="L57" s="31">
        <f t="shared" si="9"/>
        <v>46.132591418108426</v>
      </c>
      <c r="M57" s="165">
        <v>5464.6308293853308</v>
      </c>
    </row>
    <row r="58" spans="1:13" ht="15" customHeight="1">
      <c r="A58" s="16"/>
      <c r="B58" s="22">
        <f>'Oil supply projection'!$B58</f>
        <v>2067</v>
      </c>
      <c r="C58" s="31">
        <f t="shared" si="0"/>
        <v>4.2008367507915869</v>
      </c>
      <c r="D58" s="31">
        <f t="shared" si="1"/>
        <v>1001.2945166516544</v>
      </c>
      <c r="E58" s="31">
        <f t="shared" si="2"/>
        <v>275.60407397674737</v>
      </c>
      <c r="F58" s="31">
        <f t="shared" si="3"/>
        <v>733.77534382095564</v>
      </c>
      <c r="G58" s="31">
        <f t="shared" si="4"/>
        <v>327.74789089764289</v>
      </c>
      <c r="H58" s="31">
        <f t="shared" si="5"/>
        <v>1722.6595692314797</v>
      </c>
      <c r="I58" s="31">
        <f t="shared" si="6"/>
        <v>1332.5779962962818</v>
      </c>
      <c r="J58" s="31">
        <f t="shared" si="7"/>
        <v>97.762718712930067</v>
      </c>
      <c r="K58" s="31">
        <f t="shared" si="8"/>
        <v>-31.56430532781917</v>
      </c>
      <c r="L58" s="31">
        <f t="shared" si="9"/>
        <v>46.520488463773233</v>
      </c>
      <c r="M58" s="165">
        <v>5510.5791294744377</v>
      </c>
    </row>
    <row r="59" spans="1:13" ht="15" customHeight="1">
      <c r="A59" s="16"/>
      <c r="B59" s="22">
        <f>'Oil supply projection'!$B59</f>
        <v>2068</v>
      </c>
      <c r="C59" s="31">
        <f t="shared" si="0"/>
        <v>4.2361586807951239</v>
      </c>
      <c r="D59" s="31">
        <f t="shared" si="1"/>
        <v>1009.7137095239865</v>
      </c>
      <c r="E59" s="31">
        <f t="shared" si="2"/>
        <v>277.92143796568649</v>
      </c>
      <c r="F59" s="31">
        <f t="shared" si="3"/>
        <v>739.94515304476829</v>
      </c>
      <c r="G59" s="31">
        <f t="shared" si="4"/>
        <v>330.503696168798</v>
      </c>
      <c r="H59" s="31">
        <f t="shared" si="5"/>
        <v>1737.1442217742981</v>
      </c>
      <c r="I59" s="31">
        <f t="shared" si="6"/>
        <v>1343.7827227595421</v>
      </c>
      <c r="J59" s="31">
        <f t="shared" si="7"/>
        <v>98.584737780127313</v>
      </c>
      <c r="K59" s="31">
        <f t="shared" si="8"/>
        <v>-31.829707734420523</v>
      </c>
      <c r="L59" s="31">
        <f t="shared" si="9"/>
        <v>46.911647067339089</v>
      </c>
      <c r="M59" s="165">
        <v>5556.9137770309208</v>
      </c>
    </row>
    <row r="60" spans="1:13" ht="15" customHeight="1">
      <c r="A60" s="16"/>
      <c r="B60" s="22">
        <f>'Oil supply projection'!$B60</f>
        <v>2069</v>
      </c>
      <c r="C60" s="31">
        <f t="shared" si="0"/>
        <v>4.2717776084715506</v>
      </c>
      <c r="D60" s="31">
        <f t="shared" si="1"/>
        <v>1018.203693564594</v>
      </c>
      <c r="E60" s="31">
        <f t="shared" si="2"/>
        <v>280.25828706520377</v>
      </c>
      <c r="F60" s="31">
        <f t="shared" si="3"/>
        <v>746.1668399259305</v>
      </c>
      <c r="G60" s="31">
        <f t="shared" si="4"/>
        <v>333.28267309994982</v>
      </c>
      <c r="H60" s="31">
        <f t="shared" si="5"/>
        <v>1751.7506657395388</v>
      </c>
      <c r="I60" s="31">
        <f t="shared" si="6"/>
        <v>1355.081662015949</v>
      </c>
      <c r="J60" s="31">
        <f t="shared" si="7"/>
        <v>99.413668636969234</v>
      </c>
      <c r="K60" s="31">
        <f t="shared" si="8"/>
        <v>-32.097341726247599</v>
      </c>
      <c r="L60" s="31">
        <f t="shared" si="9"/>
        <v>47.306094652989962</v>
      </c>
      <c r="M60" s="165">
        <v>5603.6380205833502</v>
      </c>
    </row>
    <row r="61" spans="1:13" ht="15" customHeight="1">
      <c r="A61" s="16"/>
      <c r="B61" s="22">
        <f>'Oil supply projection'!$B61</f>
        <v>2070</v>
      </c>
      <c r="C61" s="31">
        <f t="shared" si="0"/>
        <v>4.3076960310688293</v>
      </c>
      <c r="D61" s="31">
        <f t="shared" si="1"/>
        <v>1026.765064007436</v>
      </c>
      <c r="E61" s="31">
        <f t="shared" si="2"/>
        <v>282.61478511211385</v>
      </c>
      <c r="F61" s="31">
        <f t="shared" si="3"/>
        <v>752.4408406677727</v>
      </c>
      <c r="G61" s="31">
        <f t="shared" si="4"/>
        <v>336.08501652555663</v>
      </c>
      <c r="H61" s="31">
        <f t="shared" si="5"/>
        <v>1766.4799251870149</v>
      </c>
      <c r="I61" s="31">
        <f t="shared" si="6"/>
        <v>1366.4756062357012</v>
      </c>
      <c r="J61" s="31">
        <f t="shared" si="7"/>
        <v>100.24956939991323</v>
      </c>
      <c r="K61" s="31">
        <f t="shared" si="8"/>
        <v>-32.3672260671567</v>
      </c>
      <c r="L61" s="31">
        <f t="shared" si="9"/>
        <v>47.703858875500813</v>
      </c>
      <c r="M61" s="165">
        <v>5650.7551359749214</v>
      </c>
    </row>
    <row r="62" spans="1:13" ht="15" customHeight="1">
      <c r="A62" s="16"/>
      <c r="B62" s="22">
        <f>'Oil supply projection'!$B62</f>
        <v>2071</v>
      </c>
      <c r="C62" s="31">
        <f t="shared" si="0"/>
        <v>4.3439164668325514</v>
      </c>
      <c r="D62" s="31">
        <f t="shared" si="1"/>
        <v>1035.3984210913823</v>
      </c>
      <c r="E62" s="31">
        <f t="shared" si="2"/>
        <v>284.99109732082172</v>
      </c>
      <c r="F62" s="31">
        <f t="shared" si="3"/>
        <v>758.76759514135745</v>
      </c>
      <c r="G62" s="31">
        <f t="shared" si="4"/>
        <v>338.91092291830478</v>
      </c>
      <c r="H62" s="31">
        <f t="shared" si="5"/>
        <v>1781.3330327871499</v>
      </c>
      <c r="I62" s="31">
        <f t="shared" si="6"/>
        <v>1377.965354249809</v>
      </c>
      <c r="J62" s="31">
        <f t="shared" si="7"/>
        <v>101.09249867407777</v>
      </c>
      <c r="K62" s="31">
        <f t="shared" si="8"/>
        <v>-32.639379678776422</v>
      </c>
      <c r="L62" s="31">
        <f t="shared" si="9"/>
        <v>48.104967622176474</v>
      </c>
      <c r="M62" s="165">
        <v>5698.2684265931357</v>
      </c>
    </row>
    <row r="63" spans="1:13" ht="15" customHeight="1">
      <c r="A63" s="16"/>
      <c r="B63" s="22">
        <f>'Oil supply projection'!$B63</f>
        <v>2072</v>
      </c>
      <c r="C63" s="31">
        <f t="shared" si="0"/>
        <v>4.3804414551824937</v>
      </c>
      <c r="D63" s="31">
        <f t="shared" si="1"/>
        <v>1044.1043701022957</v>
      </c>
      <c r="E63" s="31">
        <f t="shared" si="2"/>
        <v>287.38739029490608</v>
      </c>
      <c r="F63" s="31">
        <f t="shared" si="3"/>
        <v>765.14754691631867</v>
      </c>
      <c r="G63" s="31">
        <f t="shared" si="4"/>
        <v>341.76059040288362</v>
      </c>
      <c r="H63" s="31">
        <f t="shared" si="5"/>
        <v>1796.3110298933789</v>
      </c>
      <c r="I63" s="31">
        <f t="shared" si="6"/>
        <v>1389.5517116060998</v>
      </c>
      <c r="J63" s="31">
        <f t="shared" si="7"/>
        <v>101.94251555735123</v>
      </c>
      <c r="K63" s="31">
        <f t="shared" si="8"/>
        <v>-32.913821641834225</v>
      </c>
      <c r="L63" s="31">
        <f t="shared" si="9"/>
        <v>48.509449014806826</v>
      </c>
      <c r="M63" s="165">
        <v>5746.1812236013884</v>
      </c>
    </row>
    <row r="64" spans="1:13" ht="15" customHeight="1">
      <c r="A64" s="16"/>
      <c r="B64" s="22">
        <f>'Oil supply projection'!$B64</f>
        <v>2073</v>
      </c>
      <c r="C64" s="31">
        <f t="shared" si="0"/>
        <v>4.4172735568906578</v>
      </c>
      <c r="D64" s="31">
        <f t="shared" si="1"/>
        <v>1052.8835214154694</v>
      </c>
      <c r="E64" s="31">
        <f t="shared" si="2"/>
        <v>289.80383203879984</v>
      </c>
      <c r="F64" s="31">
        <f t="shared" si="3"/>
        <v>771.58114329196064</v>
      </c>
      <c r="G64" s="31">
        <f t="shared" si="4"/>
        <v>344.63421876987587</v>
      </c>
      <c r="H64" s="31">
        <f t="shared" si="5"/>
        <v>1811.4149666151568</v>
      </c>
      <c r="I64" s="31">
        <f t="shared" si="6"/>
        <v>1401.2354906256958</v>
      </c>
      <c r="J64" s="31">
        <f t="shared" si="7"/>
        <v>102.79967964453523</v>
      </c>
      <c r="K64" s="31">
        <f t="shared" si="8"/>
        <v>-33.190571197494229</v>
      </c>
      <c r="L64" s="31">
        <f t="shared" si="9"/>
        <v>48.917331411638429</v>
      </c>
      <c r="M64" s="165">
        <v>5794.4968861725292</v>
      </c>
    </row>
    <row r="65" spans="1:13" ht="15" customHeight="1">
      <c r="A65" s="16"/>
      <c r="B65" s="22">
        <f>'Oil supply projection'!$B65</f>
        <v>2074</v>
      </c>
      <c r="C65" s="31">
        <f t="shared" si="0"/>
        <v>4.4544153542608047</v>
      </c>
      <c r="D65" s="31">
        <f t="shared" si="1"/>
        <v>1061.7364905384202</v>
      </c>
      <c r="E65" s="31">
        <f t="shared" si="2"/>
        <v>292.24059196956898</v>
      </c>
      <c r="F65" s="31">
        <f t="shared" si="3"/>
        <v>778.06883532861798</v>
      </c>
      <c r="G65" s="31">
        <f t="shared" si="4"/>
        <v>347.53200948976507</v>
      </c>
      <c r="H65" s="31">
        <f t="shared" si="5"/>
        <v>1826.6459018915832</v>
      </c>
      <c r="I65" s="31">
        <f t="shared" si="6"/>
        <v>1413.0175104599648</v>
      </c>
      <c r="J65" s="31">
        <f t="shared" si="7"/>
        <v>103.66405103152286</v>
      </c>
      <c r="K65" s="31">
        <f t="shared" si="8"/>
        <v>-33.469647748706173</v>
      </c>
      <c r="L65" s="31">
        <f t="shared" si="9"/>
        <v>49.328643409362726</v>
      </c>
      <c r="M65" s="165">
        <v>5843.2188017243607</v>
      </c>
    </row>
    <row r="66" spans="1:13" ht="15" customHeight="1">
      <c r="A66" s="16"/>
      <c r="B66" s="22">
        <f>'Oil supply projection'!$B66</f>
        <v>2075</v>
      </c>
      <c r="C66" s="31">
        <f t="shared" si="0"/>
        <v>4.4918694513095021</v>
      </c>
      <c r="D66" s="31">
        <f t="shared" si="1"/>
        <v>1070.6638981540416</v>
      </c>
      <c r="E66" s="31">
        <f t="shared" si="2"/>
        <v>294.6978409287903</v>
      </c>
      <c r="F66" s="31">
        <f t="shared" si="3"/>
        <v>784.61107787927949</v>
      </c>
      <c r="G66" s="31">
        <f t="shared" si="4"/>
        <v>350.45416572706063</v>
      </c>
      <c r="H66" s="31">
        <f t="shared" si="5"/>
        <v>1842.0049035656436</v>
      </c>
      <c r="I66" s="31">
        <f t="shared" si="6"/>
        <v>1424.8985971479524</v>
      </c>
      <c r="J66" s="31">
        <f t="shared" si="7"/>
        <v>104.53569031951199</v>
      </c>
      <c r="K66" s="31">
        <f t="shared" si="8"/>
        <v>-33.751070861565786</v>
      </c>
      <c r="L66" s="31">
        <f t="shared" si="9"/>
        <v>49.743413845120941</v>
      </c>
      <c r="M66" s="165">
        <v>5892.3503861571444</v>
      </c>
    </row>
    <row r="67" spans="1:13" ht="15" customHeight="1">
      <c r="A67" s="16"/>
      <c r="B67" s="22">
        <f>'Oil supply projection'!$B67</f>
        <v>2076</v>
      </c>
      <c r="C67" s="31">
        <f t="shared" si="0"/>
        <v>4.5296384739486903</v>
      </c>
      <c r="D67" s="31">
        <f t="shared" si="1"/>
        <v>1079.6663701641203</v>
      </c>
      <c r="E67" s="31">
        <f t="shared" si="2"/>
        <v>297.17575119452931</v>
      </c>
      <c r="F67" s="31">
        <f t="shared" si="3"/>
        <v>791.20832962147813</v>
      </c>
      <c r="G67" s="31">
        <f t="shared" si="4"/>
        <v>353.40089235454184</v>
      </c>
      <c r="H67" s="31">
        <f t="shared" si="5"/>
        <v>1857.4930484590766</v>
      </c>
      <c r="I67" s="31">
        <f t="shared" si="6"/>
        <v>1436.879583674295</v>
      </c>
      <c r="J67" s="31">
        <f t="shared" si="7"/>
        <v>105.41465861925404</v>
      </c>
      <c r="K67" s="31">
        <f t="shared" si="8"/>
        <v>-34.034860266686565</v>
      </c>
      <c r="L67" s="31">
        <f t="shared" si="9"/>
        <v>50.16167179852588</v>
      </c>
      <c r="M67" s="165">
        <v>5941.8950840930829</v>
      </c>
    </row>
    <row r="68" spans="1:13" ht="15" customHeight="1">
      <c r="A68" s="16"/>
      <c r="B68" s="22">
        <f>'Oil supply projection'!$B68</f>
        <v>2077</v>
      </c>
      <c r="C68" s="31">
        <f t="shared" si="0"/>
        <v>4.5677250701697876</v>
      </c>
      <c r="D68" s="31">
        <f t="shared" si="1"/>
        <v>1088.7445377332181</v>
      </c>
      <c r="E68" s="31">
        <f t="shared" si="2"/>
        <v>299.67449649341859</v>
      </c>
      <c r="F68" s="31">
        <f t="shared" si="3"/>
        <v>797.86105308944889</v>
      </c>
      <c r="G68" s="31">
        <f t="shared" si="4"/>
        <v>356.3723959676214</v>
      </c>
      <c r="H68" s="31">
        <f t="shared" si="5"/>
        <v>1873.1114224478695</v>
      </c>
      <c r="I68" s="31">
        <f t="shared" si="6"/>
        <v>1448.9613100276199</v>
      </c>
      <c r="J68" s="31">
        <f t="shared" si="7"/>
        <v>106.30101755533849</v>
      </c>
      <c r="K68" s="31">
        <f t="shared" si="8"/>
        <v>-34.321035860583073</v>
      </c>
      <c r="L68" s="31">
        <f t="shared" si="9"/>
        <v>50.583446593700693</v>
      </c>
      <c r="M68" s="165">
        <v>5991.8563691178224</v>
      </c>
    </row>
    <row r="69" spans="1:13" ht="15" customHeight="1">
      <c r="A69" s="16"/>
      <c r="B69" s="22">
        <f>'Oil supply projection'!$B69</f>
        <v>2078</v>
      </c>
      <c r="C69" s="31">
        <f t="shared" si="0"/>
        <v>4.6061319102293394</v>
      </c>
      <c r="D69" s="31">
        <f t="shared" si="1"/>
        <v>1097.8990373329227</v>
      </c>
      <c r="E69" s="31">
        <f t="shared" si="2"/>
        <v>302.19425201283769</v>
      </c>
      <c r="F69" s="31">
        <f t="shared" si="3"/>
        <v>804.56971470655731</v>
      </c>
      <c r="G69" s="31">
        <f t="shared" si="4"/>
        <v>359.36888489882995</v>
      </c>
      <c r="H69" s="31">
        <f t="shared" si="5"/>
        <v>1888.8611205383897</v>
      </c>
      <c r="I69" s="31">
        <f t="shared" si="6"/>
        <v>1461.1446232594385</v>
      </c>
      <c r="J69" s="31">
        <f t="shared" si="7"/>
        <v>107.19482927051331</v>
      </c>
      <c r="K69" s="31">
        <f t="shared" si="8"/>
        <v>-34.609617707065915</v>
      </c>
      <c r="L69" s="31">
        <f t="shared" si="9"/>
        <v>51.008767801334784</v>
      </c>
      <c r="M69" s="165">
        <v>6042.2377440239879</v>
      </c>
    </row>
    <row r="70" spans="1:13" ht="15" customHeight="1">
      <c r="A70" s="16"/>
      <c r="B70" s="22">
        <f>'Oil supply projection'!$B70</f>
        <v>2079</v>
      </c>
      <c r="C70" s="31">
        <f t="shared" si="0"/>
        <v>4.6448616868362311</v>
      </c>
      <c r="D70" s="31">
        <f t="shared" si="1"/>
        <v>1107.1305107864714</v>
      </c>
      <c r="E70" s="31">
        <f t="shared" si="2"/>
        <v>304.73519441319576</v>
      </c>
      <c r="F70" s="31">
        <f t="shared" si="3"/>
        <v>811.33478481800012</v>
      </c>
      <c r="G70" s="31">
        <f t="shared" si="4"/>
        <v>362.39056923242225</v>
      </c>
      <c r="H70" s="31">
        <f t="shared" si="5"/>
        <v>1904.7432469441558</v>
      </c>
      <c r="I70" s="31">
        <f t="shared" si="6"/>
        <v>1473.4303775435319</v>
      </c>
      <c r="J70" s="31">
        <f t="shared" si="7"/>
        <v>108.09615643004187</v>
      </c>
      <c r="K70" s="31">
        <f t="shared" si="8"/>
        <v>-34.900626038648383</v>
      </c>
      <c r="L70" s="31">
        <f t="shared" si="9"/>
        <v>51.437665240757042</v>
      </c>
      <c r="M70" s="165">
        <v>6093.0427410567636</v>
      </c>
    </row>
    <row r="71" spans="1:13" ht="15" customHeight="1">
      <c r="A71" s="16"/>
      <c r="B71" s="22">
        <f>'Oil supply projection'!$B71</f>
        <v>2080</v>
      </c>
      <c r="C71" s="31">
        <f t="shared" si="0"/>
        <v>4.6839171153404751</v>
      </c>
      <c r="D71" s="31">
        <f t="shared" si="1"/>
        <v>1116.4396053137489</v>
      </c>
      <c r="E71" s="31">
        <f t="shared" si="2"/>
        <v>307.29750184031701</v>
      </c>
      <c r="F71" s="31">
        <f t="shared" si="3"/>
        <v>818.15673772378159</v>
      </c>
      <c r="G71" s="31">
        <f t="shared" si="4"/>
        <v>365.43766081910616</v>
      </c>
      <c r="H71" s="31">
        <f t="shared" si="5"/>
        <v>1920.7589151632537</v>
      </c>
      <c r="I71" s="31">
        <f t="shared" si="6"/>
        <v>1485.8194342358374</v>
      </c>
      <c r="J71" s="31">
        <f t="shared" si="7"/>
        <v>109.0050622260964</v>
      </c>
      <c r="K71" s="31">
        <f t="shared" si="8"/>
        <v>-35.194081257964982</v>
      </c>
      <c r="L71" s="31">
        <f t="shared" si="9"/>
        <v>51.870168982026456</v>
      </c>
      <c r="M71" s="165">
        <v>6144.2749221615422</v>
      </c>
    </row>
    <row r="72" spans="1:13" ht="15" customHeight="1">
      <c r="A72" s="16"/>
      <c r="B72" s="22">
        <f>'Oil supply projection'!$B72</f>
        <v>2081</v>
      </c>
      <c r="C72" s="31">
        <f t="shared" si="0"/>
        <v>4.7233009339235821</v>
      </c>
      <c r="D72" s="31">
        <f t="shared" si="1"/>
        <v>1125.8269735766642</v>
      </c>
      <c r="E72" s="31">
        <f t="shared" si="2"/>
        <v>309.88135393793073</v>
      </c>
      <c r="F72" s="31">
        <f t="shared" si="3"/>
        <v>825.03605171196648</v>
      </c>
      <c r="G72" s="31">
        <f t="shared" si="4"/>
        <v>368.51037329089564</v>
      </c>
      <c r="H72" s="31">
        <f t="shared" si="5"/>
        <v>1936.9092480564045</v>
      </c>
      <c r="I72" s="31">
        <f t="shared" si="6"/>
        <v>1498.3126619348391</v>
      </c>
      <c r="J72" s="31">
        <f t="shared" si="7"/>
        <v>109.92161038218836</v>
      </c>
      <c r="K72" s="31">
        <f t="shared" si="8"/>
        <v>-35.490003939201856</v>
      </c>
      <c r="L72" s="31">
        <f t="shared" si="9"/>
        <v>52.30630934804033</v>
      </c>
      <c r="M72" s="165">
        <v>6195.937879233652</v>
      </c>
    </row>
    <row r="73" spans="1:13" ht="15" customHeight="1">
      <c r="A73" s="16"/>
      <c r="B73" s="22">
        <f>'Oil supply projection'!$B73</f>
        <v>2082</v>
      </c>
      <c r="C73" s="31">
        <f t="shared" si="0"/>
        <v>4.7630159037905386</v>
      </c>
      <c r="D73" s="31">
        <f t="shared" si="1"/>
        <v>1135.2932737249087</v>
      </c>
      <c r="E73" s="31">
        <f t="shared" si="2"/>
        <v>312.48693186026594</v>
      </c>
      <c r="F73" s="31">
        <f t="shared" si="3"/>
        <v>831.97320909221298</v>
      </c>
      <c r="G73" s="31">
        <f t="shared" si="4"/>
        <v>371.60892207608839</v>
      </c>
      <c r="H73" s="31">
        <f t="shared" si="5"/>
        <v>1953.1953779256883</v>
      </c>
      <c r="I73" s="31">
        <f t="shared" si="6"/>
        <v>1510.9109365424642</v>
      </c>
      <c r="J73" s="31">
        <f t="shared" si="7"/>
        <v>110.84586515763617</v>
      </c>
      <c r="K73" s="31">
        <f t="shared" si="8"/>
        <v>-35.788414829539249</v>
      </c>
      <c r="L73" s="31">
        <f t="shared" si="9"/>
        <v>52.746116916660249</v>
      </c>
      <c r="M73" s="165">
        <v>6248.035234370177</v>
      </c>
    </row>
    <row r="74" spans="1:13" ht="15" customHeight="1">
      <c r="A74" s="16"/>
      <c r="B74" s="22">
        <f>'Oil supply projection'!$B74</f>
        <v>2083</v>
      </c>
      <c r="C74" s="31">
        <f t="shared" si="0"/>
        <v>4.8030648093633914</v>
      </c>
      <c r="D74" s="31">
        <f t="shared" si="1"/>
        <v>1144.8391694420991</v>
      </c>
      <c r="E74" s="31">
        <f t="shared" si="2"/>
        <v>315.11441828475233</v>
      </c>
      <c r="F74" s="31">
        <f t="shared" si="3"/>
        <v>838.96869622958764</v>
      </c>
      <c r="G74" s="31">
        <f t="shared" si="4"/>
        <v>374.7335244143697</v>
      </c>
      <c r="H74" s="31">
        <f t="shared" si="5"/>
        <v>1969.61844659393</v>
      </c>
      <c r="I74" s="31">
        <f t="shared" si="6"/>
        <v>1523.6151413254936</v>
      </c>
      <c r="J74" s="31">
        <f t="shared" si="7"/>
        <v>111.77789135207036</v>
      </c>
      <c r="K74" s="31">
        <f t="shared" si="8"/>
        <v>-36.089334850606086</v>
      </c>
      <c r="L74" s="31">
        <f t="shared" si="9"/>
        <v>53.189622522855871</v>
      </c>
      <c r="M74" s="165">
        <v>6300.5706401239158</v>
      </c>
    </row>
    <row r="75" spans="1:13" ht="15" customHeight="1">
      <c r="A75" s="16"/>
      <c r="B75" s="22">
        <f>'Oil supply projection'!$B75</f>
        <v>2084</v>
      </c>
      <c r="C75" s="31">
        <f t="shared" si="0"/>
        <v>4.8434504584764682</v>
      </c>
      <c r="D75" s="31">
        <f t="shared" si="1"/>
        <v>1154.4653299923089</v>
      </c>
      <c r="E75" s="31">
        <f t="shared" si="2"/>
        <v>317.76399742482772</v>
      </c>
      <c r="F75" s="31">
        <f t="shared" si="3"/>
        <v>846.02300357866432</v>
      </c>
      <c r="G75" s="31">
        <f t="shared" si="4"/>
        <v>377.88439937204305</v>
      </c>
      <c r="H75" s="31">
        <f t="shared" si="5"/>
        <v>1986.1796054847525</v>
      </c>
      <c r="I75" s="31">
        <f t="shared" si="6"/>
        <v>1536.4261669774871</v>
      </c>
      <c r="J75" s="31">
        <f t="shared" si="7"/>
        <v>112.71775430997674</v>
      </c>
      <c r="K75" s="31">
        <f t="shared" si="8"/>
        <v>-36.392785099946792</v>
      </c>
      <c r="L75" s="31">
        <f t="shared" si="9"/>
        <v>53.636857260866783</v>
      </c>
      <c r="M75" s="165">
        <v>6353.5477797594567</v>
      </c>
    </row>
    <row r="76" spans="1:13" ht="15" customHeight="1">
      <c r="A76" s="16"/>
      <c r="B76" s="22">
        <f>'Oil supply projection'!$B76</f>
        <v>2085</v>
      </c>
      <c r="C76" s="31">
        <f t="shared" si="0"/>
        <v>4.8841756825732316</v>
      </c>
      <c r="D76" s="31">
        <f t="shared" si="1"/>
        <v>1164.1724302669897</v>
      </c>
      <c r="E76" s="31">
        <f t="shared" si="2"/>
        <v>320.43585504285323</v>
      </c>
      <c r="F76" s="31">
        <f t="shared" si="3"/>
        <v>853.13662571790996</v>
      </c>
      <c r="G76" s="31">
        <f t="shared" si="4"/>
        <v>381.06176785738893</v>
      </c>
      <c r="H76" s="31">
        <f t="shared" si="5"/>
        <v>2002.8800157033038</v>
      </c>
      <c r="I76" s="31">
        <f t="shared" si="6"/>
        <v>1549.344911681231</v>
      </c>
      <c r="J76" s="31">
        <f t="shared" si="7"/>
        <v>113.66551992527771</v>
      </c>
      <c r="K76" s="31">
        <f t="shared" si="8"/>
        <v>-36.698786852500461</v>
      </c>
      <c r="L76" s="31">
        <f t="shared" si="9"/>
        <v>54.087852486382523</v>
      </c>
      <c r="M76" s="165">
        <v>6406.9703675114097</v>
      </c>
    </row>
    <row r="77" spans="1:13" ht="15" customHeight="1">
      <c r="A77" s="16"/>
      <c r="B77" s="22">
        <f>'Oil supply projection'!$B77</f>
        <v>2086</v>
      </c>
      <c r="C77" s="31">
        <f t="shared" si="0"/>
        <v>4.9252433369047939</v>
      </c>
      <c r="D77" s="31">
        <f t="shared" si="1"/>
        <v>1173.9611508322889</v>
      </c>
      <c r="E77" s="31">
        <f t="shared" si="2"/>
        <v>323.13017846313716</v>
      </c>
      <c r="F77" s="31">
        <f t="shared" si="3"/>
        <v>860.31006138435987</v>
      </c>
      <c r="G77" s="31">
        <f t="shared" si="4"/>
        <v>384.26585263615272</v>
      </c>
      <c r="H77" s="31">
        <f t="shared" si="5"/>
        <v>2019.7208481176615</v>
      </c>
      <c r="I77" s="31">
        <f t="shared" si="6"/>
        <v>1562.3722811717089</v>
      </c>
      <c r="J77" s="31">
        <f t="shared" si="7"/>
        <v>114.62125464595205</v>
      </c>
      <c r="K77" s="31">
        <f t="shared" si="8"/>
        <v>-37.00736156209242</v>
      </c>
      <c r="L77" s="31">
        <f t="shared" si="9"/>
        <v>54.542639818740923</v>
      </c>
      <c r="M77" s="165">
        <v>6460.8421488448148</v>
      </c>
    </row>
    <row r="78" spans="1:13" ht="15" customHeight="1">
      <c r="A78" s="16"/>
      <c r="B78" s="22">
        <f>'Oil supply projection'!$B78</f>
        <v>2087</v>
      </c>
      <c r="C78" s="31">
        <f t="shared" si="0"/>
        <v>4.9666563007300981</v>
      </c>
      <c r="D78" s="31">
        <f t="shared" si="1"/>
        <v>1183.8321779767634</v>
      </c>
      <c r="E78" s="31">
        <f t="shared" si="2"/>
        <v>325.84715658506838</v>
      </c>
      <c r="F78" s="31">
        <f t="shared" si="3"/>
        <v>867.54381350858398</v>
      </c>
      <c r="G78" s="31">
        <f t="shared" si="4"/>
        <v>387.49687834716281</v>
      </c>
      <c r="H78" s="31">
        <f t="shared" si="5"/>
        <v>2036.7032834409226</v>
      </c>
      <c r="I78" s="31">
        <f t="shared" si="6"/>
        <v>1575.5091887996034</v>
      </c>
      <c r="J78" s="31">
        <f t="shared" si="7"/>
        <v>115.58502547869365</v>
      </c>
      <c r="K78" s="31">
        <f t="shared" si="8"/>
        <v>-37.318530862938374</v>
      </c>
      <c r="L78" s="31">
        <f t="shared" si="9"/>
        <v>55.00125114314497</v>
      </c>
      <c r="M78" s="165">
        <v>6515.1669007177352</v>
      </c>
    </row>
    <row r="79" spans="1:13" ht="15" customHeight="1">
      <c r="A79" s="16"/>
      <c r="B79" s="22">
        <f>'Oil supply projection'!$B79</f>
        <v>2088</v>
      </c>
      <c r="C79" s="31">
        <f t="shared" si="0"/>
        <v>5.0084174775177841</v>
      </c>
      <c r="D79" s="31">
        <f t="shared" si="1"/>
        <v>1193.7862037594959</v>
      </c>
      <c r="E79" s="31">
        <f t="shared" si="2"/>
        <v>328.58697989635999</v>
      </c>
      <c r="F79" s="31">
        <f t="shared" si="3"/>
        <v>874.83838924994734</v>
      </c>
      <c r="G79" s="31">
        <f t="shared" si="4"/>
        <v>390.75507151808011</v>
      </c>
      <c r="H79" s="31">
        <f t="shared" si="5"/>
        <v>2053.8285123139844</v>
      </c>
      <c r="I79" s="31">
        <f t="shared" si="6"/>
        <v>1588.7565555953311</v>
      </c>
      <c r="J79" s="31">
        <f t="shared" si="7"/>
        <v>116.55689999360932</v>
      </c>
      <c r="K79" s="31">
        <f t="shared" si="8"/>
        <v>-37.632316571161184</v>
      </c>
      <c r="L79" s="31">
        <f t="shared" si="9"/>
        <v>55.463718612898241</v>
      </c>
      <c r="M79" s="165">
        <v>6569.9484318460627</v>
      </c>
    </row>
    <row r="80" spans="1:13" ht="15" customHeight="1">
      <c r="A80" s="16"/>
      <c r="B80" s="22">
        <f>'Oil supply projection'!$B80</f>
        <v>2089</v>
      </c>
      <c r="C80" s="31">
        <f t="shared" si="0"/>
        <v>5.0505297951497514</v>
      </c>
      <c r="D80" s="31">
        <f t="shared" si="1"/>
        <v>1203.8239260586154</v>
      </c>
      <c r="E80" s="31">
        <f t="shared" si="2"/>
        <v>331.34984048640456</v>
      </c>
      <c r="F80" s="31">
        <f t="shared" si="3"/>
        <v>882.19430003216735</v>
      </c>
      <c r="G80" s="31">
        <f t="shared" si="4"/>
        <v>394.04066058127995</v>
      </c>
      <c r="H80" s="31">
        <f t="shared" si="5"/>
        <v>2071.0977353890189</v>
      </c>
      <c r="I80" s="31">
        <f t="shared" si="6"/>
        <v>1602.1153103336162</v>
      </c>
      <c r="J80" s="31">
        <f t="shared" si="7"/>
        <v>117.53694632895615</v>
      </c>
      <c r="K80" s="31">
        <f t="shared" si="8"/>
        <v>-37.948740686320392</v>
      </c>
      <c r="L80" s="31">
        <f t="shared" si="9"/>
        <v>55.930074651659211</v>
      </c>
      <c r="M80" s="165">
        <v>6625.1905829705474</v>
      </c>
    </row>
    <row r="81" spans="1:13" ht="15" customHeight="1">
      <c r="A81" s="16"/>
      <c r="B81" s="22">
        <f>'Oil supply projection'!$B81</f>
        <v>2090</v>
      </c>
      <c r="C81" s="31">
        <f t="shared" si="0"/>
        <v>5.0929962061264318</v>
      </c>
      <c r="D81" s="31">
        <f t="shared" si="1"/>
        <v>1213.9460486202249</v>
      </c>
      <c r="E81" s="31">
        <f t="shared" si="2"/>
        <v>334.13593205974138</v>
      </c>
      <c r="F81" s="31">
        <f t="shared" si="3"/>
        <v>889.61206157916956</v>
      </c>
      <c r="G81" s="31">
        <f t="shared" si="4"/>
        <v>397.35387588986742</v>
      </c>
      <c r="H81" s="31">
        <f t="shared" si="5"/>
        <v>2088.5121634136526</v>
      </c>
      <c r="I81" s="31">
        <f t="shared" si="6"/>
        <v>1615.586389598607</v>
      </c>
      <c r="J81" s="31">
        <f t="shared" si="7"/>
        <v>118.52523319591869</v>
      </c>
      <c r="K81" s="31">
        <f t="shared" si="8"/>
        <v>-38.267825392954613</v>
      </c>
      <c r="L81" s="31">
        <f t="shared" si="9"/>
        <v>56.40035195571447</v>
      </c>
      <c r="M81" s="165">
        <v>6680.8972271260682</v>
      </c>
    </row>
    <row r="82" spans="1:13" ht="15" customHeight="1">
      <c r="A82" s="16"/>
      <c r="B82" s="22">
        <f>'Oil supply projection'!$B82</f>
        <v>2091</v>
      </c>
      <c r="C82" s="31">
        <f t="shared" si="0"/>
        <v>5.1358196877737914</v>
      </c>
      <c r="D82" s="31">
        <f t="shared" si="1"/>
        <v>1224.1532811077416</v>
      </c>
      <c r="E82" s="31">
        <f t="shared" si="2"/>
        <v>336.94544994963724</v>
      </c>
      <c r="F82" s="31">
        <f t="shared" si="3"/>
        <v>897.09219395124535</v>
      </c>
      <c r="G82" s="31">
        <f t="shared" si="4"/>
        <v>400.69494973382751</v>
      </c>
      <c r="H82" s="31">
        <f t="shared" si="5"/>
        <v>2106.0730173158499</v>
      </c>
      <c r="I82" s="31">
        <f t="shared" si="6"/>
        <v>1629.1707378495396</v>
      </c>
      <c r="J82" s="31">
        <f t="shared" si="7"/>
        <v>119.52182988342631</v>
      </c>
      <c r="K82" s="31">
        <f t="shared" si="8"/>
        <v>-38.589593062136906</v>
      </c>
      <c r="L82" s="31">
        <f t="shared" si="9"/>
        <v>56.87458349627105</v>
      </c>
      <c r="M82" s="165">
        <v>6737.0722699131748</v>
      </c>
    </row>
    <row r="83" spans="1:13" ht="15" customHeight="1">
      <c r="A83" s="16"/>
      <c r="B83" s="22">
        <f>'Oil supply projection'!$B83</f>
        <v>2092</v>
      </c>
      <c r="C83" s="31">
        <f t="shared" si="0"/>
        <v>5.1790032424520707</v>
      </c>
      <c r="D83" s="31">
        <f t="shared" si="1"/>
        <v>1234.4463391516515</v>
      </c>
      <c r="E83" s="31">
        <f t="shared" si="2"/>
        <v>339.77859113178118</v>
      </c>
      <c r="F83" s="31">
        <f t="shared" si="3"/>
        <v>904.63522158151318</v>
      </c>
      <c r="G83" s="31">
        <f t="shared" si="4"/>
        <v>404.06411635631105</v>
      </c>
      <c r="H83" s="31">
        <f t="shared" si="5"/>
        <v>2123.7815282895153</v>
      </c>
      <c r="I83" s="31">
        <f t="shared" si="6"/>
        <v>1642.869307486955</v>
      </c>
      <c r="J83" s="31">
        <f t="shared" si="7"/>
        <v>120.52680626301105</v>
      </c>
      <c r="K83" s="31">
        <f t="shared" si="8"/>
        <v>-38.914066253043202</v>
      </c>
      <c r="L83" s="31">
        <f t="shared" si="9"/>
        <v>57.352802521768069</v>
      </c>
      <c r="M83" s="165">
        <v>6793.719649771916</v>
      </c>
    </row>
    <row r="84" spans="1:13" ht="15" customHeight="1">
      <c r="A84" s="16"/>
      <c r="B84" s="22">
        <f>'Oil supply projection'!$B84</f>
        <v>2093</v>
      </c>
      <c r="C84" s="31">
        <f t="shared" si="0"/>
        <v>5.2225498977662799</v>
      </c>
      <c r="D84" s="31">
        <f t="shared" si="1"/>
        <v>1244.8259443996824</v>
      </c>
      <c r="E84" s="31">
        <f t="shared" si="2"/>
        <v>342.63555423809464</v>
      </c>
      <c r="F84" s="31">
        <f t="shared" si="3"/>
        <v>912.24167331268688</v>
      </c>
      <c r="G84" s="31">
        <f t="shared" si="4"/>
        <v>407.46161197005733</v>
      </c>
      <c r="H84" s="31">
        <f t="shared" si="5"/>
        <v>2141.6389378808099</v>
      </c>
      <c r="I84" s="31">
        <f t="shared" si="6"/>
        <v>1656.6830589194713</v>
      </c>
      <c r="J84" s="31">
        <f t="shared" si="7"/>
        <v>121.54023279370634</v>
      </c>
      <c r="K84" s="31">
        <f t="shared" si="8"/>
        <v>-39.24126771453394</v>
      </c>
      <c r="L84" s="31">
        <f t="shared" si="9"/>
        <v>57.835042560207754</v>
      </c>
      <c r="M84" s="436">
        <v>6850.8433382579487</v>
      </c>
    </row>
    <row r="85" spans="1:13" ht="15" customHeight="1">
      <c r="A85" s="16"/>
      <c r="B85" s="194" t="s">
        <v>292</v>
      </c>
      <c r="C85" s="589" t="s">
        <v>316</v>
      </c>
      <c r="D85" s="589" t="s">
        <v>316</v>
      </c>
      <c r="E85" s="589" t="s">
        <v>316</v>
      </c>
      <c r="F85" s="589" t="s">
        <v>316</v>
      </c>
      <c r="G85" s="589" t="s">
        <v>316</v>
      </c>
      <c r="H85" s="589" t="s">
        <v>316</v>
      </c>
      <c r="I85" s="589" t="s">
        <v>316</v>
      </c>
      <c r="J85" s="589" t="s">
        <v>316</v>
      </c>
      <c r="K85" s="589" t="s">
        <v>316</v>
      </c>
      <c r="L85" s="589" t="s">
        <v>316</v>
      </c>
      <c r="M85" s="106" t="s">
        <v>317</v>
      </c>
    </row>
    <row r="86" spans="1:13" ht="15" customHeight="1">
      <c r="A86" s="16"/>
      <c r="B86" s="194" t="s">
        <v>294</v>
      </c>
      <c r="C86" s="107" t="s">
        <v>319</v>
      </c>
      <c r="D86" s="107" t="s">
        <v>319</v>
      </c>
      <c r="E86" s="107" t="s">
        <v>319</v>
      </c>
      <c r="F86" s="107" t="s">
        <v>319</v>
      </c>
      <c r="G86" s="107" t="s">
        <v>319</v>
      </c>
      <c r="H86" s="107" t="s">
        <v>319</v>
      </c>
      <c r="I86" s="107" t="s">
        <v>319</v>
      </c>
      <c r="J86" s="107" t="s">
        <v>319</v>
      </c>
      <c r="K86" s="107" t="s">
        <v>319</v>
      </c>
      <c r="L86" s="107" t="s">
        <v>319</v>
      </c>
      <c r="M86" s="106"/>
    </row>
    <row r="87" spans="1:13" ht="15" customHeight="1">
      <c r="B87" s="194" t="s">
        <v>296</v>
      </c>
      <c r="C87" s="590" t="s">
        <v>321</v>
      </c>
      <c r="D87" s="590" t="s">
        <v>321</v>
      </c>
      <c r="E87" s="590" t="s">
        <v>321</v>
      </c>
      <c r="F87" s="590" t="s">
        <v>321</v>
      </c>
      <c r="G87" s="590" t="s">
        <v>321</v>
      </c>
      <c r="H87" s="590" t="s">
        <v>321</v>
      </c>
      <c r="I87" s="590" t="s">
        <v>321</v>
      </c>
      <c r="J87" s="590" t="s">
        <v>321</v>
      </c>
      <c r="K87" s="590" t="s">
        <v>321</v>
      </c>
      <c r="L87" s="590" t="s">
        <v>321</v>
      </c>
      <c r="M87" s="106"/>
    </row>
    <row r="88" spans="1:13" ht="45" customHeight="1">
      <c r="B88" s="194" t="s">
        <v>298</v>
      </c>
      <c r="C88" s="591" t="s">
        <v>375</v>
      </c>
      <c r="D88" s="591" t="s">
        <v>375</v>
      </c>
      <c r="E88" s="591" t="s">
        <v>375</v>
      </c>
      <c r="F88" s="591" t="s">
        <v>375</v>
      </c>
      <c r="G88" s="591" t="s">
        <v>376</v>
      </c>
      <c r="H88" s="591" t="s">
        <v>376</v>
      </c>
      <c r="I88" s="591" t="s">
        <v>376</v>
      </c>
      <c r="J88" s="591" t="s">
        <v>376</v>
      </c>
      <c r="K88" s="591" t="s">
        <v>377</v>
      </c>
      <c r="L88" s="591" t="s">
        <v>375</v>
      </c>
      <c r="M88" s="106"/>
    </row>
    <row r="89" spans="1:13" ht="68.25" customHeight="1">
      <c r="B89" s="194" t="s">
        <v>300</v>
      </c>
      <c r="C89" s="598" t="s">
        <v>378</v>
      </c>
      <c r="D89" s="598" t="s">
        <v>379</v>
      </c>
      <c r="E89" s="598" t="s">
        <v>380</v>
      </c>
      <c r="F89" s="598">
        <v>1312</v>
      </c>
      <c r="G89" s="598">
        <v>2368</v>
      </c>
      <c r="H89" s="598" t="s">
        <v>381</v>
      </c>
      <c r="I89" s="598">
        <v>2376</v>
      </c>
      <c r="J89" s="598">
        <v>2377</v>
      </c>
      <c r="K89" s="599" t="s">
        <v>382</v>
      </c>
      <c r="L89" s="598">
        <v>1350</v>
      </c>
      <c r="M89" s="106"/>
    </row>
    <row r="90" spans="1:13" ht="15" customHeight="1">
      <c r="B90" s="194" t="s">
        <v>301</v>
      </c>
      <c r="C90" s="598" t="s">
        <v>383</v>
      </c>
      <c r="D90" s="598" t="s">
        <v>384</v>
      </c>
      <c r="E90" s="598" t="s">
        <v>385</v>
      </c>
      <c r="F90" s="598" t="s">
        <v>386</v>
      </c>
      <c r="G90" s="598" t="s">
        <v>387</v>
      </c>
      <c r="H90" s="598" t="s">
        <v>388</v>
      </c>
      <c r="I90" s="598" t="s">
        <v>389</v>
      </c>
      <c r="J90" s="598" t="s">
        <v>390</v>
      </c>
      <c r="K90" s="599" t="s">
        <v>391</v>
      </c>
      <c r="L90" s="598" t="s">
        <v>107</v>
      </c>
      <c r="M90" s="106"/>
    </row>
  </sheetData>
  <mergeCells count="1">
    <mergeCell ref="A1:B1"/>
  </mergeCells>
  <phoneticPr fontId="29" type="noConversion"/>
  <conditionalFormatting sqref="F4">
    <cfRule type="cellIs" dxfId="129" priority="1" stopIfTrue="1" operator="equal">
      <formula>"IMBALANCED!"</formula>
    </cfRule>
    <cfRule type="cellIs" dxfId="128" priority="2" stopIfTrue="1" operator="equal">
      <formula>"In equilibrium"</formula>
    </cfRule>
  </conditionalFormatting>
  <hyperlinks>
    <hyperlink ref="A1" location="'Table of Contents'!A1" tooltip="Click here to return to the Table of Contents tab" display="Return to Table of Contents" xr:uid="{00000000-0004-0000-07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8609" r:id="rId4" name="Button 1">
              <controlPr defaultSize="0" print="0" autoFill="0" autoPict="0" macro="[0]!electricity_equilibrate">
                <anchor moveWithCells="1" sizeWithCells="1">
                  <from>
                    <xdr:col>6</xdr:col>
                    <xdr:colOff>57150</xdr:colOff>
                    <xdr:row>2</xdr:row>
                    <xdr:rowOff>180975</xdr:rowOff>
                  </from>
                  <to>
                    <xdr:col>7</xdr:col>
                    <xdr:colOff>514350</xdr:colOff>
                    <xdr:row>4</xdr:row>
                    <xdr:rowOff>57150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9">
    <tabColor indexed="45"/>
    <pageSetUpPr fitToPage="1"/>
  </sheetPr>
  <dimension ref="A1:H90"/>
  <sheetViews>
    <sheetView workbookViewId="0">
      <selection sqref="A1:B1"/>
    </sheetView>
  </sheetViews>
  <sheetFormatPr defaultColWidth="9.28515625" defaultRowHeight="15" customHeight="1"/>
  <cols>
    <col min="1" max="1" width="15.5703125" style="18" customWidth="1"/>
    <col min="2" max="2" width="10.28515625" style="1" customWidth="1"/>
    <col min="3" max="5" width="17.28515625" style="1" customWidth="1"/>
    <col min="6" max="6" width="14.5703125" style="1" customWidth="1"/>
    <col min="7" max="7" width="17.28515625" style="1" customWidth="1"/>
    <col min="8" max="8" width="14.5703125" style="48" customWidth="1"/>
    <col min="9" max="13" width="14.5703125" style="1" customWidth="1"/>
    <col min="14" max="14" width="14" style="1" customWidth="1"/>
    <col min="15" max="16384" width="9.28515625" style="1"/>
  </cols>
  <sheetData>
    <row r="1" spans="1:8" ht="15.75" thickBot="1">
      <c r="A1" s="701" t="s">
        <v>27</v>
      </c>
      <c r="B1" s="702"/>
      <c r="D1" s="180"/>
      <c r="H1" s="1"/>
    </row>
    <row r="2" spans="1:8" ht="16.5" customHeight="1">
      <c r="A2" s="1"/>
      <c r="B2" s="2"/>
      <c r="C2" s="2"/>
      <c r="D2" s="2"/>
      <c r="E2" s="2"/>
      <c r="F2" s="2"/>
      <c r="H2" s="1"/>
    </row>
    <row r="3" spans="1:8" ht="16.5" customHeight="1">
      <c r="A3" s="1"/>
      <c r="B3" s="2"/>
      <c r="C3" s="2"/>
      <c r="D3" s="2"/>
      <c r="E3" s="2"/>
      <c r="F3" s="2"/>
      <c r="H3" s="1"/>
    </row>
    <row r="4" spans="1:8" ht="16.5" customHeight="1">
      <c r="A4" s="1"/>
      <c r="B4" s="2"/>
      <c r="C4" s="2"/>
      <c r="D4" s="2"/>
      <c r="E4" s="2"/>
      <c r="F4" s="2"/>
      <c r="H4" s="1"/>
    </row>
    <row r="5" spans="1:8" ht="16.5" customHeight="1">
      <c r="A5" s="1"/>
      <c r="B5" s="2"/>
      <c r="C5" s="2"/>
      <c r="D5" s="2"/>
      <c r="E5" s="2"/>
      <c r="F5" s="2"/>
      <c r="H5" s="1"/>
    </row>
    <row r="6" spans="1:8" ht="19.5" customHeight="1">
      <c r="A6" s="16"/>
      <c r="B6" s="11" t="s">
        <v>392</v>
      </c>
      <c r="C6" s="59"/>
      <c r="D6" s="59"/>
      <c r="E6" s="60"/>
      <c r="H6" s="1"/>
    </row>
    <row r="7" spans="1:8" ht="19.5" customHeight="1">
      <c r="A7" s="16"/>
      <c r="B7" s="116"/>
      <c r="C7" s="118"/>
      <c r="D7" s="118"/>
      <c r="E7" s="117"/>
      <c r="H7" s="1"/>
    </row>
    <row r="8" spans="1:8" ht="29.25" customHeight="1">
      <c r="A8" s="16"/>
      <c r="B8" s="650"/>
      <c r="C8" s="650" t="s">
        <v>393</v>
      </c>
      <c r="D8" s="650" t="s">
        <v>394</v>
      </c>
      <c r="E8" s="650" t="s">
        <v>307</v>
      </c>
      <c r="G8" s="507" t="s">
        <v>313</v>
      </c>
      <c r="H8" s="1"/>
    </row>
    <row r="9" spans="1:8" ht="29.25" customHeight="1" thickBot="1">
      <c r="A9" s="16"/>
      <c r="B9" s="66" t="s">
        <v>268</v>
      </c>
      <c r="C9" s="67" t="s">
        <v>395</v>
      </c>
      <c r="D9" s="67" t="s">
        <v>395</v>
      </c>
      <c r="E9" s="67" t="s">
        <v>395</v>
      </c>
      <c r="G9" s="513" t="s">
        <v>315</v>
      </c>
      <c r="H9" s="1"/>
    </row>
    <row r="10" spans="1:8" ht="15" customHeight="1" thickTop="1">
      <c r="A10" s="16"/>
      <c r="B10" s="22">
        <f>'Oil supply projection'!$B10</f>
        <v>2019</v>
      </c>
      <c r="C10" s="30">
        <v>694.22805000000005</v>
      </c>
      <c r="D10" s="30">
        <v>6.6970000000000001</v>
      </c>
      <c r="E10" s="165">
        <f t="array" ref="E10:E84">aeo_sup_coa_dom+aeo_sup_coa_imp</f>
        <v>700.92505000000006</v>
      </c>
      <c r="G10" s="512">
        <v>-8.882957830708138E-3</v>
      </c>
      <c r="H10" s="1"/>
    </row>
    <row r="11" spans="1:8" ht="15" customHeight="1">
      <c r="A11" s="17"/>
      <c r="B11" s="22">
        <f>'Oil supply projection'!$B11</f>
        <v>2020</v>
      </c>
      <c r="C11" s="30">
        <v>544.06999799999994</v>
      </c>
      <c r="D11" s="30">
        <v>4.79</v>
      </c>
      <c r="E11" s="165">
        <v>548.85999799999991</v>
      </c>
      <c r="G11" s="537">
        <f>(INDEX(aeo_sup_coa_tot,MATCH(baseline_aeo_end_year,B10:B84,0),1)/INDEX(aeo_sup_coa_tot,MATCH(baseline_aeo_end_year-10,B10:B84,0),1))^(1/10)-1</f>
        <v>-8.882957830708138E-3</v>
      </c>
      <c r="H11" s="1"/>
    </row>
    <row r="12" spans="1:8" ht="15" customHeight="1">
      <c r="B12" s="22">
        <f>'Oil supply projection'!$B12</f>
        <v>2021</v>
      </c>
      <c r="C12" s="30">
        <v>585.34999000000005</v>
      </c>
      <c r="D12" s="30">
        <v>5.39</v>
      </c>
      <c r="E12" s="165">
        <v>590.73999000000003</v>
      </c>
      <c r="H12" s="1"/>
    </row>
    <row r="13" spans="1:8" ht="15" customHeight="1">
      <c r="B13" s="22">
        <f>'Oil supply projection'!$B13</f>
        <v>2022</v>
      </c>
      <c r="C13" s="30">
        <v>590.77045999999996</v>
      </c>
      <c r="D13" s="30">
        <v>7.2735599999999998</v>
      </c>
      <c r="E13" s="165">
        <v>598.04401999999993</v>
      </c>
      <c r="H13" s="1"/>
    </row>
    <row r="14" spans="1:8" ht="15" customHeight="1">
      <c r="B14" s="22">
        <f>'Oil supply projection'!$B14</f>
        <v>2023</v>
      </c>
      <c r="C14" s="30">
        <v>568.82525299999998</v>
      </c>
      <c r="D14" s="30">
        <v>9.0405010000000008</v>
      </c>
      <c r="E14" s="165">
        <v>577.86575399999992</v>
      </c>
      <c r="H14" s="1"/>
    </row>
    <row r="15" spans="1:8" ht="15" customHeight="1">
      <c r="B15" s="22">
        <f>'Oil supply projection'!$B15</f>
        <v>2024</v>
      </c>
      <c r="C15" s="30">
        <v>588.20207399999993</v>
      </c>
      <c r="D15" s="30">
        <v>1.0371300000000001</v>
      </c>
      <c r="E15" s="165">
        <v>589.23920399999997</v>
      </c>
      <c r="H15" s="1"/>
    </row>
    <row r="16" spans="1:8" ht="15" customHeight="1">
      <c r="B16" s="22">
        <f>'Oil supply projection'!$B16</f>
        <v>2025</v>
      </c>
      <c r="C16" s="30">
        <v>549.86666000000002</v>
      </c>
      <c r="D16" s="30">
        <v>1.119332</v>
      </c>
      <c r="E16" s="165">
        <v>550.98599200000001</v>
      </c>
      <c r="H16" s="1"/>
    </row>
    <row r="17" spans="1:8" ht="15" customHeight="1">
      <c r="B17" s="22">
        <f>'Oil supply projection'!$B17</f>
        <v>2026</v>
      </c>
      <c r="C17" s="30">
        <v>497.98120799999998</v>
      </c>
      <c r="D17" s="30">
        <v>1.3566499999999999</v>
      </c>
      <c r="E17" s="165">
        <v>499.33785799999998</v>
      </c>
      <c r="H17" s="1"/>
    </row>
    <row r="18" spans="1:8" ht="15" customHeight="1">
      <c r="B18" s="22">
        <f>'Oil supply projection'!$B18</f>
        <v>2027</v>
      </c>
      <c r="C18" s="30">
        <v>438.63530400000002</v>
      </c>
      <c r="D18" s="30">
        <v>1.3600779999999999</v>
      </c>
      <c r="E18" s="165">
        <v>439.99538200000001</v>
      </c>
      <c r="H18" s="1"/>
    </row>
    <row r="19" spans="1:8" ht="15" customHeight="1">
      <c r="B19" s="22">
        <f>'Oil supply projection'!$B19</f>
        <v>2028</v>
      </c>
      <c r="C19" s="30">
        <v>389.905486</v>
      </c>
      <c r="D19" s="30">
        <v>1.899219</v>
      </c>
      <c r="E19" s="165">
        <v>391.80470500000001</v>
      </c>
      <c r="H19" s="1"/>
    </row>
    <row r="20" spans="1:8" ht="15" customHeight="1">
      <c r="B20" s="22">
        <f>'Oil supply projection'!$B20</f>
        <v>2029</v>
      </c>
      <c r="C20" s="30">
        <v>356.36827800000003</v>
      </c>
      <c r="D20" s="30">
        <v>1.866627</v>
      </c>
      <c r="E20" s="165">
        <v>358.23490500000003</v>
      </c>
      <c r="H20" s="1"/>
    </row>
    <row r="21" spans="1:8" ht="15" customHeight="1">
      <c r="A21" s="17"/>
      <c r="B21" s="22">
        <f>'Oil supply projection'!$B21</f>
        <v>2030</v>
      </c>
      <c r="C21" s="30">
        <v>333.57428799999997</v>
      </c>
      <c r="D21" s="30">
        <v>1.844103</v>
      </c>
      <c r="E21" s="165">
        <v>335.41839099999999</v>
      </c>
      <c r="H21" s="1"/>
    </row>
    <row r="22" spans="1:8" ht="15" customHeight="1">
      <c r="A22" s="17"/>
      <c r="B22" s="22">
        <f>'Oil supply projection'!$B22</f>
        <v>2031</v>
      </c>
      <c r="C22" s="30">
        <v>331.99835300000001</v>
      </c>
      <c r="D22" s="30">
        <v>1.812055</v>
      </c>
      <c r="E22" s="165">
        <v>333.810408</v>
      </c>
      <c r="H22" s="1"/>
    </row>
    <row r="23" spans="1:8" ht="15" customHeight="1">
      <c r="A23" s="17"/>
      <c r="B23" s="22">
        <f>'Oil supply projection'!$B23</f>
        <v>2032</v>
      </c>
      <c r="C23" s="30">
        <v>337.29013199999997</v>
      </c>
      <c r="D23" s="30">
        <v>1.7910250000000001</v>
      </c>
      <c r="E23" s="165">
        <v>339.08115699999996</v>
      </c>
      <c r="H23" s="1"/>
    </row>
    <row r="24" spans="1:8" ht="15" customHeight="1">
      <c r="A24" s="17"/>
      <c r="B24" s="22">
        <f>'Oil supply projection'!$B24</f>
        <v>2033</v>
      </c>
      <c r="C24" s="30">
        <v>336.85967699999998</v>
      </c>
      <c r="D24" s="30">
        <v>1.681092</v>
      </c>
      <c r="E24" s="165">
        <v>338.54076899999995</v>
      </c>
      <c r="H24" s="1"/>
    </row>
    <row r="25" spans="1:8" ht="15" customHeight="1">
      <c r="A25" s="17"/>
      <c r="B25" s="22">
        <f>'Oil supply projection'!$B25</f>
        <v>2034</v>
      </c>
      <c r="C25" s="30">
        <v>329.73038100000002</v>
      </c>
      <c r="D25" s="30">
        <v>1.6596040000000001</v>
      </c>
      <c r="E25" s="165">
        <v>331.38998500000002</v>
      </c>
      <c r="H25" s="1"/>
    </row>
    <row r="26" spans="1:8" ht="15" customHeight="1">
      <c r="A26" s="17"/>
      <c r="B26" s="22">
        <f>'Oil supply projection'!$B26</f>
        <v>2035</v>
      </c>
      <c r="C26" s="30">
        <v>332.02879899999999</v>
      </c>
      <c r="D26" s="30">
        <v>1.626973</v>
      </c>
      <c r="E26" s="165">
        <v>333.65577200000001</v>
      </c>
      <c r="H26" s="1"/>
    </row>
    <row r="27" spans="1:8" ht="15" customHeight="1">
      <c r="A27" s="17"/>
      <c r="B27" s="22">
        <f>'Oil supply projection'!$B27</f>
        <v>2036</v>
      </c>
      <c r="C27" s="30">
        <v>325.376755</v>
      </c>
      <c r="D27" s="30">
        <v>1.592954</v>
      </c>
      <c r="E27" s="165">
        <v>326.96970900000002</v>
      </c>
      <c r="H27" s="1"/>
    </row>
    <row r="28" spans="1:8" ht="15" customHeight="1">
      <c r="A28" s="19"/>
      <c r="B28" s="22">
        <f>'Oil supply projection'!$B28</f>
        <v>2037</v>
      </c>
      <c r="C28" s="30">
        <v>313.33489900000001</v>
      </c>
      <c r="D28" s="30">
        <v>1.573618</v>
      </c>
      <c r="E28" s="165">
        <v>314.90851700000002</v>
      </c>
      <c r="H28" s="1"/>
    </row>
    <row r="29" spans="1:8" ht="15" customHeight="1">
      <c r="A29" s="17"/>
      <c r="B29" s="22">
        <f>'Oil supply projection'!$B29</f>
        <v>2038</v>
      </c>
      <c r="C29" s="30">
        <v>303.11989700000004</v>
      </c>
      <c r="D29" s="30">
        <v>1.5852040000000001</v>
      </c>
      <c r="E29" s="165">
        <v>304.70510100000001</v>
      </c>
      <c r="H29" s="1"/>
    </row>
    <row r="30" spans="1:8" ht="15" customHeight="1">
      <c r="A30" s="17"/>
      <c r="B30" s="22">
        <f>'Oil supply projection'!$B30</f>
        <v>2039</v>
      </c>
      <c r="C30" s="30">
        <v>296.75800700000002</v>
      </c>
      <c r="D30" s="30">
        <v>1.56975</v>
      </c>
      <c r="E30" s="165">
        <v>298.32775700000002</v>
      </c>
      <c r="H30" s="1"/>
    </row>
    <row r="31" spans="1:8" ht="15" customHeight="1">
      <c r="A31" s="17"/>
      <c r="B31" s="22">
        <f>'Oil supply projection'!$B31</f>
        <v>2040</v>
      </c>
      <c r="C31" s="30">
        <v>293.66120500000005</v>
      </c>
      <c r="D31" s="30">
        <v>1.5544640000000001</v>
      </c>
      <c r="E31" s="165">
        <v>295.21566900000005</v>
      </c>
      <c r="H31" s="1"/>
    </row>
    <row r="32" spans="1:8" ht="15" customHeight="1">
      <c r="A32" s="17"/>
      <c r="B32" s="22">
        <f>'Oil supply projection'!$B32</f>
        <v>2041</v>
      </c>
      <c r="C32" s="30">
        <v>294.02467100000001</v>
      </c>
      <c r="D32" s="30">
        <v>1.542392</v>
      </c>
      <c r="E32" s="165">
        <v>295.56706300000002</v>
      </c>
      <c r="H32" s="1"/>
    </row>
    <row r="33" spans="1:8" ht="15" customHeight="1">
      <c r="A33" s="17"/>
      <c r="B33" s="22">
        <f>'Oil supply projection'!$B33</f>
        <v>2042</v>
      </c>
      <c r="C33" s="30">
        <v>294.55588300000005</v>
      </c>
      <c r="D33" s="30">
        <v>1.519374</v>
      </c>
      <c r="E33" s="165">
        <v>296.07525700000008</v>
      </c>
      <c r="H33" s="1"/>
    </row>
    <row r="34" spans="1:8" ht="15" customHeight="1">
      <c r="A34" s="17"/>
      <c r="B34" s="22">
        <f>'Oil supply projection'!$B34</f>
        <v>2043</v>
      </c>
      <c r="C34" s="30">
        <v>290.26809900000001</v>
      </c>
      <c r="D34" s="30">
        <v>1.5054190000000001</v>
      </c>
      <c r="E34" s="165">
        <v>291.77351800000002</v>
      </c>
      <c r="H34" s="1"/>
    </row>
    <row r="35" spans="1:8" ht="15" customHeight="1">
      <c r="A35" s="17"/>
      <c r="B35" s="22">
        <f>'Oil supply projection'!$B35</f>
        <v>2044</v>
      </c>
      <c r="C35" s="30">
        <v>288.123493</v>
      </c>
      <c r="D35" s="30">
        <v>1.5338499999999999</v>
      </c>
      <c r="E35" s="165">
        <v>289.65734299999997</v>
      </c>
      <c r="H35" s="1"/>
    </row>
    <row r="36" spans="1:8" ht="15" customHeight="1">
      <c r="A36" s="17"/>
      <c r="B36" s="22">
        <f>'Oil supply projection'!$B36</f>
        <v>2045</v>
      </c>
      <c r="C36" s="30">
        <v>286.11453699999998</v>
      </c>
      <c r="D36" s="30">
        <v>1.518583</v>
      </c>
      <c r="E36" s="165">
        <v>287.63311999999996</v>
      </c>
      <c r="H36" s="1"/>
    </row>
    <row r="37" spans="1:8" ht="15" customHeight="1">
      <c r="A37" s="17"/>
      <c r="B37" s="22">
        <f>'Oil supply projection'!$B37</f>
        <v>2046</v>
      </c>
      <c r="C37" s="30">
        <v>280.75305400000002</v>
      </c>
      <c r="D37" s="30">
        <v>1.4953689999999999</v>
      </c>
      <c r="E37" s="165">
        <v>282.248423</v>
      </c>
      <c r="H37" s="1"/>
    </row>
    <row r="38" spans="1:8" ht="15" customHeight="1">
      <c r="A38" s="17"/>
      <c r="B38" s="22">
        <f>'Oil supply projection'!$B38</f>
        <v>2047</v>
      </c>
      <c r="C38" s="30">
        <v>279.65020499999997</v>
      </c>
      <c r="D38" s="30">
        <v>1.5064310000000001</v>
      </c>
      <c r="E38" s="165">
        <v>281.15663599999999</v>
      </c>
      <c r="H38" s="1"/>
    </row>
    <row r="39" spans="1:8" ht="15" customHeight="1">
      <c r="A39" s="19"/>
      <c r="B39" s="22">
        <f>'Oil supply projection'!$B39</f>
        <v>2048</v>
      </c>
      <c r="C39" s="30">
        <v>278.91762399999999</v>
      </c>
      <c r="D39" s="30">
        <v>1.5462899999999999</v>
      </c>
      <c r="E39" s="165">
        <v>280.46391399999999</v>
      </c>
      <c r="H39" s="1"/>
    </row>
    <row r="40" spans="1:8" ht="15" customHeight="1">
      <c r="A40" s="17"/>
      <c r="B40" s="22">
        <f>'Oil supply projection'!$B40</f>
        <v>2049</v>
      </c>
      <c r="C40" s="30">
        <v>276.21545700000001</v>
      </c>
      <c r="D40" s="30">
        <v>1.519695</v>
      </c>
      <c r="E40" s="165">
        <v>277.73515200000003</v>
      </c>
      <c r="H40" s="1"/>
    </row>
    <row r="41" spans="1:8" ht="15" customHeight="1">
      <c r="A41" s="17"/>
      <c r="B41" s="22">
        <f>'Oil supply projection'!$B41</f>
        <v>2050</v>
      </c>
      <c r="C41" s="30">
        <v>268.37307800000002</v>
      </c>
      <c r="D41" s="30">
        <v>1.642514</v>
      </c>
      <c r="E41" s="165">
        <v>270.01559200000003</v>
      </c>
      <c r="H41" s="1"/>
    </row>
    <row r="42" spans="1:8" ht="15" customHeight="1">
      <c r="A42" s="17"/>
      <c r="B42" s="22">
        <f>'Oil supply projection'!$B42</f>
        <v>2051</v>
      </c>
      <c r="C42" s="30">
        <f t="shared" ref="C42:C84" si="0">C41*(1+coal_forecast)</f>
        <v>265.98913126522865</v>
      </c>
      <c r="D42" s="30">
        <f t="shared" ref="D42:D84" si="1">D41*(1+coal_forecast)</f>
        <v>1.6279236174016523</v>
      </c>
      <c r="E42" s="165">
        <v>267.61705488263033</v>
      </c>
      <c r="H42" s="1"/>
    </row>
    <row r="43" spans="1:8" ht="15" customHeight="1">
      <c r="A43" s="17"/>
      <c r="B43" s="22">
        <f>'Oil supply projection'!$B43</f>
        <v>2052</v>
      </c>
      <c r="C43" s="30">
        <f t="shared" si="0"/>
        <v>263.62636102877292</v>
      </c>
      <c r="D43" s="30">
        <f t="shared" si="1"/>
        <v>1.6134628405566596</v>
      </c>
      <c r="E43" s="165">
        <v>265.2398238693296</v>
      </c>
      <c r="H43" s="1"/>
    </row>
    <row r="44" spans="1:8" ht="15" customHeight="1">
      <c r="A44" s="17"/>
      <c r="B44" s="22">
        <f>'Oil supply projection'!$B44</f>
        <v>2053</v>
      </c>
      <c r="C44" s="30">
        <f t="shared" si="0"/>
        <v>261.28457918069131</v>
      </c>
      <c r="D44" s="30">
        <f t="shared" si="1"/>
        <v>1.5991305181825801</v>
      </c>
      <c r="E44" s="165">
        <v>262.88370969887387</v>
      </c>
      <c r="H44" s="1"/>
    </row>
    <row r="45" spans="1:8" ht="15" customHeight="1">
      <c r="A45" s="17"/>
      <c r="B45" s="22">
        <f>'Oil supply projection'!$B45</f>
        <v>2054</v>
      </c>
      <c r="C45" s="30">
        <f t="shared" si="0"/>
        <v>258.96359928201491</v>
      </c>
      <c r="D45" s="30">
        <f t="shared" si="1"/>
        <v>1.5849255092237657</v>
      </c>
      <c r="E45" s="165">
        <v>260.54852479123866</v>
      </c>
      <c r="H45" s="1"/>
    </row>
    <row r="46" spans="1:8" ht="15" customHeight="1">
      <c r="A46" s="17"/>
      <c r="B46" s="22">
        <f>'Oil supply projection'!$B46</f>
        <v>2055</v>
      </c>
      <c r="C46" s="30">
        <f t="shared" si="0"/>
        <v>256.66323654990435</v>
      </c>
      <c r="D46" s="30">
        <f t="shared" si="1"/>
        <v>1.5708466827605174</v>
      </c>
      <c r="E46" s="165">
        <v>258.23408323266489</v>
      </c>
      <c r="H46" s="1"/>
    </row>
    <row r="47" spans="1:8" ht="15" customHeight="1">
      <c r="A47" s="17"/>
      <c r="B47" s="22">
        <f>'Oil supply projection'!$B47</f>
        <v>2056</v>
      </c>
      <c r="C47" s="30">
        <f t="shared" si="0"/>
        <v>254.38330784293848</v>
      </c>
      <c r="D47" s="30">
        <f t="shared" si="1"/>
        <v>1.556892917919048</v>
      </c>
      <c r="E47" s="165">
        <v>255.94020076085752</v>
      </c>
      <c r="H47" s="1"/>
    </row>
    <row r="48" spans="1:8" ht="15" customHeight="1">
      <c r="A48" s="17"/>
      <c r="B48" s="22">
        <f>'Oil supply projection'!$B48</f>
        <v>2057</v>
      </c>
      <c r="C48" s="30">
        <f t="shared" si="0"/>
        <v>252.1236316465336</v>
      </c>
      <c r="D48" s="30">
        <f t="shared" si="1"/>
        <v>1.5430631037822451</v>
      </c>
      <c r="E48" s="165">
        <v>253.66669475031586</v>
      </c>
      <c r="H48" s="1"/>
    </row>
    <row r="49" spans="1:8" ht="15" customHeight="1">
      <c r="A49" s="17"/>
      <c r="B49" s="22">
        <f>'Oil supply projection'!$B49</f>
        <v>2058</v>
      </c>
      <c r="C49" s="30">
        <f t="shared" si="0"/>
        <v>249.88402805849245</v>
      </c>
      <c r="D49" s="30">
        <f t="shared" si="1"/>
        <v>1.5293561393012258</v>
      </c>
      <c r="E49" s="165">
        <v>251.41338419779368</v>
      </c>
      <c r="H49" s="1"/>
    </row>
    <row r="50" spans="1:8" ht="15" customHeight="1">
      <c r="A50" s="17"/>
      <c r="B50" s="22">
        <f>'Oil supply projection'!$B50</f>
        <v>2059</v>
      </c>
      <c r="C50" s="30">
        <f t="shared" si="0"/>
        <v>247.66431877468136</v>
      </c>
      <c r="D50" s="30">
        <f t="shared" si="1"/>
        <v>1.5157709332076785</v>
      </c>
      <c r="E50" s="165">
        <v>249.18008970788904</v>
      </c>
      <c r="H50" s="1"/>
    </row>
    <row r="51" spans="1:8" ht="15" customHeight="1">
      <c r="A51" s="17"/>
      <c r="B51" s="22">
        <f>'Oil supply projection'!$B51</f>
        <v>2060</v>
      </c>
      <c r="C51" s="30">
        <f t="shared" si="0"/>
        <v>245.46432707483481</v>
      </c>
      <c r="D51" s="30">
        <f t="shared" si="1"/>
        <v>1.5023064039269816</v>
      </c>
      <c r="E51" s="165">
        <v>246.96663347876179</v>
      </c>
      <c r="H51" s="1"/>
    </row>
    <row r="52" spans="1:8" ht="15" customHeight="1">
      <c r="A52" s="17"/>
      <c r="B52" s="22">
        <f>'Oil supply projection'!$B52</f>
        <v>2061</v>
      </c>
      <c r="C52" s="30">
        <f t="shared" si="0"/>
        <v>243.2838778084859</v>
      </c>
      <c r="D52" s="30">
        <f t="shared" si="1"/>
        <v>1.4889614794920953</v>
      </c>
      <c r="E52" s="165">
        <v>244.772839287978</v>
      </c>
      <c r="H52" s="1"/>
    </row>
    <row r="53" spans="1:8" ht="15" customHeight="1">
      <c r="A53" s="16"/>
      <c r="B53" s="22">
        <f>'Oil supply projection'!$B53</f>
        <v>2062</v>
      </c>
      <c r="C53" s="30">
        <f t="shared" si="0"/>
        <v>241.12279738102197</v>
      </c>
      <c r="D53" s="30">
        <f t="shared" si="1"/>
        <v>1.4757350974582182</v>
      </c>
      <c r="E53" s="165">
        <v>242.59853247848019</v>
      </c>
      <c r="H53" s="1"/>
    </row>
    <row r="54" spans="1:8" ht="15" customHeight="1">
      <c r="A54" s="16"/>
      <c r="B54" s="22">
        <f>'Oil supply projection'!$B54</f>
        <v>2063</v>
      </c>
      <c r="C54" s="30">
        <f t="shared" si="0"/>
        <v>238.98091373986398</v>
      </c>
      <c r="D54" s="30">
        <f t="shared" si="1"/>
        <v>1.4626262048182008</v>
      </c>
      <c r="E54" s="165">
        <v>240.44353994468219</v>
      </c>
      <c r="H54" s="1"/>
    </row>
    <row r="55" spans="1:8" ht="15" customHeight="1">
      <c r="A55" s="16"/>
      <c r="B55" s="22">
        <f>'Oil supply projection'!$B55</f>
        <v>2064</v>
      </c>
      <c r="C55" s="30">
        <f t="shared" si="0"/>
        <v>236.85805636076867</v>
      </c>
      <c r="D55" s="30">
        <f t="shared" si="1"/>
        <v>1.449633757918712</v>
      </c>
      <c r="E55" s="165">
        <v>238.30769011868739</v>
      </c>
      <c r="H55" s="1"/>
    </row>
    <row r="56" spans="1:8" ht="15" customHeight="1">
      <c r="A56" s="16"/>
      <c r="B56" s="22">
        <f>'Oil supply projection'!$B56</f>
        <v>2065</v>
      </c>
      <c r="C56" s="30">
        <f t="shared" si="0"/>
        <v>234.75405623425246</v>
      </c>
      <c r="D56" s="30">
        <f t="shared" si="1"/>
        <v>1.4367567223771491</v>
      </c>
      <c r="E56" s="165">
        <v>236.1908129566296</v>
      </c>
      <c r="H56" s="1"/>
    </row>
    <row r="57" spans="1:8" ht="15" customHeight="1">
      <c r="A57" s="16"/>
      <c r="B57" s="22">
        <f>'Oil supply projection'!$B57</f>
        <v>2066</v>
      </c>
      <c r="C57" s="30">
        <f t="shared" si="0"/>
        <v>232.66874585213591</v>
      </c>
      <c r="D57" s="30">
        <f t="shared" si="1"/>
        <v>1.4239940729992864</v>
      </c>
      <c r="E57" s="165">
        <v>234.09273992513519</v>
      </c>
      <c r="H57" s="1"/>
    </row>
    <row r="58" spans="1:8" ht="15" customHeight="1">
      <c r="A58" s="16"/>
      <c r="B58" s="22">
        <f>'Oil supply projection'!$B58</f>
        <v>2067</v>
      </c>
      <c r="C58" s="30">
        <f t="shared" si="0"/>
        <v>230.60195919420764</v>
      </c>
      <c r="D58" s="30">
        <f t="shared" si="1"/>
        <v>1.4113447936976553</v>
      </c>
      <c r="E58" s="165">
        <v>232.01330398790529</v>
      </c>
      <c r="H58" s="1"/>
    </row>
    <row r="59" spans="1:8" ht="15" customHeight="1">
      <c r="A59" s="16"/>
      <c r="B59" s="22">
        <f>'Oil supply projection'!$B59</f>
        <v>2068</v>
      </c>
      <c r="C59" s="30">
        <f t="shared" si="0"/>
        <v>228.55353171500681</v>
      </c>
      <c r="D59" s="30">
        <f t="shared" si="1"/>
        <v>1.3988078774106496</v>
      </c>
      <c r="E59" s="165">
        <v>229.95233959241747</v>
      </c>
      <c r="H59" s="1"/>
    </row>
    <row r="60" spans="1:8" ht="15" customHeight="1">
      <c r="A60" s="16"/>
      <c r="B60" s="22">
        <f>'Oil supply projection'!$B60</f>
        <v>2069</v>
      </c>
      <c r="C60" s="30">
        <f t="shared" si="0"/>
        <v>226.523300330723</v>
      </c>
      <c r="D60" s="30">
        <f t="shared" si="1"/>
        <v>1.3863823260223485</v>
      </c>
      <c r="E60" s="165">
        <v>227.90968265674536</v>
      </c>
      <c r="H60" s="1"/>
    </row>
    <row r="61" spans="1:8" ht="15" customHeight="1">
      <c r="A61" s="16"/>
      <c r="B61" s="22">
        <f>'Oil supply projection'!$B61</f>
        <v>2070</v>
      </c>
      <c r="C61" s="30">
        <f t="shared" si="0"/>
        <v>224.51110340621236</v>
      </c>
      <c r="D61" s="30">
        <f t="shared" si="1"/>
        <v>1.3740671502830528</v>
      </c>
      <c r="E61" s="165">
        <v>225.88517055649541</v>
      </c>
      <c r="H61" s="1"/>
    </row>
    <row r="62" spans="1:8" ht="15" customHeight="1">
      <c r="A62" s="16"/>
      <c r="B62" s="22">
        <f>'Oil supply projection'!$B62</f>
        <v>2071</v>
      </c>
      <c r="C62" s="30">
        <f t="shared" si="0"/>
        <v>222.51678074212921</v>
      </c>
      <c r="D62" s="30">
        <f t="shared" si="1"/>
        <v>1.3618613697305271</v>
      </c>
      <c r="E62" s="165">
        <v>223.87864211185973</v>
      </c>
      <c r="H62" s="1"/>
    </row>
    <row r="63" spans="1:8" ht="15" customHeight="1">
      <c r="A63" s="16"/>
      <c r="B63" s="22">
        <f>'Oil supply projection'!$B63</f>
        <v>2072</v>
      </c>
      <c r="C63" s="30">
        <f t="shared" si="0"/>
        <v>220.54017356217196</v>
      </c>
      <c r="D63" s="30">
        <f t="shared" si="1"/>
        <v>1.3497640126119403</v>
      </c>
      <c r="E63" s="165">
        <v>221.88993757478389</v>
      </c>
      <c r="H63" s="1"/>
    </row>
    <row r="64" spans="1:8" ht="15" customHeight="1">
      <c r="A64" s="16"/>
      <c r="B64" s="22">
        <f>'Oil supply projection'!$B64</f>
        <v>2073</v>
      </c>
      <c r="C64" s="30">
        <f t="shared" si="0"/>
        <v>218.58112450044214</v>
      </c>
      <c r="D64" s="30">
        <f t="shared" si="1"/>
        <v>1.3377741158065011</v>
      </c>
      <c r="E64" s="165">
        <v>219.91889861624864</v>
      </c>
      <c r="H64" s="1"/>
    </row>
    <row r="65" spans="1:8" ht="15" customHeight="1">
      <c r="A65" s="16"/>
      <c r="B65" s="22">
        <f>'Oil supply projection'!$B65</f>
        <v>2074</v>
      </c>
      <c r="C65" s="30">
        <f t="shared" si="0"/>
        <v>216.63947758891595</v>
      </c>
      <c r="D65" s="30">
        <f t="shared" si="1"/>
        <v>1.325890724748779</v>
      </c>
      <c r="E65" s="165">
        <v>217.96536831366473</v>
      </c>
      <c r="H65" s="1"/>
    </row>
    <row r="66" spans="1:8" ht="15" customHeight="1">
      <c r="A66" s="16"/>
      <c r="B66" s="22">
        <f>'Oil supply projection'!$B66</f>
        <v>2075</v>
      </c>
      <c r="C66" s="30">
        <f t="shared" si="0"/>
        <v>214.71507824502697</v>
      </c>
      <c r="D66" s="30">
        <f t="shared" si="1"/>
        <v>1.3141128933527086</v>
      </c>
      <c r="E66" s="165">
        <v>216.02919113837967</v>
      </c>
      <c r="H66" s="1"/>
    </row>
    <row r="67" spans="1:8" ht="15" customHeight="1">
      <c r="A67" s="16"/>
      <c r="B67" s="22">
        <f>'Oil supply projection'!$B67</f>
        <v>2076</v>
      </c>
      <c r="C67" s="30">
        <f t="shared" si="0"/>
        <v>212.80777325935921</v>
      </c>
      <c r="D67" s="30">
        <f t="shared" si="1"/>
        <v>1.3024396839362666</v>
      </c>
      <c r="E67" s="165">
        <v>214.11021294329547</v>
      </c>
      <c r="H67" s="1"/>
    </row>
    <row r="68" spans="1:8" ht="15" customHeight="1">
      <c r="A68" s="16"/>
      <c r="B68" s="22">
        <f>'Oil supply projection'!$B68</f>
        <v>2077</v>
      </c>
      <c r="C68" s="30">
        <f t="shared" si="0"/>
        <v>210.91741078344941</v>
      </c>
      <c r="D68" s="30">
        <f t="shared" si="1"/>
        <v>1.2908701671468199</v>
      </c>
      <c r="E68" s="165">
        <v>212.20828095059622</v>
      </c>
      <c r="H68" s="1"/>
    </row>
    <row r="69" spans="1:8" ht="15" customHeight="1">
      <c r="A69" s="16"/>
      <c r="B69" s="22">
        <f>'Oil supply projection'!$B69</f>
        <v>2078</v>
      </c>
      <c r="C69" s="30">
        <f t="shared" si="0"/>
        <v>209.04384031769789</v>
      </c>
      <c r="D69" s="30">
        <f t="shared" si="1"/>
        <v>1.2794034218871355</v>
      </c>
      <c r="E69" s="165">
        <v>210.32324373958502</v>
      </c>
      <c r="H69" s="1"/>
    </row>
    <row r="70" spans="1:8" ht="15" customHeight="1">
      <c r="A70" s="16"/>
      <c r="B70" s="22">
        <f>'Oil supply projection'!$B70</f>
        <v>2079</v>
      </c>
      <c r="C70" s="30">
        <f t="shared" si="0"/>
        <v>207.18691269938648</v>
      </c>
      <c r="D70" s="30">
        <f t="shared" si="1"/>
        <v>1.2680385352420485</v>
      </c>
      <c r="E70" s="165">
        <v>208.45495123462854</v>
      </c>
      <c r="H70" s="1"/>
    </row>
    <row r="71" spans="1:8" ht="15" customHeight="1">
      <c r="A71" s="16"/>
      <c r="B71" s="22">
        <f>'Oil supply projection'!$B71</f>
        <v>2080</v>
      </c>
      <c r="C71" s="30">
        <f t="shared" si="0"/>
        <v>205.34648009080323</v>
      </c>
      <c r="D71" s="30">
        <f t="shared" si="1"/>
        <v>1.2567746024057804</v>
      </c>
      <c r="E71" s="165">
        <v>206.60325469320901</v>
      </c>
      <c r="H71" s="1"/>
    </row>
    <row r="72" spans="1:8" ht="15" customHeight="1">
      <c r="A72" s="16"/>
      <c r="B72" s="22">
        <f>'Oil supply projection'!$B72</f>
        <v>2081</v>
      </c>
      <c r="C72" s="30">
        <f t="shared" si="0"/>
        <v>203.52239596747228</v>
      </c>
      <c r="D72" s="30">
        <f t="shared" si="1"/>
        <v>1.2456107266099048</v>
      </c>
      <c r="E72" s="165">
        <v>204.76800669408217</v>
      </c>
      <c r="H72" s="1"/>
    </row>
    <row r="73" spans="1:8" ht="15" customHeight="1">
      <c r="A73" s="16"/>
      <c r="B73" s="22">
        <f>'Oil supply projection'!$B73</f>
        <v>2082</v>
      </c>
      <c r="C73" s="30">
        <f t="shared" si="0"/>
        <v>201.71451510648853</v>
      </c>
      <c r="D73" s="30">
        <f t="shared" si="1"/>
        <v>1.2345460190519513</v>
      </c>
      <c r="E73" s="165">
        <v>202.94906112554048</v>
      </c>
      <c r="H73" s="1"/>
    </row>
    <row r="74" spans="1:8" ht="15" customHeight="1">
      <c r="A74" s="16"/>
      <c r="B74" s="22">
        <f>'Oil supply projection'!$B74</f>
        <v>2083</v>
      </c>
      <c r="C74" s="30">
        <f t="shared" si="0"/>
        <v>199.92269357495584</v>
      </c>
      <c r="D74" s="30">
        <f t="shared" si="1"/>
        <v>1.2235795988246443</v>
      </c>
      <c r="E74" s="165">
        <v>201.14627317378049</v>
      </c>
      <c r="H74" s="1"/>
    </row>
    <row r="75" spans="1:8" ht="15" customHeight="1">
      <c r="A75" s="16"/>
      <c r="B75" s="22">
        <f>'Oil supply projection'!$B75</f>
        <v>2084</v>
      </c>
      <c r="C75" s="30">
        <f t="shared" si="0"/>
        <v>198.14678871852792</v>
      </c>
      <c r="D75" s="30">
        <f t="shared" si="1"/>
        <v>1.2127105928457702</v>
      </c>
      <c r="E75" s="165">
        <v>199.3594993113737</v>
      </c>
      <c r="H75" s="1"/>
    </row>
    <row r="76" spans="1:8" ht="15" customHeight="1">
      <c r="A76" s="16"/>
      <c r="B76" s="22">
        <f>'Oil supply projection'!$B76</f>
        <v>2085</v>
      </c>
      <c r="C76" s="30">
        <f t="shared" si="0"/>
        <v>196.386659150051</v>
      </c>
      <c r="D76" s="30">
        <f t="shared" si="1"/>
        <v>1.2019381357886683</v>
      </c>
      <c r="E76" s="165">
        <v>197.58859728583968</v>
      </c>
      <c r="H76" s="1"/>
    </row>
    <row r="77" spans="1:8" ht="15" customHeight="1">
      <c r="A77" s="16"/>
      <c r="B77" s="22">
        <f>'Oil supply projection'!$B77</f>
        <v>2086</v>
      </c>
      <c r="C77" s="30">
        <f t="shared" si="0"/>
        <v>194.64216473830746</v>
      </c>
      <c r="D77" s="30">
        <f t="shared" si="1"/>
        <v>1.1912613700133377</v>
      </c>
      <c r="E77" s="165">
        <v>195.83342610832079</v>
      </c>
      <c r="H77" s="1"/>
    </row>
    <row r="78" spans="1:8" ht="15" customHeight="1">
      <c r="A78" s="16"/>
      <c r="B78" s="22">
        <f>'Oil supply projection'!$B78</f>
        <v>2087</v>
      </c>
      <c r="C78" s="30">
        <f t="shared" si="0"/>
        <v>192.91316659685933</v>
      </c>
      <c r="D78" s="30">
        <f t="shared" si="1"/>
        <v>1.1806794454981575</v>
      </c>
      <c r="E78" s="165">
        <v>194.09384604235748</v>
      </c>
      <c r="H78" s="1"/>
    </row>
    <row r="79" spans="1:8" ht="15" customHeight="1">
      <c r="A79" s="16"/>
      <c r="B79" s="22">
        <f>'Oil supply projection'!$B79</f>
        <v>2088</v>
      </c>
      <c r="C79" s="30">
        <f t="shared" si="0"/>
        <v>191.19952707299106</v>
      </c>
      <c r="D79" s="30">
        <f t="shared" si="1"/>
        <v>1.1701915197722135</v>
      </c>
      <c r="E79" s="165">
        <v>192.36971859276326</v>
      </c>
      <c r="H79" s="1"/>
    </row>
    <row r="80" spans="1:8" ht="15" customHeight="1">
      <c r="A80" s="16"/>
      <c r="B80" s="22">
        <f>'Oil supply projection'!$B80</f>
        <v>2089</v>
      </c>
      <c r="C80" s="30">
        <f t="shared" si="0"/>
        <v>189.50110973675035</v>
      </c>
      <c r="D80" s="30">
        <f t="shared" si="1"/>
        <v>1.1597967578482247</v>
      </c>
      <c r="E80" s="165">
        <v>190.66090649459858</v>
      </c>
      <c r="H80" s="1"/>
    </row>
    <row r="81" spans="1:8" ht="15" customHeight="1">
      <c r="A81" s="16"/>
      <c r="B81" s="22">
        <f>'Oil supply projection'!$B81</f>
        <v>2090</v>
      </c>
      <c r="C81" s="30">
        <f t="shared" si="0"/>
        <v>187.81777937008641</v>
      </c>
      <c r="D81" s="30">
        <f t="shared" si="1"/>
        <v>1.1494943321560669</v>
      </c>
      <c r="E81" s="165">
        <v>188.96727370224249</v>
      </c>
      <c r="H81" s="1"/>
    </row>
    <row r="82" spans="1:8" ht="15" customHeight="1">
      <c r="A82" s="16"/>
      <c r="B82" s="22">
        <f>'Oil supply projection'!$B82</f>
        <v>2091</v>
      </c>
      <c r="C82" s="30">
        <f t="shared" si="0"/>
        <v>186.14940195608469</v>
      </c>
      <c r="D82" s="30">
        <f t="shared" si="1"/>
        <v>1.1392834224768866</v>
      </c>
      <c r="E82" s="165">
        <v>187.28868537856158</v>
      </c>
      <c r="H82" s="1"/>
    </row>
    <row r="83" spans="1:8" ht="15" customHeight="1">
      <c r="A83" s="16"/>
      <c r="B83" s="22">
        <f>'Oil supply projection'!$B83</f>
        <v>2092</v>
      </c>
      <c r="C83" s="30">
        <f t="shared" si="0"/>
        <v>184.49584466829725</v>
      </c>
      <c r="D83" s="30">
        <f t="shared" si="1"/>
        <v>1.1291632158777996</v>
      </c>
      <c r="E83" s="165">
        <v>185.62500788417506</v>
      </c>
      <c r="H83" s="1"/>
    </row>
    <row r="84" spans="1:8" ht="15" customHeight="1">
      <c r="A84" s="16"/>
      <c r="B84" s="22">
        <f>'Oil supply projection'!$B84</f>
        <v>2093</v>
      </c>
      <c r="C84" s="30">
        <f t="shared" si="0"/>
        <v>182.85697586016789</v>
      </c>
      <c r="D84" s="30">
        <f t="shared" si="1"/>
        <v>1.1191329066471702</v>
      </c>
      <c r="E84" s="436">
        <v>183.97610876681506</v>
      </c>
      <c r="H84" s="1"/>
    </row>
    <row r="85" spans="1:8" ht="15" customHeight="1">
      <c r="A85" s="16"/>
      <c r="B85" s="194" t="s">
        <v>292</v>
      </c>
      <c r="C85" s="589" t="s">
        <v>316</v>
      </c>
      <c r="D85" s="589" t="s">
        <v>316</v>
      </c>
      <c r="E85" s="497" t="s">
        <v>317</v>
      </c>
      <c r="H85" s="1"/>
    </row>
    <row r="86" spans="1:8" ht="15" customHeight="1">
      <c r="A86" s="16"/>
      <c r="B86" s="194" t="s">
        <v>294</v>
      </c>
      <c r="C86" s="107" t="s">
        <v>319</v>
      </c>
      <c r="D86" s="107" t="s">
        <v>319</v>
      </c>
      <c r="E86" s="107"/>
      <c r="H86" s="1"/>
    </row>
    <row r="87" spans="1:8" ht="15" customHeight="1">
      <c r="B87" s="194" t="s">
        <v>296</v>
      </c>
      <c r="C87" s="590" t="s">
        <v>321</v>
      </c>
      <c r="D87" s="590" t="s">
        <v>321</v>
      </c>
      <c r="E87" s="81"/>
      <c r="H87" s="1"/>
    </row>
    <row r="88" spans="1:8" ht="15" customHeight="1">
      <c r="B88" s="194" t="s">
        <v>298</v>
      </c>
      <c r="C88" s="81" t="s">
        <v>396</v>
      </c>
      <c r="D88" s="81" t="s">
        <v>396</v>
      </c>
      <c r="E88" s="81"/>
      <c r="H88" s="1"/>
    </row>
    <row r="89" spans="1:8" ht="15" customHeight="1">
      <c r="B89" s="194" t="s">
        <v>300</v>
      </c>
      <c r="C89" s="598" t="s">
        <v>397</v>
      </c>
      <c r="D89" s="598">
        <v>2267</v>
      </c>
      <c r="E89" s="81"/>
      <c r="H89" s="1"/>
    </row>
    <row r="90" spans="1:8" ht="15" customHeight="1">
      <c r="B90" s="194" t="s">
        <v>301</v>
      </c>
      <c r="C90" s="194" t="s">
        <v>398</v>
      </c>
      <c r="D90" s="194" t="s">
        <v>399</v>
      </c>
      <c r="E90" s="194"/>
      <c r="H90" s="1"/>
    </row>
  </sheetData>
  <mergeCells count="1">
    <mergeCell ref="A1:B1"/>
  </mergeCells>
  <phoneticPr fontId="29" type="noConversion"/>
  <hyperlinks>
    <hyperlink ref="A1" location="'Table of Contents'!A1" tooltip="Click here to return to the Table of Contents tab" display="Return to Table of Contents" xr:uid="{00000000-0004-0000-08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6">
    <tabColor indexed="27"/>
    <pageSetUpPr fitToPage="1"/>
  </sheetPr>
  <dimension ref="A1:P90"/>
  <sheetViews>
    <sheetView workbookViewId="0">
      <selection sqref="A1:B1"/>
    </sheetView>
  </sheetViews>
  <sheetFormatPr defaultColWidth="9.28515625" defaultRowHeight="15" customHeight="1"/>
  <cols>
    <col min="1" max="1" width="15.5703125" style="18" customWidth="1"/>
    <col min="2" max="2" width="10.28515625" style="1" customWidth="1"/>
    <col min="3" max="12" width="17.28515625" style="1" customWidth="1"/>
    <col min="13" max="13" width="24" style="1" customWidth="1"/>
    <col min="14" max="16384" width="9.28515625" style="1"/>
  </cols>
  <sheetData>
    <row r="1" spans="1:13" ht="15.75" thickBot="1">
      <c r="A1" s="701" t="s">
        <v>27</v>
      </c>
      <c r="B1" s="702"/>
      <c r="C1" s="180"/>
      <c r="D1" s="180"/>
      <c r="E1" s="2"/>
      <c r="F1" s="2"/>
    </row>
    <row r="2" spans="1:13" ht="16.5" customHeight="1">
      <c r="A2" s="1"/>
      <c r="B2" s="2"/>
      <c r="C2" s="2"/>
      <c r="D2" s="2"/>
      <c r="E2" s="2"/>
      <c r="F2" s="2"/>
    </row>
    <row r="3" spans="1:13" ht="16.5" customHeight="1">
      <c r="A3" s="1"/>
      <c r="B3" s="2"/>
      <c r="C3" s="2"/>
      <c r="D3" s="2"/>
      <c r="E3" s="2"/>
      <c r="F3" s="2"/>
    </row>
    <row r="4" spans="1:13" ht="16.5" customHeight="1">
      <c r="A4" s="1"/>
      <c r="B4" s="2"/>
      <c r="C4" s="2"/>
      <c r="D4" s="2"/>
      <c r="E4" s="2"/>
      <c r="F4" s="2"/>
    </row>
    <row r="5" spans="1:13" ht="16.5" customHeight="1">
      <c r="A5" s="1"/>
      <c r="B5" s="2"/>
      <c r="C5" s="2"/>
      <c r="D5" s="2"/>
      <c r="E5" s="2"/>
      <c r="F5" s="2"/>
    </row>
    <row r="6" spans="1:13" ht="19.5" customHeight="1">
      <c r="A6" s="16"/>
      <c r="B6" s="11" t="s">
        <v>400</v>
      </c>
      <c r="C6" s="12"/>
      <c r="D6" s="12"/>
      <c r="E6" s="12"/>
      <c r="F6" s="59"/>
      <c r="G6" s="59"/>
      <c r="H6" s="59"/>
      <c r="I6" s="59"/>
      <c r="J6" s="59"/>
      <c r="K6" s="60"/>
      <c r="M6" s="534"/>
    </row>
    <row r="7" spans="1:13" ht="19.5" customHeight="1">
      <c r="A7" s="16"/>
      <c r="B7" s="61"/>
      <c r="C7" s="57"/>
      <c r="D7" s="57"/>
      <c r="E7" s="57"/>
      <c r="F7" s="62"/>
      <c r="G7" s="62"/>
      <c r="H7" s="62"/>
      <c r="I7" s="62"/>
      <c r="J7" s="62"/>
      <c r="K7" s="80"/>
      <c r="M7" s="535"/>
    </row>
    <row r="8" spans="1:13" ht="29.25" customHeight="1">
      <c r="A8" s="16"/>
      <c r="B8" s="650"/>
      <c r="C8" s="650" t="s">
        <v>281</v>
      </c>
      <c r="D8" s="650" t="s">
        <v>282</v>
      </c>
      <c r="E8" s="650" t="s">
        <v>283</v>
      </c>
      <c r="F8" s="650" t="s">
        <v>284</v>
      </c>
      <c r="G8" s="650" t="s">
        <v>401</v>
      </c>
      <c r="H8" s="650" t="s">
        <v>402</v>
      </c>
      <c r="I8" s="650" t="s">
        <v>403</v>
      </c>
      <c r="J8" s="650" t="s">
        <v>404</v>
      </c>
      <c r="K8" s="650" t="s">
        <v>405</v>
      </c>
      <c r="M8" s="650" t="s">
        <v>406</v>
      </c>
    </row>
    <row r="9" spans="1:13" ht="29.25" customHeight="1" thickBot="1">
      <c r="A9" s="16"/>
      <c r="B9" s="66" t="s">
        <v>268</v>
      </c>
      <c r="C9" s="96" t="s">
        <v>314</v>
      </c>
      <c r="D9" s="96" t="s">
        <v>314</v>
      </c>
      <c r="E9" s="96" t="s">
        <v>314</v>
      </c>
      <c r="F9" s="96" t="s">
        <v>314</v>
      </c>
      <c r="G9" s="96" t="s">
        <v>314</v>
      </c>
      <c r="H9" s="96" t="s">
        <v>314</v>
      </c>
      <c r="I9" s="96" t="s">
        <v>314</v>
      </c>
      <c r="J9" s="96" t="s">
        <v>314</v>
      </c>
      <c r="K9" s="96" t="s">
        <v>314</v>
      </c>
      <c r="M9" s="96" t="s">
        <v>314</v>
      </c>
    </row>
    <row r="10" spans="1:13" ht="15" customHeight="1" thickTop="1">
      <c r="A10" s="330"/>
      <c r="B10" s="22">
        <f>'Oil supply projection'!$B10</f>
        <v>2019</v>
      </c>
      <c r="C10" s="684">
        <v>0.60512948803159661</v>
      </c>
      <c r="D10" s="684">
        <v>0.51135651196840348</v>
      </c>
      <c r="E10" s="684">
        <v>5.1514129999999998</v>
      </c>
      <c r="F10" s="684">
        <v>14.108962</v>
      </c>
      <c r="G10" s="684">
        <v>8.6405999999999997E-2</v>
      </c>
      <c r="H10" s="484">
        <v>2.9820000000000002</v>
      </c>
      <c r="I10" s="484">
        <v>5.4889999999999999</v>
      </c>
      <c r="J10" s="484">
        <v>72.050585999999996</v>
      </c>
      <c r="K10" s="437">
        <f t="array" ref="K10:K84">aeo_dem_oil_res+aeo_dem_oil_com+aeo_dem_oil_ind+aeo_dem_oil_tra+aeo_dem_oil_ele+aeo_dem_oil_row_crude+aeo_dem_oil_row_ref+aeo_dem_oil_row_non_us</f>
        <v>100.98485299999999</v>
      </c>
      <c r="L10" s="331"/>
      <c r="M10" s="684">
        <f t="array" ref="M10:M84">aeo_dem_oil_row_crude+aeo_dem_oil_row_ref+aeo_dem_oil_row_non_us</f>
        <v>80.521585999999999</v>
      </c>
    </row>
    <row r="11" spans="1:13" ht="15" customHeight="1">
      <c r="A11" s="17"/>
      <c r="B11" s="22">
        <f>'Oil supply projection'!$B11</f>
        <v>2020</v>
      </c>
      <c r="C11" s="684">
        <v>0.53212463073228566</v>
      </c>
      <c r="D11" s="684">
        <v>0.49656736926771422</v>
      </c>
      <c r="E11" s="684">
        <v>5.0845969999999996</v>
      </c>
      <c r="F11" s="684">
        <v>12.012855</v>
      </c>
      <c r="G11" s="684">
        <v>8.3318000000000003E-2</v>
      </c>
      <c r="H11" s="484">
        <v>3.206</v>
      </c>
      <c r="I11" s="484">
        <v>5.306</v>
      </c>
      <c r="J11" s="484">
        <v>73.293147000000005</v>
      </c>
      <c r="K11" s="437">
        <v>100.01460900000001</v>
      </c>
      <c r="L11" s="331"/>
      <c r="M11" s="684">
        <v>81.805147000000005</v>
      </c>
    </row>
    <row r="12" spans="1:13" ht="15" customHeight="1">
      <c r="B12" s="22">
        <f>'Oil supply projection'!$B12</f>
        <v>2021</v>
      </c>
      <c r="C12" s="684">
        <v>0.53482480320201331</v>
      </c>
      <c r="D12" s="684">
        <v>0.5222821967979866</v>
      </c>
      <c r="E12" s="684">
        <v>5.288411</v>
      </c>
      <c r="F12" s="684">
        <v>13.296215</v>
      </c>
      <c r="G12" s="684">
        <v>9.3313999999999994E-2</v>
      </c>
      <c r="H12" s="484">
        <v>2.9630000000000001</v>
      </c>
      <c r="I12" s="484">
        <v>5.5860000000000003</v>
      </c>
      <c r="J12" s="484">
        <v>74.790467000000007</v>
      </c>
      <c r="K12" s="437">
        <v>103.07451400000001</v>
      </c>
      <c r="L12" s="331"/>
      <c r="M12" s="684">
        <v>83.339467000000013</v>
      </c>
    </row>
    <row r="13" spans="1:13" ht="15" customHeight="1">
      <c r="B13" s="22">
        <f>'Oil supply projection'!$B13</f>
        <v>2022</v>
      </c>
      <c r="C13" s="684">
        <v>0.53441004342297371</v>
      </c>
      <c r="D13" s="684">
        <v>0.50989995657702636</v>
      </c>
      <c r="E13" s="684">
        <v>5.5417880000000004</v>
      </c>
      <c r="F13" s="684">
        <v>13.689624</v>
      </c>
      <c r="G13" s="684">
        <v>5.1819999999999998E-2</v>
      </c>
      <c r="H13" s="484">
        <v>3.459625</v>
      </c>
      <c r="I13" s="484">
        <v>6.1559999999999997</v>
      </c>
      <c r="J13" s="484">
        <v>70.128558999999981</v>
      </c>
      <c r="K13" s="437">
        <v>100.07172599999998</v>
      </c>
      <c r="L13" s="331"/>
      <c r="M13" s="684">
        <v>79.744183999999976</v>
      </c>
    </row>
    <row r="14" spans="1:13" ht="15" customHeight="1">
      <c r="B14" s="22">
        <f>'Oil supply projection'!$B14</f>
        <v>2023</v>
      </c>
      <c r="C14" s="684">
        <v>0.52450463624798915</v>
      </c>
      <c r="D14" s="684">
        <v>0.50729836375201098</v>
      </c>
      <c r="E14" s="684">
        <v>5.6083569999999998</v>
      </c>
      <c r="F14" s="684">
        <v>13.674638</v>
      </c>
      <c r="G14" s="684">
        <v>4.8966000000000003E-2</v>
      </c>
      <c r="H14" s="484">
        <v>3.3186429999999998</v>
      </c>
      <c r="I14" s="484">
        <v>6.5019999999999998</v>
      </c>
      <c r="J14" s="484">
        <v>70.883520000000004</v>
      </c>
      <c r="K14" s="437">
        <v>101.067927</v>
      </c>
      <c r="L14" s="331"/>
      <c r="M14" s="684">
        <v>80.704163000000008</v>
      </c>
    </row>
    <row r="15" spans="1:13" ht="15" customHeight="1">
      <c r="B15" s="22">
        <f>'Oil supply projection'!$B15</f>
        <v>2024</v>
      </c>
      <c r="C15" s="684">
        <v>0.47464441625052495</v>
      </c>
      <c r="D15" s="684">
        <v>0.50063058374947489</v>
      </c>
      <c r="E15" s="684">
        <v>5.4814369999999997</v>
      </c>
      <c r="F15" s="684">
        <v>13.502675</v>
      </c>
      <c r="G15" s="684">
        <v>4.9362000000000003E-2</v>
      </c>
      <c r="H15" s="484">
        <v>3.2261850000000001</v>
      </c>
      <c r="I15" s="484">
        <v>7.3494450000000002</v>
      </c>
      <c r="J15" s="484">
        <v>71.910852000000006</v>
      </c>
      <c r="K15" s="437">
        <v>102.495231</v>
      </c>
      <c r="L15" s="331"/>
      <c r="M15" s="684">
        <v>82.486482000000009</v>
      </c>
    </row>
    <row r="16" spans="1:13" ht="15" customHeight="1">
      <c r="B16" s="22">
        <f>'Oil supply projection'!$B16</f>
        <v>2025</v>
      </c>
      <c r="C16" s="684">
        <v>0.46978633211015519</v>
      </c>
      <c r="D16" s="684">
        <v>0.50345466788984483</v>
      </c>
      <c r="E16" s="684">
        <v>5.5847949999999997</v>
      </c>
      <c r="F16" s="684">
        <v>13.346295</v>
      </c>
      <c r="G16" s="684">
        <v>4.7667000000000001E-2</v>
      </c>
      <c r="H16" s="484">
        <v>3.2276440000000002</v>
      </c>
      <c r="I16" s="484">
        <v>7.4803670000000002</v>
      </c>
      <c r="J16" s="484">
        <v>72.827897164281296</v>
      </c>
      <c r="K16" s="437">
        <v>103.4879061642813</v>
      </c>
      <c r="L16" s="331"/>
      <c r="M16" s="684">
        <v>83.535908164281295</v>
      </c>
    </row>
    <row r="17" spans="1:13" ht="15" customHeight="1">
      <c r="B17" s="22">
        <f>'Oil supply projection'!$B17</f>
        <v>2026</v>
      </c>
      <c r="C17" s="684">
        <v>0.46568204328098906</v>
      </c>
      <c r="D17" s="684">
        <v>0.50495595671901106</v>
      </c>
      <c r="E17" s="684">
        <v>5.6976060000000004</v>
      </c>
      <c r="F17" s="684">
        <v>13.225303</v>
      </c>
      <c r="G17" s="684">
        <v>4.3812999999999998E-2</v>
      </c>
      <c r="H17" s="484">
        <v>3.2167829999999999</v>
      </c>
      <c r="I17" s="484">
        <v>7.7119619999999998</v>
      </c>
      <c r="J17" s="484">
        <v>73.557199328562547</v>
      </c>
      <c r="K17" s="437">
        <v>104.42330432856255</v>
      </c>
      <c r="L17" s="331"/>
      <c r="M17" s="684">
        <v>84.485944328562539</v>
      </c>
    </row>
    <row r="18" spans="1:13" ht="15" customHeight="1">
      <c r="B18" s="22">
        <f>'Oil supply projection'!$B18</f>
        <v>2027</v>
      </c>
      <c r="C18" s="684">
        <v>0.46172607297538021</v>
      </c>
      <c r="D18" s="684">
        <v>0.50593092702461984</v>
      </c>
      <c r="E18" s="684">
        <v>5.7811870000000001</v>
      </c>
      <c r="F18" s="684">
        <v>13.113745</v>
      </c>
      <c r="G18" s="684">
        <v>4.0149999999999998E-2</v>
      </c>
      <c r="H18" s="484">
        <v>3.2815379999999998</v>
      </c>
      <c r="I18" s="484">
        <v>7.7408530000000004</v>
      </c>
      <c r="J18" s="484">
        <v>74.374253492843835</v>
      </c>
      <c r="K18" s="437">
        <v>105.29938349284384</v>
      </c>
      <c r="L18" s="331"/>
      <c r="M18" s="684">
        <v>85.396644492843834</v>
      </c>
    </row>
    <row r="19" spans="1:13" ht="15" customHeight="1">
      <c r="B19" s="22">
        <f>'Oil supply projection'!$B19</f>
        <v>2028</v>
      </c>
      <c r="C19" s="684">
        <v>0.45738448509646512</v>
      </c>
      <c r="D19" s="684">
        <v>0.50921051490353497</v>
      </c>
      <c r="E19" s="684">
        <v>5.8392910000000002</v>
      </c>
      <c r="F19" s="684">
        <v>12.976136</v>
      </c>
      <c r="G19" s="684">
        <v>3.6338000000000002E-2</v>
      </c>
      <c r="H19" s="484">
        <v>3.315877</v>
      </c>
      <c r="I19" s="484">
        <v>7.6999149999999998</v>
      </c>
      <c r="J19" s="484">
        <v>75.310352657125108</v>
      </c>
      <c r="K19" s="437">
        <v>106.14450465712511</v>
      </c>
      <c r="L19" s="331"/>
      <c r="M19" s="684">
        <v>86.326144657125113</v>
      </c>
    </row>
    <row r="20" spans="1:13" ht="15" customHeight="1">
      <c r="B20" s="22">
        <f>'Oil supply projection'!$B20</f>
        <v>2029</v>
      </c>
      <c r="C20" s="684">
        <v>0.45292977116552197</v>
      </c>
      <c r="D20" s="684">
        <v>0.51142522883447805</v>
      </c>
      <c r="E20" s="684">
        <v>5.8942600000000001</v>
      </c>
      <c r="F20" s="684">
        <v>12.827897999999999</v>
      </c>
      <c r="G20" s="684">
        <v>3.4269000000000001E-2</v>
      </c>
      <c r="H20" s="484">
        <v>3.3467549999999999</v>
      </c>
      <c r="I20" s="484">
        <v>7.737927</v>
      </c>
      <c r="J20" s="484">
        <v>76.136386821406376</v>
      </c>
      <c r="K20" s="437">
        <v>106.94185082140638</v>
      </c>
      <c r="L20" s="331"/>
      <c r="M20" s="684">
        <v>87.221068821406377</v>
      </c>
    </row>
    <row r="21" spans="1:13" ht="15" customHeight="1">
      <c r="A21" s="17"/>
      <c r="B21" s="22">
        <f>'Oil supply projection'!$B21</f>
        <v>2030</v>
      </c>
      <c r="C21" s="684">
        <v>0.44849465704829911</v>
      </c>
      <c r="D21" s="684">
        <v>0.51291634295170097</v>
      </c>
      <c r="E21" s="684">
        <v>5.9437530000000001</v>
      </c>
      <c r="F21" s="684">
        <v>12.672229</v>
      </c>
      <c r="G21" s="684">
        <v>3.261E-2</v>
      </c>
      <c r="H21" s="484">
        <v>3.4048370000000001</v>
      </c>
      <c r="I21" s="484">
        <v>7.8262010000000002</v>
      </c>
      <c r="J21" s="484">
        <v>76.828991985687608</v>
      </c>
      <c r="K21" s="437">
        <v>107.67003298568761</v>
      </c>
      <c r="L21" s="331"/>
      <c r="M21" s="684">
        <v>88.060029985687606</v>
      </c>
    </row>
    <row r="22" spans="1:13" ht="15" customHeight="1">
      <c r="A22" s="17"/>
      <c r="B22" s="22">
        <f>'Oil supply projection'!$B22</f>
        <v>2031</v>
      </c>
      <c r="C22" s="684">
        <v>0.44379238931162973</v>
      </c>
      <c r="D22" s="684">
        <v>0.51415161068837034</v>
      </c>
      <c r="E22" s="684">
        <v>5.9940329999999999</v>
      </c>
      <c r="F22" s="684">
        <v>12.542237999999999</v>
      </c>
      <c r="G22" s="684">
        <v>3.1106999999999999E-2</v>
      </c>
      <c r="H22" s="484">
        <v>3.3926229999999999</v>
      </c>
      <c r="I22" s="484">
        <v>7.8665320000000003</v>
      </c>
      <c r="J22" s="484">
        <v>76.870381257622867</v>
      </c>
      <c r="K22" s="437">
        <v>107.65485825762286</v>
      </c>
      <c r="L22" s="331"/>
      <c r="M22" s="684">
        <v>88.129536257622874</v>
      </c>
    </row>
    <row r="23" spans="1:13" ht="15" customHeight="1">
      <c r="A23" s="17"/>
      <c r="B23" s="22">
        <f>'Oil supply projection'!$B23</f>
        <v>2032</v>
      </c>
      <c r="C23" s="684">
        <v>0.43895898497966279</v>
      </c>
      <c r="D23" s="684">
        <v>0.5152390150203372</v>
      </c>
      <c r="E23" s="684">
        <v>6.0583980000000004</v>
      </c>
      <c r="F23" s="684">
        <v>12.435345</v>
      </c>
      <c r="G23" s="684">
        <v>3.1123000000000001E-2</v>
      </c>
      <c r="H23" s="484">
        <v>3.372112</v>
      </c>
      <c r="I23" s="484">
        <v>7.9599580000000003</v>
      </c>
      <c r="J23" s="484">
        <v>76.873603529558167</v>
      </c>
      <c r="K23" s="437">
        <v>107.68473752955816</v>
      </c>
      <c r="L23" s="331"/>
      <c r="M23" s="684">
        <v>88.205673529558169</v>
      </c>
    </row>
    <row r="24" spans="1:13" ht="15" customHeight="1">
      <c r="A24" s="17"/>
      <c r="B24" s="22">
        <f>'Oil supply projection'!$B24</f>
        <v>2033</v>
      </c>
      <c r="C24" s="684">
        <v>0.43452673350363274</v>
      </c>
      <c r="D24" s="684">
        <v>0.51608926649636733</v>
      </c>
      <c r="E24" s="684">
        <v>6.106643</v>
      </c>
      <c r="F24" s="684">
        <v>12.345701999999999</v>
      </c>
      <c r="G24" s="684">
        <v>3.1109999999999999E-2</v>
      </c>
      <c r="H24" s="484">
        <v>3.343852</v>
      </c>
      <c r="I24" s="484">
        <v>8.0148159999999997</v>
      </c>
      <c r="J24" s="484">
        <v>76.935856801493429</v>
      </c>
      <c r="K24" s="437">
        <v>107.72859580149343</v>
      </c>
      <c r="L24" s="331"/>
      <c r="M24" s="684">
        <v>88.294524801493424</v>
      </c>
    </row>
    <row r="25" spans="1:13" ht="15" customHeight="1">
      <c r="A25" s="17"/>
      <c r="B25" s="22">
        <f>'Oil supply projection'!$B25</f>
        <v>2034</v>
      </c>
      <c r="C25" s="684">
        <v>0.42997508010075569</v>
      </c>
      <c r="D25" s="684">
        <v>0.51678091989924446</v>
      </c>
      <c r="E25" s="684">
        <v>6.1645329999999996</v>
      </c>
      <c r="F25" s="684">
        <v>12.259467000000001</v>
      </c>
      <c r="G25" s="684">
        <v>3.0856999999999999E-2</v>
      </c>
      <c r="H25" s="484">
        <v>3.3433519999999999</v>
      </c>
      <c r="I25" s="484">
        <v>8.1523690000000002</v>
      </c>
      <c r="J25" s="484">
        <v>76.822460073428715</v>
      </c>
      <c r="K25" s="437">
        <v>107.71979407342872</v>
      </c>
      <c r="L25" s="331"/>
      <c r="M25" s="684">
        <v>88.318181073428718</v>
      </c>
    </row>
    <row r="26" spans="1:13" ht="15" customHeight="1">
      <c r="A26" s="17"/>
      <c r="B26" s="22">
        <f>'Oil supply projection'!$B26</f>
        <v>2035</v>
      </c>
      <c r="C26" s="684">
        <v>0.42559210659714253</v>
      </c>
      <c r="D26" s="684">
        <v>0.51740489340285756</v>
      </c>
      <c r="E26" s="684">
        <v>6.2078350000000002</v>
      </c>
      <c r="F26" s="684">
        <v>12.179111000000001</v>
      </c>
      <c r="G26" s="684">
        <v>3.0761E-2</v>
      </c>
      <c r="H26" s="484">
        <v>3.359362</v>
      </c>
      <c r="I26" s="484">
        <v>8.2362599999999997</v>
      </c>
      <c r="J26" s="484">
        <v>76.837992345363986</v>
      </c>
      <c r="K26" s="437">
        <v>107.79431834536399</v>
      </c>
      <c r="L26" s="331"/>
      <c r="M26" s="684">
        <v>88.433614345363992</v>
      </c>
    </row>
    <row r="27" spans="1:13" ht="15" customHeight="1">
      <c r="A27" s="17"/>
      <c r="B27" s="22">
        <f>'Oil supply projection'!$B27</f>
        <v>2036</v>
      </c>
      <c r="C27" s="684">
        <v>0.42154242482172255</v>
      </c>
      <c r="D27" s="684">
        <v>0.5178235751782776</v>
      </c>
      <c r="E27" s="684">
        <v>6.2435850000000004</v>
      </c>
      <c r="F27" s="684">
        <v>12.098924</v>
      </c>
      <c r="G27" s="684">
        <v>3.0255000000000001E-2</v>
      </c>
      <c r="H27" s="484">
        <v>3.316519</v>
      </c>
      <c r="I27" s="484">
        <v>8.3519260000000006</v>
      </c>
      <c r="J27" s="484">
        <v>76.774352617299272</v>
      </c>
      <c r="K27" s="437">
        <v>107.75492761729927</v>
      </c>
      <c r="L27" s="331"/>
      <c r="M27" s="684">
        <v>88.442797617299277</v>
      </c>
    </row>
    <row r="28" spans="1:13" ht="15" customHeight="1">
      <c r="A28" s="19"/>
      <c r="B28" s="22">
        <f>'Oil supply projection'!$B28</f>
        <v>2037</v>
      </c>
      <c r="C28" s="684">
        <v>0.41777275666507824</v>
      </c>
      <c r="D28" s="684">
        <v>0.51820624333492171</v>
      </c>
      <c r="E28" s="684">
        <v>6.28132</v>
      </c>
      <c r="F28" s="684">
        <v>12.037349000000001</v>
      </c>
      <c r="G28" s="684">
        <v>2.9373E-2</v>
      </c>
      <c r="H28" s="484">
        <v>3.2998210000000001</v>
      </c>
      <c r="I28" s="484">
        <v>8.3822179999999999</v>
      </c>
      <c r="J28" s="484">
        <v>76.721156889234564</v>
      </c>
      <c r="K28" s="437">
        <v>107.68721688923456</v>
      </c>
      <c r="L28" s="331"/>
      <c r="M28" s="684">
        <v>88.403195889234567</v>
      </c>
    </row>
    <row r="29" spans="1:13" ht="15" customHeight="1">
      <c r="A29" s="17"/>
      <c r="B29" s="22">
        <f>'Oil supply projection'!$B29</f>
        <v>2038</v>
      </c>
      <c r="C29" s="684">
        <v>0.41412898273081056</v>
      </c>
      <c r="D29" s="684">
        <v>0.51840201726918955</v>
      </c>
      <c r="E29" s="684">
        <v>6.3072379999999999</v>
      </c>
      <c r="F29" s="684">
        <v>11.988989999999999</v>
      </c>
      <c r="G29" s="684">
        <v>2.7914999999999999E-2</v>
      </c>
      <c r="H29" s="484">
        <v>3.256402</v>
      </c>
      <c r="I29" s="484">
        <v>8.4259540000000008</v>
      </c>
      <c r="J29" s="484">
        <v>76.712495161169826</v>
      </c>
      <c r="K29" s="437">
        <v>107.65152516116983</v>
      </c>
      <c r="L29" s="331"/>
      <c r="M29" s="684">
        <v>88.394851161169825</v>
      </c>
    </row>
    <row r="30" spans="1:13" ht="15" customHeight="1">
      <c r="A30" s="17"/>
      <c r="B30" s="22">
        <f>'Oil supply projection'!$B30</f>
        <v>2039</v>
      </c>
      <c r="C30" s="684">
        <v>0.41073829706508397</v>
      </c>
      <c r="D30" s="684">
        <v>0.51868370293491606</v>
      </c>
      <c r="E30" s="684">
        <v>6.3566070000000003</v>
      </c>
      <c r="F30" s="684">
        <v>11.943453999999999</v>
      </c>
      <c r="G30" s="684">
        <v>2.7345999999999999E-2</v>
      </c>
      <c r="H30" s="484">
        <v>3.2514940000000001</v>
      </c>
      <c r="I30" s="484">
        <v>8.5186309999999992</v>
      </c>
      <c r="J30" s="484">
        <v>76.5595174331051</v>
      </c>
      <c r="K30" s="437">
        <v>107.5864714331051</v>
      </c>
      <c r="L30" s="331"/>
      <c r="M30" s="684">
        <v>88.329642433105107</v>
      </c>
    </row>
    <row r="31" spans="1:13" ht="15" customHeight="1">
      <c r="A31" s="17"/>
      <c r="B31" s="22">
        <f>'Oil supply projection'!$B31</f>
        <v>2040</v>
      </c>
      <c r="C31" s="684">
        <v>0.40758809691133308</v>
      </c>
      <c r="D31" s="684">
        <v>0.51885690308866683</v>
      </c>
      <c r="E31" s="684">
        <v>6.4097720000000002</v>
      </c>
      <c r="F31" s="684">
        <v>11.921847</v>
      </c>
      <c r="G31" s="684">
        <v>2.6971999999999999E-2</v>
      </c>
      <c r="H31" s="484">
        <v>3.1725940000000001</v>
      </c>
      <c r="I31" s="484">
        <v>8.4778400000000005</v>
      </c>
      <c r="J31" s="484">
        <v>76.641852705040378</v>
      </c>
      <c r="K31" s="437">
        <v>107.57732270504039</v>
      </c>
      <c r="L31" s="331"/>
      <c r="M31" s="684">
        <v>88.292286705040382</v>
      </c>
    </row>
    <row r="32" spans="1:13" ht="15" customHeight="1">
      <c r="A32" s="17"/>
      <c r="B32" s="22">
        <f>'Oil supply projection'!$B32</f>
        <v>2041</v>
      </c>
      <c r="C32" s="684">
        <v>0.40458234239864038</v>
      </c>
      <c r="D32" s="684">
        <v>0.5189926576013596</v>
      </c>
      <c r="E32" s="684">
        <v>6.465541</v>
      </c>
      <c r="F32" s="684">
        <v>11.911160000000001</v>
      </c>
      <c r="G32" s="684">
        <v>2.5981000000000001E-2</v>
      </c>
      <c r="H32" s="484">
        <v>3.183427</v>
      </c>
      <c r="I32" s="484">
        <v>8.5021039999999992</v>
      </c>
      <c r="J32" s="484">
        <v>76.499013976975675</v>
      </c>
      <c r="K32" s="437">
        <v>107.51080197697567</v>
      </c>
      <c r="L32" s="331"/>
      <c r="M32" s="684">
        <v>88.184544976975673</v>
      </c>
    </row>
    <row r="33" spans="1:13" ht="15" customHeight="1">
      <c r="A33" s="17"/>
      <c r="B33" s="22">
        <f>'Oil supply projection'!$B33</f>
        <v>2042</v>
      </c>
      <c r="C33" s="684">
        <v>0.40164197048067241</v>
      </c>
      <c r="D33" s="684">
        <v>0.51911602951932756</v>
      </c>
      <c r="E33" s="684">
        <v>6.5156260000000001</v>
      </c>
      <c r="F33" s="684">
        <v>11.910422000000001</v>
      </c>
      <c r="G33" s="684">
        <v>2.4813000000000002E-2</v>
      </c>
      <c r="H33" s="484">
        <v>3.1724220000000001</v>
      </c>
      <c r="I33" s="484">
        <v>8.5680180000000004</v>
      </c>
      <c r="J33" s="484">
        <v>76.419407248910957</v>
      </c>
      <c r="K33" s="437">
        <v>107.53146624891096</v>
      </c>
      <c r="L33" s="331"/>
      <c r="M33" s="684">
        <v>88.15984724891095</v>
      </c>
    </row>
    <row r="34" spans="1:13" ht="15" customHeight="1">
      <c r="A34" s="17"/>
      <c r="B34" s="22">
        <f>'Oil supply projection'!$B34</f>
        <v>2043</v>
      </c>
      <c r="C34" s="684">
        <v>0.39886679537913755</v>
      </c>
      <c r="D34" s="684">
        <v>0.51948120462086245</v>
      </c>
      <c r="E34" s="684">
        <v>6.5662710000000004</v>
      </c>
      <c r="F34" s="684">
        <v>11.918111</v>
      </c>
      <c r="G34" s="684">
        <v>2.3407000000000001E-2</v>
      </c>
      <c r="H34" s="484">
        <v>3.18634</v>
      </c>
      <c r="I34" s="484">
        <v>8.5741530000000008</v>
      </c>
      <c r="J34" s="484">
        <v>76.422227520846221</v>
      </c>
      <c r="K34" s="437">
        <v>107.60885752084621</v>
      </c>
      <c r="L34" s="331"/>
      <c r="M34" s="684">
        <v>88.182720520846217</v>
      </c>
    </row>
    <row r="35" spans="1:13" ht="15" customHeight="1">
      <c r="A35" s="17"/>
      <c r="B35" s="22">
        <f>'Oil supply projection'!$B35</f>
        <v>2044</v>
      </c>
      <c r="C35" s="684">
        <v>0.39629307117749019</v>
      </c>
      <c r="D35" s="684">
        <v>0.51977392882250961</v>
      </c>
      <c r="E35" s="684">
        <v>6.6011519999999999</v>
      </c>
      <c r="F35" s="684">
        <v>11.937787</v>
      </c>
      <c r="G35" s="684">
        <v>2.2100999999999999E-2</v>
      </c>
      <c r="H35" s="484">
        <v>3.1571570000000002</v>
      </c>
      <c r="I35" s="484">
        <v>8.6011369999999996</v>
      </c>
      <c r="J35" s="484">
        <v>76.4266737927815</v>
      </c>
      <c r="K35" s="437">
        <v>107.66207479278151</v>
      </c>
      <c r="L35" s="331"/>
      <c r="M35" s="684">
        <v>88.184967792781492</v>
      </c>
    </row>
    <row r="36" spans="1:13" ht="15" customHeight="1">
      <c r="A36" s="17"/>
      <c r="B36" s="22">
        <f>'Oil supply projection'!$B36</f>
        <v>2045</v>
      </c>
      <c r="C36" s="684">
        <v>0.39388732700369444</v>
      </c>
      <c r="D36" s="684">
        <v>0.52017967299630541</v>
      </c>
      <c r="E36" s="684">
        <v>6.6458300000000001</v>
      </c>
      <c r="F36" s="684">
        <v>11.974033</v>
      </c>
      <c r="G36" s="684">
        <v>2.0785999999999999E-2</v>
      </c>
      <c r="H36" s="484">
        <v>3.1578520000000001</v>
      </c>
      <c r="I36" s="484">
        <v>8.5583559999999999</v>
      </c>
      <c r="J36" s="484">
        <v>76.488838064716774</v>
      </c>
      <c r="K36" s="437">
        <v>107.75976206471678</v>
      </c>
      <c r="L36" s="331"/>
      <c r="M36" s="684">
        <v>88.205046064716768</v>
      </c>
    </row>
    <row r="37" spans="1:13" ht="15" customHeight="1">
      <c r="A37" s="17"/>
      <c r="B37" s="22">
        <f>'Oil supply projection'!$B37</f>
        <v>2046</v>
      </c>
      <c r="C37" s="508">
        <v>0.39158784408454728</v>
      </c>
      <c r="D37" s="508">
        <v>0.52064115591545268</v>
      </c>
      <c r="E37" s="508">
        <v>6.6962700000000002</v>
      </c>
      <c r="F37" s="508">
        <v>12.029000999999999</v>
      </c>
      <c r="G37" s="508">
        <v>2.0642000000000001E-2</v>
      </c>
      <c r="H37" s="508">
        <v>3.0345330000000001</v>
      </c>
      <c r="I37" s="508">
        <v>8.5144359999999999</v>
      </c>
      <c r="J37" s="484">
        <v>76.619631336652063</v>
      </c>
      <c r="K37" s="437">
        <v>107.82674233665206</v>
      </c>
      <c r="L37" s="331"/>
      <c r="M37" s="684">
        <v>88.168600336652062</v>
      </c>
    </row>
    <row r="38" spans="1:13" ht="15" customHeight="1">
      <c r="A38" s="17"/>
      <c r="B38" s="22">
        <f>'Oil supply projection'!$B38</f>
        <v>2047</v>
      </c>
      <c r="C38" s="508">
        <v>0.38921735413672998</v>
      </c>
      <c r="D38" s="508">
        <v>0.52047264586327002</v>
      </c>
      <c r="E38" s="508">
        <v>6.7528589999999999</v>
      </c>
      <c r="F38" s="508">
        <v>12.100433000000001</v>
      </c>
      <c r="G38" s="508">
        <v>2.0820999999999999E-2</v>
      </c>
      <c r="H38" s="508">
        <v>3.003107</v>
      </c>
      <c r="I38" s="508">
        <v>8.4058329999999994</v>
      </c>
      <c r="J38" s="484">
        <v>76.680170608587332</v>
      </c>
      <c r="K38" s="437">
        <v>107.87291360858734</v>
      </c>
      <c r="L38" s="331"/>
      <c r="M38" s="684">
        <v>88.089110608587333</v>
      </c>
    </row>
    <row r="39" spans="1:13" ht="15" customHeight="1">
      <c r="A39" s="19"/>
      <c r="B39" s="22">
        <f>'Oil supply projection'!$B39</f>
        <v>2048</v>
      </c>
      <c r="C39" s="508">
        <v>0.38685810460299963</v>
      </c>
      <c r="D39" s="508">
        <v>0.5206128953970004</v>
      </c>
      <c r="E39" s="508">
        <v>6.7679419999999997</v>
      </c>
      <c r="F39" s="508">
        <v>12.160907999999999</v>
      </c>
      <c r="G39" s="508">
        <v>2.0728E-2</v>
      </c>
      <c r="H39" s="508">
        <v>2.9931809999999999</v>
      </c>
      <c r="I39" s="508">
        <v>8.3939439999999994</v>
      </c>
      <c r="J39" s="484">
        <v>76.654181880522628</v>
      </c>
      <c r="K39" s="437">
        <v>107.89835588052262</v>
      </c>
      <c r="L39" s="331"/>
      <c r="M39" s="684">
        <v>88.041306880522626</v>
      </c>
    </row>
    <row r="40" spans="1:13" ht="15" customHeight="1">
      <c r="A40" s="17"/>
      <c r="B40" s="22">
        <f>'Oil supply projection'!$B40</f>
        <v>2049</v>
      </c>
      <c r="C40" s="508">
        <v>0.3845741750252083</v>
      </c>
      <c r="D40" s="508">
        <v>0.52101582497479171</v>
      </c>
      <c r="E40" s="508">
        <v>6.786181</v>
      </c>
      <c r="F40" s="508">
        <v>12.219367999999999</v>
      </c>
      <c r="G40" s="508">
        <v>2.0722000000000001E-2</v>
      </c>
      <c r="H40" s="508">
        <v>2.9590399999999999</v>
      </c>
      <c r="I40" s="508">
        <v>8.3695950000000003</v>
      </c>
      <c r="J40" s="484">
        <v>76.6717291524579</v>
      </c>
      <c r="K40" s="437">
        <v>107.9322251524579</v>
      </c>
      <c r="L40" s="506"/>
      <c r="M40" s="684">
        <v>88.000364152457905</v>
      </c>
    </row>
    <row r="41" spans="1:13" ht="15" customHeight="1">
      <c r="A41" s="17"/>
      <c r="B41" s="22">
        <f>'Oil supply projection'!$B41</f>
        <v>2050</v>
      </c>
      <c r="C41" s="508">
        <v>0.38243761807612936</v>
      </c>
      <c r="D41" s="508">
        <v>0.52155838192387072</v>
      </c>
      <c r="E41" s="508">
        <v>6.8232330000000001</v>
      </c>
      <c r="F41" s="508">
        <v>12.298192</v>
      </c>
      <c r="G41" s="508">
        <v>2.0469999999999999E-2</v>
      </c>
      <c r="H41" s="508">
        <v>2.940725</v>
      </c>
      <c r="I41" s="508">
        <v>8.1441949999999999</v>
      </c>
      <c r="J41" s="484">
        <v>76.607527424393254</v>
      </c>
      <c r="K41" s="437">
        <v>107.73833842439325</v>
      </c>
      <c r="L41" s="331"/>
      <c r="M41" s="508">
        <v>87.692447424393251</v>
      </c>
    </row>
    <row r="42" spans="1:13" ht="15" customHeight="1">
      <c r="A42" s="17"/>
      <c r="B42" s="22">
        <f>'Oil supply projection'!$B42</f>
        <v>2051</v>
      </c>
      <c r="C42" s="508">
        <f t="shared" ref="C42:C84" si="0">C41*(1+oil_forecast)</f>
        <v>0.38517407295921463</v>
      </c>
      <c r="D42" s="508">
        <f t="shared" ref="D42:D84" si="1">D41*(1+oil_forecast)</f>
        <v>0.52529028724272853</v>
      </c>
      <c r="E42" s="508">
        <f t="shared" ref="E42:E84" si="2">E41*(1+oil_forecast)</f>
        <v>6.8720552611447223</v>
      </c>
      <c r="F42" s="508">
        <f t="shared" ref="F42:F84" si="3">F41*(1+oil_forecast)</f>
        <v>12.386189220882233</v>
      </c>
      <c r="G42" s="508">
        <f t="shared" ref="G42:G84" si="4">G41*(1+oil_forecast)</f>
        <v>2.0616468937178674E-2</v>
      </c>
      <c r="H42" s="508">
        <f t="shared" ref="H42:H84" si="5">H41*(1+oil_forecast)</f>
        <v>2.9617667618605159</v>
      </c>
      <c r="I42" s="508">
        <f t="shared" ref="I42:I84" si="6">I41*(1+oil_forecast)</f>
        <v>8.2024691370701461</v>
      </c>
      <c r="J42" s="484">
        <f t="shared" ref="J42:J84" si="7">J41*(1+oil_forecast)</f>
        <v>77.15567706395052</v>
      </c>
      <c r="K42" s="437">
        <v>108.50923827404726</v>
      </c>
      <c r="L42" s="503"/>
      <c r="M42" s="508">
        <v>88.319912962881176</v>
      </c>
    </row>
    <row r="43" spans="1:13" ht="15" customHeight="1">
      <c r="A43" s="17"/>
      <c r="B43" s="22">
        <f>'Oil supply projection'!$B43</f>
        <v>2052</v>
      </c>
      <c r="C43" s="508">
        <f t="shared" si="0"/>
        <v>0.38793010799072991</v>
      </c>
      <c r="D43" s="508">
        <f t="shared" si="1"/>
        <v>0.5290488954539021</v>
      </c>
      <c r="E43" s="508">
        <f t="shared" si="2"/>
        <v>6.9212268600862465</v>
      </c>
      <c r="F43" s="508">
        <f t="shared" si="3"/>
        <v>12.474816088047675</v>
      </c>
      <c r="G43" s="508">
        <f t="shared" si="4"/>
        <v>2.0763985903158436E-2</v>
      </c>
      <c r="H43" s="508">
        <f t="shared" si="5"/>
        <v>2.9829590837843476</v>
      </c>
      <c r="I43" s="508">
        <f t="shared" si="6"/>
        <v>8.2611602429200506</v>
      </c>
      <c r="J43" s="484">
        <f t="shared" si="7"/>
        <v>77.707748877182468</v>
      </c>
      <c r="K43" s="437">
        <v>109.28565414136858</v>
      </c>
      <c r="L43" s="503"/>
      <c r="M43" s="508">
        <v>88.95186820388686</v>
      </c>
    </row>
    <row r="44" spans="1:13" ht="15" customHeight="1">
      <c r="A44" s="17"/>
      <c r="B44" s="22">
        <f>'Oil supply projection'!$B44</f>
        <v>2053</v>
      </c>
      <c r="C44" s="508">
        <f t="shared" si="0"/>
        <v>0.39070586327245982</v>
      </c>
      <c r="D44" s="508">
        <f t="shared" si="1"/>
        <v>0.53283439762452667</v>
      </c>
      <c r="E44" s="508">
        <f t="shared" si="2"/>
        <v>6.9707502964403911</v>
      </c>
      <c r="F44" s="508">
        <f t="shared" si="3"/>
        <v>12.564077106802721</v>
      </c>
      <c r="G44" s="508">
        <f t="shared" si="4"/>
        <v>2.091255839689701E-2</v>
      </c>
      <c r="H44" s="508">
        <f t="shared" si="5"/>
        <v>3.0043030430735205</v>
      </c>
      <c r="I44" s="508">
        <f t="shared" si="6"/>
        <v>8.3202713010853291</v>
      </c>
      <c r="J44" s="484">
        <f t="shared" si="7"/>
        <v>78.263770928408078</v>
      </c>
      <c r="K44" s="437">
        <v>110.06762549510393</v>
      </c>
      <c r="L44" s="503"/>
      <c r="M44" s="508">
        <v>89.588345272566926</v>
      </c>
    </row>
    <row r="45" spans="1:13" ht="15" customHeight="1">
      <c r="A45" s="17"/>
      <c r="B45" s="22">
        <f>'Oil supply projection'!$B45</f>
        <v>2054</v>
      </c>
      <c r="C45" s="508">
        <f t="shared" si="0"/>
        <v>0.39350147990865886</v>
      </c>
      <c r="D45" s="508">
        <f t="shared" si="1"/>
        <v>0.53664698618887963</v>
      </c>
      <c r="E45" s="508">
        <f t="shared" si="2"/>
        <v>7.0206280877084692</v>
      </c>
      <c r="F45" s="508">
        <f t="shared" si="3"/>
        <v>12.653976814690573</v>
      </c>
      <c r="G45" s="508">
        <f t="shared" si="4"/>
        <v>2.1062193971009394E-2</v>
      </c>
      <c r="H45" s="508">
        <f t="shared" si="5"/>
        <v>3.025799724738476</v>
      </c>
      <c r="I45" s="508">
        <f t="shared" si="6"/>
        <v>8.3798053164496782</v>
      </c>
      <c r="J45" s="484">
        <f t="shared" si="7"/>
        <v>78.823771482754893</v>
      </c>
      <c r="K45" s="437">
        <v>110.85519208641064</v>
      </c>
      <c r="L45" s="503"/>
      <c r="M45" s="508">
        <v>90.229376523943046</v>
      </c>
    </row>
    <row r="46" spans="1:13" ht="15" customHeight="1">
      <c r="A46" s="17"/>
      <c r="B46" s="22">
        <f>'Oil supply projection'!$B46</f>
        <v>2055</v>
      </c>
      <c r="C46" s="508">
        <f t="shared" si="0"/>
        <v>0.39631710001322445</v>
      </c>
      <c r="D46" s="508">
        <f t="shared" si="1"/>
        <v>0.54048685495816273</v>
      </c>
      <c r="E46" s="508">
        <f t="shared" si="2"/>
        <v>7.0708627694052657</v>
      </c>
      <c r="F46" s="508">
        <f t="shared" si="3"/>
        <v>12.744519781721904</v>
      </c>
      <c r="G46" s="508">
        <f t="shared" si="4"/>
        <v>2.1212900232151791E-2</v>
      </c>
      <c r="H46" s="508">
        <f t="shared" si="5"/>
        <v>3.0474502215532282</v>
      </c>
      <c r="I46" s="508">
        <f t="shared" si="6"/>
        <v>8.4397653153976311</v>
      </c>
      <c r="J46" s="484">
        <f t="shared" si="7"/>
        <v>79.387779007595825</v>
      </c>
      <c r="K46" s="437">
        <v>111.64839395087739</v>
      </c>
      <c r="L46" s="503"/>
      <c r="M46" s="508">
        <v>90.874994544546681</v>
      </c>
    </row>
    <row r="47" spans="1:13" ht="15" customHeight="1">
      <c r="A47" s="17"/>
      <c r="B47" s="22">
        <f>'Oil supply projection'!$B47</f>
        <v>2056</v>
      </c>
      <c r="C47" s="508">
        <f t="shared" si="0"/>
        <v>0.39915286671692118</v>
      </c>
      <c r="D47" s="508">
        <f t="shared" si="1"/>
        <v>0.54435419913035454</v>
      </c>
      <c r="E47" s="508">
        <f t="shared" si="2"/>
        <v>7.1214568951879258</v>
      </c>
      <c r="F47" s="508">
        <f t="shared" si="3"/>
        <v>12.835710610607171</v>
      </c>
      <c r="G47" s="508">
        <f t="shared" si="4"/>
        <v>2.1364684841408292E-2</v>
      </c>
      <c r="H47" s="508">
        <f t="shared" si="5"/>
        <v>3.0692556341109136</v>
      </c>
      <c r="I47" s="508">
        <f t="shared" si="6"/>
        <v>8.5001543459684044</v>
      </c>
      <c r="J47" s="484">
        <f t="shared" si="7"/>
        <v>79.955822173996324</v>
      </c>
      <c r="K47" s="437">
        <v>112.44727141055942</v>
      </c>
      <c r="L47" s="331"/>
      <c r="M47" s="508">
        <v>91.525232154075638</v>
      </c>
    </row>
    <row r="48" spans="1:13" ht="15" customHeight="1">
      <c r="A48" s="17"/>
      <c r="B48" s="22">
        <f>'Oil supply projection'!$B48</f>
        <v>2057</v>
      </c>
      <c r="C48" s="508">
        <f t="shared" si="0"/>
        <v>0.40200892417465683</v>
      </c>
      <c r="D48" s="508">
        <f t="shared" si="1"/>
        <v>0.54824921530013337</v>
      </c>
      <c r="E48" s="508">
        <f t="shared" si="2"/>
        <v>7.1724130369857733</v>
      </c>
      <c r="F48" s="508">
        <f t="shared" si="3"/>
        <v>12.927553936990595</v>
      </c>
      <c r="G48" s="508">
        <f t="shared" si="4"/>
        <v>2.1517555514680323E-2</v>
      </c>
      <c r="H48" s="508">
        <f t="shared" si="5"/>
        <v>3.0912170708797406</v>
      </c>
      <c r="I48" s="508">
        <f t="shared" si="6"/>
        <v>8.5609754780108425</v>
      </c>
      <c r="J48" s="484">
        <f t="shared" si="7"/>
        <v>80.527929858171831</v>
      </c>
      <c r="K48" s="437">
        <v>113.25186507602825</v>
      </c>
      <c r="L48" s="331"/>
      <c r="M48" s="508">
        <v>92.180122407062413</v>
      </c>
    </row>
    <row r="49" spans="1:13" ht="15" customHeight="1">
      <c r="A49" s="17"/>
      <c r="B49" s="22">
        <f>'Oil supply projection'!$B49</f>
        <v>2058</v>
      </c>
      <c r="C49" s="508">
        <f t="shared" si="0"/>
        <v>0.40488541757281049</v>
      </c>
      <c r="D49" s="508">
        <f t="shared" si="1"/>
        <v>0.55217210146887075</v>
      </c>
      <c r="E49" s="508">
        <f t="shared" si="2"/>
        <v>7.2237337851310484</v>
      </c>
      <c r="F49" s="508">
        <f t="shared" si="3"/>
        <v>13.020054429685809</v>
      </c>
      <c r="G49" s="508">
        <f t="shared" si="4"/>
        <v>2.1671520023078875E-2</v>
      </c>
      <c r="H49" s="508">
        <f t="shared" si="5"/>
        <v>3.1133356482593371</v>
      </c>
      <c r="I49" s="508">
        <f t="shared" si="6"/>
        <v>8.6222318033394671</v>
      </c>
      <c r="J49" s="484">
        <f t="shared" si="7"/>
        <v>81.10413114295568</v>
      </c>
      <c r="K49" s="437">
        <v>114.0622158484361</v>
      </c>
      <c r="L49" s="331"/>
      <c r="M49" s="508">
        <v>92.839698594554477</v>
      </c>
    </row>
    <row r="50" spans="1:13" ht="15" customHeight="1">
      <c r="A50" s="17"/>
      <c r="B50" s="22">
        <f>'Oil supply projection'!$B50</f>
        <v>2059</v>
      </c>
      <c r="C50" s="508">
        <f t="shared" si="0"/>
        <v>0.40778249313661286</v>
      </c>
      <c r="D50" s="508">
        <f t="shared" si="1"/>
        <v>0.55612305705469689</v>
      </c>
      <c r="E50" s="508">
        <f t="shared" si="2"/>
        <v>7.275421748490591</v>
      </c>
      <c r="F50" s="508">
        <f t="shared" si="3"/>
        <v>13.113216790913196</v>
      </c>
      <c r="G50" s="508">
        <f t="shared" si="4"/>
        <v>2.1826586193319557E-2</v>
      </c>
      <c r="H50" s="508">
        <f t="shared" si="5"/>
        <v>3.1356124906375018</v>
      </c>
      <c r="I50" s="508">
        <f t="shared" si="6"/>
        <v>8.6839264358916566</v>
      </c>
      <c r="J50" s="484">
        <f t="shared" si="7"/>
        <v>81.684455319277546</v>
      </c>
      <c r="K50" s="437">
        <v>114.87836492159512</v>
      </c>
      <c r="L50" s="331"/>
      <c r="M50" s="508">
        <v>93.503994245806709</v>
      </c>
    </row>
    <row r="51" spans="1:13" ht="15" customHeight="1">
      <c r="A51" s="17"/>
      <c r="B51" s="22">
        <f>'Oil supply projection'!$B51</f>
        <v>2060</v>
      </c>
      <c r="C51" s="508">
        <f t="shared" si="0"/>
        <v>0.41070029813757969</v>
      </c>
      <c r="D51" s="508">
        <f t="shared" si="1"/>
        <v>0.56010228290263819</v>
      </c>
      <c r="E51" s="508">
        <f t="shared" si="2"/>
        <v>7.3274795545984581</v>
      </c>
      <c r="F51" s="508">
        <f t="shared" si="3"/>
        <v>13.207045756538923</v>
      </c>
      <c r="G51" s="508">
        <f t="shared" si="4"/>
        <v>2.198276190812045E-2</v>
      </c>
      <c r="H51" s="508">
        <f t="shared" si="5"/>
        <v>3.158048730447363</v>
      </c>
      <c r="I51" s="508">
        <f t="shared" si="6"/>
        <v>8.7460625118859348</v>
      </c>
      <c r="J51" s="484">
        <f t="shared" si="7"/>
        <v>82.268931887652414</v>
      </c>
      <c r="K51" s="437">
        <v>115.70035378407142</v>
      </c>
      <c r="L51" s="331"/>
      <c r="M51" s="508">
        <v>94.173043129985714</v>
      </c>
    </row>
    <row r="52" spans="1:13" ht="15" customHeight="1">
      <c r="A52" s="17"/>
      <c r="B52" s="22">
        <f>'Oil supply projection'!$B52</f>
        <v>2061</v>
      </c>
      <c r="C52" s="508">
        <f t="shared" si="0"/>
        <v>0.41363898090099821</v>
      </c>
      <c r="D52" s="508">
        <f t="shared" si="1"/>
        <v>0.5641099812948267</v>
      </c>
      <c r="E52" s="508">
        <f t="shared" si="2"/>
        <v>7.3799098497894944</v>
      </c>
      <c r="F52" s="508">
        <f t="shared" si="3"/>
        <v>13.30154609631569</v>
      </c>
      <c r="G52" s="508">
        <f t="shared" si="4"/>
        <v>2.2140055106602829E-2</v>
      </c>
      <c r="H52" s="508">
        <f t="shared" si="5"/>
        <v>3.1806455082249445</v>
      </c>
      <c r="I52" s="508">
        <f t="shared" si="6"/>
        <v>8.8086431899814013</v>
      </c>
      <c r="J52" s="484">
        <f t="shared" si="7"/>
        <v>82.857590559680233</v>
      </c>
      <c r="K52" s="437">
        <v>116.52822422129418</v>
      </c>
      <c r="L52" s="331"/>
      <c r="M52" s="508">
        <v>94.846879257886584</v>
      </c>
    </row>
    <row r="53" spans="1:13" ht="15" customHeight="1">
      <c r="A53" s="16"/>
      <c r="B53" s="22">
        <f>'Oil supply projection'!$B53</f>
        <v>2062</v>
      </c>
      <c r="C53" s="508">
        <f t="shared" si="0"/>
        <v>0.41659869081346718</v>
      </c>
      <c r="D53" s="508">
        <f t="shared" si="1"/>
        <v>0.56814635596078356</v>
      </c>
      <c r="E53" s="508">
        <f t="shared" si="2"/>
        <v>7.4327152993338572</v>
      </c>
      <c r="F53" s="508">
        <f t="shared" si="3"/>
        <v>13.396722614125192</v>
      </c>
      <c r="G53" s="508">
        <f t="shared" si="4"/>
        <v>2.2298473784694742E-2</v>
      </c>
      <c r="H53" s="508">
        <f t="shared" si="5"/>
        <v>3.2034039726671448</v>
      </c>
      <c r="I53" s="508">
        <f t="shared" si="6"/>
        <v>8.8716716514383016</v>
      </c>
      <c r="J53" s="484">
        <f t="shared" si="7"/>
        <v>83.450461259556263</v>
      </c>
      <c r="K53" s="437">
        <v>117.3620183176797</v>
      </c>
      <c r="L53" s="331"/>
      <c r="M53" s="508">
        <v>95.525536883661715</v>
      </c>
    </row>
    <row r="54" spans="1:13" ht="15" customHeight="1">
      <c r="A54" s="16"/>
      <c r="B54" s="22">
        <f>'Oil supply projection'!$B54</f>
        <v>2063</v>
      </c>
      <c r="C54" s="508">
        <f t="shared" si="0"/>
        <v>0.41957957833049092</v>
      </c>
      <c r="D54" s="508">
        <f t="shared" si="1"/>
        <v>0.57221161208777493</v>
      </c>
      <c r="E54" s="508">
        <f t="shared" si="2"/>
        <v>7.485898587572505</v>
      </c>
      <c r="F54" s="508">
        <f t="shared" si="3"/>
        <v>13.492580148222332</v>
      </c>
      <c r="G54" s="508">
        <f t="shared" si="4"/>
        <v>2.2458025995537478E-2</v>
      </c>
      <c r="H54" s="508">
        <f t="shared" si="5"/>
        <v>3.2263252806901299</v>
      </c>
      <c r="I54" s="508">
        <f t="shared" si="6"/>
        <v>8.9351511002797448</v>
      </c>
      <c r="J54" s="484">
        <f t="shared" si="7"/>
        <v>84.047574125592291</v>
      </c>
      <c r="K54" s="437">
        <v>118.2017784587708</v>
      </c>
      <c r="L54" s="331"/>
      <c r="M54" s="508">
        <v>96.209050506562164</v>
      </c>
    </row>
    <row r="55" spans="1:13" ht="15" customHeight="1">
      <c r="A55" s="16"/>
      <c r="B55" s="22">
        <f>'Oil supply projection'!$B55</f>
        <v>2064</v>
      </c>
      <c r="C55" s="508">
        <f t="shared" si="0"/>
        <v>0.42258179498412768</v>
      </c>
      <c r="D55" s="508">
        <f t="shared" si="1"/>
        <v>0.57630595633124315</v>
      </c>
      <c r="E55" s="508">
        <f t="shared" si="2"/>
        <v>7.5394624180536534</v>
      </c>
      <c r="F55" s="508">
        <f t="shared" si="3"/>
        <v>13.589123571481162</v>
      </c>
      <c r="G55" s="508">
        <f t="shared" si="4"/>
        <v>2.2618719849894952E-2</v>
      </c>
      <c r="H55" s="508">
        <f t="shared" si="5"/>
        <v>3.2494105974881453</v>
      </c>
      <c r="I55" s="508">
        <f t="shared" si="6"/>
        <v>8.9990847634545794</v>
      </c>
      <c r="J55" s="484">
        <f t="shared" si="7"/>
        <v>84.648959511748686</v>
      </c>
      <c r="K55" s="437">
        <v>119.04754733339149</v>
      </c>
      <c r="L55" s="331"/>
      <c r="M55" s="508">
        <v>96.897454872691412</v>
      </c>
    </row>
    <row r="56" spans="1:13" ht="15" customHeight="1">
      <c r="A56" s="16"/>
      <c r="B56" s="22">
        <f>'Oil supply projection'!$B56</f>
        <v>2065</v>
      </c>
      <c r="C56" s="508">
        <f t="shared" si="0"/>
        <v>0.42560549339069254</v>
      </c>
      <c r="D56" s="508">
        <f t="shared" si="1"/>
        <v>0.58042959682531148</v>
      </c>
      <c r="E56" s="508">
        <f t="shared" si="2"/>
        <v>7.5934095136702089</v>
      </c>
      <c r="F56" s="508">
        <f t="shared" si="3"/>
        <v>13.686357791642596</v>
      </c>
      <c r="G56" s="508">
        <f t="shared" si="4"/>
        <v>2.2780563516565999E-2</v>
      </c>
      <c r="H56" s="508">
        <f t="shared" si="5"/>
        <v>3.2726610965927478</v>
      </c>
      <c r="I56" s="508">
        <f t="shared" si="6"/>
        <v>9.0634758910014295</v>
      </c>
      <c r="J56" s="484">
        <f t="shared" si="7"/>
        <v>85.254647989177442</v>
      </c>
      <c r="K56" s="437">
        <v>119.899367935817</v>
      </c>
      <c r="L56" s="331"/>
      <c r="M56" s="508">
        <v>97.590784976771616</v>
      </c>
    </row>
    <row r="57" spans="1:13" ht="15" customHeight="1">
      <c r="A57" s="16"/>
      <c r="B57" s="22">
        <f>'Oil supply projection'!$B57</f>
        <v>2066</v>
      </c>
      <c r="C57" s="508">
        <f t="shared" si="0"/>
        <v>0.42865082725851572</v>
      </c>
      <c r="D57" s="508">
        <f t="shared" si="1"/>
        <v>0.58458274319336478</v>
      </c>
      <c r="E57" s="508">
        <f t="shared" si="2"/>
        <v>7.6477426167981877</v>
      </c>
      <c r="F57" s="508">
        <f t="shared" si="3"/>
        <v>13.784287751563895</v>
      </c>
      <c r="G57" s="508">
        <f t="shared" si="4"/>
        <v>2.2943565222799646E-2</v>
      </c>
      <c r="H57" s="508">
        <f t="shared" si="5"/>
        <v>3.2960779599324614</v>
      </c>
      <c r="I57" s="508">
        <f t="shared" si="6"/>
        <v>9.1283277562139133</v>
      </c>
      <c r="J57" s="484">
        <f t="shared" si="7"/>
        <v>85.864670347776226</v>
      </c>
      <c r="K57" s="437">
        <v>120.75728356795936</v>
      </c>
      <c r="L57" s="331"/>
      <c r="M57" s="508">
        <v>98.289076063922607</v>
      </c>
    </row>
    <row r="58" spans="1:13" ht="15" customHeight="1">
      <c r="A58" s="16"/>
      <c r="B58" s="22">
        <f>'Oil supply projection'!$B58</f>
        <v>2067</v>
      </c>
      <c r="C58" s="508">
        <f t="shared" si="0"/>
        <v>0.43171795139575631</v>
      </c>
      <c r="D58" s="508">
        <f t="shared" si="1"/>
        <v>0.58876560655870558</v>
      </c>
      <c r="E58" s="508">
        <f t="shared" si="2"/>
        <v>7.7024644894361209</v>
      </c>
      <c r="F58" s="508">
        <f t="shared" si="3"/>
        <v>13.882918429469933</v>
      </c>
      <c r="G58" s="508">
        <f t="shared" si="4"/>
        <v>2.3107733254713329E-2</v>
      </c>
      <c r="H58" s="508">
        <f t="shared" si="5"/>
        <v>3.3196623778928602</v>
      </c>
      <c r="I58" s="508">
        <f t="shared" si="6"/>
        <v>9.1936436558070387</v>
      </c>
      <c r="J58" s="484">
        <f t="shared" si="7"/>
        <v>86.479057597753567</v>
      </c>
      <c r="K58" s="437">
        <v>121.6213378415687</v>
      </c>
      <c r="L58" s="331"/>
      <c r="M58" s="508">
        <v>98.992363631453458</v>
      </c>
    </row>
    <row r="59" spans="1:13" ht="15" customHeight="1">
      <c r="A59" s="16"/>
      <c r="B59" s="22">
        <f>'Oil supply projection'!$B59</f>
        <v>2068</v>
      </c>
      <c r="C59" s="508">
        <f t="shared" si="0"/>
        <v>0.43480702171827179</v>
      </c>
      <c r="D59" s="508">
        <f t="shared" si="1"/>
        <v>0.59297839955528653</v>
      </c>
      <c r="E59" s="508">
        <f t="shared" si="2"/>
        <v>7.7575779133454619</v>
      </c>
      <c r="F59" s="508">
        <f t="shared" si="3"/>
        <v>13.982254839206266</v>
      </c>
      <c r="G59" s="508">
        <f t="shared" si="4"/>
        <v>2.3273075957714121E-2</v>
      </c>
      <c r="H59" s="508">
        <f t="shared" si="5"/>
        <v>3.3434155493770814</v>
      </c>
      <c r="I59" s="508">
        <f t="shared" si="6"/>
        <v>9.2594269100847892</v>
      </c>
      <c r="J59" s="484">
        <f t="shared" si="7"/>
        <v>87.097840971205272</v>
      </c>
      <c r="K59" s="437">
        <v>122.49157468045014</v>
      </c>
      <c r="L59" s="331"/>
      <c r="M59" s="508">
        <v>99.700683430667141</v>
      </c>
    </row>
    <row r="60" spans="1:13" ht="15" customHeight="1">
      <c r="A60" s="16"/>
      <c r="B60" s="22">
        <f>'Oil supply projection'!$B60</f>
        <v>2069</v>
      </c>
      <c r="C60" s="508">
        <f t="shared" si="0"/>
        <v>0.43791819525754394</v>
      </c>
      <c r="D60" s="508">
        <f t="shared" si="1"/>
        <v>0.59722133633851937</v>
      </c>
      <c r="E60" s="508">
        <f t="shared" si="2"/>
        <v>7.8130856901919925</v>
      </c>
      <c r="F60" s="508">
        <f t="shared" si="3"/>
        <v>14.082302030494002</v>
      </c>
      <c r="G60" s="508">
        <f t="shared" si="4"/>
        <v>2.3439601736922961E-2</v>
      </c>
      <c r="H60" s="508">
        <f t="shared" si="5"/>
        <v>3.3673386818667699</v>
      </c>
      <c r="I60" s="508">
        <f t="shared" si="6"/>
        <v>9.3256808631089108</v>
      </c>
      <c r="J60" s="484">
        <f t="shared" si="7"/>
        <v>87.721051923702092</v>
      </c>
      <c r="K60" s="437">
        <v>123.36803832269675</v>
      </c>
      <c r="L60" s="331"/>
      <c r="M60" s="508">
        <v>100.41407146867778</v>
      </c>
    </row>
    <row r="61" spans="1:13" ht="15" customHeight="1">
      <c r="A61" s="16"/>
      <c r="B61" s="22">
        <f>'Oil supply projection'!$B61</f>
        <v>2070</v>
      </c>
      <c r="C61" s="508">
        <f t="shared" si="0"/>
        <v>0.4410516301686615</v>
      </c>
      <c r="D61" s="508">
        <f t="shared" si="1"/>
        <v>0.60149463259616132</v>
      </c>
      <c r="E61" s="508">
        <f t="shared" si="2"/>
        <v>7.8689906416882476</v>
      </c>
      <c r="F61" s="508">
        <f t="shared" si="3"/>
        <v>14.183065089186506</v>
      </c>
      <c r="G61" s="508">
        <f t="shared" si="4"/>
        <v>2.3607319057601932E-2</v>
      </c>
      <c r="H61" s="508">
        <f t="shared" si="5"/>
        <v>3.3914329914834611</v>
      </c>
      <c r="I61" s="508">
        <f t="shared" si="6"/>
        <v>9.3924088828689047</v>
      </c>
      <c r="J61" s="484">
        <f t="shared" si="7"/>
        <v>88.348722135888707</v>
      </c>
      <c r="K61" s="437">
        <v>124.25077332293826</v>
      </c>
      <c r="L61" s="331"/>
      <c r="M61" s="508">
        <v>101.13256401024107</v>
      </c>
    </row>
    <row r="62" spans="1:13" ht="15" customHeight="1">
      <c r="A62" s="16"/>
      <c r="B62" s="22">
        <f>'Oil supply projection'!$B62</f>
        <v>2071</v>
      </c>
      <c r="C62" s="508">
        <f t="shared" si="0"/>
        <v>0.44420748573835989</v>
      </c>
      <c r="D62" s="508">
        <f t="shared" si="1"/>
        <v>0.60579850555927994</v>
      </c>
      <c r="E62" s="508">
        <f t="shared" si="2"/>
        <v>7.9252956097369545</v>
      </c>
      <c r="F62" s="508">
        <f t="shared" si="3"/>
        <v>14.284549137527939</v>
      </c>
      <c r="G62" s="508">
        <f t="shared" si="4"/>
        <v>2.3776236445584582E-2</v>
      </c>
      <c r="H62" s="508">
        <f t="shared" si="5"/>
        <v>3.4156997030504019</v>
      </c>
      <c r="I62" s="508">
        <f t="shared" si="6"/>
        <v>9.4596143614532409</v>
      </c>
      <c r="J62" s="484">
        <f t="shared" si="7"/>
        <v>88.980883515094263</v>
      </c>
      <c r="K62" s="437">
        <v>125.13982455460602</v>
      </c>
      <c r="L62" s="331"/>
      <c r="M62" s="508">
        <v>101.8561975795979</v>
      </c>
    </row>
    <row r="63" spans="1:13" ht="15" customHeight="1">
      <c r="A63" s="16"/>
      <c r="B63" s="22">
        <f>'Oil supply projection'!$B63</f>
        <v>2072</v>
      </c>
      <c r="C63" s="508">
        <f t="shared" si="0"/>
        <v>0.44738592239311853</v>
      </c>
      <c r="D63" s="508">
        <f t="shared" si="1"/>
        <v>0.61013317401329548</v>
      </c>
      <c r="E63" s="508">
        <f t="shared" si="2"/>
        <v>7.9820034565754989</v>
      </c>
      <c r="F63" s="508">
        <f t="shared" si="3"/>
        <v>14.38675933441364</v>
      </c>
      <c r="G63" s="508">
        <f t="shared" si="4"/>
        <v>2.3946362487709334E-2</v>
      </c>
      <c r="H63" s="508">
        <f t="shared" si="5"/>
        <v>3.4401400501548141</v>
      </c>
      <c r="I63" s="508">
        <f t="shared" si="6"/>
        <v>9.5273007152217897</v>
      </c>
      <c r="J63" s="484">
        <f t="shared" si="7"/>
        <v>89.617568196954323</v>
      </c>
      <c r="K63" s="437">
        <v>126.03523721221418</v>
      </c>
      <c r="L63" s="331"/>
      <c r="M63" s="508">
        <v>102.58500896233093</v>
      </c>
    </row>
    <row r="64" spans="1:13" ht="15" customHeight="1">
      <c r="A64" s="16"/>
      <c r="B64" s="22">
        <f>'Oil supply projection'!$B64</f>
        <v>2073</v>
      </c>
      <c r="C64" s="508">
        <f t="shared" si="0"/>
        <v>0.45058710170731597</v>
      </c>
      <c r="D64" s="508">
        <f t="shared" si="1"/>
        <v>0.614498858309103</v>
      </c>
      <c r="E64" s="508">
        <f t="shared" si="2"/>
        <v>8.0391170649214256</v>
      </c>
      <c r="F64" s="508">
        <f t="shared" si="3"/>
        <v>14.489700875652378</v>
      </c>
      <c r="G64" s="508">
        <f t="shared" si="4"/>
        <v>2.4117705832255993E-2</v>
      </c>
      <c r="H64" s="508">
        <f t="shared" si="5"/>
        <v>3.4647552752106017</v>
      </c>
      <c r="I64" s="508">
        <f t="shared" si="6"/>
        <v>9.5954713849794917</v>
      </c>
      <c r="J64" s="484">
        <f t="shared" si="7"/>
        <v>90.258808547044481</v>
      </c>
      <c r="K64" s="437">
        <v>126.93705681365705</v>
      </c>
      <c r="L64" s="331"/>
      <c r="M64" s="508">
        <v>103.31903520723458</v>
      </c>
    </row>
    <row r="65" spans="1:13" ht="15" customHeight="1">
      <c r="A65" s="16"/>
      <c r="B65" s="22">
        <f>'Oil supply projection'!$B65</f>
        <v>2074</v>
      </c>
      <c r="C65" s="508">
        <f t="shared" si="0"/>
        <v>0.45381118641144352</v>
      </c>
      <c r="D65" s="508">
        <f t="shared" si="1"/>
        <v>0.61889578037427373</v>
      </c>
      <c r="E65" s="508">
        <f t="shared" si="2"/>
        <v>8.0966393381189832</v>
      </c>
      <c r="F65" s="508">
        <f t="shared" si="3"/>
        <v>14.593378994230481</v>
      </c>
      <c r="G65" s="508">
        <f t="shared" si="4"/>
        <v>2.4290275189385379E-2</v>
      </c>
      <c r="H65" s="508">
        <f t="shared" si="5"/>
        <v>3.4895466295215107</v>
      </c>
      <c r="I65" s="508">
        <f t="shared" si="6"/>
        <v>9.6641298361512717</v>
      </c>
      <c r="J65" s="484">
        <f t="shared" si="7"/>
        <v>90.904637162525631</v>
      </c>
      <c r="K65" s="437">
        <v>127.84532920252298</v>
      </c>
      <c r="L65" s="331"/>
      <c r="M65" s="508">
        <v>104.05831362819842</v>
      </c>
    </row>
    <row r="66" spans="1:13" ht="15" customHeight="1">
      <c r="A66" s="16"/>
      <c r="B66" s="22">
        <f>'Oil supply projection'!$B66</f>
        <v>2075</v>
      </c>
      <c r="C66" s="508">
        <f t="shared" si="0"/>
        <v>0.45705834040037746</v>
      </c>
      <c r="D66" s="508">
        <f t="shared" si="1"/>
        <v>0.62332416372433663</v>
      </c>
      <c r="E66" s="508">
        <f t="shared" si="2"/>
        <v>8.1545732002867091</v>
      </c>
      <c r="F66" s="508">
        <f t="shared" si="3"/>
        <v>14.697798960577845</v>
      </c>
      <c r="G66" s="508">
        <f t="shared" si="4"/>
        <v>2.4464079331582098E-2</v>
      </c>
      <c r="H66" s="508">
        <f t="shared" si="5"/>
        <v>3.5145153733447372</v>
      </c>
      <c r="I66" s="508">
        <f t="shared" si="6"/>
        <v>9.7332795589582002</v>
      </c>
      <c r="J66" s="484">
        <f t="shared" si="7"/>
        <v>91.555086873801073</v>
      </c>
      <c r="K66" s="437">
        <v>128.76010055042485</v>
      </c>
      <c r="L66" s="331"/>
      <c r="M66" s="508">
        <v>104.80288180610401</v>
      </c>
    </row>
    <row r="67" spans="1:13" ht="15" customHeight="1">
      <c r="A67" s="16"/>
      <c r="B67" s="22">
        <f>'Oil supply projection'!$B67</f>
        <v>2076</v>
      </c>
      <c r="C67" s="508">
        <f t="shared" si="0"/>
        <v>0.46032872874171077</v>
      </c>
      <c r="D67" s="508">
        <f t="shared" si="1"/>
        <v>0.62778423347414081</v>
      </c>
      <c r="E67" s="508">
        <f t="shared" si="2"/>
        <v>8.2129215964660798</v>
      </c>
      <c r="F67" s="508">
        <f t="shared" si="3"/>
        <v>14.802966082835866</v>
      </c>
      <c r="G67" s="508">
        <f t="shared" si="4"/>
        <v>2.4639127094100498E-2</v>
      </c>
      <c r="H67" s="508">
        <f t="shared" si="5"/>
        <v>3.5396627759549921</v>
      </c>
      <c r="I67" s="508">
        <f t="shared" si="6"/>
        <v>9.8029240685949137</v>
      </c>
      <c r="J67" s="484">
        <f t="shared" si="7"/>
        <v>92.21019074618539</v>
      </c>
      <c r="K67" s="437">
        <v>129.68141735934719</v>
      </c>
      <c r="L67" s="331"/>
      <c r="M67" s="508">
        <v>105.5527775907353</v>
      </c>
    </row>
    <row r="68" spans="1:13" ht="15" customHeight="1">
      <c r="A68" s="16"/>
      <c r="B68" s="22">
        <f>'Oil supply projection'!$B68</f>
        <v>2077</v>
      </c>
      <c r="C68" s="508">
        <f t="shared" si="0"/>
        <v>0.46362251768414409</v>
      </c>
      <c r="D68" s="508">
        <f t="shared" si="1"/>
        <v>0.63227621634929898</v>
      </c>
      <c r="E68" s="508">
        <f t="shared" si="2"/>
        <v>8.2716874927712176</v>
      </c>
      <c r="F68" s="508">
        <f t="shared" si="3"/>
        <v>14.908885707127267</v>
      </c>
      <c r="G68" s="508">
        <f t="shared" si="4"/>
        <v>2.4815427375413798E-2</v>
      </c>
      <c r="H68" s="508">
        <f t="shared" si="5"/>
        <v>3.5649901157090249</v>
      </c>
      <c r="I68" s="508">
        <f t="shared" si="6"/>
        <v>9.8730669054083169</v>
      </c>
      <c r="J68" s="484">
        <f t="shared" si="7"/>
        <v>92.869982081585334</v>
      </c>
      <c r="K68" s="437">
        <v>130.60932646401002</v>
      </c>
      <c r="L68" s="331"/>
      <c r="M68" s="508">
        <v>106.30803910270268</v>
      </c>
    </row>
    <row r="69" spans="1:13" ht="15" customHeight="1">
      <c r="A69" s="16"/>
      <c r="B69" s="22">
        <f>'Oil supply projection'!$B69</f>
        <v>2078</v>
      </c>
      <c r="C69" s="508">
        <f t="shared" si="0"/>
        <v>0.46693987466593689</v>
      </c>
      <c r="D69" s="508">
        <f t="shared" si="1"/>
        <v>0.63680034069771307</v>
      </c>
      <c r="E69" s="508">
        <f t="shared" si="2"/>
        <v>8.3308738765396768</v>
      </c>
      <c r="F69" s="508">
        <f t="shared" si="3"/>
        <v>15.015563217827866</v>
      </c>
      <c r="G69" s="508">
        <f t="shared" si="4"/>
        <v>2.4992989137666434E-2</v>
      </c>
      <c r="H69" s="508">
        <f t="shared" si="5"/>
        <v>3.5904986801106071</v>
      </c>
      <c r="I69" s="508">
        <f t="shared" si="6"/>
        <v>9.9437116350775465</v>
      </c>
      <c r="J69" s="484">
        <f t="shared" si="7"/>
        <v>93.534494420192686</v>
      </c>
      <c r="K69" s="437">
        <v>131.54387503424971</v>
      </c>
      <c r="L69" s="331"/>
      <c r="M69" s="508">
        <v>107.06870473538083</v>
      </c>
    </row>
    <row r="70" spans="1:13" ht="15" customHeight="1">
      <c r="A70" s="16"/>
      <c r="B70" s="22">
        <f>'Oil supply projection'!$B70</f>
        <v>2079</v>
      </c>
      <c r="C70" s="508">
        <f t="shared" si="0"/>
        <v>0.47028096832341926</v>
      </c>
      <c r="D70" s="508">
        <f t="shared" si="1"/>
        <v>0.64135683650118225</v>
      </c>
      <c r="E70" s="508">
        <f t="shared" si="2"/>
        <v>8.3904837564842971</v>
      </c>
      <c r="F70" s="508">
        <f t="shared" si="3"/>
        <v>15.123004037840298</v>
      </c>
      <c r="G70" s="508">
        <f t="shared" si="4"/>
        <v>2.5171821407129657E-2</v>
      </c>
      <c r="H70" s="508">
        <f t="shared" si="5"/>
        <v>3.616189765875983</v>
      </c>
      <c r="I70" s="508">
        <f t="shared" si="6"/>
        <v>10.014861848795233</v>
      </c>
      <c r="J70" s="484">
        <f t="shared" si="7"/>
        <v>94.203761542189284</v>
      </c>
      <c r="K70" s="437">
        <v>132.48511057741683</v>
      </c>
      <c r="L70" s="331"/>
      <c r="M70" s="508">
        <v>107.83481315686051</v>
      </c>
    </row>
    <row r="71" spans="1:13" ht="15" customHeight="1">
      <c r="A71" s="16"/>
      <c r="B71" s="22">
        <f>'Oil supply projection'!$B71</f>
        <v>2080</v>
      </c>
      <c r="C71" s="508">
        <f t="shared" si="0"/>
        <v>0.47364596849956436</v>
      </c>
      <c r="D71" s="508">
        <f t="shared" si="1"/>
        <v>0.64594593538709366</v>
      </c>
      <c r="E71" s="508">
        <f t="shared" si="2"/>
        <v>8.4505201628461535</v>
      </c>
      <c r="F71" s="508">
        <f t="shared" si="3"/>
        <v>15.231213628869673</v>
      </c>
      <c r="G71" s="508">
        <f t="shared" si="4"/>
        <v>2.5351933274660371E-2</v>
      </c>
      <c r="H71" s="508">
        <f t="shared" si="5"/>
        <v>3.6420646789997866</v>
      </c>
      <c r="I71" s="508">
        <f t="shared" si="6"/>
        <v>10.08652116345006</v>
      </c>
      <c r="J71" s="484">
        <f t="shared" si="7"/>
        <v>94.877817469464219</v>
      </c>
      <c r="K71" s="437">
        <v>133.43308094079123</v>
      </c>
      <c r="L71" s="331"/>
      <c r="M71" s="508">
        <v>108.60640331191406</v>
      </c>
    </row>
    <row r="72" spans="1:13" ht="15" customHeight="1">
      <c r="A72" s="16"/>
      <c r="B72" s="22">
        <f>'Oil supply projection'!$B72</f>
        <v>2081</v>
      </c>
      <c r="C72" s="508">
        <f t="shared" si="0"/>
        <v>0.47703504625262227</v>
      </c>
      <c r="D72" s="508">
        <f t="shared" si="1"/>
        <v>0.65056787064019739</v>
      </c>
      <c r="E72" s="508">
        <f t="shared" si="2"/>
        <v>8.5109861475485982</v>
      </c>
      <c r="F72" s="508">
        <f t="shared" si="3"/>
        <v>15.340197491701227</v>
      </c>
      <c r="G72" s="508">
        <f t="shared" si="4"/>
        <v>2.5533333896163263E-2</v>
      </c>
      <c r="H72" s="508">
        <f t="shared" si="5"/>
        <v>3.6681247348214328</v>
      </c>
      <c r="I72" s="508">
        <f t="shared" si="6"/>
        <v>10.158693221810625</v>
      </c>
      <c r="J72" s="484">
        <f t="shared" si="7"/>
        <v>95.556696467343301</v>
      </c>
      <c r="K72" s="437">
        <v>134.38783431401416</v>
      </c>
      <c r="L72" s="331"/>
      <c r="M72" s="508">
        <v>109.38351442397536</v>
      </c>
    </row>
    <row r="73" spans="1:13" ht="15" customHeight="1">
      <c r="A73" s="16"/>
      <c r="B73" s="22">
        <f>'Oil supply projection'!$B73</f>
        <v>2082</v>
      </c>
      <c r="C73" s="508">
        <f t="shared" si="0"/>
        <v>0.48044837386481581</v>
      </c>
      <c r="D73" s="508">
        <f t="shared" si="1"/>
        <v>0.65522287721446526</v>
      </c>
      <c r="E73" s="508">
        <f t="shared" si="2"/>
        <v>8.5718847843524024</v>
      </c>
      <c r="F73" s="508">
        <f t="shared" si="3"/>
        <v>15.449961166479952</v>
      </c>
      <c r="G73" s="508">
        <f t="shared" si="4"/>
        <v>2.5716032493056245E-2</v>
      </c>
      <c r="H73" s="508">
        <f t="shared" si="5"/>
        <v>3.6943712580919805</v>
      </c>
      <c r="I73" s="508">
        <f t="shared" si="6"/>
        <v>10.231381692710617</v>
      </c>
      <c r="J73" s="484">
        <f t="shared" si="7"/>
        <v>96.240433046330949</v>
      </c>
      <c r="K73" s="437">
        <v>135.34941923153823</v>
      </c>
      <c r="L73" s="331"/>
      <c r="M73" s="508">
        <v>110.16618599713354</v>
      </c>
    </row>
    <row r="74" spans="1:13" ht="15" customHeight="1">
      <c r="A74" s="16"/>
      <c r="B74" s="22">
        <f>'Oil supply projection'!$B74</f>
        <v>2083</v>
      </c>
      <c r="C74" s="508">
        <f t="shared" si="0"/>
        <v>0.48388612485109833</v>
      </c>
      <c r="D74" s="508">
        <f t="shared" si="1"/>
        <v>0.65991119174503476</v>
      </c>
      <c r="E74" s="508">
        <f t="shared" si="2"/>
        <v>8.6332191690120101</v>
      </c>
      <c r="F74" s="508">
        <f t="shared" si="3"/>
        <v>15.56051023299222</v>
      </c>
      <c r="G74" s="508">
        <f t="shared" si="4"/>
        <v>2.5900038352739206E-2</v>
      </c>
      <c r="H74" s="508">
        <f t="shared" si="5"/>
        <v>3.7208055830414763</v>
      </c>
      <c r="I74" s="508">
        <f t="shared" si="6"/>
        <v>10.304590271235321</v>
      </c>
      <c r="J74" s="484">
        <f t="shared" si="7"/>
        <v>96.929061963864498</v>
      </c>
      <c r="K74" s="437">
        <v>136.31788457509441</v>
      </c>
      <c r="L74" s="331"/>
      <c r="M74" s="508">
        <v>110.95445781814129</v>
      </c>
    </row>
    <row r="75" spans="1:13" ht="15" customHeight="1">
      <c r="A75" s="16"/>
      <c r="B75" s="22">
        <f>'Oil supply projection'!$B75</f>
        <v>2084</v>
      </c>
      <c r="C75" s="508">
        <f t="shared" si="0"/>
        <v>0.48734847396797421</v>
      </c>
      <c r="D75" s="508">
        <f t="shared" si="1"/>
        <v>0.66463305256023797</v>
      </c>
      <c r="E75" s="508">
        <f t="shared" si="2"/>
        <v>8.6949924194329071</v>
      </c>
      <c r="F75" s="508">
        <f t="shared" si="3"/>
        <v>15.67185031094944</v>
      </c>
      <c r="G75" s="508">
        <f t="shared" si="4"/>
        <v>2.6085360829066154E-2</v>
      </c>
      <c r="H75" s="508">
        <f t="shared" si="5"/>
        <v>3.7474290534467802</v>
      </c>
      <c r="I75" s="508">
        <f t="shared" si="6"/>
        <v>10.378322678909457</v>
      </c>
      <c r="J75" s="484">
        <f t="shared" si="7"/>
        <v>97.622618226081073</v>
      </c>
      <c r="K75" s="437">
        <v>137.29327957617693</v>
      </c>
      <c r="L75" s="331"/>
      <c r="M75" s="508">
        <v>111.74836995843731</v>
      </c>
    </row>
    <row r="76" spans="1:13" ht="15" customHeight="1">
      <c r="A76" s="16"/>
      <c r="B76" s="22">
        <f>'Oil supply projection'!$B76</f>
        <v>2085</v>
      </c>
      <c r="C76" s="508">
        <f t="shared" si="0"/>
        <v>0.49083559722238257</v>
      </c>
      <c r="D76" s="508">
        <f t="shared" si="1"/>
        <v>0.66938869969371706</v>
      </c>
      <c r="E76" s="508">
        <f t="shared" si="2"/>
        <v>8.7572076758301218</v>
      </c>
      <c r="F76" s="508">
        <f t="shared" si="3"/>
        <v>15.783987060273722</v>
      </c>
      <c r="G76" s="508">
        <f t="shared" si="4"/>
        <v>2.6272009342820701E-2</v>
      </c>
      <c r="H76" s="508">
        <f t="shared" si="5"/>
        <v>3.7742430226998747</v>
      </c>
      <c r="I76" s="508">
        <f t="shared" si="6"/>
        <v>10.452582663886361</v>
      </c>
      <c r="J76" s="484">
        <f t="shared" si="7"/>
        <v>98.32113708959713</v>
      </c>
      <c r="K76" s="437">
        <v>138.27565381854612</v>
      </c>
      <c r="L76" s="331"/>
      <c r="M76" s="508">
        <v>112.54796277618337</v>
      </c>
    </row>
    <row r="77" spans="1:13" ht="15" customHeight="1">
      <c r="A77" s="16"/>
      <c r="B77" s="22">
        <f>'Oil supply projection'!$B77</f>
        <v>2086</v>
      </c>
      <c r="C77" s="508">
        <f t="shared" si="0"/>
        <v>0.49434767188064455</v>
      </c>
      <c r="D77" s="508">
        <f t="shared" si="1"/>
        <v>0.67417837489662646</v>
      </c>
      <c r="E77" s="508">
        <f t="shared" si="2"/>
        <v>8.8198681008878541</v>
      </c>
      <c r="F77" s="508">
        <f t="shared" si="3"/>
        <v>15.896926181385606</v>
      </c>
      <c r="G77" s="508">
        <f t="shared" si="4"/>
        <v>2.6459993382194968E-2</v>
      </c>
      <c r="H77" s="508">
        <f t="shared" si="5"/>
        <v>3.8012488538766642</v>
      </c>
      <c r="I77" s="508">
        <f t="shared" si="6"/>
        <v>10.527374001138519</v>
      </c>
      <c r="J77" s="484">
        <f t="shared" si="7"/>
        <v>99.024654063300702</v>
      </c>
      <c r="K77" s="437">
        <v>139.2650572407488</v>
      </c>
      <c r="L77" s="331"/>
      <c r="M77" s="508">
        <v>113.35327691831588</v>
      </c>
    </row>
    <row r="78" spans="1:13" ht="15" customHeight="1">
      <c r="A78" s="16"/>
      <c r="B78" s="22">
        <f>'Oil supply projection'!$B78</f>
        <v>2087</v>
      </c>
      <c r="C78" s="508">
        <f t="shared" si="0"/>
        <v>0.49788487647747459</v>
      </c>
      <c r="D78" s="508">
        <f t="shared" si="1"/>
        <v>0.6790023216499218</v>
      </c>
      <c r="E78" s="508">
        <f t="shared" si="2"/>
        <v>8.8829768799202498</v>
      </c>
      <c r="F78" s="508">
        <f t="shared" si="3"/>
        <v>16.010673415493834</v>
      </c>
      <c r="G78" s="508">
        <f t="shared" si="4"/>
        <v>2.6649322503271906E-2</v>
      </c>
      <c r="H78" s="508">
        <f t="shared" si="5"/>
        <v>3.8284479198062673</v>
      </c>
      <c r="I78" s="508">
        <f t="shared" si="6"/>
        <v>10.60270049264947</v>
      </c>
      <c r="J78" s="484">
        <f t="shared" si="7"/>
        <v>99.733204910156473</v>
      </c>
      <c r="K78" s="437">
        <v>140.26154013865695</v>
      </c>
      <c r="L78" s="331"/>
      <c r="M78" s="508">
        <v>114.16435332261221</v>
      </c>
    </row>
    <row r="79" spans="1:13" ht="15" customHeight="1">
      <c r="A79" s="16"/>
      <c r="B79" s="22">
        <f>'Oil supply projection'!$B79</f>
        <v>2088</v>
      </c>
      <c r="C79" s="508">
        <f t="shared" si="0"/>
        <v>0.50144739082505607</v>
      </c>
      <c r="D79" s="508">
        <f t="shared" si="1"/>
        <v>0.68386078517673754</v>
      </c>
      <c r="E79" s="508">
        <f t="shared" si="2"/>
        <v>8.946537221033326</v>
      </c>
      <c r="F79" s="508">
        <f t="shared" si="3"/>
        <v>16.125234544887203</v>
      </c>
      <c r="G79" s="508">
        <f t="shared" si="4"/>
        <v>2.6840006330511087E-2</v>
      </c>
      <c r="H79" s="508">
        <f t="shared" si="5"/>
        <v>3.8558416031408025</v>
      </c>
      <c r="I79" s="508">
        <f t="shared" si="6"/>
        <v>10.678565967607076</v>
      </c>
      <c r="J79" s="484">
        <f t="shared" si="7"/>
        <v>100.44682564902378</v>
      </c>
      <c r="K79" s="437">
        <v>141.26515316802448</v>
      </c>
      <c r="L79" s="331"/>
      <c r="M79" s="508">
        <v>114.98123321977165</v>
      </c>
    </row>
    <row r="80" spans="1:13" ht="15" customHeight="1">
      <c r="A80" s="16"/>
      <c r="B80" s="22">
        <f>'Oil supply projection'!$B80</f>
        <v>2089</v>
      </c>
      <c r="C80" s="508">
        <f t="shared" si="0"/>
        <v>0.50503539602218195</v>
      </c>
      <c r="D80" s="508">
        <f t="shared" si="1"/>
        <v>0.68875401245485246</v>
      </c>
      <c r="E80" s="508">
        <f t="shared" si="2"/>
        <v>9.0105523552880502</v>
      </c>
      <c r="F80" s="508">
        <f t="shared" si="3"/>
        <v>16.240615393228506</v>
      </c>
      <c r="G80" s="508">
        <f t="shared" si="4"/>
        <v>2.703205455723795E-2</v>
      </c>
      <c r="H80" s="508">
        <f t="shared" si="5"/>
        <v>3.8834312964256759</v>
      </c>
      <c r="I80" s="508">
        <f t="shared" si="6"/>
        <v>10.754974282598175</v>
      </c>
      <c r="J80" s="484">
        <f t="shared" si="7"/>
        <v>101.1655525564876</v>
      </c>
      <c r="K80" s="437">
        <v>142.27594734706227</v>
      </c>
      <c r="L80" s="331"/>
      <c r="M80" s="508">
        <v>115.80395813551145</v>
      </c>
    </row>
    <row r="81" spans="1:16" ht="15" customHeight="1">
      <c r="A81" s="16"/>
      <c r="B81" s="22">
        <f>'Oil supply projection'!$B81</f>
        <v>2090</v>
      </c>
      <c r="C81" s="508">
        <f t="shared" si="0"/>
        <v>0.50864907446346097</v>
      </c>
      <c r="D81" s="508">
        <f t="shared" si="1"/>
        <v>0.69368225222924473</v>
      </c>
      <c r="E81" s="508">
        <f t="shared" si="2"/>
        <v>9.0750255368645938</v>
      </c>
      <c r="F81" s="508">
        <f t="shared" si="3"/>
        <v>16.356821825850577</v>
      </c>
      <c r="G81" s="508">
        <f t="shared" si="4"/>
        <v>2.7225476946136563E-2</v>
      </c>
      <c r="H81" s="508">
        <f t="shared" si="5"/>
        <v>3.9112184021703693</v>
      </c>
      <c r="I81" s="508">
        <f t="shared" si="6"/>
        <v>10.831929321804632</v>
      </c>
      <c r="J81" s="484">
        <f t="shared" si="7"/>
        <v>101.88942216870265</v>
      </c>
      <c r="K81" s="437">
        <v>143.29397405903165</v>
      </c>
      <c r="L81" s="331"/>
      <c r="M81" s="508">
        <v>116.63256989267765</v>
      </c>
    </row>
    <row r="82" spans="1:16" ht="15" customHeight="1">
      <c r="A82" s="16"/>
      <c r="B82" s="22">
        <f>'Oil supply projection'!$B82</f>
        <v>2091</v>
      </c>
      <c r="C82" s="508">
        <f t="shared" si="0"/>
        <v>0.51228860984858948</v>
      </c>
      <c r="D82" s="508">
        <f t="shared" si="1"/>
        <v>0.69864575502473703</v>
      </c>
      <c r="E82" s="508">
        <f t="shared" si="2"/>
        <v>9.1399600432277541</v>
      </c>
      <c r="F82" s="508">
        <f t="shared" si="3"/>
        <v>16.473859750054451</v>
      </c>
      <c r="G82" s="508">
        <f t="shared" si="4"/>
        <v>2.7420283329745901E-2</v>
      </c>
      <c r="H82" s="508">
        <f t="shared" si="5"/>
        <v>3.9392043329197377</v>
      </c>
      <c r="I82" s="508">
        <f t="shared" si="6"/>
        <v>10.909434997200785</v>
      </c>
      <c r="J82" s="484">
        <f t="shared" si="7"/>
        <v>102.61847128325074</v>
      </c>
      <c r="K82" s="437">
        <v>144.31928505485655</v>
      </c>
      <c r="L82" s="331"/>
      <c r="M82" s="508">
        <v>117.46711061337126</v>
      </c>
    </row>
    <row r="83" spans="1:16" s="21" customFormat="1" ht="15" customHeight="1">
      <c r="A83" s="16"/>
      <c r="B83" s="22">
        <f>'Oil supply projection'!$B83</f>
        <v>2092</v>
      </c>
      <c r="C83" s="508">
        <f t="shared" si="0"/>
        <v>0.51595418719168984</v>
      </c>
      <c r="D83" s="508">
        <f t="shared" si="1"/>
        <v>0.70364477315873153</v>
      </c>
      <c r="E83" s="508">
        <f t="shared" si="2"/>
        <v>9.2053591752935642</v>
      </c>
      <c r="F83" s="508">
        <f t="shared" si="3"/>
        <v>16.591735115409655</v>
      </c>
      <c r="G83" s="508">
        <f t="shared" si="4"/>
        <v>2.7616483610959679E-2</v>
      </c>
      <c r="H83" s="508">
        <f t="shared" si="5"/>
        <v>3.9673905113258146</v>
      </c>
      <c r="I83" s="508">
        <f t="shared" si="6"/>
        <v>10.987495248752317</v>
      </c>
      <c r="J83" s="484">
        <f t="shared" si="7"/>
        <v>103.35273696101127</v>
      </c>
      <c r="K83" s="437">
        <v>145.351932455754</v>
      </c>
      <c r="L83" s="331"/>
      <c r="M83" s="508">
        <v>118.3076227210894</v>
      </c>
      <c r="N83" s="1"/>
      <c r="O83" s="1"/>
      <c r="P83" s="1"/>
    </row>
    <row r="84" spans="1:16" ht="15" customHeight="1">
      <c r="A84" s="16"/>
      <c r="B84" s="22">
        <f>'Oil supply projection'!$B84</f>
        <v>2093</v>
      </c>
      <c r="C84" s="508">
        <f t="shared" si="0"/>
        <v>0.51964599283071544</v>
      </c>
      <c r="D84" s="508">
        <f t="shared" si="1"/>
        <v>0.70867956075403638</v>
      </c>
      <c r="E84" s="508">
        <f t="shared" si="2"/>
        <v>9.2712262575970925</v>
      </c>
      <c r="F84" s="508">
        <f t="shared" si="3"/>
        <v>16.710453914056661</v>
      </c>
      <c r="G84" s="508">
        <f t="shared" si="4"/>
        <v>2.7814087763529761E-2</v>
      </c>
      <c r="H84" s="508">
        <f t="shared" si="5"/>
        <v>3.995778370220131</v>
      </c>
      <c r="I84" s="508">
        <f t="shared" si="6"/>
        <v>11.066114044616533</v>
      </c>
      <c r="J84" s="484">
        <f t="shared" si="7"/>
        <v>104.09225652804531</v>
      </c>
      <c r="K84" s="437">
        <v>146.39196875588402</v>
      </c>
      <c r="L84" s="331"/>
      <c r="M84" s="508">
        <v>119.15414894288197</v>
      </c>
    </row>
    <row r="85" spans="1:16" ht="15" customHeight="1">
      <c r="A85" s="16"/>
      <c r="B85" s="194" t="s">
        <v>292</v>
      </c>
      <c r="C85" s="589" t="s">
        <v>316</v>
      </c>
      <c r="D85" s="589" t="s">
        <v>316</v>
      </c>
      <c r="E85" s="589" t="s">
        <v>316</v>
      </c>
      <c r="F85" s="589" t="s">
        <v>316</v>
      </c>
      <c r="G85" s="589" t="s">
        <v>316</v>
      </c>
      <c r="H85" s="589" t="s">
        <v>316</v>
      </c>
      <c r="I85" s="589" t="s">
        <v>316</v>
      </c>
      <c r="J85" s="589" t="s">
        <v>316</v>
      </c>
      <c r="K85" s="497" t="s">
        <v>317</v>
      </c>
      <c r="M85" s="497" t="s">
        <v>407</v>
      </c>
    </row>
    <row r="86" spans="1:16" ht="15" customHeight="1">
      <c r="A86" s="16"/>
      <c r="B86" s="194" t="s">
        <v>294</v>
      </c>
      <c r="C86" s="107" t="s">
        <v>319</v>
      </c>
      <c r="D86" s="107" t="s">
        <v>319</v>
      </c>
      <c r="E86" s="107" t="s">
        <v>319</v>
      </c>
      <c r="F86" s="107" t="s">
        <v>319</v>
      </c>
      <c r="G86" s="107" t="s">
        <v>319</v>
      </c>
      <c r="H86" s="107" t="s">
        <v>319</v>
      </c>
      <c r="I86" s="107" t="s">
        <v>319</v>
      </c>
      <c r="J86" s="107" t="s">
        <v>319</v>
      </c>
      <c r="K86" s="107"/>
      <c r="M86" s="107"/>
    </row>
    <row r="87" spans="1:16" ht="15" customHeight="1">
      <c r="B87" s="194" t="s">
        <v>296</v>
      </c>
      <c r="C87" s="590" t="s">
        <v>321</v>
      </c>
      <c r="D87" s="590" t="s">
        <v>321</v>
      </c>
      <c r="E87" s="590" t="s">
        <v>321</v>
      </c>
      <c r="F87" s="590" t="s">
        <v>321</v>
      </c>
      <c r="G87" s="590" t="s">
        <v>321</v>
      </c>
      <c r="H87" s="590" t="s">
        <v>321</v>
      </c>
      <c r="I87" s="590" t="s">
        <v>321</v>
      </c>
      <c r="J87" s="590" t="s">
        <v>321</v>
      </c>
      <c r="K87" s="108"/>
      <c r="M87" s="108"/>
    </row>
    <row r="88" spans="1:16" ht="29.25" customHeight="1">
      <c r="B88" s="194" t="s">
        <v>298</v>
      </c>
      <c r="C88" s="597" t="s">
        <v>408</v>
      </c>
      <c r="D88" s="597" t="s">
        <v>408</v>
      </c>
      <c r="E88" s="597" t="s">
        <v>409</v>
      </c>
      <c r="F88" s="597" t="s">
        <v>409</v>
      </c>
      <c r="G88" s="597" t="s">
        <v>409</v>
      </c>
      <c r="H88" s="597" t="s">
        <v>409</v>
      </c>
      <c r="I88" s="597" t="s">
        <v>409</v>
      </c>
      <c r="J88" s="597" t="s">
        <v>410</v>
      </c>
      <c r="K88" s="108"/>
      <c r="M88" s="486"/>
    </row>
    <row r="89" spans="1:16" ht="15" customHeight="1">
      <c r="B89" s="194" t="s">
        <v>300</v>
      </c>
      <c r="C89" s="590" t="s">
        <v>411</v>
      </c>
      <c r="D89" s="590" t="s">
        <v>412</v>
      </c>
      <c r="E89" s="590" t="s">
        <v>413</v>
      </c>
      <c r="F89" s="590" t="s">
        <v>414</v>
      </c>
      <c r="G89" s="590" t="s">
        <v>415</v>
      </c>
      <c r="H89" s="590" t="s">
        <v>416</v>
      </c>
      <c r="I89" s="590" t="s">
        <v>417</v>
      </c>
      <c r="J89" s="590" t="s">
        <v>418</v>
      </c>
      <c r="K89" s="108"/>
      <c r="M89" s="108"/>
    </row>
    <row r="90" spans="1:16" ht="27.75" customHeight="1">
      <c r="B90" s="194" t="s">
        <v>301</v>
      </c>
      <c r="C90" s="597" t="s">
        <v>419</v>
      </c>
      <c r="D90" s="597" t="s">
        <v>419</v>
      </c>
      <c r="E90" s="597" t="s">
        <v>420</v>
      </c>
      <c r="F90" s="597" t="s">
        <v>421</v>
      </c>
      <c r="G90" s="597" t="s">
        <v>422</v>
      </c>
      <c r="H90" s="597" t="s">
        <v>423</v>
      </c>
      <c r="I90" s="597" t="s">
        <v>424</v>
      </c>
      <c r="J90" s="597" t="s">
        <v>425</v>
      </c>
      <c r="K90" s="108"/>
      <c r="M90" s="486"/>
    </row>
  </sheetData>
  <mergeCells count="1">
    <mergeCell ref="A1:B1"/>
  </mergeCells>
  <phoneticPr fontId="29" type="noConversion"/>
  <hyperlinks>
    <hyperlink ref="A1" location="'Table of Contents'!A1" tooltip="Click here to return to the Table of Contents tab" display="Return to Table of Contents" xr:uid="{00000000-0004-0000-0900-000000000000}"/>
  </hyperlinks>
  <printOptions horizontalCentered="1"/>
  <pageMargins left="0.5" right="0.5" top="0.75" bottom="0.75" header="0.25" footer="0.25"/>
  <pageSetup scale="67" orientation="portrait" blackAndWhite="1" horizontalDpi="4294967294" r:id="rId1"/>
  <headerFooter alignWithMargins="0">
    <oddFooter>&amp;L&amp;8&amp;D  &amp;T&amp;C&amp;8&amp;F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indexed="27"/>
    <pageSetUpPr fitToPage="1"/>
  </sheetPr>
  <dimension ref="A1:K90"/>
  <sheetViews>
    <sheetView workbookViewId="0">
      <pane xSplit="2" ySplit="9" topLeftCell="C73" activePane="bottomRight" state="frozen"/>
      <selection pane="topRight" sqref="A1:B1"/>
      <selection pane="bottomLeft" sqref="A1:B1"/>
      <selection pane="bottomRight" activeCell="H85" sqref="H85:H87"/>
    </sheetView>
  </sheetViews>
  <sheetFormatPr defaultColWidth="9.28515625" defaultRowHeight="15" customHeight="1"/>
  <cols>
    <col min="1" max="1" width="15.5703125" style="18" customWidth="1"/>
    <col min="2" max="2" width="10.28515625" style="1" customWidth="1"/>
    <col min="3" max="8" width="17.28515625" style="1" customWidth="1"/>
    <col min="9" max="9" width="17.28515625" style="48" customWidth="1"/>
    <col min="10" max="14" width="14.5703125" style="1" customWidth="1"/>
    <col min="15" max="15" width="14" style="1" customWidth="1"/>
    <col min="16" max="16384" width="9.28515625" style="1"/>
  </cols>
  <sheetData>
    <row r="1" spans="1:11" ht="15.75" thickBot="1">
      <c r="A1" s="701" t="s">
        <v>27</v>
      </c>
      <c r="B1" s="702"/>
      <c r="C1" s="180"/>
      <c r="D1" s="180"/>
      <c r="E1" s="2"/>
      <c r="F1" s="2"/>
      <c r="I1" s="1"/>
    </row>
    <row r="2" spans="1:11" ht="16.5" customHeight="1">
      <c r="A2" s="1"/>
      <c r="B2" s="2"/>
      <c r="C2" s="2"/>
      <c r="D2" s="2"/>
      <c r="E2" s="2"/>
      <c r="F2" s="2"/>
      <c r="I2" s="1"/>
    </row>
    <row r="3" spans="1:11" ht="16.5" customHeight="1">
      <c r="A3" s="1"/>
      <c r="B3" s="2"/>
      <c r="C3" s="2"/>
      <c r="D3" s="2"/>
      <c r="E3" s="201"/>
      <c r="F3" s="2"/>
      <c r="I3" s="1"/>
    </row>
    <row r="4" spans="1:11" ht="16.5" customHeight="1">
      <c r="A4" s="1"/>
      <c r="B4" s="2"/>
      <c r="C4" s="2"/>
      <c r="D4" s="2"/>
      <c r="E4" s="2"/>
      <c r="F4" s="2"/>
      <c r="I4" s="1"/>
    </row>
    <row r="5" spans="1:11" ht="16.5" customHeight="1">
      <c r="A5" s="1"/>
      <c r="B5" s="2"/>
      <c r="C5" s="2"/>
      <c r="D5" s="2"/>
      <c r="E5" s="2"/>
      <c r="F5" s="2"/>
      <c r="I5" s="1"/>
    </row>
    <row r="6" spans="1:11" ht="19.5" customHeight="1">
      <c r="A6" s="16"/>
      <c r="B6" s="11" t="s">
        <v>426</v>
      </c>
      <c r="C6" s="12"/>
      <c r="D6" s="12"/>
      <c r="E6" s="12"/>
      <c r="F6" s="59"/>
      <c r="G6" s="59"/>
      <c r="H6" s="60"/>
      <c r="I6" s="60"/>
    </row>
    <row r="7" spans="1:11" ht="19.5" customHeight="1">
      <c r="A7" s="16"/>
      <c r="B7" s="14"/>
      <c r="C7" s="58"/>
      <c r="D7" s="58"/>
      <c r="E7" s="58"/>
      <c r="F7" s="10"/>
      <c r="G7" s="10"/>
      <c r="H7" s="10"/>
      <c r="I7" s="63"/>
    </row>
    <row r="8" spans="1:11" ht="29.25" customHeight="1">
      <c r="A8" s="16"/>
      <c r="B8" s="650"/>
      <c r="C8" s="650" t="s">
        <v>281</v>
      </c>
      <c r="D8" s="650" t="s">
        <v>282</v>
      </c>
      <c r="E8" s="650" t="s">
        <v>283</v>
      </c>
      <c r="F8" s="650" t="s">
        <v>284</v>
      </c>
      <c r="G8" s="650" t="s">
        <v>401</v>
      </c>
      <c r="H8" s="653" t="s">
        <v>279</v>
      </c>
      <c r="I8" s="650" t="s">
        <v>405</v>
      </c>
    </row>
    <row r="9" spans="1:11" ht="29.25" customHeight="1" thickBot="1">
      <c r="A9" s="16"/>
      <c r="B9" s="66" t="s">
        <v>268</v>
      </c>
      <c r="C9" s="67" t="s">
        <v>355</v>
      </c>
      <c r="D9" s="67" t="s">
        <v>355</v>
      </c>
      <c r="E9" s="67" t="s">
        <v>355</v>
      </c>
      <c r="F9" s="67" t="s">
        <v>355</v>
      </c>
      <c r="G9" s="67" t="s">
        <v>355</v>
      </c>
      <c r="H9" s="67" t="s">
        <v>355</v>
      </c>
      <c r="I9" s="67" t="s">
        <v>355</v>
      </c>
    </row>
    <row r="10" spans="1:11" ht="15" customHeight="1" thickTop="1">
      <c r="A10" s="16"/>
      <c r="B10" s="22">
        <f>'Oil supply projection'!$B10</f>
        <v>2019</v>
      </c>
      <c r="C10" s="484">
        <v>5.0360319999999996</v>
      </c>
      <c r="D10" s="484">
        <v>3.523504</v>
      </c>
      <c r="E10" s="484">
        <v>10.223234</v>
      </c>
      <c r="F10" s="484">
        <v>1.1026480000000001</v>
      </c>
      <c r="G10" s="484">
        <v>12.153634</v>
      </c>
      <c r="H10" s="484">
        <v>4.6555439999999999</v>
      </c>
      <c r="I10" s="437">
        <f t="array" ref="I10:I84">aeo_dem_gas_res+aeo_dem_gas_com+aeo_dem_gas_ind+aeo_dem_gas_tra+aeo_dem_gas_ele+aeo_dem_gas_exp</f>
        <v>36.694595999999997</v>
      </c>
      <c r="K10" s="504"/>
    </row>
    <row r="11" spans="1:11" ht="15" customHeight="1">
      <c r="A11" s="17"/>
      <c r="B11" s="22">
        <f>'Oil supply projection'!$B11</f>
        <v>2020</v>
      </c>
      <c r="C11" s="484">
        <v>4.6925540000000003</v>
      </c>
      <c r="D11" s="484">
        <v>3.1796190000000002</v>
      </c>
      <c r="E11" s="484">
        <v>9.9336850000000005</v>
      </c>
      <c r="F11" s="484">
        <v>1.087062</v>
      </c>
      <c r="G11" s="484">
        <v>11.910897</v>
      </c>
      <c r="H11" s="484">
        <v>5.2809660000000003</v>
      </c>
      <c r="I11" s="437">
        <v>36.084783000000002</v>
      </c>
      <c r="K11" s="504"/>
    </row>
    <row r="12" spans="1:11" ht="15" customHeight="1">
      <c r="B12" s="22">
        <f>'Oil supply projection'!$B12</f>
        <v>2021</v>
      </c>
      <c r="C12" s="484">
        <v>4.7162030000000001</v>
      </c>
      <c r="D12" s="484">
        <v>3.298216</v>
      </c>
      <c r="E12" s="484">
        <v>10.196525000000001</v>
      </c>
      <c r="F12" s="484">
        <v>1.2265809999999999</v>
      </c>
      <c r="G12" s="484">
        <v>11.510985</v>
      </c>
      <c r="H12" s="484">
        <v>6.6512359999999999</v>
      </c>
      <c r="I12" s="437">
        <v>37.599745999999996</v>
      </c>
      <c r="K12" s="504"/>
    </row>
    <row r="13" spans="1:11" ht="15" customHeight="1">
      <c r="B13" s="22">
        <f>'Oil supply projection'!$B13</f>
        <v>2022</v>
      </c>
      <c r="C13" s="484">
        <v>4.9561029999999997</v>
      </c>
      <c r="D13" s="484">
        <v>3.4674529999999999</v>
      </c>
      <c r="E13" s="484">
        <v>10.48014</v>
      </c>
      <c r="F13" s="484">
        <v>1.2981180000000001</v>
      </c>
      <c r="G13" s="484">
        <v>12.145529</v>
      </c>
      <c r="H13" s="484">
        <v>7.0931769999999998</v>
      </c>
      <c r="I13" s="437">
        <v>39.440519999999992</v>
      </c>
      <c r="K13" s="504"/>
    </row>
    <row r="14" spans="1:11" ht="15" customHeight="1">
      <c r="B14" s="22">
        <f>'Oil supply projection'!$B14</f>
        <v>2023</v>
      </c>
      <c r="C14" s="484">
        <v>4.9917720000000001</v>
      </c>
      <c r="D14" s="484">
        <v>3.4746320000000002</v>
      </c>
      <c r="E14" s="484">
        <v>10.226868</v>
      </c>
      <c r="F14" s="484">
        <v>1.267272</v>
      </c>
      <c r="G14" s="484">
        <v>11.458883</v>
      </c>
      <c r="H14" s="484">
        <v>7.8750159999999996</v>
      </c>
      <c r="I14" s="437">
        <v>39.294443000000001</v>
      </c>
      <c r="K14" s="504"/>
    </row>
    <row r="15" spans="1:11" ht="15" customHeight="1">
      <c r="B15" s="22">
        <f>'Oil supply projection'!$B15</f>
        <v>2024</v>
      </c>
      <c r="C15" s="484">
        <v>4.7589079999999999</v>
      </c>
      <c r="D15" s="484">
        <v>3.3712659999999999</v>
      </c>
      <c r="E15" s="484">
        <v>10.130940000000001</v>
      </c>
      <c r="F15" s="484">
        <v>1.2242999999999999</v>
      </c>
      <c r="G15" s="484">
        <v>10.676357000000001</v>
      </c>
      <c r="H15" s="484">
        <v>7.8725769999999997</v>
      </c>
      <c r="I15" s="437">
        <v>38.034348000000001</v>
      </c>
      <c r="K15" s="504"/>
    </row>
    <row r="16" spans="1:11" ht="15" customHeight="1">
      <c r="B16" s="22">
        <f>'Oil supply projection'!$B16</f>
        <v>2025</v>
      </c>
      <c r="C16" s="484">
        <v>4.78721</v>
      </c>
      <c r="D16" s="484">
        <v>3.4081030000000001</v>
      </c>
      <c r="E16" s="484">
        <v>10.257669</v>
      </c>
      <c r="F16" s="484">
        <v>1.2113780000000001</v>
      </c>
      <c r="G16" s="484">
        <v>10.129159</v>
      </c>
      <c r="H16" s="484">
        <v>8.2602729999999998</v>
      </c>
      <c r="I16" s="437">
        <v>38.053791999999994</v>
      </c>
      <c r="K16" s="504"/>
    </row>
    <row r="17" spans="1:11" ht="15" customHeight="1">
      <c r="B17" s="22">
        <f>'Oil supply projection'!$B17</f>
        <v>2026</v>
      </c>
      <c r="C17" s="484">
        <v>4.8120580000000004</v>
      </c>
      <c r="D17" s="484">
        <v>3.4442599999999999</v>
      </c>
      <c r="E17" s="484">
        <v>10.484219</v>
      </c>
      <c r="F17" s="484">
        <v>1.228666</v>
      </c>
      <c r="G17" s="484">
        <v>9.650112</v>
      </c>
      <c r="H17" s="484">
        <v>8.7615870000000005</v>
      </c>
      <c r="I17" s="437">
        <v>38.380901999999999</v>
      </c>
      <c r="K17" s="504"/>
    </row>
    <row r="18" spans="1:11" ht="15" customHeight="1">
      <c r="B18" s="22">
        <f>'Oil supply projection'!$B18</f>
        <v>2027</v>
      </c>
      <c r="C18" s="484">
        <v>4.8273910000000004</v>
      </c>
      <c r="D18" s="484">
        <v>3.4628320000000001</v>
      </c>
      <c r="E18" s="484">
        <v>10.595478999999999</v>
      </c>
      <c r="F18" s="484">
        <v>1.2185900000000001</v>
      </c>
      <c r="G18" s="484">
        <v>8.9454790000000006</v>
      </c>
      <c r="H18" s="484">
        <v>9.1787880000000008</v>
      </c>
      <c r="I18" s="437">
        <v>38.228559000000004</v>
      </c>
      <c r="K18" s="504"/>
    </row>
    <row r="19" spans="1:11" ht="15" customHeight="1">
      <c r="B19" s="22">
        <f>'Oil supply projection'!$B19</f>
        <v>2028</v>
      </c>
      <c r="C19" s="484">
        <v>4.8348810000000002</v>
      </c>
      <c r="D19" s="484">
        <v>3.49003</v>
      </c>
      <c r="E19" s="484">
        <v>10.667993000000001</v>
      </c>
      <c r="F19" s="484">
        <v>1.209457</v>
      </c>
      <c r="G19" s="484">
        <v>8.5094349999999999</v>
      </c>
      <c r="H19" s="484">
        <v>9.5783869999999993</v>
      </c>
      <c r="I19" s="437">
        <v>38.290182999999999</v>
      </c>
      <c r="K19" s="504"/>
    </row>
    <row r="20" spans="1:11" ht="15" customHeight="1">
      <c r="B20" s="22">
        <f>'Oil supply projection'!$B20</f>
        <v>2029</v>
      </c>
      <c r="C20" s="484">
        <v>4.8310810000000002</v>
      </c>
      <c r="D20" s="484">
        <v>3.5065210000000002</v>
      </c>
      <c r="E20" s="484">
        <v>10.710864999999998</v>
      </c>
      <c r="F20" s="484">
        <v>1.2334369999999999</v>
      </c>
      <c r="G20" s="484">
        <v>8.0498940000000001</v>
      </c>
      <c r="H20" s="484">
        <v>9.9348559999999999</v>
      </c>
      <c r="I20" s="437">
        <v>38.266654000000003</v>
      </c>
      <c r="K20" s="504"/>
    </row>
    <row r="21" spans="1:11" ht="15" customHeight="1">
      <c r="A21" s="17"/>
      <c r="B21" s="22">
        <f>'Oil supply projection'!$B21</f>
        <v>2030</v>
      </c>
      <c r="C21" s="484">
        <v>4.8207890000000004</v>
      </c>
      <c r="D21" s="484">
        <v>3.5177580000000002</v>
      </c>
      <c r="E21" s="484">
        <v>10.737950999999999</v>
      </c>
      <c r="F21" s="484">
        <v>1.28203</v>
      </c>
      <c r="G21" s="484">
        <v>7.6978160000000004</v>
      </c>
      <c r="H21" s="484">
        <v>10.576688000000001</v>
      </c>
      <c r="I21" s="437">
        <v>38.633032</v>
      </c>
      <c r="K21" s="504"/>
    </row>
    <row r="22" spans="1:11" ht="15" customHeight="1">
      <c r="A22" s="17"/>
      <c r="B22" s="22">
        <f>'Oil supply projection'!$B22</f>
        <v>2031</v>
      </c>
      <c r="C22" s="484">
        <v>4.8056179999999999</v>
      </c>
      <c r="D22" s="484">
        <v>3.5272920000000001</v>
      </c>
      <c r="E22" s="484">
        <v>10.766996000000001</v>
      </c>
      <c r="F22" s="484">
        <v>1.33372</v>
      </c>
      <c r="G22" s="484">
        <v>7.4461690000000003</v>
      </c>
      <c r="H22" s="484">
        <v>11.272000999999999</v>
      </c>
      <c r="I22" s="437">
        <v>39.151796000000004</v>
      </c>
      <c r="K22" s="504"/>
    </row>
    <row r="23" spans="1:11" ht="15" customHeight="1">
      <c r="A23" s="17"/>
      <c r="B23" s="22">
        <f>'Oil supply projection'!$B23</f>
        <v>2032</v>
      </c>
      <c r="C23" s="484">
        <v>4.7889189999999999</v>
      </c>
      <c r="D23" s="484">
        <v>3.5327169999999999</v>
      </c>
      <c r="E23" s="484">
        <v>10.846665999999999</v>
      </c>
      <c r="F23" s="484">
        <v>1.3933059999999999</v>
      </c>
      <c r="G23" s="484">
        <v>7.3529300000000006</v>
      </c>
      <c r="H23" s="484">
        <v>11.958712</v>
      </c>
      <c r="I23" s="437">
        <v>39.873249999999999</v>
      </c>
      <c r="K23" s="504"/>
    </row>
    <row r="24" spans="1:11" ht="15" customHeight="1">
      <c r="A24" s="17"/>
      <c r="B24" s="22">
        <f>'Oil supply projection'!$B24</f>
        <v>2033</v>
      </c>
      <c r="C24" s="484">
        <v>4.7811329999999996</v>
      </c>
      <c r="D24" s="484">
        <v>3.5333350000000001</v>
      </c>
      <c r="E24" s="484">
        <v>10.888972000000001</v>
      </c>
      <c r="F24" s="484">
        <v>1.4496549999999999</v>
      </c>
      <c r="G24" s="484">
        <v>7.1172899999999997</v>
      </c>
      <c r="H24" s="484">
        <v>12.631365000000001</v>
      </c>
      <c r="I24" s="437">
        <v>40.40175</v>
      </c>
      <c r="K24" s="504"/>
    </row>
    <row r="25" spans="1:11" ht="15" customHeight="1">
      <c r="A25" s="17"/>
      <c r="B25" s="22">
        <f>'Oil supply projection'!$B25</f>
        <v>2034</v>
      </c>
      <c r="C25" s="484">
        <v>4.7701950000000002</v>
      </c>
      <c r="D25" s="484">
        <v>3.5312459999999999</v>
      </c>
      <c r="E25" s="484">
        <v>10.944823</v>
      </c>
      <c r="F25" s="484">
        <v>1.497071</v>
      </c>
      <c r="G25" s="484">
        <v>6.9296420000000003</v>
      </c>
      <c r="H25" s="484">
        <v>13.202116999999999</v>
      </c>
      <c r="I25" s="437">
        <v>40.875094000000004</v>
      </c>
      <c r="K25" s="504"/>
    </row>
    <row r="26" spans="1:11" ht="15" customHeight="1">
      <c r="A26" s="17"/>
      <c r="B26" s="22">
        <f>'Oil supply projection'!$B26</f>
        <v>2035</v>
      </c>
      <c r="C26" s="484">
        <v>4.7601699999999996</v>
      </c>
      <c r="D26" s="484">
        <v>3.5277810000000001</v>
      </c>
      <c r="E26" s="484">
        <v>11.001767000000001</v>
      </c>
      <c r="F26" s="484">
        <v>1.525307</v>
      </c>
      <c r="G26" s="484">
        <v>6.9289839999999998</v>
      </c>
      <c r="H26" s="484">
        <v>13.593901000000001</v>
      </c>
      <c r="I26" s="437">
        <v>41.337910000000001</v>
      </c>
      <c r="K26" s="504"/>
    </row>
    <row r="27" spans="1:11" ht="15" customHeight="1">
      <c r="A27" s="17"/>
      <c r="B27" s="22">
        <f>'Oil supply projection'!$B27</f>
        <v>2036</v>
      </c>
      <c r="C27" s="484">
        <v>4.7527850000000003</v>
      </c>
      <c r="D27" s="484">
        <v>3.525744</v>
      </c>
      <c r="E27" s="484">
        <v>11.084788</v>
      </c>
      <c r="F27" s="484">
        <v>1.5485120000000001</v>
      </c>
      <c r="G27" s="484">
        <v>6.8737979999999999</v>
      </c>
      <c r="H27" s="484">
        <v>13.847504000000001</v>
      </c>
      <c r="I27" s="437">
        <v>41.633131000000006</v>
      </c>
      <c r="K27" s="504"/>
    </row>
    <row r="28" spans="1:11" ht="15" customHeight="1">
      <c r="A28" s="19"/>
      <c r="B28" s="22">
        <f>'Oil supply projection'!$B28</f>
        <v>2037</v>
      </c>
      <c r="C28" s="484">
        <v>4.7464089999999999</v>
      </c>
      <c r="D28" s="484">
        <v>3.5222859999999998</v>
      </c>
      <c r="E28" s="484">
        <v>11.136874000000001</v>
      </c>
      <c r="F28" s="484">
        <v>1.570309</v>
      </c>
      <c r="G28" s="484">
        <v>6.9701659999999999</v>
      </c>
      <c r="H28" s="484">
        <v>14.059025</v>
      </c>
      <c r="I28" s="437">
        <v>42.005068999999999</v>
      </c>
      <c r="K28" s="504"/>
    </row>
    <row r="29" spans="1:11" ht="15" customHeight="1">
      <c r="A29" s="17"/>
      <c r="B29" s="22">
        <f>'Oil supply projection'!$B29</f>
        <v>2038</v>
      </c>
      <c r="C29" s="484">
        <v>4.7383920000000002</v>
      </c>
      <c r="D29" s="484">
        <v>3.5141439999999999</v>
      </c>
      <c r="E29" s="484">
        <v>11.181459</v>
      </c>
      <c r="F29" s="484">
        <v>1.586935</v>
      </c>
      <c r="G29" s="484">
        <v>7.0902950000000002</v>
      </c>
      <c r="H29" s="484">
        <v>14.171699</v>
      </c>
      <c r="I29" s="437">
        <v>42.282924000000001</v>
      </c>
      <c r="K29" s="504"/>
    </row>
    <row r="30" spans="1:11" ht="15" customHeight="1">
      <c r="A30" s="17"/>
      <c r="B30" s="22">
        <f>'Oil supply projection'!$B30</f>
        <v>2039</v>
      </c>
      <c r="C30" s="484">
        <v>4.7326940000000004</v>
      </c>
      <c r="D30" s="484">
        <v>3.5073620000000001</v>
      </c>
      <c r="E30" s="484">
        <v>11.259024999999999</v>
      </c>
      <c r="F30" s="484">
        <v>1.5930899999999999</v>
      </c>
      <c r="G30" s="484">
        <v>7.1224989999999995</v>
      </c>
      <c r="H30" s="484">
        <v>14.202539</v>
      </c>
      <c r="I30" s="437">
        <v>42.417209</v>
      </c>
      <c r="K30" s="504"/>
    </row>
    <row r="31" spans="1:11" ht="15" customHeight="1">
      <c r="A31" s="17"/>
      <c r="B31" s="22">
        <f>'Oil supply projection'!$B31</f>
        <v>2040</v>
      </c>
      <c r="C31" s="484">
        <v>4.7283270000000002</v>
      </c>
      <c r="D31" s="484">
        <v>3.4994100000000001</v>
      </c>
      <c r="E31" s="484">
        <v>11.308291000000001</v>
      </c>
      <c r="F31" s="484">
        <v>1.6105069999999999</v>
      </c>
      <c r="G31" s="484">
        <v>7.2361440000000004</v>
      </c>
      <c r="H31" s="484">
        <v>14.227211</v>
      </c>
      <c r="I31" s="437">
        <v>42.60989</v>
      </c>
      <c r="K31" s="504"/>
    </row>
    <row r="32" spans="1:11" ht="15" customHeight="1">
      <c r="A32" s="17"/>
      <c r="B32" s="22">
        <f>'Oil supply projection'!$B32</f>
        <v>2041</v>
      </c>
      <c r="C32" s="484">
        <v>4.7238300000000004</v>
      </c>
      <c r="D32" s="484">
        <v>3.4906709999999999</v>
      </c>
      <c r="E32" s="484">
        <v>11.366906</v>
      </c>
      <c r="F32" s="484">
        <v>1.6232070000000001</v>
      </c>
      <c r="G32" s="484">
        <v>7.2904219999999995</v>
      </c>
      <c r="H32" s="484">
        <v>14.218387</v>
      </c>
      <c r="I32" s="437">
        <v>42.713422999999999</v>
      </c>
      <c r="K32" s="504"/>
    </row>
    <row r="33" spans="1:11" ht="15" customHeight="1">
      <c r="A33" s="17"/>
      <c r="B33" s="22">
        <f>'Oil supply projection'!$B33</f>
        <v>2042</v>
      </c>
      <c r="C33" s="484">
        <v>4.719773</v>
      </c>
      <c r="D33" s="484">
        <v>3.4826290000000002</v>
      </c>
      <c r="E33" s="484">
        <v>11.427515</v>
      </c>
      <c r="F33" s="484">
        <v>1.63781</v>
      </c>
      <c r="G33" s="484">
        <v>7.332084</v>
      </c>
      <c r="H33" s="484">
        <v>14.225609</v>
      </c>
      <c r="I33" s="437">
        <v>42.825420000000001</v>
      </c>
      <c r="K33" s="504"/>
    </row>
    <row r="34" spans="1:11" ht="15" customHeight="1">
      <c r="A34" s="17"/>
      <c r="B34" s="22">
        <f>'Oil supply projection'!$B34</f>
        <v>2043</v>
      </c>
      <c r="C34" s="484">
        <v>4.7180410000000004</v>
      </c>
      <c r="D34" s="484">
        <v>3.4778389999999999</v>
      </c>
      <c r="E34" s="484">
        <v>11.506017</v>
      </c>
      <c r="F34" s="484">
        <v>1.652687</v>
      </c>
      <c r="G34" s="484">
        <v>7.4244689999999993</v>
      </c>
      <c r="H34" s="484">
        <v>14.234266999999999</v>
      </c>
      <c r="I34" s="437">
        <v>43.01332</v>
      </c>
      <c r="K34" s="504"/>
    </row>
    <row r="35" spans="1:11" ht="15" customHeight="1">
      <c r="A35" s="17"/>
      <c r="B35" s="22">
        <f>'Oil supply projection'!$B35</f>
        <v>2044</v>
      </c>
      <c r="C35" s="484">
        <v>4.7186729999999999</v>
      </c>
      <c r="D35" s="484">
        <v>3.4763920000000001</v>
      </c>
      <c r="E35" s="484">
        <v>11.553197000000001</v>
      </c>
      <c r="F35" s="484">
        <v>1.6708149999999999</v>
      </c>
      <c r="G35" s="484">
        <v>7.4424139999999994</v>
      </c>
      <c r="H35" s="484">
        <v>14.277504</v>
      </c>
      <c r="I35" s="437">
        <v>43.138995000000001</v>
      </c>
      <c r="K35" s="504"/>
    </row>
    <row r="36" spans="1:11" ht="15" customHeight="1">
      <c r="A36" s="17"/>
      <c r="B36" s="22">
        <f>'Oil supply projection'!$B36</f>
        <v>2045</v>
      </c>
      <c r="C36" s="484">
        <v>4.7192780000000001</v>
      </c>
      <c r="D36" s="484">
        <v>3.4736470000000002</v>
      </c>
      <c r="E36" s="484">
        <v>11.622610999999999</v>
      </c>
      <c r="F36" s="484">
        <v>1.6794439999999999</v>
      </c>
      <c r="G36" s="484">
        <v>7.4987180000000002</v>
      </c>
      <c r="H36" s="484">
        <v>14.26132</v>
      </c>
      <c r="I36" s="437">
        <v>43.255018</v>
      </c>
      <c r="K36" s="388"/>
    </row>
    <row r="37" spans="1:11" ht="15" customHeight="1">
      <c r="A37" s="17"/>
      <c r="B37" s="22">
        <f>'Oil supply projection'!$B37</f>
        <v>2046</v>
      </c>
      <c r="C37" s="484">
        <v>4.7194250000000002</v>
      </c>
      <c r="D37" s="484">
        <v>3.4698989999999998</v>
      </c>
      <c r="E37" s="484">
        <v>11.690576</v>
      </c>
      <c r="F37" s="484">
        <v>1.698394</v>
      </c>
      <c r="G37" s="484">
        <v>7.451651</v>
      </c>
      <c r="H37" s="484">
        <v>14.241887</v>
      </c>
      <c r="I37" s="437">
        <v>43.271831999999996</v>
      </c>
      <c r="K37" s="388"/>
    </row>
    <row r="38" spans="1:11" ht="15" customHeight="1">
      <c r="A38" s="17"/>
      <c r="B38" s="22">
        <f>'Oil supply projection'!$B38</f>
        <v>2047</v>
      </c>
      <c r="C38" s="484">
        <v>4.7128670000000001</v>
      </c>
      <c r="D38" s="484">
        <v>3.4598420000000001</v>
      </c>
      <c r="E38" s="484">
        <v>11.725127000000001</v>
      </c>
      <c r="F38" s="484">
        <v>1.7122550000000001</v>
      </c>
      <c r="G38" s="484">
        <v>7.5530549999999996</v>
      </c>
      <c r="H38" s="484">
        <v>14.225115000000001</v>
      </c>
      <c r="I38" s="437">
        <v>43.388261</v>
      </c>
      <c r="K38" s="388"/>
    </row>
    <row r="39" spans="1:11" ht="15" customHeight="1">
      <c r="A39" s="19"/>
      <c r="B39" s="22">
        <f>'Oil supply projection'!$B39</f>
        <v>2048</v>
      </c>
      <c r="C39" s="484">
        <v>4.7084409999999997</v>
      </c>
      <c r="D39" s="484">
        <v>3.453306</v>
      </c>
      <c r="E39" s="484">
        <v>11.795474</v>
      </c>
      <c r="F39" s="484">
        <v>1.733984</v>
      </c>
      <c r="G39" s="484">
        <v>7.5840519999999998</v>
      </c>
      <c r="H39" s="484">
        <v>14.219461000000001</v>
      </c>
      <c r="I39" s="437">
        <v>43.494717999999999</v>
      </c>
      <c r="K39" s="388"/>
    </row>
    <row r="40" spans="1:11" ht="15" customHeight="1">
      <c r="A40" s="17"/>
      <c r="B40" s="22">
        <f>'Oil supply projection'!$B40</f>
        <v>2049</v>
      </c>
      <c r="C40" s="484">
        <v>4.7053450000000003</v>
      </c>
      <c r="D40" s="484">
        <v>3.4479380000000002</v>
      </c>
      <c r="E40" s="484">
        <v>11.826574000000001</v>
      </c>
      <c r="F40" s="484">
        <v>1.7498119999999999</v>
      </c>
      <c r="G40" s="484">
        <v>7.6027359999999993</v>
      </c>
      <c r="H40" s="484">
        <v>14.178692</v>
      </c>
      <c r="I40" s="437">
        <v>43.511096999999999</v>
      </c>
      <c r="K40" s="505"/>
    </row>
    <row r="41" spans="1:11" ht="15" customHeight="1">
      <c r="A41" s="17"/>
      <c r="B41" s="22">
        <f>'Oil supply projection'!$B41</f>
        <v>2050</v>
      </c>
      <c r="C41" s="484">
        <v>4.7034370000000001</v>
      </c>
      <c r="D41" s="484">
        <v>3.4437609999999999</v>
      </c>
      <c r="E41" s="484">
        <v>11.90325</v>
      </c>
      <c r="F41" s="484">
        <v>1.77057</v>
      </c>
      <c r="G41" s="484">
        <v>7.9020229999999998</v>
      </c>
      <c r="H41" s="484">
        <v>14.169222</v>
      </c>
      <c r="I41" s="437">
        <v>43.892263</v>
      </c>
      <c r="K41" s="509"/>
    </row>
    <row r="42" spans="1:11" ht="15" customHeight="1">
      <c r="A42" s="17"/>
      <c r="B42" s="22">
        <f>'Oil supply projection'!$B42</f>
        <v>2051</v>
      </c>
      <c r="C42" s="484">
        <f t="shared" ref="C42:C84" si="0">C41*(1+gas_forecast)</f>
        <v>4.7174042559280558</v>
      </c>
      <c r="D42" s="484">
        <f t="shared" ref="D42:D84" si="1">D41*(1+gas_forecast)</f>
        <v>3.4539875409831273</v>
      </c>
      <c r="E42" s="484">
        <f t="shared" ref="E42:E84" si="2">E41*(1+gas_forecast)</f>
        <v>11.938597712561183</v>
      </c>
      <c r="F42" s="484">
        <f t="shared" ref="F42:F84" si="3">F41*(1+gas_forecast)</f>
        <v>1.7758278581000528</v>
      </c>
      <c r="G42" s="484">
        <f t="shared" ref="G42:G84" si="4">G41*(1+gas_forecast)</f>
        <v>7.925488728910663</v>
      </c>
      <c r="H42" s="484">
        <f t="shared" ref="H42:H84" si="5">H41*(1+gas_forecast)</f>
        <v>14.211298709005657</v>
      </c>
      <c r="I42" s="437">
        <v>44.02260480548874</v>
      </c>
      <c r="K42" s="388"/>
    </row>
    <row r="43" spans="1:11" ht="15" customHeight="1">
      <c r="A43" s="17"/>
      <c r="B43" s="22">
        <f>'Oil supply projection'!$B43</f>
        <v>2052</v>
      </c>
      <c r="C43" s="484">
        <f t="shared" si="0"/>
        <v>4.7314129888097014</v>
      </c>
      <c r="D43" s="484">
        <f t="shared" si="1"/>
        <v>3.4642444505488825</v>
      </c>
      <c r="E43" s="484">
        <f t="shared" si="2"/>
        <v>11.974050393159104</v>
      </c>
      <c r="F43" s="484">
        <f t="shared" si="3"/>
        <v>1.7811013298566118</v>
      </c>
      <c r="G43" s="484">
        <f t="shared" si="4"/>
        <v>7.9490241412977358</v>
      </c>
      <c r="H43" s="484">
        <f t="shared" si="5"/>
        <v>14.253500368374908</v>
      </c>
      <c r="I43" s="437">
        <v>44.153333672046941</v>
      </c>
      <c r="K43" s="388"/>
    </row>
    <row r="44" spans="1:11" ht="15" customHeight="1">
      <c r="A44" s="17"/>
      <c r="B44" s="22">
        <f>'Oil supply projection'!$B44</f>
        <v>2053</v>
      </c>
      <c r="C44" s="484">
        <f t="shared" si="0"/>
        <v>4.7454633218142748</v>
      </c>
      <c r="D44" s="484">
        <f t="shared" si="1"/>
        <v>3.474531818879353</v>
      </c>
      <c r="E44" s="484">
        <f t="shared" si="2"/>
        <v>12.00960835350527</v>
      </c>
      <c r="F44" s="484">
        <f t="shared" si="3"/>
        <v>1.7863904616357571</v>
      </c>
      <c r="G44" s="484">
        <f t="shared" si="4"/>
        <v>7.9726294440922238</v>
      </c>
      <c r="H44" s="484">
        <f t="shared" si="5"/>
        <v>14.295827349158477</v>
      </c>
      <c r="I44" s="437">
        <v>44.284450749085359</v>
      </c>
      <c r="K44" s="388"/>
    </row>
    <row r="45" spans="1:11" ht="15" customHeight="1">
      <c r="A45" s="17"/>
      <c r="B45" s="22">
        <f>'Oil supply projection'!$B45</f>
        <v>2054</v>
      </c>
      <c r="C45" s="484">
        <f t="shared" si="0"/>
        <v>4.7595553784768772</v>
      </c>
      <c r="D45" s="484">
        <f t="shared" si="1"/>
        <v>3.4848497364244295</v>
      </c>
      <c r="E45" s="484">
        <f t="shared" si="2"/>
        <v>12.045271906236842</v>
      </c>
      <c r="F45" s="484">
        <f t="shared" si="3"/>
        <v>1.7916952999412568</v>
      </c>
      <c r="G45" s="484">
        <f t="shared" si="4"/>
        <v>7.9963048448396323</v>
      </c>
      <c r="H45" s="484">
        <f t="shared" si="5"/>
        <v>14.338280023508958</v>
      </c>
      <c r="I45" s="437">
        <v>44.415957189427992</v>
      </c>
      <c r="K45" s="388"/>
    </row>
    <row r="46" spans="1:11" ht="15" customHeight="1">
      <c r="A46" s="17"/>
      <c r="B46" s="22">
        <f>'Oil supply projection'!$B46</f>
        <v>2055</v>
      </c>
      <c r="C46" s="484">
        <f t="shared" si="0"/>
        <v>4.7736892826994577</v>
      </c>
      <c r="D46" s="484">
        <f t="shared" si="1"/>
        <v>3.4951982939026007</v>
      </c>
      <c r="E46" s="484">
        <f t="shared" si="2"/>
        <v>12.081041364919383</v>
      </c>
      <c r="F46" s="484">
        <f t="shared" si="3"/>
        <v>1.7970158914149756</v>
      </c>
      <c r="G46" s="484">
        <f t="shared" si="4"/>
        <v>8.0200505517017913</v>
      </c>
      <c r="H46" s="484">
        <f t="shared" si="5"/>
        <v>14.380858764684078</v>
      </c>
      <c r="I46" s="437">
        <v>44.547854149322283</v>
      </c>
      <c r="K46" s="388"/>
    </row>
    <row r="47" spans="1:11" ht="15" customHeight="1">
      <c r="A47" s="17"/>
      <c r="B47" s="22">
        <f>'Oil supply projection'!$B47</f>
        <v>2056</v>
      </c>
      <c r="C47" s="484">
        <f t="shared" si="0"/>
        <v>4.7878651587519023</v>
      </c>
      <c r="D47" s="484">
        <f t="shared" si="1"/>
        <v>3.5055775823017528</v>
      </c>
      <c r="E47" s="484">
        <f t="shared" si="2"/>
        <v>12.116917044049615</v>
      </c>
      <c r="F47" s="484">
        <f t="shared" si="3"/>
        <v>1.8023522828372858</v>
      </c>
      <c r="G47" s="484">
        <f t="shared" si="4"/>
        <v>8.0438667734586815</v>
      </c>
      <c r="H47" s="484">
        <f t="shared" si="5"/>
        <v>14.423563947049988</v>
      </c>
      <c r="I47" s="437">
        <v>44.680142788449224</v>
      </c>
      <c r="K47" s="388"/>
    </row>
    <row r="48" spans="1:11" ht="15" customHeight="1">
      <c r="A48" s="17"/>
      <c r="B48" s="22">
        <f>'Oil supply projection'!$B48</f>
        <v>2057</v>
      </c>
      <c r="C48" s="484">
        <f t="shared" si="0"/>
        <v>4.8020831312731262</v>
      </c>
      <c r="D48" s="484">
        <f t="shared" si="1"/>
        <v>3.5159876928799672</v>
      </c>
      <c r="E48" s="484">
        <f t="shared" si="2"/>
        <v>12.152899259058184</v>
      </c>
      <c r="F48" s="484">
        <f t="shared" si="3"/>
        <v>1.8077045211274774</v>
      </c>
      <c r="G48" s="484">
        <f t="shared" si="4"/>
        <v>8.0677537195102786</v>
      </c>
      <c r="H48" s="484">
        <f t="shared" si="5"/>
        <v>14.466395946084551</v>
      </c>
      <c r="I48" s="437">
        <v>44.812824269933586</v>
      </c>
      <c r="K48" s="388"/>
    </row>
    <row r="49" spans="1:11" ht="15" customHeight="1">
      <c r="A49" s="17"/>
      <c r="B49" s="22">
        <f>'Oil supply projection'!$B49</f>
        <v>2058</v>
      </c>
      <c r="C49" s="484">
        <f t="shared" si="0"/>
        <v>4.8163433252721726</v>
      </c>
      <c r="D49" s="484">
        <f t="shared" si="1"/>
        <v>3.5264287171663238</v>
      </c>
      <c r="E49" s="484">
        <f t="shared" si="2"/>
        <v>12.188988326312439</v>
      </c>
      <c r="F49" s="484">
        <f t="shared" si="3"/>
        <v>1.8130726533441714</v>
      </c>
      <c r="G49" s="484">
        <f t="shared" si="4"/>
        <v>8.0917115998783853</v>
      </c>
      <c r="H49" s="484">
        <f t="shared" si="5"/>
        <v>14.509355138380643</v>
      </c>
      <c r="I49" s="437">
        <v>44.945899760354138</v>
      </c>
      <c r="K49" s="388"/>
    </row>
    <row r="50" spans="1:11" ht="15" customHeight="1">
      <c r="A50" s="17"/>
      <c r="B50" s="22">
        <f>'Oil supply projection'!$B50</f>
        <v>2059</v>
      </c>
      <c r="C50" s="484">
        <f t="shared" si="0"/>
        <v>4.8306458661293075</v>
      </c>
      <c r="D50" s="484">
        <f t="shared" si="1"/>
        <v>3.5369007469617069</v>
      </c>
      <c r="E50" s="484">
        <f t="shared" si="2"/>
        <v>12.225184563119202</v>
      </c>
      <c r="F50" s="484">
        <f t="shared" si="3"/>
        <v>1.8184567266857337</v>
      </c>
      <c r="G50" s="484">
        <f t="shared" si="4"/>
        <v>8.1157406252084829</v>
      </c>
      <c r="H50" s="484">
        <f t="shared" si="5"/>
        <v>14.552441901649464</v>
      </c>
      <c r="I50" s="437">
        <v>45.079370429753901</v>
      </c>
      <c r="K50" s="388"/>
    </row>
    <row r="51" spans="1:11" ht="15" customHeight="1">
      <c r="A51" s="17"/>
      <c r="B51" s="22">
        <f>'Oil supply projection'!$B51</f>
        <v>2060</v>
      </c>
      <c r="C51" s="484">
        <f t="shared" si="0"/>
        <v>4.844990879597125</v>
      </c>
      <c r="D51" s="484">
        <f t="shared" si="1"/>
        <v>3.5474038743396106</v>
      </c>
      <c r="E51" s="484">
        <f t="shared" si="2"/>
        <v>12.261488287727568</v>
      </c>
      <c r="F51" s="484">
        <f t="shared" si="3"/>
        <v>1.8238567884906891</v>
      </c>
      <c r="G51" s="484">
        <f t="shared" si="4"/>
        <v>8.1398410067715847</v>
      </c>
      <c r="H51" s="484">
        <f t="shared" si="5"/>
        <v>14.595656614723861</v>
      </c>
      <c r="I51" s="437">
        <v>45.213237451650443</v>
      </c>
      <c r="K51" s="388"/>
    </row>
    <row r="52" spans="1:11" ht="15" customHeight="1">
      <c r="A52" s="17"/>
      <c r="B52" s="22">
        <f>'Oil supply projection'!$B52</f>
        <v>2061</v>
      </c>
      <c r="C52" s="484">
        <f t="shared" si="0"/>
        <v>4.8593784918016532</v>
      </c>
      <c r="D52" s="484">
        <f t="shared" si="1"/>
        <v>3.5579381916469495</v>
      </c>
      <c r="E52" s="484">
        <f t="shared" si="2"/>
        <v>12.297899819331702</v>
      </c>
      <c r="F52" s="484">
        <f t="shared" si="3"/>
        <v>1.8292728862381389</v>
      </c>
      <c r="G52" s="484">
        <f t="shared" si="4"/>
        <v>8.1640129564660882</v>
      </c>
      <c r="H52" s="484">
        <f t="shared" si="5"/>
        <v>14.638999657561657</v>
      </c>
      <c r="I52" s="437">
        <v>45.347502003046188</v>
      </c>
      <c r="K52" s="388"/>
    </row>
    <row r="53" spans="1:11" ht="15" customHeight="1">
      <c r="A53" s="16"/>
      <c r="B53" s="22">
        <f>'Oil supply projection'!$B53</f>
        <v>2062</v>
      </c>
      <c r="C53" s="484">
        <f t="shared" si="0"/>
        <v>4.8738088292434609</v>
      </c>
      <c r="D53" s="484">
        <f t="shared" si="1"/>
        <v>3.5685037915048698</v>
      </c>
      <c r="E53" s="484">
        <f t="shared" si="2"/>
        <v>12.334419478073638</v>
      </c>
      <c r="F53" s="484">
        <f t="shared" si="3"/>
        <v>1.8347050675481769</v>
      </c>
      <c r="G53" s="484">
        <f t="shared" si="4"/>
        <v>8.188256686819642</v>
      </c>
      <c r="H53" s="484">
        <f t="shared" si="5"/>
        <v>14.68247141124899</v>
      </c>
      <c r="I53" s="437">
        <v>45.482165264438777</v>
      </c>
      <c r="K53" s="388"/>
    </row>
    <row r="54" spans="1:11" ht="15" customHeight="1">
      <c r="A54" s="16"/>
      <c r="B54" s="22">
        <f>'Oil supply projection'!$B54</f>
        <v>2063</v>
      </c>
      <c r="C54" s="484">
        <f t="shared" si="0"/>
        <v>4.8882820187987717</v>
      </c>
      <c r="D54" s="484">
        <f t="shared" si="1"/>
        <v>3.5791007668095642</v>
      </c>
      <c r="E54" s="484">
        <f t="shared" si="2"/>
        <v>12.371047585046103</v>
      </c>
      <c r="F54" s="484">
        <f t="shared" si="3"/>
        <v>1.8401533801823093</v>
      </c>
      <c r="G54" s="484">
        <f t="shared" si="4"/>
        <v>8.2125724109910134</v>
      </c>
      <c r="H54" s="484">
        <f t="shared" si="5"/>
        <v>14.726072258003667</v>
      </c>
      <c r="I54" s="437">
        <v>45.617228419831427</v>
      </c>
      <c r="K54" s="388"/>
    </row>
    <row r="55" spans="1:11" ht="15" customHeight="1">
      <c r="A55" s="16"/>
      <c r="B55" s="22">
        <f>'Oil supply projection'!$B55</f>
        <v>2064</v>
      </c>
      <c r="C55" s="484">
        <f t="shared" si="0"/>
        <v>4.9027981877205784</v>
      </c>
      <c r="D55" s="484">
        <f t="shared" si="1"/>
        <v>3.5897292107330889</v>
      </c>
      <c r="E55" s="484">
        <f t="shared" si="2"/>
        <v>12.407784462295336</v>
      </c>
      <c r="F55" s="484">
        <f t="shared" si="3"/>
        <v>1.8456178720438743</v>
      </c>
      <c r="G55" s="484">
        <f t="shared" si="4"/>
        <v>8.2369603427719653</v>
      </c>
      <c r="H55" s="484">
        <f t="shared" si="5"/>
        <v>14.769802581178524</v>
      </c>
      <c r="I55" s="437">
        <v>45.752692656743363</v>
      </c>
      <c r="K55" s="388"/>
    </row>
    <row r="56" spans="1:11" ht="15" customHeight="1">
      <c r="A56" s="16"/>
      <c r="B56" s="22">
        <f>'Oil supply projection'!$B56</f>
        <v>2065</v>
      </c>
      <c r="C56" s="484">
        <f t="shared" si="0"/>
        <v>4.917357463639763</v>
      </c>
      <c r="D56" s="484">
        <f t="shared" si="1"/>
        <v>3.6003892167241816</v>
      </c>
      <c r="E56" s="484">
        <f t="shared" si="2"/>
        <v>12.444630432823915</v>
      </c>
      <c r="F56" s="484">
        <f t="shared" si="3"/>
        <v>1.8510985911784625</v>
      </c>
      <c r="G56" s="484">
        <f t="shared" si="4"/>
        <v>8.2614206965891306</v>
      </c>
      <c r="H56" s="484">
        <f t="shared" si="5"/>
        <v>14.813662765264796</v>
      </c>
      <c r="I56" s="437">
        <v>45.888559166220254</v>
      </c>
      <c r="K56" s="388"/>
    </row>
    <row r="57" spans="1:11" ht="15" customHeight="1">
      <c r="A57" s="16"/>
      <c r="B57" s="22">
        <f>'Oil supply projection'!$B57</f>
        <v>2066</v>
      </c>
      <c r="C57" s="484">
        <f t="shared" si="0"/>
        <v>4.9319599745662179</v>
      </c>
      <c r="D57" s="484">
        <f t="shared" si="1"/>
        <v>3.6110808785090849</v>
      </c>
      <c r="E57" s="484">
        <f t="shared" si="2"/>
        <v>12.48158582059361</v>
      </c>
      <c r="F57" s="484">
        <f t="shared" si="3"/>
        <v>1.8565955857743406</v>
      </c>
      <c r="G57" s="484">
        <f t="shared" si="4"/>
        <v>8.2859536875059003</v>
      </c>
      <c r="H57" s="484">
        <f t="shared" si="5"/>
        <v>14.857653195895496</v>
      </c>
      <c r="I57" s="437">
        <v>46.024829142844645</v>
      </c>
      <c r="K57" s="388"/>
    </row>
    <row r="58" spans="1:11" ht="15" customHeight="1">
      <c r="A58" s="16"/>
      <c r="B58" s="22">
        <f>'Oil supply projection'!$B58</f>
        <v>2067</v>
      </c>
      <c r="C58" s="484">
        <f t="shared" si="0"/>
        <v>4.9466058488899716</v>
      </c>
      <c r="D58" s="484">
        <f t="shared" si="1"/>
        <v>3.6218042900923688</v>
      </c>
      <c r="E58" s="484">
        <f t="shared" si="2"/>
        <v>12.518650950528214</v>
      </c>
      <c r="F58" s="484">
        <f t="shared" si="3"/>
        <v>1.8621089041628742</v>
      </c>
      <c r="G58" s="484">
        <f t="shared" si="4"/>
        <v>8.3105595312243157</v>
      </c>
      <c r="H58" s="484">
        <f t="shared" si="5"/>
        <v>14.901774259848807</v>
      </c>
      <c r="I58" s="437">
        <v>46.16150378474655</v>
      </c>
      <c r="K58" s="388"/>
    </row>
    <row r="59" spans="1:11" ht="15" customHeight="1">
      <c r="A59" s="16"/>
      <c r="B59" s="22">
        <f>'Oil supply projection'!$B59</f>
        <v>2068</v>
      </c>
      <c r="C59" s="484">
        <f t="shared" si="0"/>
        <v>4.961295215382318</v>
      </c>
      <c r="D59" s="484">
        <f t="shared" si="1"/>
        <v>3.6325595457577577</v>
      </c>
      <c r="E59" s="484">
        <f t="shared" si="2"/>
        <v>12.555826148516415</v>
      </c>
      <c r="F59" s="484">
        <f t="shared" si="3"/>
        <v>1.8676385948189529</v>
      </c>
      <c r="G59" s="484">
        <f t="shared" si="4"/>
        <v>8.3352384440869631</v>
      </c>
      <c r="H59" s="484">
        <f t="shared" si="5"/>
        <v>14.946026345051484</v>
      </c>
      <c r="I59" s="437">
        <v>46.298584293613892</v>
      </c>
      <c r="K59" s="388"/>
    </row>
    <row r="60" spans="1:11" ht="15" customHeight="1">
      <c r="A60" s="16"/>
      <c r="B60" s="22">
        <f>'Oil supply projection'!$B60</f>
        <v>2069</v>
      </c>
      <c r="C60" s="484">
        <f t="shared" si="0"/>
        <v>4.9760282031969485</v>
      </c>
      <c r="D60" s="484">
        <f t="shared" si="1"/>
        <v>3.6433467400689605</v>
      </c>
      <c r="E60" s="484">
        <f t="shared" si="2"/>
        <v>12.593111741414653</v>
      </c>
      <c r="F60" s="484">
        <f t="shared" si="3"/>
        <v>1.8731847063614167</v>
      </c>
      <c r="G60" s="484">
        <f t="shared" si="4"/>
        <v>8.3599906430788771</v>
      </c>
      <c r="H60" s="484">
        <f t="shared" si="5"/>
        <v>14.990409840582263</v>
      </c>
      <c r="I60" s="437">
        <v>46.436071874703117</v>
      </c>
      <c r="K60" s="388"/>
    </row>
    <row r="61" spans="1:11" ht="15" customHeight="1">
      <c r="A61" s="16"/>
      <c r="B61" s="22">
        <f>'Oil supply projection'!$B61</f>
        <v>2070</v>
      </c>
      <c r="C61" s="484">
        <f t="shared" si="0"/>
        <v>4.9908049418710876</v>
      </c>
      <c r="D61" s="484">
        <f t="shared" si="1"/>
        <v>3.6541659678705005</v>
      </c>
      <c r="E61" s="484">
        <f t="shared" si="2"/>
        <v>12.630508057049994</v>
      </c>
      <c r="F61" s="484">
        <f t="shared" si="3"/>
        <v>1.8787472875534832</v>
      </c>
      <c r="G61" s="484">
        <f t="shared" si="4"/>
        <v>8.3848163458294476</v>
      </c>
      <c r="H61" s="484">
        <f t="shared" si="5"/>
        <v>15.034925136675282</v>
      </c>
      <c r="I61" s="437">
        <v>46.573967736849795</v>
      </c>
      <c r="K61" s="388"/>
    </row>
    <row r="62" spans="1:11" ht="15" customHeight="1">
      <c r="A62" s="16"/>
      <c r="B62" s="22">
        <f>'Oil supply projection'!$B62</f>
        <v>2071</v>
      </c>
      <c r="C62" s="484">
        <f t="shared" si="0"/>
        <v>5.0056255613266307</v>
      </c>
      <c r="D62" s="484">
        <f t="shared" si="1"/>
        <v>3.6650173242885495</v>
      </c>
      <c r="E62" s="484">
        <f t="shared" si="2"/>
        <v>12.668015424223018</v>
      </c>
      <c r="F62" s="484">
        <f t="shared" si="3"/>
        <v>1.884326387303177</v>
      </c>
      <c r="G62" s="484">
        <f t="shared" si="4"/>
        <v>8.4097157706143335</v>
      </c>
      <c r="H62" s="484">
        <f t="shared" si="5"/>
        <v>15.079572624723513</v>
      </c>
      <c r="I62" s="437">
        <v>46.712273092479222</v>
      </c>
      <c r="K62" s="388"/>
    </row>
    <row r="63" spans="1:11" ht="15" customHeight="1">
      <c r="A63" s="16"/>
      <c r="B63" s="22">
        <f>'Oil supply projection'!$B63</f>
        <v>2072</v>
      </c>
      <c r="C63" s="484">
        <f t="shared" si="0"/>
        <v>5.0204901918712874</v>
      </c>
      <c r="D63" s="484">
        <f t="shared" si="1"/>
        <v>3.675900904731765</v>
      </c>
      <c r="E63" s="484">
        <f t="shared" si="2"/>
        <v>12.705634172710706</v>
      </c>
      <c r="F63" s="484">
        <f t="shared" si="3"/>
        <v>1.8899220546637587</v>
      </c>
      <c r="G63" s="484">
        <f t="shared" si="4"/>
        <v>8.434689136357381</v>
      </c>
      <c r="H63" s="484">
        <f t="shared" si="5"/>
        <v>15.124352697282202</v>
      </c>
      <c r="I63" s="437">
        <v>46.850989157617107</v>
      </c>
      <c r="K63" s="388"/>
    </row>
    <row r="64" spans="1:11" ht="15" customHeight="1">
      <c r="A64" s="16"/>
      <c r="B64" s="22">
        <f>'Oil supply projection'!$B64</f>
        <v>2073</v>
      </c>
      <c r="C64" s="484">
        <f t="shared" si="0"/>
        <v>5.035398964199727</v>
      </c>
      <c r="D64" s="484">
        <f t="shared" si="1"/>
        <v>3.6868168048921288</v>
      </c>
      <c r="E64" s="484">
        <f t="shared" si="2"/>
        <v>12.743364633269337</v>
      </c>
      <c r="F64" s="484">
        <f t="shared" si="3"/>
        <v>1.895534338834157</v>
      </c>
      <c r="G64" s="484">
        <f t="shared" si="4"/>
        <v>8.4597366626325492</v>
      </c>
      <c r="H64" s="484">
        <f t="shared" si="5"/>
        <v>15.16926574807232</v>
      </c>
      <c r="I64" s="437">
        <v>46.990117151900215</v>
      </c>
      <c r="K64" s="388"/>
    </row>
    <row r="65" spans="1:11" ht="15" customHeight="1">
      <c r="A65" s="16"/>
      <c r="B65" s="22">
        <f>'Oil supply projection'!$B65</f>
        <v>2074</v>
      </c>
      <c r="C65" s="484">
        <f t="shared" si="0"/>
        <v>5.0503520093947287</v>
      </c>
      <c r="D65" s="484">
        <f t="shared" si="1"/>
        <v>3.6977651207457876</v>
      </c>
      <c r="E65" s="484">
        <f t="shared" si="2"/>
        <v>12.7812071376374</v>
      </c>
      <c r="F65" s="484">
        <f t="shared" si="3"/>
        <v>1.901163289159401</v>
      </c>
      <c r="G65" s="484">
        <f t="shared" si="4"/>
        <v>8.4848585696658407</v>
      </c>
      <c r="H65" s="484">
        <f t="shared" si="5"/>
        <v>15.214312171984028</v>
      </c>
      <c r="I65" s="437">
        <v>47.129658298587188</v>
      </c>
      <c r="K65" s="388"/>
    </row>
    <row r="66" spans="1:11" ht="15" customHeight="1">
      <c r="A66" s="16"/>
      <c r="B66" s="22">
        <f>'Oil supply projection'!$B66</f>
        <v>2075</v>
      </c>
      <c r="C66" s="484">
        <f t="shared" si="0"/>
        <v>5.065349458928333</v>
      </c>
      <c r="D66" s="484">
        <f t="shared" si="1"/>
        <v>3.7087459485538981</v>
      </c>
      <c r="E66" s="484">
        <f t="shared" si="2"/>
        <v>12.819162018538512</v>
      </c>
      <c r="F66" s="484">
        <f t="shared" si="3"/>
        <v>1.9068089551310541</v>
      </c>
      <c r="G66" s="484">
        <f t="shared" si="4"/>
        <v>8.5100550783372402</v>
      </c>
      <c r="H66" s="484">
        <f t="shared" si="5"/>
        <v>15.259492365080149</v>
      </c>
      <c r="I66" s="437">
        <v>47.269613824569184</v>
      </c>
      <c r="K66" s="388"/>
    </row>
    <row r="67" spans="1:11" ht="15" customHeight="1">
      <c r="A67" s="16"/>
      <c r="B67" s="22">
        <f>'Oil supply projection'!$B67</f>
        <v>2076</v>
      </c>
      <c r="C67" s="484">
        <f t="shared" si="0"/>
        <v>5.0803914446629967</v>
      </c>
      <c r="D67" s="484">
        <f t="shared" si="1"/>
        <v>3.719759384863472</v>
      </c>
      <c r="E67" s="484">
        <f t="shared" si="2"/>
        <v>12.857229609684335</v>
      </c>
      <c r="F67" s="484">
        <f t="shared" si="3"/>
        <v>1.9124713863876488</v>
      </c>
      <c r="G67" s="484">
        <f t="shared" si="4"/>
        <v>8.5353264101826518</v>
      </c>
      <c r="H67" s="484">
        <f t="shared" si="5"/>
        <v>15.304806724599644</v>
      </c>
      <c r="I67" s="437">
        <v>47.409984960380747</v>
      </c>
      <c r="K67" s="388"/>
    </row>
    <row r="68" spans="1:11" ht="15" customHeight="1">
      <c r="A68" s="16"/>
      <c r="B68" s="22">
        <f>'Oil supply projection'!$B68</f>
        <v>2077</v>
      </c>
      <c r="C68" s="484">
        <f t="shared" si="0"/>
        <v>5.0954780988527553</v>
      </c>
      <c r="D68" s="484">
        <f t="shared" si="1"/>
        <v>3.7308055265082256</v>
      </c>
      <c r="E68" s="484">
        <f t="shared" si="2"/>
        <v>12.895410245777525</v>
      </c>
      <c r="F68" s="484">
        <f t="shared" si="3"/>
        <v>1.9181506327151239</v>
      </c>
      <c r="G68" s="484">
        <f t="shared" si="4"/>
        <v>8.5606727873958501</v>
      </c>
      <c r="H68" s="484">
        <f t="shared" si="5"/>
        <v>15.350255648961108</v>
      </c>
      <c r="I68" s="437">
        <v>47.550772940210592</v>
      </c>
      <c r="K68" s="388"/>
    </row>
    <row r="69" spans="1:11" ht="15" customHeight="1">
      <c r="A69" s="16"/>
      <c r="B69" s="22">
        <f>'Oil supply projection'!$B69</f>
        <v>2078</v>
      </c>
      <c r="C69" s="484">
        <f t="shared" si="0"/>
        <v>5.1106095541443812</v>
      </c>
      <c r="D69" s="484">
        <f t="shared" si="1"/>
        <v>3.7418844706094321</v>
      </c>
      <c r="E69" s="484">
        <f t="shared" si="2"/>
        <v>12.933704262514658</v>
      </c>
      <c r="F69" s="484">
        <f t="shared" si="3"/>
        <v>1.9238467440472613</v>
      </c>
      <c r="G69" s="484">
        <f t="shared" si="4"/>
        <v>8.5860944328304338</v>
      </c>
      <c r="H69" s="484">
        <f t="shared" si="5"/>
        <v>15.395839537766278</v>
      </c>
      <c r="I69" s="437">
        <v>47.691979001912443</v>
      </c>
      <c r="K69" s="388"/>
    </row>
    <row r="70" spans="1:11" ht="15" customHeight="1">
      <c r="A70" s="16"/>
      <c r="B70" s="22">
        <f>'Oil supply projection'!$B70</f>
        <v>2079</v>
      </c>
      <c r="C70" s="484">
        <f t="shared" si="0"/>
        <v>5.1257859435785553</v>
      </c>
      <c r="D70" s="484">
        <f t="shared" si="1"/>
        <v>3.7529963145767735</v>
      </c>
      <c r="E70" s="484">
        <f t="shared" si="2"/>
        <v>12.972111996589193</v>
      </c>
      <c r="F70" s="484">
        <f t="shared" si="3"/>
        <v>1.9295597704661258</v>
      </c>
      <c r="G70" s="484">
        <f t="shared" si="4"/>
        <v>8.6115915700017833</v>
      </c>
      <c r="H70" s="484">
        <f t="shared" si="5"/>
        <v>15.441558791803541</v>
      </c>
      <c r="I70" s="437">
        <v>47.833604387015981</v>
      </c>
      <c r="K70" s="388"/>
    </row>
    <row r="71" spans="1:11" ht="15" customHeight="1">
      <c r="A71" s="16"/>
      <c r="B71" s="22">
        <f>'Oil supply projection'!$B71</f>
        <v>2080</v>
      </c>
      <c r="C71" s="484">
        <f t="shared" si="0"/>
        <v>5.1410074005910325</v>
      </c>
      <c r="D71" s="484">
        <f t="shared" si="1"/>
        <v>3.7641411561091984</v>
      </c>
      <c r="E71" s="484">
        <f t="shared" si="2"/>
        <v>13.010633785694429</v>
      </c>
      <c r="F71" s="484">
        <f t="shared" si="3"/>
        <v>1.9352897622025051</v>
      </c>
      <c r="G71" s="484">
        <f t="shared" si="4"/>
        <v>8.6371644230890272</v>
      </c>
      <c r="H71" s="484">
        <f t="shared" si="5"/>
        <v>15.487413813051457</v>
      </c>
      <c r="I71" s="437">
        <v>47.975650340737644</v>
      </c>
      <c r="K71" s="388"/>
    </row>
    <row r="72" spans="1:11" ht="15" customHeight="1">
      <c r="A72" s="16"/>
      <c r="B72" s="22">
        <f>'Oil supply projection'!$B72</f>
        <v>2081</v>
      </c>
      <c r="C72" s="484">
        <f t="shared" si="0"/>
        <v>5.1562740590138167</v>
      </c>
      <c r="D72" s="484">
        <f t="shared" si="1"/>
        <v>3.775319093195781</v>
      </c>
      <c r="E72" s="484">
        <f t="shared" si="2"/>
        <v>13.049269968526474</v>
      </c>
      <c r="F72" s="484">
        <f t="shared" si="3"/>
        <v>1.9410367696363517</v>
      </c>
      <c r="G72" s="484">
        <f t="shared" si="4"/>
        <v>8.6628132169370122</v>
      </c>
      <c r="H72" s="484">
        <f t="shared" si="5"/>
        <v>15.533405004682301</v>
      </c>
      <c r="I72" s="437">
        <v>48.118118111991734</v>
      </c>
      <c r="K72" s="388"/>
    </row>
    <row r="73" spans="1:11" ht="15" customHeight="1">
      <c r="A73" s="16"/>
      <c r="B73" s="22">
        <f>'Oil supply projection'!$B73</f>
        <v>2082</v>
      </c>
      <c r="C73" s="484">
        <f t="shared" si="0"/>
        <v>5.1715860530763376</v>
      </c>
      <c r="D73" s="484">
        <f t="shared" si="1"/>
        <v>3.7865302241165826</v>
      </c>
      <c r="E73" s="484">
        <f t="shared" si="2"/>
        <v>13.088020884787221</v>
      </c>
      <c r="F73" s="484">
        <f t="shared" si="3"/>
        <v>1.9468008432972252</v>
      </c>
      <c r="G73" s="484">
        <f t="shared" si="4"/>
        <v>8.6885381770582821</v>
      </c>
      <c r="H73" s="484">
        <f t="shared" si="5"/>
        <v>15.579532771065596</v>
      </c>
      <c r="I73" s="437">
        <v>48.261008953401245</v>
      </c>
      <c r="K73" s="388"/>
    </row>
    <row r="74" spans="1:11" ht="15" customHeight="1">
      <c r="A74" s="16"/>
      <c r="B74" s="22">
        <f>'Oil supply projection'!$B74</f>
        <v>2083</v>
      </c>
      <c r="C74" s="484">
        <f t="shared" si="0"/>
        <v>5.1869435174066307</v>
      </c>
      <c r="D74" s="484">
        <f t="shared" si="1"/>
        <v>3.7977746474435148</v>
      </c>
      <c r="E74" s="484">
        <f t="shared" si="2"/>
        <v>13.12688687518734</v>
      </c>
      <c r="F74" s="484">
        <f t="shared" si="3"/>
        <v>1.9525820338647373</v>
      </c>
      <c r="G74" s="484">
        <f t="shared" si="4"/>
        <v>8.7143395296350583</v>
      </c>
      <c r="H74" s="484">
        <f t="shared" si="5"/>
        <v>15.625797517771677</v>
      </c>
      <c r="I74" s="437">
        <v>48.40432412130896</v>
      </c>
      <c r="K74" s="388"/>
    </row>
    <row r="75" spans="1:11" ht="15" customHeight="1">
      <c r="A75" s="16"/>
      <c r="B75" s="22">
        <f>'Oil supply projection'!$B75</f>
        <v>2084</v>
      </c>
      <c r="C75" s="484">
        <f t="shared" si="0"/>
        <v>5.2023465870325207</v>
      </c>
      <c r="D75" s="484">
        <f t="shared" si="1"/>
        <v>3.809052462041207</v>
      </c>
      <c r="E75" s="484">
        <f t="shared" si="2"/>
        <v>13.165868281449267</v>
      </c>
      <c r="F75" s="484">
        <f t="shared" si="3"/>
        <v>1.9583803921689971</v>
      </c>
      <c r="G75" s="484">
        <f t="shared" si="4"/>
        <v>8.7402175015212311</v>
      </c>
      <c r="H75" s="484">
        <f t="shared" si="5"/>
        <v>15.672199651575253</v>
      </c>
      <c r="I75" s="437">
        <v>48.548064875788477</v>
      </c>
      <c r="K75" s="388"/>
    </row>
    <row r="76" spans="1:11" ht="15" customHeight="1">
      <c r="A76" s="16"/>
      <c r="B76" s="22">
        <f>'Oil supply projection'!$B76</f>
        <v>2085</v>
      </c>
      <c r="C76" s="484">
        <f t="shared" si="0"/>
        <v>5.21779539738281</v>
      </c>
      <c r="D76" s="484">
        <f t="shared" si="1"/>
        <v>3.8203637670678758</v>
      </c>
      <c r="E76" s="484">
        <f t="shared" si="2"/>
        <v>13.204965446310213</v>
      </c>
      <c r="F76" s="484">
        <f t="shared" si="3"/>
        <v>1.964195969191058</v>
      </c>
      <c r="G76" s="484">
        <f t="shared" si="4"/>
        <v>8.7661723202443529</v>
      </c>
      <c r="H76" s="484">
        <f t="shared" si="5"/>
        <v>15.71873958045899</v>
      </c>
      <c r="I76" s="437">
        <v>48.692232480655306</v>
      </c>
      <c r="K76" s="388"/>
    </row>
    <row r="77" spans="1:11" ht="15" customHeight="1">
      <c r="A77" s="16"/>
      <c r="B77" s="22">
        <f>'Oil supply projection'!$B77</f>
        <v>2086</v>
      </c>
      <c r="C77" s="484">
        <f t="shared" si="0"/>
        <v>5.2332900842884662</v>
      </c>
      <c r="D77" s="484">
        <f t="shared" si="1"/>
        <v>3.8317086619761969</v>
      </c>
      <c r="E77" s="484">
        <f t="shared" si="2"/>
        <v>13.244178713525178</v>
      </c>
      <c r="F77" s="484">
        <f t="shared" si="3"/>
        <v>1.9700288160633659</v>
      </c>
      <c r="G77" s="484">
        <f t="shared" si="4"/>
        <v>8.7922042140076346</v>
      </c>
      <c r="H77" s="484">
        <f t="shared" si="5"/>
        <v>15.76541771361709</v>
      </c>
      <c r="I77" s="437">
        <v>48.836828203477936</v>
      </c>
      <c r="K77" s="388"/>
    </row>
    <row r="78" spans="1:11" ht="15" customHeight="1">
      <c r="A78" s="16"/>
      <c r="B78" s="22">
        <f>'Oil supply projection'!$B78</f>
        <v>2087</v>
      </c>
      <c r="C78" s="484">
        <f t="shared" si="0"/>
        <v>5.24883078398382</v>
      </c>
      <c r="D78" s="484">
        <f t="shared" si="1"/>
        <v>3.8430872465141785</v>
      </c>
      <c r="E78" s="484">
        <f t="shared" si="2"/>
        <v>13.283508427869968</v>
      </c>
      <c r="F78" s="484">
        <f t="shared" si="3"/>
        <v>1.9758789840702089</v>
      </c>
      <c r="G78" s="484">
        <f t="shared" si="4"/>
        <v>8.8183134116919604</v>
      </c>
      <c r="H78" s="484">
        <f t="shared" si="5"/>
        <v>15.812234461458891</v>
      </c>
      <c r="I78" s="437">
        <v>48.981853315589028</v>
      </c>
      <c r="K78" s="388"/>
    </row>
    <row r="79" spans="1:11" ht="15" customHeight="1">
      <c r="A79" s="16"/>
      <c r="B79" s="22">
        <f>'Oil supply projection'!$B79</f>
        <v>2088</v>
      </c>
      <c r="C79" s="484">
        <f t="shared" si="0"/>
        <v>5.2644176331077608</v>
      </c>
      <c r="D79" s="484">
        <f t="shared" si="1"/>
        <v>3.8544996207260391</v>
      </c>
      <c r="E79" s="484">
        <f t="shared" si="2"/>
        <v>13.322954935144233</v>
      </c>
      <c r="F79" s="484">
        <f t="shared" si="3"/>
        <v>1.9817465246481683</v>
      </c>
      <c r="G79" s="484">
        <f t="shared" si="4"/>
        <v>8.8445001428578944</v>
      </c>
      <c r="H79" s="484">
        <f t="shared" si="5"/>
        <v>15.859190235612477</v>
      </c>
      <c r="I79" s="437">
        <v>49.127309092096567</v>
      </c>
      <c r="K79" s="388"/>
    </row>
    <row r="80" spans="1:11" ht="15" customHeight="1">
      <c r="A80" s="16"/>
      <c r="B80" s="22">
        <f>'Oil supply projection'!$B80</f>
        <v>2089</v>
      </c>
      <c r="C80" s="484">
        <f t="shared" si="0"/>
        <v>5.2800507687049389</v>
      </c>
      <c r="D80" s="484">
        <f t="shared" si="1"/>
        <v>3.8659458849530872</v>
      </c>
      <c r="E80" s="484">
        <f t="shared" si="2"/>
        <v>13.362518582174504</v>
      </c>
      <c r="F80" s="484">
        <f t="shared" si="3"/>
        <v>1.9876314893865705</v>
      </c>
      <c r="G80" s="484">
        <f t="shared" si="4"/>
        <v>8.8707646377476994</v>
      </c>
      <c r="H80" s="484">
        <f t="shared" si="5"/>
        <v>15.906285448928298</v>
      </c>
      <c r="I80" s="437">
        <v>49.27319681189509</v>
      </c>
      <c r="K80" s="388"/>
    </row>
    <row r="81" spans="1:11" ht="15" customHeight="1">
      <c r="A81" s="16"/>
      <c r="B81" s="22">
        <f>'Oil supply projection'!$B81</f>
        <v>2090</v>
      </c>
      <c r="C81" s="484">
        <f t="shared" si="0"/>
        <v>5.2957303282269717</v>
      </c>
      <c r="D81" s="484">
        <f t="shared" si="1"/>
        <v>3.8774261398346037</v>
      </c>
      <c r="E81" s="484">
        <f t="shared" si="2"/>
        <v>13.402199716817242</v>
      </c>
      <c r="F81" s="484">
        <f t="shared" si="3"/>
        <v>1.9935339300279409</v>
      </c>
      <c r="G81" s="484">
        <f t="shared" si="4"/>
        <v>8.897107127287363</v>
      </c>
      <c r="H81" s="484">
        <f t="shared" si="5"/>
        <v>15.953520515482797</v>
      </c>
      <c r="I81" s="437">
        <v>49.419517757676914</v>
      </c>
      <c r="K81" s="388"/>
    </row>
    <row r="82" spans="1:11" ht="15" customHeight="1">
      <c r="A82" s="16"/>
      <c r="B82" s="22">
        <f>'Oil supply projection'!$B82</f>
        <v>2091</v>
      </c>
      <c r="C82" s="484">
        <f t="shared" si="0"/>
        <v>5.3114564495336491</v>
      </c>
      <c r="D82" s="484">
        <f t="shared" si="1"/>
        <v>3.8889404863087256</v>
      </c>
      <c r="E82" s="484">
        <f t="shared" si="2"/>
        <v>13.441998687961897</v>
      </c>
      <c r="F82" s="484">
        <f t="shared" si="3"/>
        <v>1.9994538984684587</v>
      </c>
      <c r="G82" s="484">
        <f t="shared" si="4"/>
        <v>8.9235278430886282</v>
      </c>
      <c r="H82" s="484">
        <f t="shared" si="5"/>
        <v>16.000895850582054</v>
      </c>
      <c r="I82" s="437">
        <v>49.566273215943411</v>
      </c>
      <c r="K82" s="388"/>
    </row>
    <row r="83" spans="1:11" s="21" customFormat="1" ht="15" customHeight="1">
      <c r="A83" s="16"/>
      <c r="B83" s="22">
        <f>'Oil supply projection'!$B83</f>
        <v>2092</v>
      </c>
      <c r="C83" s="484">
        <f t="shared" si="0"/>
        <v>5.327229270894148</v>
      </c>
      <c r="D83" s="484">
        <f t="shared" si="1"/>
        <v>3.9004890256133344</v>
      </c>
      <c r="E83" s="484">
        <f t="shared" si="2"/>
        <v>13.481915845533978</v>
      </c>
      <c r="F83" s="484">
        <f t="shared" si="3"/>
        <v>2.0053914467584129</v>
      </c>
      <c r="G83" s="484">
        <f t="shared" si="4"/>
        <v>8.9500270174510259</v>
      </c>
      <c r="H83" s="484">
        <f t="shared" si="5"/>
        <v>16.048411870765431</v>
      </c>
      <c r="I83" s="437">
        <v>49.713464477016331</v>
      </c>
      <c r="J83" s="1"/>
      <c r="K83" s="388"/>
    </row>
    <row r="84" spans="1:11" ht="15" customHeight="1">
      <c r="A84" s="16"/>
      <c r="B84" s="22">
        <f>'Oil supply projection'!$B84</f>
        <v>2093</v>
      </c>
      <c r="C84" s="484">
        <f t="shared" si="0"/>
        <v>5.343048930988247</v>
      </c>
      <c r="D84" s="484">
        <f t="shared" si="1"/>
        <v>3.912071859286947</v>
      </c>
      <c r="E84" s="484">
        <f t="shared" si="2"/>
        <v>13.521951540498126</v>
      </c>
      <c r="F84" s="484">
        <f t="shared" si="3"/>
        <v>2.011346627102661</v>
      </c>
      <c r="G84" s="484">
        <f t="shared" si="4"/>
        <v>8.9766048833639225</v>
      </c>
      <c r="H84" s="484">
        <f t="shared" si="5"/>
        <v>16.096068993809247</v>
      </c>
      <c r="I84" s="437">
        <v>49.861092835049156</v>
      </c>
      <c r="K84" s="388"/>
    </row>
    <row r="85" spans="1:11" ht="15" customHeight="1">
      <c r="A85" s="16"/>
      <c r="B85" s="194" t="s">
        <v>292</v>
      </c>
      <c r="C85" s="589" t="s">
        <v>316</v>
      </c>
      <c r="D85" s="589" t="s">
        <v>316</v>
      </c>
      <c r="E85" s="589" t="s">
        <v>316</v>
      </c>
      <c r="F85" s="589" t="s">
        <v>316</v>
      </c>
      <c r="G85" s="589" t="s">
        <v>316</v>
      </c>
      <c r="H85" s="589" t="s">
        <v>316</v>
      </c>
      <c r="I85" s="106" t="s">
        <v>317</v>
      </c>
    </row>
    <row r="86" spans="1:11" ht="15" customHeight="1">
      <c r="A86" s="16"/>
      <c r="B86" s="194" t="s">
        <v>294</v>
      </c>
      <c r="C86" s="107" t="s">
        <v>319</v>
      </c>
      <c r="D86" s="107" t="s">
        <v>319</v>
      </c>
      <c r="E86" s="107" t="s">
        <v>319</v>
      </c>
      <c r="F86" s="107" t="s">
        <v>319</v>
      </c>
      <c r="G86" s="107" t="s">
        <v>319</v>
      </c>
      <c r="H86" s="107" t="s">
        <v>319</v>
      </c>
      <c r="I86" s="106"/>
    </row>
    <row r="87" spans="1:11" ht="15" customHeight="1">
      <c r="B87" s="194" t="s">
        <v>296</v>
      </c>
      <c r="C87" s="590" t="s">
        <v>321</v>
      </c>
      <c r="D87" s="590" t="s">
        <v>321</v>
      </c>
      <c r="E87" s="590" t="s">
        <v>321</v>
      </c>
      <c r="F87" s="590" t="s">
        <v>321</v>
      </c>
      <c r="G87" s="590" t="s">
        <v>321</v>
      </c>
      <c r="H87" s="590" t="s">
        <v>321</v>
      </c>
      <c r="I87" s="106"/>
    </row>
    <row r="88" spans="1:11" ht="30" customHeight="1">
      <c r="B88" s="194" t="s">
        <v>298</v>
      </c>
      <c r="C88" s="595" t="s">
        <v>427</v>
      </c>
      <c r="D88" s="595" t="s">
        <v>427</v>
      </c>
      <c r="E88" s="595" t="s">
        <v>427</v>
      </c>
      <c r="F88" s="595" t="s">
        <v>427</v>
      </c>
      <c r="G88" s="595" t="s">
        <v>427</v>
      </c>
      <c r="H88" s="591" t="s">
        <v>428</v>
      </c>
      <c r="I88" s="106"/>
    </row>
    <row r="89" spans="1:11" ht="15" customHeight="1">
      <c r="B89" s="194" t="s">
        <v>300</v>
      </c>
      <c r="C89" s="593">
        <v>1991</v>
      </c>
      <c r="D89" s="593">
        <v>1992</v>
      </c>
      <c r="E89" s="593" t="s">
        <v>429</v>
      </c>
      <c r="F89" s="592">
        <v>1999</v>
      </c>
      <c r="G89" s="593" t="s">
        <v>430</v>
      </c>
      <c r="H89" s="593" t="s">
        <v>431</v>
      </c>
      <c r="I89" s="106"/>
    </row>
    <row r="90" spans="1:11" ht="44.25" customHeight="1">
      <c r="B90" s="194" t="s">
        <v>301</v>
      </c>
      <c r="C90" s="596" t="s">
        <v>281</v>
      </c>
      <c r="D90" s="596" t="s">
        <v>282</v>
      </c>
      <c r="E90" s="596" t="s">
        <v>432</v>
      </c>
      <c r="F90" s="596" t="s">
        <v>433</v>
      </c>
      <c r="G90" s="596" t="s">
        <v>434</v>
      </c>
      <c r="H90" s="596" t="s">
        <v>435</v>
      </c>
      <c r="I90" s="106"/>
    </row>
  </sheetData>
  <mergeCells count="1">
    <mergeCell ref="A1:B1"/>
  </mergeCells>
  <phoneticPr fontId="29" type="noConversion"/>
  <hyperlinks>
    <hyperlink ref="A1" location="'Table of Contents'!A1" tooltip="Click here to return to the Table of Contents tab" display="Return to Table of Contents" xr:uid="{00000000-0004-0000-0A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7">
    <tabColor indexed="27"/>
    <pageSetUpPr fitToPage="1"/>
  </sheetPr>
  <dimension ref="A1:AC94"/>
  <sheetViews>
    <sheetView topLeftCell="A64" workbookViewId="0">
      <selection activeCell="P85" sqref="P85:P87"/>
    </sheetView>
  </sheetViews>
  <sheetFormatPr defaultColWidth="9.28515625" defaultRowHeight="15" customHeight="1"/>
  <cols>
    <col min="1" max="1" width="15.5703125" style="18" customWidth="1"/>
    <col min="2" max="2" width="10.28515625" style="1" customWidth="1"/>
    <col min="3" max="7" width="17.28515625" style="1" customWidth="1"/>
    <col min="8" max="10" width="17.28515625" style="48" customWidth="1"/>
    <col min="11" max="11" width="17.7109375" style="323" customWidth="1"/>
    <col min="12" max="16" width="12.42578125" style="56" customWidth="1"/>
    <col min="17" max="17" width="12.5703125" style="56" customWidth="1"/>
    <col min="18" max="28" width="9.28515625" style="56" customWidth="1"/>
    <col min="29" max="29" width="13" style="1" customWidth="1"/>
    <col min="30" max="16384" width="9.28515625" style="1"/>
  </cols>
  <sheetData>
    <row r="1" spans="1:29" ht="15.75" thickBot="1">
      <c r="A1" s="701" t="s">
        <v>27</v>
      </c>
      <c r="B1" s="702"/>
      <c r="C1" s="180"/>
      <c r="D1" s="180"/>
      <c r="E1" s="2"/>
      <c r="F1" s="2"/>
      <c r="G1" s="2"/>
      <c r="H1" s="1"/>
      <c r="I1" s="1"/>
      <c r="J1" s="1"/>
    </row>
    <row r="2" spans="1:29" ht="16.5" customHeight="1">
      <c r="A2" s="1"/>
      <c r="B2" s="2"/>
      <c r="C2" s="2"/>
      <c r="D2" s="2"/>
      <c r="E2" s="2"/>
      <c r="F2" s="2"/>
      <c r="G2" s="2"/>
    </row>
    <row r="3" spans="1:29" ht="16.5" customHeight="1">
      <c r="A3" s="1"/>
      <c r="B3" s="2"/>
      <c r="C3" s="2"/>
      <c r="D3" s="154"/>
      <c r="E3" s="154"/>
      <c r="F3" s="2"/>
      <c r="G3" s="2"/>
      <c r="H3" s="1"/>
      <c r="I3" s="1"/>
      <c r="J3" s="1"/>
    </row>
    <row r="4" spans="1:29" ht="16.5" customHeight="1">
      <c r="A4" s="1"/>
      <c r="B4" s="2"/>
      <c r="C4" s="2"/>
      <c r="D4" s="154"/>
      <c r="E4" s="154" t="s">
        <v>369</v>
      </c>
      <c r="F4" s="155" t="str">
        <f t="array" aca="1" ref="F4" ca="1">IF(SUM(IF(ISERROR(ABS(aeo_sup_ele_tot-aeo_dem_ele_tot)/((aeo_sup_ele_tot+aeo_dem_ele_tot)/2)),0,ABS(aeo_sup_ele_tot-aeo_dem_ele_tot)/((aeo_sup_ele_tot+aeo_dem_ele_tot)/2)))&gt;10^-10,"IMBALANCED!","In equilibrium")</f>
        <v>In equilibrium</v>
      </c>
      <c r="G4" s="2"/>
      <c r="H4" s="1"/>
      <c r="I4" s="1"/>
      <c r="J4" s="1"/>
      <c r="AC4" s="510" t="s">
        <v>436</v>
      </c>
    </row>
    <row r="5" spans="1:29" ht="16.5" customHeight="1">
      <c r="A5" s="1"/>
      <c r="B5" s="2"/>
      <c r="C5" s="2"/>
      <c r="D5" s="2"/>
      <c r="E5" s="2"/>
      <c r="F5" s="2"/>
      <c r="G5" s="2"/>
      <c r="H5" s="2"/>
      <c r="I5" s="2"/>
      <c r="J5" s="2"/>
    </row>
    <row r="6" spans="1:29" ht="19.5" customHeight="1">
      <c r="A6" s="16"/>
      <c r="B6" s="11" t="s">
        <v>437</v>
      </c>
      <c r="C6" s="12"/>
      <c r="D6" s="12"/>
      <c r="E6" s="12"/>
      <c r="F6" s="59"/>
      <c r="G6" s="59"/>
      <c r="H6" s="60"/>
      <c r="I6" s="615"/>
      <c r="J6" s="342"/>
    </row>
    <row r="7" spans="1:29" ht="19.5" customHeight="1">
      <c r="A7" s="16"/>
      <c r="B7" s="14"/>
      <c r="C7" s="226" t="s">
        <v>438</v>
      </c>
      <c r="D7" s="58"/>
      <c r="E7" s="58"/>
      <c r="F7" s="10"/>
      <c r="G7" s="10"/>
      <c r="H7" s="80"/>
      <c r="I7" s="611"/>
      <c r="J7" s="612" t="str">
        <f>CHOOSE(K7,"nem","equ")</f>
        <v>equ</v>
      </c>
      <c r="K7" s="323">
        <v>2</v>
      </c>
    </row>
    <row r="8" spans="1:29" ht="29.25" customHeight="1">
      <c r="A8" s="16"/>
      <c r="B8" s="650"/>
      <c r="C8" s="650" t="s">
        <v>281</v>
      </c>
      <c r="D8" s="650" t="s">
        <v>282</v>
      </c>
      <c r="E8" s="650" t="s">
        <v>283</v>
      </c>
      <c r="F8" s="650" t="s">
        <v>284</v>
      </c>
      <c r="G8" s="653" t="s">
        <v>200</v>
      </c>
      <c r="H8" s="650" t="s">
        <v>405</v>
      </c>
      <c r="I8" s="613"/>
      <c r="J8" s="613"/>
      <c r="L8" s="522" t="s">
        <v>281</v>
      </c>
      <c r="M8" s="522" t="s">
        <v>282</v>
      </c>
      <c r="N8" s="522" t="s">
        <v>283</v>
      </c>
      <c r="O8" s="522" t="s">
        <v>284</v>
      </c>
      <c r="P8" s="522" t="s">
        <v>200</v>
      </c>
      <c r="Q8" s="522" t="s">
        <v>405</v>
      </c>
    </row>
    <row r="9" spans="1:29" ht="29.25" customHeight="1" thickBot="1">
      <c r="A9" s="16"/>
      <c r="B9" s="66" t="s">
        <v>268</v>
      </c>
      <c r="C9" s="67" t="s">
        <v>439</v>
      </c>
      <c r="D9" s="67" t="s">
        <v>439</v>
      </c>
      <c r="E9" s="67" t="s">
        <v>439</v>
      </c>
      <c r="F9" s="67" t="s">
        <v>439</v>
      </c>
      <c r="G9" s="67" t="s">
        <v>439</v>
      </c>
      <c r="H9" s="67" t="s">
        <v>439</v>
      </c>
      <c r="I9" s="614"/>
      <c r="J9" s="614"/>
      <c r="L9" s="783" t="s">
        <v>440</v>
      </c>
      <c r="M9" s="783"/>
      <c r="N9" s="783"/>
      <c r="O9" s="783"/>
      <c r="P9" s="783"/>
    </row>
    <row r="10" spans="1:29" ht="15" customHeight="1" thickTop="1">
      <c r="A10" s="16"/>
      <c r="B10" s="22">
        <f>'Oil supply projection'!$B10</f>
        <v>2019</v>
      </c>
      <c r="C10" s="156">
        <f t="array" aca="1" ref="C10:C84" ca="1">INDIRECT($J$7&amp;"_dem_ele_res")</f>
        <v>1388.17604951977</v>
      </c>
      <c r="D10" s="156">
        <f t="array" aca="1" ref="D10:D84" ca="1">INDIRECT($J$7&amp;"_dem_ele_com")</f>
        <v>1311.6547097687042</v>
      </c>
      <c r="E10" s="156">
        <f t="array" aca="1" ref="E10:E84" ca="1">INDIRECT($J$7&amp;"_dem_ele_ind")</f>
        <v>966.09983030675778</v>
      </c>
      <c r="F10" s="156">
        <f t="array" aca="1" ref="F10:F84" ca="1">INDIRECT($J$7&amp;"_dem_ele_tra")</f>
        <v>10.914183555713322</v>
      </c>
      <c r="G10" s="161">
        <f t="array" aca="1" ref="G10:G84" ca="1">INDIRECT($J$7&amp;"_dem_ele_oth")</f>
        <v>165.37298184905416</v>
      </c>
      <c r="H10" s="165">
        <f t="array" aca="1" ref="H10:H84" ca="1">aeo_dem_ele_res+aeo_dem_ele_com+aeo_dem_ele_ind+aeo_dem_ele_tra+aeo_dem_ele_oth</f>
        <v>3842.2177549999992</v>
      </c>
      <c r="I10" s="609"/>
      <c r="J10" s="609"/>
      <c r="L10" s="616">
        <v>1440.2677000000001</v>
      </c>
      <c r="M10" s="616">
        <v>1360.8748780000001</v>
      </c>
      <c r="N10" s="616">
        <v>1002.352966</v>
      </c>
      <c r="O10" s="616">
        <v>11.323741</v>
      </c>
      <c r="P10" s="616">
        <v>171.578644</v>
      </c>
      <c r="Q10" s="56">
        <f t="shared" ref="Q10:Q41" si="0">SUM(L10:P10)</f>
        <v>3986.3979290000002</v>
      </c>
      <c r="R10" s="500">
        <f t="array" ref="R10:R84">nem_dem_ele_res/nem_dem_ele_tot</f>
        <v>0.36129551681793481</v>
      </c>
      <c r="S10" s="500">
        <f t="array" ref="S10:S84">nem_dem_ele_com/nem_dem_ele_tot</f>
        <v>0.34137958684455255</v>
      </c>
      <c r="T10" s="500">
        <f t="array" ref="T10:T84">nem_dem_ele_ind/nem_dem_ele_tot</f>
        <v>0.25144327883278911</v>
      </c>
      <c r="U10" s="500">
        <f t="array" ref="U10:U84">nem_dem_ele_tra/nem_dem_ele_tot</f>
        <v>2.8405947428435962E-3</v>
      </c>
      <c r="V10" s="500">
        <f t="array" ref="V10:V84">nem_dem_ele_oth/nem_dem_ele_tot</f>
        <v>4.3041022761879925E-2</v>
      </c>
      <c r="W10" s="500">
        <f t="array" ref="W10:W84">aeo_sup_ele_tot-nem_dem_ele_tot</f>
        <v>-144.18017400000099</v>
      </c>
      <c r="X10" s="500">
        <f t="array" ref="X10:X84">per_dem_ele_res*dis_dem_ele_tot+nem_dem_ele_res</f>
        <v>1388.17604951977</v>
      </c>
      <c r="Y10" s="500">
        <f t="array" ref="Y10:Y84">per_dem_ele_com*dis_dem_ele_tot+nem_dem_ele_com</f>
        <v>1311.6547097687042</v>
      </c>
      <c r="Z10" s="500">
        <f t="array" ref="Z10:Z84">per_dem_ele_ind*dis_dem_ele_tot+nem_dem_ele_ind</f>
        <v>966.09983030675778</v>
      </c>
      <c r="AA10" s="500">
        <f t="array" ref="AA10:AA84">per_dem_ele_tra*dis_dem_ele_tot+nem_dem_ele_tra</f>
        <v>10.914183555713322</v>
      </c>
      <c r="AB10" s="500">
        <f t="array" ref="AB10:AB84">per_dem_ele_oth*dis_dem_ele_tot+nem_dem_ele_oth</f>
        <v>165.37298184905416</v>
      </c>
    </row>
    <row r="11" spans="1:29" ht="15" customHeight="1">
      <c r="A11" s="17"/>
      <c r="B11" s="22">
        <f>'Oil supply projection'!$B11</f>
        <v>2020</v>
      </c>
      <c r="C11" s="157">
        <f ca="1"/>
        <v>1406.5371881750473</v>
      </c>
      <c r="D11" s="157">
        <f ca="1"/>
        <v>1236.4155118131193</v>
      </c>
      <c r="E11" s="157">
        <f ca="1"/>
        <v>921.07155836884772</v>
      </c>
      <c r="F11" s="157">
        <f ca="1"/>
        <v>10.603891456054889</v>
      </c>
      <c r="G11" s="162">
        <f ca="1"/>
        <v>165.06557518693052</v>
      </c>
      <c r="H11" s="165">
        <f ca="1"/>
        <v>3739.6937249999996</v>
      </c>
      <c r="I11" s="609"/>
      <c r="J11" s="609"/>
      <c r="L11" s="616">
        <v>1464.5817870000001</v>
      </c>
      <c r="M11" s="616">
        <v>1287.4395750000001</v>
      </c>
      <c r="N11" s="616">
        <v>959.08209199999999</v>
      </c>
      <c r="O11" s="616">
        <v>11.04149</v>
      </c>
      <c r="P11" s="616">
        <v>171.87745699999999</v>
      </c>
      <c r="Q11" s="56">
        <f t="shared" si="0"/>
        <v>3894.0224010000006</v>
      </c>
      <c r="R11" s="500">
        <v>0.37611026239188805</v>
      </c>
      <c r="S11" s="500">
        <v>0.33061945783090013</v>
      </c>
      <c r="T11" s="500">
        <v>0.246295987345554</v>
      </c>
      <c r="U11" s="500">
        <v>2.8354972989278388E-3</v>
      </c>
      <c r="V11" s="500">
        <v>4.4138795132729891E-2</v>
      </c>
      <c r="W11" s="500">
        <v>-154.32867600000054</v>
      </c>
      <c r="X11" s="500">
        <v>1406.5371881750473</v>
      </c>
      <c r="Y11" s="500">
        <v>1236.4155118131193</v>
      </c>
      <c r="Z11" s="500">
        <v>921.07155836884772</v>
      </c>
      <c r="AA11" s="500">
        <v>10.603891456054889</v>
      </c>
      <c r="AB11" s="500">
        <v>165.06557518693052</v>
      </c>
    </row>
    <row r="12" spans="1:29" ht="15" customHeight="1">
      <c r="B12" s="22">
        <f>'Oil supply projection'!$B12</f>
        <v>2021</v>
      </c>
      <c r="C12" s="157">
        <f ca="1"/>
        <v>1421.8543343845047</v>
      </c>
      <c r="D12" s="157">
        <f ca="1"/>
        <v>1275.716494689995</v>
      </c>
      <c r="E12" s="157">
        <f ca="1"/>
        <v>950.25007392094051</v>
      </c>
      <c r="F12" s="157">
        <f ca="1"/>
        <v>12.720750323705676</v>
      </c>
      <c r="G12" s="162">
        <f ca="1"/>
        <v>174.37508468085451</v>
      </c>
      <c r="H12" s="165">
        <f ca="1"/>
        <v>3834.9167379999999</v>
      </c>
      <c r="I12" s="609"/>
      <c r="J12" s="609"/>
      <c r="L12" s="616">
        <v>1476.540039</v>
      </c>
      <c r="M12" s="616">
        <v>1324.781616</v>
      </c>
      <c r="N12" s="616">
        <v>986.79748500000005</v>
      </c>
      <c r="O12" s="616">
        <v>13.210001</v>
      </c>
      <c r="P12" s="616">
        <v>181.08169599999999</v>
      </c>
      <c r="Q12" s="56">
        <f t="shared" si="0"/>
        <v>3982.4108369999999</v>
      </c>
      <c r="R12" s="500">
        <v>0.37076537289464995</v>
      </c>
      <c r="S12" s="500">
        <v>0.33265819882058545</v>
      </c>
      <c r="T12" s="500">
        <v>0.2477889714018976</v>
      </c>
      <c r="U12" s="500">
        <v>3.3170864435351074E-3</v>
      </c>
      <c r="V12" s="500">
        <v>4.5470370439331949E-2</v>
      </c>
      <c r="W12" s="500">
        <v>-147.49409899999955</v>
      </c>
      <c r="X12" s="500">
        <v>1421.8543343845047</v>
      </c>
      <c r="Y12" s="500">
        <v>1275.716494689995</v>
      </c>
      <c r="Z12" s="500">
        <v>950.25007392094051</v>
      </c>
      <c r="AA12" s="500">
        <v>12.720750323705676</v>
      </c>
      <c r="AB12" s="500">
        <v>174.37508468085451</v>
      </c>
    </row>
    <row r="13" spans="1:29" ht="15" customHeight="1">
      <c r="B13" s="22">
        <f>'Oil supply projection'!$B13</f>
        <v>2022</v>
      </c>
      <c r="C13" s="157">
        <f ca="1"/>
        <v>1466.1501992741387</v>
      </c>
      <c r="D13" s="157">
        <f ca="1"/>
        <v>1308.6448400283489</v>
      </c>
      <c r="E13" s="157">
        <f ca="1"/>
        <v>985.26720939583174</v>
      </c>
      <c r="F13" s="157">
        <f ca="1"/>
        <v>16.466460085879444</v>
      </c>
      <c r="G13" s="162">
        <f ca="1"/>
        <v>190.15135421580052</v>
      </c>
      <c r="H13" s="165">
        <f ca="1"/>
        <v>3966.6800629999993</v>
      </c>
      <c r="I13" s="609"/>
      <c r="J13" s="609"/>
      <c r="L13" s="616">
        <v>1508.6479489999999</v>
      </c>
      <c r="M13" s="616">
        <v>1346.5771480000001</v>
      </c>
      <c r="N13" s="616">
        <v>1013.826111</v>
      </c>
      <c r="O13" s="616">
        <v>16.943756</v>
      </c>
      <c r="P13" s="616">
        <v>195.663071</v>
      </c>
      <c r="Q13" s="56">
        <f t="shared" si="0"/>
        <v>4081.6580349999999</v>
      </c>
      <c r="R13" s="500">
        <v>0.36961644901739055</v>
      </c>
      <c r="S13" s="500">
        <v>0.32990934969396574</v>
      </c>
      <c r="T13" s="500">
        <v>0.24838585258894674</v>
      </c>
      <c r="U13" s="500">
        <v>4.15119440548625E-3</v>
      </c>
      <c r="V13" s="500">
        <v>4.7937154294210735E-2</v>
      </c>
      <c r="W13" s="500">
        <v>-114.97797200000059</v>
      </c>
      <c r="X13" s="500">
        <v>1466.1501992741387</v>
      </c>
      <c r="Y13" s="500">
        <v>1308.6448400283489</v>
      </c>
      <c r="Z13" s="500">
        <v>985.26720939583174</v>
      </c>
      <c r="AA13" s="500">
        <v>16.466460085879444</v>
      </c>
      <c r="AB13" s="500">
        <v>190.15135421580052</v>
      </c>
    </row>
    <row r="14" spans="1:29" ht="15" customHeight="1">
      <c r="B14" s="22">
        <f>'Oil supply projection'!$B14</f>
        <v>2023</v>
      </c>
      <c r="C14" s="157">
        <f ca="1"/>
        <v>1430.9564471766626</v>
      </c>
      <c r="D14" s="157">
        <f ca="1"/>
        <v>1281.3439902322871</v>
      </c>
      <c r="E14" s="157">
        <f ca="1"/>
        <v>983.95890302468922</v>
      </c>
      <c r="F14" s="157">
        <f ca="1"/>
        <v>19.854473008881111</v>
      </c>
      <c r="G14" s="162">
        <f ca="1"/>
        <v>198.01965755747912</v>
      </c>
      <c r="H14" s="165">
        <f ca="1"/>
        <v>3914.1334709999992</v>
      </c>
      <c r="I14" s="609"/>
      <c r="J14" s="609"/>
      <c r="L14" s="616">
        <v>1479.0584719999999</v>
      </c>
      <c r="M14" s="616">
        <v>1324.4167480000001</v>
      </c>
      <c r="N14" s="616">
        <v>1017.034973</v>
      </c>
      <c r="O14" s="616">
        <v>20.521887</v>
      </c>
      <c r="P14" s="616">
        <v>204.67614699999999</v>
      </c>
      <c r="Q14" s="56">
        <f t="shared" si="0"/>
        <v>4045.7082270000001</v>
      </c>
      <c r="R14" s="500">
        <v>0.365587034212984</v>
      </c>
      <c r="S14" s="500">
        <v>0.32736338699889145</v>
      </c>
      <c r="T14" s="500">
        <v>0.25138613956700445</v>
      </c>
      <c r="U14" s="500">
        <v>5.0725079141996166E-3</v>
      </c>
      <c r="V14" s="500">
        <v>5.0590931306920467E-2</v>
      </c>
      <c r="W14" s="500">
        <v>-131.57475600000089</v>
      </c>
      <c r="X14" s="500">
        <v>1430.9564471766626</v>
      </c>
      <c r="Y14" s="500">
        <v>1281.3439902322871</v>
      </c>
      <c r="Z14" s="500">
        <v>983.95890302468922</v>
      </c>
      <c r="AA14" s="500">
        <v>19.854473008881111</v>
      </c>
      <c r="AB14" s="500">
        <v>198.01965755747912</v>
      </c>
    </row>
    <row r="15" spans="1:29" ht="15" customHeight="1">
      <c r="B15" s="22">
        <f>'Oil supply projection'!$B15</f>
        <v>2024</v>
      </c>
      <c r="C15" s="157">
        <f ca="1"/>
        <v>1446.5406666985562</v>
      </c>
      <c r="D15" s="157">
        <f ca="1"/>
        <v>1285.8409605801696</v>
      </c>
      <c r="E15" s="157">
        <f ca="1"/>
        <v>975.22144967348515</v>
      </c>
      <c r="F15" s="157">
        <f ca="1"/>
        <v>23.991920004331117</v>
      </c>
      <c r="G15" s="162">
        <f ca="1"/>
        <v>216.777767043458</v>
      </c>
      <c r="H15" s="165">
        <f ca="1"/>
        <v>3948.3727639999997</v>
      </c>
      <c r="I15" s="609"/>
      <c r="J15" s="609"/>
      <c r="L15" s="616">
        <v>1498.6883539999999</v>
      </c>
      <c r="M15" s="616">
        <v>1332.1954350000001</v>
      </c>
      <c r="N15" s="616">
        <v>1010.378113</v>
      </c>
      <c r="O15" s="616">
        <v>24.856826999999999</v>
      </c>
      <c r="P15" s="616">
        <v>224.59259</v>
      </c>
      <c r="Q15" s="56">
        <f t="shared" si="0"/>
        <v>4090.7113190000005</v>
      </c>
      <c r="R15" s="500">
        <v>0.3663637536677517</v>
      </c>
      <c r="S15" s="500">
        <v>0.3256635169566704</v>
      </c>
      <c r="T15" s="500">
        <v>0.24699325721351395</v>
      </c>
      <c r="U15" s="500">
        <v>6.0764070259732737E-3</v>
      </c>
      <c r="V15" s="500">
        <v>5.490306513609057E-2</v>
      </c>
      <c r="W15" s="500">
        <v>-142.33855499999981</v>
      </c>
      <c r="X15" s="500">
        <v>1446.5406666985562</v>
      </c>
      <c r="Y15" s="500">
        <v>1285.8409605801696</v>
      </c>
      <c r="Z15" s="500">
        <v>975.22144967348515</v>
      </c>
      <c r="AA15" s="500">
        <v>23.991920004331117</v>
      </c>
      <c r="AB15" s="500">
        <v>216.777767043458</v>
      </c>
    </row>
    <row r="16" spans="1:29" ht="15" customHeight="1">
      <c r="B16" s="22">
        <f>'Oil supply projection'!$B16</f>
        <v>2025</v>
      </c>
      <c r="C16" s="157">
        <f ca="1"/>
        <v>1455.2736882459517</v>
      </c>
      <c r="D16" s="157">
        <f ca="1"/>
        <v>1280.0051185038803</v>
      </c>
      <c r="E16" s="157">
        <f ca="1"/>
        <v>978.85576228353352</v>
      </c>
      <c r="F16" s="157">
        <f ca="1"/>
        <v>28.670984973832251</v>
      </c>
      <c r="G16" s="162">
        <f ca="1"/>
        <v>224.13313599280261</v>
      </c>
      <c r="H16" s="165">
        <f ca="1"/>
        <v>3966.9386900000004</v>
      </c>
      <c r="I16" s="609"/>
      <c r="J16" s="609"/>
      <c r="L16" s="616">
        <v>1511.4411620000001</v>
      </c>
      <c r="M16" s="616">
        <v>1329.4079589999999</v>
      </c>
      <c r="N16" s="616">
        <v>1016.635498</v>
      </c>
      <c r="O16" s="616">
        <v>29.777564999999999</v>
      </c>
      <c r="P16" s="616">
        <v>232.783737</v>
      </c>
      <c r="Q16" s="56">
        <f t="shared" si="0"/>
        <v>4120.0459209999999</v>
      </c>
      <c r="R16" s="500">
        <v>0.36685056210081018</v>
      </c>
      <c r="S16" s="500">
        <v>0.32266823828927899</v>
      </c>
      <c r="T16" s="500">
        <v>0.246753438552269</v>
      </c>
      <c r="U16" s="500">
        <v>7.2274837637665255E-3</v>
      </c>
      <c r="V16" s="500">
        <v>5.6500277293875335E-2</v>
      </c>
      <c r="W16" s="500">
        <v>-153.1072309999995</v>
      </c>
      <c r="X16" s="500">
        <v>1455.2736882459517</v>
      </c>
      <c r="Y16" s="500">
        <v>1280.0051185038803</v>
      </c>
      <c r="Z16" s="500">
        <v>978.85576228353352</v>
      </c>
      <c r="AA16" s="500">
        <v>28.670984973832251</v>
      </c>
      <c r="AB16" s="500">
        <v>224.13313599280261</v>
      </c>
    </row>
    <row r="17" spans="1:28" ht="15" customHeight="1">
      <c r="B17" s="22">
        <f>'Oil supply projection'!$B17</f>
        <v>2026</v>
      </c>
      <c r="C17" s="157">
        <f ca="1"/>
        <v>1465.4181082187361</v>
      </c>
      <c r="D17" s="157">
        <f ca="1"/>
        <v>1279.9634490742715</v>
      </c>
      <c r="E17" s="157">
        <f ca="1"/>
        <v>989.09719197097468</v>
      </c>
      <c r="F17" s="157">
        <f ca="1"/>
        <v>34.334679670200273</v>
      </c>
      <c r="G17" s="162">
        <f ca="1"/>
        <v>231.16149006581767</v>
      </c>
      <c r="H17" s="165">
        <f ca="1"/>
        <v>3999.9749190000002</v>
      </c>
      <c r="I17" s="609"/>
      <c r="J17" s="609"/>
      <c r="L17" s="616">
        <v>1523.450928</v>
      </c>
      <c r="M17" s="616">
        <v>1330.6519780000001</v>
      </c>
      <c r="N17" s="616">
        <v>1028.2669679999999</v>
      </c>
      <c r="O17" s="616">
        <v>35.694386000000002</v>
      </c>
      <c r="P17" s="616">
        <v>240.315842</v>
      </c>
      <c r="Q17" s="56">
        <f t="shared" si="0"/>
        <v>4158.3801020000001</v>
      </c>
      <c r="R17" s="500">
        <v>0.36635682420356097</v>
      </c>
      <c r="S17" s="500">
        <v>0.3199928687038528</v>
      </c>
      <c r="T17" s="500">
        <v>0.24727584847413256</v>
      </c>
      <c r="U17" s="500">
        <v>8.5837237396438459E-3</v>
      </c>
      <c r="V17" s="500">
        <v>5.7790734878809785E-2</v>
      </c>
      <c r="W17" s="500">
        <v>-158.40518299999985</v>
      </c>
      <c r="X17" s="500">
        <v>1465.4181082187361</v>
      </c>
      <c r="Y17" s="500">
        <v>1279.9634490742715</v>
      </c>
      <c r="Z17" s="500">
        <v>989.09719197097468</v>
      </c>
      <c r="AA17" s="500">
        <v>34.334679670200273</v>
      </c>
      <c r="AB17" s="500">
        <v>231.16149006581767</v>
      </c>
    </row>
    <row r="18" spans="1:28" ht="15" customHeight="1">
      <c r="B18" s="22">
        <f>'Oil supply projection'!$B18</f>
        <v>2027</v>
      </c>
      <c r="C18" s="157">
        <f ca="1"/>
        <v>1475.7823915920985</v>
      </c>
      <c r="D18" s="157">
        <f ca="1"/>
        <v>1277.904299992163</v>
      </c>
      <c r="E18" s="157">
        <f ca="1"/>
        <v>995.41650706088501</v>
      </c>
      <c r="F18" s="157">
        <f ca="1"/>
        <v>41.012454011831295</v>
      </c>
      <c r="G18" s="162">
        <f ca="1"/>
        <v>237.67968534302196</v>
      </c>
      <c r="H18" s="165">
        <f ca="1"/>
        <v>4027.7953379999999</v>
      </c>
      <c r="I18" s="609"/>
      <c r="J18" s="609"/>
      <c r="L18" s="616">
        <v>1536.5179439999999</v>
      </c>
      <c r="M18" s="616">
        <v>1330.496216</v>
      </c>
      <c r="N18" s="616">
        <v>1036.3826899999999</v>
      </c>
      <c r="O18" s="616">
        <v>42.700313999999999</v>
      </c>
      <c r="P18" s="616">
        <v>247.46134900000001</v>
      </c>
      <c r="Q18" s="56">
        <f t="shared" si="0"/>
        <v>4193.5585129999999</v>
      </c>
      <c r="R18" s="500">
        <v>0.36639954807755892</v>
      </c>
      <c r="S18" s="500">
        <v>0.3172714084888697</v>
      </c>
      <c r="T18" s="500">
        <v>0.24713681394625145</v>
      </c>
      <c r="U18" s="500">
        <v>1.0182357982517555E-2</v>
      </c>
      <c r="V18" s="500">
        <v>5.9009871504802351E-2</v>
      </c>
      <c r="W18" s="500">
        <v>-165.76317500000005</v>
      </c>
      <c r="X18" s="500">
        <v>1475.7823915920985</v>
      </c>
      <c r="Y18" s="500">
        <v>1277.904299992163</v>
      </c>
      <c r="Z18" s="500">
        <v>995.41650706088501</v>
      </c>
      <c r="AA18" s="500">
        <v>41.012454011831295</v>
      </c>
      <c r="AB18" s="500">
        <v>237.67968534302196</v>
      </c>
    </row>
    <row r="19" spans="1:28" ht="15" customHeight="1">
      <c r="B19" s="22">
        <f>'Oil supply projection'!$B19</f>
        <v>2028</v>
      </c>
      <c r="C19" s="157">
        <f ca="1"/>
        <v>1484.5421059941473</v>
      </c>
      <c r="D19" s="157">
        <f ca="1"/>
        <v>1283.6421643464791</v>
      </c>
      <c r="E19" s="157">
        <f ca="1"/>
        <v>998.91466746150172</v>
      </c>
      <c r="F19" s="157">
        <f ca="1"/>
        <v>48.652401039829698</v>
      </c>
      <c r="G19" s="162">
        <f ca="1"/>
        <v>244.5261161580421</v>
      </c>
      <c r="H19" s="165">
        <f ca="1"/>
        <v>4060.2774549999999</v>
      </c>
      <c r="I19" s="609"/>
      <c r="J19" s="609"/>
      <c r="L19" s="616">
        <v>1546.429443</v>
      </c>
      <c r="M19" s="616">
        <v>1337.154419</v>
      </c>
      <c r="N19" s="616">
        <v>1040.557251</v>
      </c>
      <c r="O19" s="616">
        <v>50.680613999999998</v>
      </c>
      <c r="P19" s="616">
        <v>254.71987899999999</v>
      </c>
      <c r="Q19" s="56">
        <f t="shared" si="0"/>
        <v>4229.5416059999998</v>
      </c>
      <c r="R19" s="500">
        <v>0.36562577864377677</v>
      </c>
      <c r="S19" s="500">
        <v>0.31614641574943286</v>
      </c>
      <c r="T19" s="500">
        <v>0.24602128266663043</v>
      </c>
      <c r="U19" s="500">
        <v>1.198253113956955E-2</v>
      </c>
      <c r="V19" s="500">
        <v>6.0223991800590411E-2</v>
      </c>
      <c r="W19" s="500">
        <v>-169.26415099999986</v>
      </c>
      <c r="X19" s="500">
        <v>1484.5421059941473</v>
      </c>
      <c r="Y19" s="500">
        <v>1283.6421643464791</v>
      </c>
      <c r="Z19" s="500">
        <v>998.91466746150172</v>
      </c>
      <c r="AA19" s="500">
        <v>48.652401039829698</v>
      </c>
      <c r="AB19" s="500">
        <v>244.5261161580421</v>
      </c>
    </row>
    <row r="20" spans="1:28" ht="15" customHeight="1">
      <c r="B20" s="22">
        <f>'Oil supply projection'!$B20</f>
        <v>2029</v>
      </c>
      <c r="C20" s="157">
        <f ca="1"/>
        <v>1490.2482491098442</v>
      </c>
      <c r="D20" s="157">
        <f ca="1"/>
        <v>1288.6909465740951</v>
      </c>
      <c r="E20" s="157">
        <f ca="1"/>
        <v>1001.8303246426001</v>
      </c>
      <c r="F20" s="157">
        <f ca="1"/>
        <v>57.288704172606771</v>
      </c>
      <c r="G20" s="162">
        <f ca="1"/>
        <v>251.82447150085301</v>
      </c>
      <c r="H20" s="165">
        <f ca="1"/>
        <v>4089.8826959999992</v>
      </c>
      <c r="I20" s="609"/>
      <c r="J20" s="609"/>
      <c r="L20" s="616">
        <v>1554.7204589999999</v>
      </c>
      <c r="M20" s="616">
        <v>1344.443237</v>
      </c>
      <c r="N20" s="616">
        <v>1045.172241</v>
      </c>
      <c r="O20" s="616">
        <v>59.76717</v>
      </c>
      <c r="P20" s="616">
        <v>262.719086</v>
      </c>
      <c r="Q20" s="56">
        <f t="shared" si="0"/>
        <v>4266.822193</v>
      </c>
      <c r="R20" s="500">
        <v>0.36437432559308897</v>
      </c>
      <c r="S20" s="500">
        <v>0.31509239808624945</v>
      </c>
      <c r="T20" s="500">
        <v>0.24495331507243803</v>
      </c>
      <c r="U20" s="500">
        <v>1.40074198775032E-2</v>
      </c>
      <c r="V20" s="500">
        <v>6.1572541370720296E-2</v>
      </c>
      <c r="W20" s="500">
        <v>-176.93949700000076</v>
      </c>
      <c r="X20" s="500">
        <v>1490.2482491098442</v>
      </c>
      <c r="Y20" s="500">
        <v>1288.6909465740951</v>
      </c>
      <c r="Z20" s="500">
        <v>1001.8303246426001</v>
      </c>
      <c r="AA20" s="500">
        <v>57.288704172606771</v>
      </c>
      <c r="AB20" s="500">
        <v>251.82447150085301</v>
      </c>
    </row>
    <row r="21" spans="1:28" ht="15" customHeight="1">
      <c r="A21" s="17"/>
      <c r="B21" s="22">
        <f>'Oil supply projection'!$B21</f>
        <v>2030</v>
      </c>
      <c r="C21" s="157">
        <f ca="1"/>
        <v>1494.1884604458453</v>
      </c>
      <c r="D21" s="157">
        <f ca="1"/>
        <v>1292.778580819134</v>
      </c>
      <c r="E21" s="157">
        <f ca="1"/>
        <v>1003.6944594811748</v>
      </c>
      <c r="F21" s="157">
        <f ca="1"/>
        <v>66.859308070569185</v>
      </c>
      <c r="G21" s="162">
        <f ca="1"/>
        <v>259.07859818327648</v>
      </c>
      <c r="H21" s="165">
        <f ca="1"/>
        <v>4116.5994069999997</v>
      </c>
      <c r="I21" s="609"/>
      <c r="J21" s="609"/>
      <c r="L21" s="616">
        <v>1560.641357</v>
      </c>
      <c r="M21" s="616">
        <v>1350.2739260000001</v>
      </c>
      <c r="N21" s="616">
        <v>1048.3330080000001</v>
      </c>
      <c r="O21" s="616">
        <v>69.832825</v>
      </c>
      <c r="P21" s="616">
        <v>270.60092200000003</v>
      </c>
      <c r="Q21" s="56">
        <f t="shared" si="0"/>
        <v>4299.6820379999999</v>
      </c>
      <c r="R21" s="500">
        <v>0.36296668991038544</v>
      </c>
      <c r="S21" s="500">
        <v>0.31404041370186547</v>
      </c>
      <c r="T21" s="500">
        <v>0.24381640287234654</v>
      </c>
      <c r="U21" s="500">
        <v>1.624139282459193E-2</v>
      </c>
      <c r="V21" s="500">
        <v>6.2935100690810666E-2</v>
      </c>
      <c r="W21" s="500">
        <v>-183.08263100000022</v>
      </c>
      <c r="X21" s="500">
        <v>1494.1884604458453</v>
      </c>
      <c r="Y21" s="500">
        <v>1292.778580819134</v>
      </c>
      <c r="Z21" s="500">
        <v>1003.6944594811748</v>
      </c>
      <c r="AA21" s="500">
        <v>66.859308070569185</v>
      </c>
      <c r="AB21" s="500">
        <v>259.07859818327648</v>
      </c>
    </row>
    <row r="22" spans="1:28" ht="15" customHeight="1">
      <c r="A22" s="17"/>
      <c r="B22" s="22">
        <f>'Oil supply projection'!$B22</f>
        <v>2031</v>
      </c>
      <c r="C22" s="157">
        <f ca="1"/>
        <v>1497.5805364607806</v>
      </c>
      <c r="D22" s="157">
        <f ca="1"/>
        <v>1298.2362997727159</v>
      </c>
      <c r="E22" s="157">
        <f ca="1"/>
        <v>1006.7873317238957</v>
      </c>
      <c r="F22" s="157">
        <f ca="1"/>
        <v>75.690928146273109</v>
      </c>
      <c r="G22" s="162">
        <f ca="1"/>
        <v>266.18807489633508</v>
      </c>
      <c r="H22" s="165">
        <f ca="1"/>
        <v>4144.4831709999999</v>
      </c>
      <c r="I22" s="609"/>
      <c r="J22" s="609"/>
      <c r="L22" s="616">
        <v>1566.0306399999999</v>
      </c>
      <c r="M22" s="616">
        <v>1357.5749510000001</v>
      </c>
      <c r="N22" s="616">
        <v>1052.8046879999999</v>
      </c>
      <c r="O22" s="616">
        <v>79.150542999999999</v>
      </c>
      <c r="P22" s="616">
        <v>278.35476699999998</v>
      </c>
      <c r="Q22" s="56">
        <f t="shared" si="0"/>
        <v>4333.9155890000002</v>
      </c>
      <c r="R22" s="500">
        <v>0.36134313367218651</v>
      </c>
      <c r="S22" s="500">
        <v>0.31324443753489079</v>
      </c>
      <c r="T22" s="500">
        <v>0.24292228733576285</v>
      </c>
      <c r="U22" s="500">
        <v>1.8263055976653907E-2</v>
      </c>
      <c r="V22" s="500">
        <v>6.4227085480505874E-2</v>
      </c>
      <c r="W22" s="500">
        <v>-189.43241799999942</v>
      </c>
      <c r="X22" s="500">
        <v>1497.5805364607806</v>
      </c>
      <c r="Y22" s="500">
        <v>1298.2362997727159</v>
      </c>
      <c r="Z22" s="500">
        <v>1006.7873317238957</v>
      </c>
      <c r="AA22" s="500">
        <v>75.690928146273109</v>
      </c>
      <c r="AB22" s="500">
        <v>266.18807489633508</v>
      </c>
    </row>
    <row r="23" spans="1:28" ht="15" customHeight="1">
      <c r="A23" s="17"/>
      <c r="B23" s="22">
        <f>'Oil supply projection'!$B23</f>
        <v>2032</v>
      </c>
      <c r="C23" s="157">
        <f ca="1"/>
        <v>1502.4055413398416</v>
      </c>
      <c r="D23" s="157">
        <f ca="1"/>
        <v>1305.0475548342019</v>
      </c>
      <c r="E23" s="157">
        <f ca="1"/>
        <v>1014.8001420744796</v>
      </c>
      <c r="F23" s="157">
        <f ca="1"/>
        <v>84.896982121382507</v>
      </c>
      <c r="G23" s="162">
        <f ca="1"/>
        <v>273.44500463009467</v>
      </c>
      <c r="H23" s="165">
        <f ca="1"/>
        <v>4180.595225</v>
      </c>
      <c r="I23" s="609"/>
      <c r="J23" s="609"/>
      <c r="L23" s="616">
        <v>1571.917236</v>
      </c>
      <c r="M23" s="616">
        <v>1365.428101</v>
      </c>
      <c r="N23" s="616">
        <v>1061.751831</v>
      </c>
      <c r="O23" s="616">
        <v>88.824905000000001</v>
      </c>
      <c r="P23" s="616">
        <v>286.09646600000002</v>
      </c>
      <c r="Q23" s="56">
        <f t="shared" si="0"/>
        <v>4374.0185389999997</v>
      </c>
      <c r="R23" s="500">
        <v>0.35937598846103108</v>
      </c>
      <c r="S23" s="500">
        <v>0.31216788150883512</v>
      </c>
      <c r="T23" s="500">
        <v>0.24274058775314214</v>
      </c>
      <c r="U23" s="500">
        <v>2.0307391065678335E-2</v>
      </c>
      <c r="V23" s="500">
        <v>6.5408151211313381E-2</v>
      </c>
      <c r="W23" s="500">
        <v>-193.42331399999966</v>
      </c>
      <c r="X23" s="500">
        <v>1502.4055413398416</v>
      </c>
      <c r="Y23" s="500">
        <v>1305.0475548342019</v>
      </c>
      <c r="Z23" s="500">
        <v>1014.8001420744796</v>
      </c>
      <c r="AA23" s="500">
        <v>84.896982121382507</v>
      </c>
      <c r="AB23" s="500">
        <v>273.44500463009467</v>
      </c>
    </row>
    <row r="24" spans="1:28" ht="15" customHeight="1">
      <c r="A24" s="17"/>
      <c r="B24" s="22">
        <f>'Oil supply projection'!$B24</f>
        <v>2033</v>
      </c>
      <c r="C24" s="157">
        <f ca="1"/>
        <v>1505.0416602287548</v>
      </c>
      <c r="D24" s="157">
        <f ca="1"/>
        <v>1307.0642274565314</v>
      </c>
      <c r="E24" s="157">
        <f ca="1"/>
        <v>1016.7321449671072</v>
      </c>
      <c r="F24" s="157">
        <f ca="1"/>
        <v>94.017358489044796</v>
      </c>
      <c r="G24" s="162">
        <f ca="1"/>
        <v>281.46983285856197</v>
      </c>
      <c r="H24" s="165">
        <f ca="1"/>
        <v>4204.3252240000002</v>
      </c>
      <c r="I24" s="609"/>
      <c r="J24" s="609"/>
      <c r="L24" s="616">
        <v>1577.6604</v>
      </c>
      <c r="M24" s="616">
        <v>1370.1304929999999</v>
      </c>
      <c r="N24" s="616">
        <v>1065.7897949999999</v>
      </c>
      <c r="O24" s="616">
        <v>98.553725999999997</v>
      </c>
      <c r="P24" s="616">
        <v>295.05084199999999</v>
      </c>
      <c r="Q24" s="56">
        <f t="shared" si="0"/>
        <v>4407.1852559999998</v>
      </c>
      <c r="R24" s="500">
        <v>0.35797460473261306</v>
      </c>
      <c r="S24" s="500">
        <v>0.31088561369973872</v>
      </c>
      <c r="T24" s="500">
        <v>0.2418300418728756</v>
      </c>
      <c r="U24" s="500">
        <v>2.2362056567925677E-2</v>
      </c>
      <c r="V24" s="500">
        <v>6.6947683126846985E-2</v>
      </c>
      <c r="W24" s="500">
        <v>-202.86003199999959</v>
      </c>
      <c r="X24" s="500">
        <v>1505.0416602287548</v>
      </c>
      <c r="Y24" s="500">
        <v>1307.0642274565314</v>
      </c>
      <c r="Z24" s="500">
        <v>1016.7321449671072</v>
      </c>
      <c r="AA24" s="500">
        <v>94.017358489044796</v>
      </c>
      <c r="AB24" s="500">
        <v>281.46983285856197</v>
      </c>
    </row>
    <row r="25" spans="1:28" ht="15" customHeight="1">
      <c r="A25" s="17"/>
      <c r="B25" s="22">
        <f>'Oil supply projection'!$B25</f>
        <v>2034</v>
      </c>
      <c r="C25" s="157">
        <f ca="1"/>
        <v>1508.2288055235781</v>
      </c>
      <c r="D25" s="157">
        <f ca="1"/>
        <v>1309.0452978226483</v>
      </c>
      <c r="E25" s="157">
        <f ca="1"/>
        <v>1020.4126119791169</v>
      </c>
      <c r="F25" s="157">
        <f ca="1"/>
        <v>103.46409533167119</v>
      </c>
      <c r="G25" s="162">
        <f ca="1"/>
        <v>289.55456634298497</v>
      </c>
      <c r="H25" s="165">
        <f ca="1"/>
        <v>4230.7053769999993</v>
      </c>
      <c r="I25" s="609"/>
      <c r="J25" s="609"/>
      <c r="L25" s="616">
        <v>1583.4610600000001</v>
      </c>
      <c r="M25" s="616">
        <v>1374.3420410000001</v>
      </c>
      <c r="N25" s="616">
        <v>1071.3120120000001</v>
      </c>
      <c r="O25" s="616">
        <v>108.62500799999999</v>
      </c>
      <c r="P25" s="616">
        <v>303.99789399999997</v>
      </c>
      <c r="Q25" s="56">
        <f t="shared" si="0"/>
        <v>4441.7380150000008</v>
      </c>
      <c r="R25" s="500">
        <v>0.35649582542972197</v>
      </c>
      <c r="S25" s="500">
        <v>0.30941537667434893</v>
      </c>
      <c r="T25" s="500">
        <v>0.24119207580053545</v>
      </c>
      <c r="U25" s="500">
        <v>2.4455518905700243E-2</v>
      </c>
      <c r="V25" s="500">
        <v>6.8441203189693281E-2</v>
      </c>
      <c r="W25" s="500">
        <v>-211.03263800000059</v>
      </c>
      <c r="X25" s="500">
        <v>1508.2288055235781</v>
      </c>
      <c r="Y25" s="500">
        <v>1309.0452978226483</v>
      </c>
      <c r="Z25" s="500">
        <v>1020.4126119791169</v>
      </c>
      <c r="AA25" s="500">
        <v>103.46409533167119</v>
      </c>
      <c r="AB25" s="500">
        <v>289.55456634298497</v>
      </c>
    </row>
    <row r="26" spans="1:28" ht="15" customHeight="1">
      <c r="A26" s="17"/>
      <c r="B26" s="22">
        <f>'Oil supply projection'!$B26</f>
        <v>2035</v>
      </c>
      <c r="C26" s="157">
        <f ca="1"/>
        <v>1515.6892349626498</v>
      </c>
      <c r="D26" s="157">
        <f ca="1"/>
        <v>1312.7276792274133</v>
      </c>
      <c r="E26" s="157">
        <f ca="1"/>
        <v>1025.5363207190831</v>
      </c>
      <c r="F26" s="157">
        <f ca="1"/>
        <v>112.78382786618107</v>
      </c>
      <c r="G26" s="162">
        <f ca="1"/>
        <v>296.5349962246724</v>
      </c>
      <c r="H26" s="165">
        <f ca="1"/>
        <v>4263.2720589999999</v>
      </c>
      <c r="I26" s="609"/>
      <c r="J26" s="609"/>
      <c r="L26" s="616">
        <v>1592.894775</v>
      </c>
      <c r="M26" s="616">
        <v>1379.5948490000001</v>
      </c>
      <c r="N26" s="616">
        <v>1077.774658</v>
      </c>
      <c r="O26" s="616">
        <v>118.528763</v>
      </c>
      <c r="P26" s="616">
        <v>311.639771</v>
      </c>
      <c r="Q26" s="56">
        <f t="shared" si="0"/>
        <v>4480.4328160000005</v>
      </c>
      <c r="R26" s="500">
        <v>0.35552252213483471</v>
      </c>
      <c r="S26" s="500">
        <v>0.30791553085526724</v>
      </c>
      <c r="T26" s="500">
        <v>0.2405514605979977</v>
      </c>
      <c r="U26" s="500">
        <v>2.6454757356638374E-2</v>
      </c>
      <c r="V26" s="500">
        <v>6.9555729055261875E-2</v>
      </c>
      <c r="W26" s="500">
        <v>-217.16075700000056</v>
      </c>
      <c r="X26" s="500">
        <v>1515.6892349626498</v>
      </c>
      <c r="Y26" s="500">
        <v>1312.7276792274133</v>
      </c>
      <c r="Z26" s="500">
        <v>1025.5363207190831</v>
      </c>
      <c r="AA26" s="500">
        <v>112.78382786618107</v>
      </c>
      <c r="AB26" s="500">
        <v>296.5349962246724</v>
      </c>
    </row>
    <row r="27" spans="1:28" ht="15" customHeight="1">
      <c r="A27" s="17"/>
      <c r="B27" s="22">
        <f>'Oil supply projection'!$B27</f>
        <v>2036</v>
      </c>
      <c r="C27" s="157">
        <f ca="1"/>
        <v>1523.051149597324</v>
      </c>
      <c r="D27" s="157">
        <f ca="1"/>
        <v>1314.5690718555288</v>
      </c>
      <c r="E27" s="157">
        <f ca="1"/>
        <v>1027.3363521905749</v>
      </c>
      <c r="F27" s="157">
        <f ca="1"/>
        <v>121.68612126949277</v>
      </c>
      <c r="G27" s="162">
        <f ca="1"/>
        <v>304.17837508707908</v>
      </c>
      <c r="H27" s="165">
        <f ca="1"/>
        <v>4290.82107</v>
      </c>
      <c r="I27" s="609"/>
      <c r="J27" s="609"/>
      <c r="L27" s="616">
        <v>1603.534668</v>
      </c>
      <c r="M27" s="616">
        <v>1384.0356449999999</v>
      </c>
      <c r="N27" s="616">
        <v>1081.6245120000001</v>
      </c>
      <c r="O27" s="616">
        <v>128.116455</v>
      </c>
      <c r="P27" s="616">
        <v>320.25225799999998</v>
      </c>
      <c r="Q27" s="56">
        <f t="shared" si="0"/>
        <v>4517.5635380000003</v>
      </c>
      <c r="R27" s="500">
        <v>0.35495564246339545</v>
      </c>
      <c r="S27" s="500">
        <v>0.30636772086502523</v>
      </c>
      <c r="T27" s="500">
        <v>0.2394265189414144</v>
      </c>
      <c r="U27" s="500">
        <v>2.8359635436742359E-2</v>
      </c>
      <c r="V27" s="500">
        <v>7.0890482293422472E-2</v>
      </c>
      <c r="W27" s="500">
        <v>-226.74246800000037</v>
      </c>
      <c r="X27" s="500">
        <v>1523.051149597324</v>
      </c>
      <c r="Y27" s="500">
        <v>1314.5690718555288</v>
      </c>
      <c r="Z27" s="500">
        <v>1027.3363521905749</v>
      </c>
      <c r="AA27" s="500">
        <v>121.68612126949277</v>
      </c>
      <c r="AB27" s="500">
        <v>304.17837508707908</v>
      </c>
    </row>
    <row r="28" spans="1:28" ht="15" customHeight="1">
      <c r="A28" s="19"/>
      <c r="B28" s="22">
        <f>'Oil supply projection'!$B28</f>
        <v>2037</v>
      </c>
      <c r="C28" s="157">
        <f ca="1"/>
        <v>1530.8073653882921</v>
      </c>
      <c r="D28" s="157">
        <f ca="1"/>
        <v>1315.8609894784186</v>
      </c>
      <c r="E28" s="157">
        <f ca="1"/>
        <v>1030.4422564917468</v>
      </c>
      <c r="F28" s="157">
        <f ca="1"/>
        <v>130.2780530365205</v>
      </c>
      <c r="G28" s="162">
        <f ca="1"/>
        <v>311.19995860502138</v>
      </c>
      <c r="H28" s="165">
        <f ca="1"/>
        <v>4318.5886229999987</v>
      </c>
      <c r="I28" s="609"/>
      <c r="J28" s="609"/>
      <c r="L28" s="616">
        <v>1615.095703</v>
      </c>
      <c r="M28" s="616">
        <v>1388.314087</v>
      </c>
      <c r="N28" s="616">
        <v>1087.1798100000001</v>
      </c>
      <c r="O28" s="616">
        <v>137.45133999999999</v>
      </c>
      <c r="P28" s="616">
        <v>328.33505200000002</v>
      </c>
      <c r="Q28" s="56">
        <f t="shared" si="0"/>
        <v>4556.3759920000002</v>
      </c>
      <c r="R28" s="500">
        <v>0.35446936465202933</v>
      </c>
      <c r="S28" s="500">
        <v>0.30469699810497991</v>
      </c>
      <c r="T28" s="500">
        <v>0.23860625459989476</v>
      </c>
      <c r="U28" s="500">
        <v>3.0166812449484961E-2</v>
      </c>
      <c r="V28" s="500">
        <v>7.2060570193611007E-2</v>
      </c>
      <c r="W28" s="500">
        <v>-237.78736900000058</v>
      </c>
      <c r="X28" s="500">
        <v>1530.8073653882921</v>
      </c>
      <c r="Y28" s="500">
        <v>1315.8609894784186</v>
      </c>
      <c r="Z28" s="500">
        <v>1030.4422564917468</v>
      </c>
      <c r="AA28" s="500">
        <v>130.2780530365205</v>
      </c>
      <c r="AB28" s="500">
        <v>311.19995860502138</v>
      </c>
    </row>
    <row r="29" spans="1:28" ht="15" customHeight="1">
      <c r="A29" s="17"/>
      <c r="B29" s="22">
        <f>'Oil supply projection'!$B29</f>
        <v>2038</v>
      </c>
      <c r="C29" s="157">
        <f ca="1"/>
        <v>1538.4989039375853</v>
      </c>
      <c r="D29" s="157">
        <f ca="1"/>
        <v>1316.4549089399106</v>
      </c>
      <c r="E29" s="157">
        <f ca="1"/>
        <v>1033.7637808233758</v>
      </c>
      <c r="F29" s="157">
        <f ca="1"/>
        <v>138.61236348058205</v>
      </c>
      <c r="G29" s="162">
        <f ca="1"/>
        <v>319.58398281854608</v>
      </c>
      <c r="H29" s="165">
        <f ca="1"/>
        <v>4346.9139399999995</v>
      </c>
      <c r="I29" s="609"/>
      <c r="J29" s="609"/>
      <c r="L29" s="616">
        <v>1625.626221</v>
      </c>
      <c r="M29" s="616">
        <v>1391.007568</v>
      </c>
      <c r="N29" s="616">
        <v>1092.307251</v>
      </c>
      <c r="O29" s="616">
        <v>146.46217300000001</v>
      </c>
      <c r="P29" s="616">
        <v>337.68246499999998</v>
      </c>
      <c r="Q29" s="56">
        <f t="shared" si="0"/>
        <v>4593.0856779999995</v>
      </c>
      <c r="R29" s="500">
        <v>0.3539290000154881</v>
      </c>
      <c r="S29" s="500">
        <v>0.30284816472347986</v>
      </c>
      <c r="T29" s="500">
        <v>0.23781556181978977</v>
      </c>
      <c r="U29" s="500">
        <v>3.1887533407340025E-2</v>
      </c>
      <c r="V29" s="500">
        <v>7.3519740033902325E-2</v>
      </c>
      <c r="W29" s="500">
        <v>-246.171738</v>
      </c>
      <c r="X29" s="500">
        <v>1538.4989039375853</v>
      </c>
      <c r="Y29" s="500">
        <v>1316.4549089399106</v>
      </c>
      <c r="Z29" s="500">
        <v>1033.7637808233758</v>
      </c>
      <c r="AA29" s="500">
        <v>138.61236348058205</v>
      </c>
      <c r="AB29" s="500">
        <v>319.58398281854608</v>
      </c>
    </row>
    <row r="30" spans="1:28" ht="15" customHeight="1">
      <c r="A30" s="17"/>
      <c r="B30" s="22">
        <f>'Oil supply projection'!$B30</f>
        <v>2039</v>
      </c>
      <c r="C30" s="157">
        <f ca="1"/>
        <v>1545.2386810743531</v>
      </c>
      <c r="D30" s="157">
        <f ca="1"/>
        <v>1315.7257052541033</v>
      </c>
      <c r="E30" s="157">
        <f ca="1"/>
        <v>1034.5941967338588</v>
      </c>
      <c r="F30" s="157">
        <f ca="1"/>
        <v>146.40891990875303</v>
      </c>
      <c r="G30" s="162">
        <f ca="1"/>
        <v>327.89741202893151</v>
      </c>
      <c r="H30" s="165">
        <f ca="1"/>
        <v>4369.8649149999992</v>
      </c>
      <c r="I30" s="609"/>
      <c r="J30" s="609"/>
      <c r="L30" s="616">
        <v>1636.149414</v>
      </c>
      <c r="M30" s="616">
        <v>1393.1335449999999</v>
      </c>
      <c r="N30" s="616">
        <v>1095.46228</v>
      </c>
      <c r="O30" s="616">
        <v>155.02256800000001</v>
      </c>
      <c r="P30" s="616">
        <v>347.18853799999999</v>
      </c>
      <c r="Q30" s="56">
        <f t="shared" si="0"/>
        <v>4626.9563450000005</v>
      </c>
      <c r="R30" s="500">
        <v>0.35361245968271604</v>
      </c>
      <c r="S30" s="500">
        <v>0.30109070436885649</v>
      </c>
      <c r="T30" s="500">
        <v>0.23675656269888576</v>
      </c>
      <c r="U30" s="500">
        <v>3.3504221012917293E-2</v>
      </c>
      <c r="V30" s="500">
        <v>7.503605223662424E-2</v>
      </c>
      <c r="W30" s="500">
        <v>-257.0914300000004</v>
      </c>
      <c r="X30" s="500">
        <v>1545.2386810743531</v>
      </c>
      <c r="Y30" s="500">
        <v>1315.7257052541033</v>
      </c>
      <c r="Z30" s="500">
        <v>1034.5941967338588</v>
      </c>
      <c r="AA30" s="500">
        <v>146.40891990875303</v>
      </c>
      <c r="AB30" s="500">
        <v>327.89741202893151</v>
      </c>
    </row>
    <row r="31" spans="1:28" ht="15" customHeight="1">
      <c r="A31" s="17"/>
      <c r="B31" s="22">
        <f>'Oil supply projection'!$B31</f>
        <v>2040</v>
      </c>
      <c r="C31" s="157">
        <f ca="1"/>
        <v>1551.724026072437</v>
      </c>
      <c r="D31" s="157">
        <f ca="1"/>
        <v>1316.5004311091975</v>
      </c>
      <c r="E31" s="157">
        <f ca="1"/>
        <v>1037.6630912848716</v>
      </c>
      <c r="F31" s="157">
        <f ca="1"/>
        <v>153.64991398935231</v>
      </c>
      <c r="G31" s="162">
        <f ca="1"/>
        <v>336.02073554414164</v>
      </c>
      <c r="H31" s="165">
        <f ca="1"/>
        <v>4395.5581979999997</v>
      </c>
      <c r="I31" s="609"/>
      <c r="J31" s="609"/>
      <c r="L31" s="616">
        <v>1646.4873050000001</v>
      </c>
      <c r="M31" s="616">
        <v>1396.898682</v>
      </c>
      <c r="N31" s="616">
        <v>1101.032837</v>
      </c>
      <c r="O31" s="616">
        <v>163.033264</v>
      </c>
      <c r="P31" s="616">
        <v>356.54141199999998</v>
      </c>
      <c r="Q31" s="56">
        <f t="shared" si="0"/>
        <v>4663.9934999999996</v>
      </c>
      <c r="R31" s="500">
        <v>0.35302092616552749</v>
      </c>
      <c r="S31" s="500">
        <v>0.29950699588239138</v>
      </c>
      <c r="T31" s="500">
        <v>0.23607083436115425</v>
      </c>
      <c r="U31" s="500">
        <v>3.4955722815651444E-2</v>
      </c>
      <c r="V31" s="500">
        <v>7.6445520775275527E-2</v>
      </c>
      <c r="W31" s="500">
        <v>-268.43530199999987</v>
      </c>
      <c r="X31" s="500">
        <v>1551.724026072437</v>
      </c>
      <c r="Y31" s="500">
        <v>1316.5004311091975</v>
      </c>
      <c r="Z31" s="500">
        <v>1037.6630912848716</v>
      </c>
      <c r="AA31" s="500">
        <v>153.64991398935231</v>
      </c>
      <c r="AB31" s="500">
        <v>336.02073554414164</v>
      </c>
    </row>
    <row r="32" spans="1:28" ht="15" customHeight="1">
      <c r="A32" s="17"/>
      <c r="B32" s="22">
        <f>'Oil supply projection'!$B32</f>
        <v>2041</v>
      </c>
      <c r="C32" s="157">
        <f ca="1"/>
        <v>1559.7417991925759</v>
      </c>
      <c r="D32" s="157">
        <f ca="1"/>
        <v>1319.461879474241</v>
      </c>
      <c r="E32" s="157">
        <f ca="1"/>
        <v>1043.1028499541237</v>
      </c>
      <c r="F32" s="157">
        <f ca="1"/>
        <v>160.56052561759921</v>
      </c>
      <c r="G32" s="162">
        <f ca="1"/>
        <v>344.08290176145971</v>
      </c>
      <c r="H32" s="165">
        <f ca="1"/>
        <v>4426.9499559999995</v>
      </c>
      <c r="I32" s="609"/>
      <c r="J32" s="609"/>
      <c r="L32" s="616">
        <v>1657.760986</v>
      </c>
      <c r="M32" s="616">
        <v>1402.3811040000001</v>
      </c>
      <c r="N32" s="616">
        <v>1108.6547849999999</v>
      </c>
      <c r="O32" s="616">
        <v>170.650665</v>
      </c>
      <c r="P32" s="616">
        <v>365.70617700000003</v>
      </c>
      <c r="Q32" s="56">
        <f t="shared" si="0"/>
        <v>4705.1537170000001</v>
      </c>
      <c r="R32" s="500">
        <v>0.35232876239737099</v>
      </c>
      <c r="S32" s="500">
        <v>0.2980521335430793</v>
      </c>
      <c r="T32" s="500">
        <v>0.23562562493853587</v>
      </c>
      <c r="U32" s="500">
        <v>3.6268882009832963E-2</v>
      </c>
      <c r="V32" s="500">
        <v>7.7724597111180849E-2</v>
      </c>
      <c r="W32" s="500">
        <v>-278.20376100000067</v>
      </c>
      <c r="X32" s="500">
        <v>1559.7417991925759</v>
      </c>
      <c r="Y32" s="500">
        <v>1319.461879474241</v>
      </c>
      <c r="Z32" s="500">
        <v>1043.1028499541237</v>
      </c>
      <c r="AA32" s="500">
        <v>160.56052561759921</v>
      </c>
      <c r="AB32" s="500">
        <v>344.08290176145971</v>
      </c>
    </row>
    <row r="33" spans="1:28" ht="15" customHeight="1">
      <c r="A33" s="17"/>
      <c r="B33" s="22">
        <f>'Oil supply projection'!$B33</f>
        <v>2042</v>
      </c>
      <c r="C33" s="157">
        <f ca="1"/>
        <v>1569.8162403231179</v>
      </c>
      <c r="D33" s="157">
        <f ca="1"/>
        <v>1324.0828260219344</v>
      </c>
      <c r="E33" s="157">
        <f ca="1"/>
        <v>1048.6342963688658</v>
      </c>
      <c r="F33" s="157">
        <f ca="1"/>
        <v>166.99612339285002</v>
      </c>
      <c r="G33" s="162">
        <f ca="1"/>
        <v>351.94387089323033</v>
      </c>
      <c r="H33" s="165">
        <f ca="1"/>
        <v>4461.473356999998</v>
      </c>
      <c r="I33" s="609"/>
      <c r="J33" s="609"/>
      <c r="L33" s="616">
        <v>1671.1195070000001</v>
      </c>
      <c r="M33" s="616">
        <v>1409.528442</v>
      </c>
      <c r="N33" s="616">
        <v>1116.3046879999999</v>
      </c>
      <c r="O33" s="616">
        <v>177.772705</v>
      </c>
      <c r="P33" s="616">
        <v>374.65548699999999</v>
      </c>
      <c r="Q33" s="56">
        <f t="shared" si="0"/>
        <v>4749.3808290000006</v>
      </c>
      <c r="R33" s="500">
        <v>0.35186049869828195</v>
      </c>
      <c r="S33" s="500">
        <v>0.2967815158964166</v>
      </c>
      <c r="T33" s="500">
        <v>0.23504215142819826</v>
      </c>
      <c r="U33" s="500">
        <v>3.7430711791842285E-2</v>
      </c>
      <c r="V33" s="500">
        <v>7.8885122185260739E-2</v>
      </c>
      <c r="W33" s="500">
        <v>-287.90747200000169</v>
      </c>
      <c r="X33" s="500">
        <v>1569.8162403231179</v>
      </c>
      <c r="Y33" s="500">
        <v>1324.0828260219344</v>
      </c>
      <c r="Z33" s="500">
        <v>1048.6342963688658</v>
      </c>
      <c r="AA33" s="500">
        <v>166.99612339285002</v>
      </c>
      <c r="AB33" s="500">
        <v>351.94387089323033</v>
      </c>
    </row>
    <row r="34" spans="1:28" ht="15" customHeight="1">
      <c r="A34" s="17"/>
      <c r="B34" s="22">
        <f>'Oil supply projection'!$B34</f>
        <v>2043</v>
      </c>
      <c r="C34" s="157">
        <f ca="1"/>
        <v>1582.7851610676096</v>
      </c>
      <c r="D34" s="157">
        <f ca="1"/>
        <v>1331.1343604966373</v>
      </c>
      <c r="E34" s="157">
        <f ca="1"/>
        <v>1054.1757944946426</v>
      </c>
      <c r="F34" s="157">
        <f ca="1"/>
        <v>172.9921478123714</v>
      </c>
      <c r="G34" s="162">
        <f ca="1"/>
        <v>359.92772012873974</v>
      </c>
      <c r="H34" s="165">
        <f ca="1"/>
        <v>4501.0151839999999</v>
      </c>
      <c r="I34" s="609"/>
      <c r="J34" s="609"/>
      <c r="L34" s="616">
        <v>1686.5511469999999</v>
      </c>
      <c r="M34" s="616">
        <v>1418.4023440000001</v>
      </c>
      <c r="N34" s="616">
        <v>1123.286621</v>
      </c>
      <c r="O34" s="616">
        <v>184.333359</v>
      </c>
      <c r="P34" s="616">
        <v>383.52426100000002</v>
      </c>
      <c r="Q34" s="56">
        <f t="shared" si="0"/>
        <v>4796.0977320000002</v>
      </c>
      <c r="R34" s="500">
        <v>0.35165070464414794</v>
      </c>
      <c r="S34" s="500">
        <v>0.29574091756643961</v>
      </c>
      <c r="T34" s="500">
        <v>0.2342084510716555</v>
      </c>
      <c r="U34" s="500">
        <v>3.843402893358721E-2</v>
      </c>
      <c r="V34" s="500">
        <v>7.9965897784169682E-2</v>
      </c>
      <c r="W34" s="500">
        <v>-295.08254799999941</v>
      </c>
      <c r="X34" s="500">
        <v>1582.7851610676096</v>
      </c>
      <c r="Y34" s="500">
        <v>1331.1343604966373</v>
      </c>
      <c r="Z34" s="500">
        <v>1054.1757944946426</v>
      </c>
      <c r="AA34" s="500">
        <v>172.9921478123714</v>
      </c>
      <c r="AB34" s="500">
        <v>359.92772012873974</v>
      </c>
    </row>
    <row r="35" spans="1:28" ht="15" customHeight="1">
      <c r="A35" s="17"/>
      <c r="B35" s="22">
        <f>'Oil supply projection'!$B35</f>
        <v>2044</v>
      </c>
      <c r="C35" s="157">
        <f ca="1"/>
        <v>1595.7045920972887</v>
      </c>
      <c r="D35" s="157">
        <f ca="1"/>
        <v>1337.2262390750313</v>
      </c>
      <c r="E35" s="157">
        <f ca="1"/>
        <v>1057.027617809817</v>
      </c>
      <c r="F35" s="157">
        <f ca="1"/>
        <v>178.5439201724279</v>
      </c>
      <c r="G35" s="162">
        <f ca="1"/>
        <v>368.47228784543455</v>
      </c>
      <c r="H35" s="165">
        <f ca="1"/>
        <v>4536.9746569999998</v>
      </c>
      <c r="I35" s="609"/>
      <c r="J35" s="609"/>
      <c r="L35" s="616">
        <v>1702.72522</v>
      </c>
      <c r="M35" s="616">
        <v>1426.911255</v>
      </c>
      <c r="N35" s="616">
        <v>1127.920288</v>
      </c>
      <c r="O35" s="616">
        <v>190.518494</v>
      </c>
      <c r="P35" s="616">
        <v>393.18496699999997</v>
      </c>
      <c r="Q35" s="56">
        <f t="shared" si="0"/>
        <v>4841.2602240000006</v>
      </c>
      <c r="R35" s="500">
        <v>0.35171115395923819</v>
      </c>
      <c r="S35" s="500">
        <v>0.29473963162034728</v>
      </c>
      <c r="T35" s="500">
        <v>0.23298071903023568</v>
      </c>
      <c r="U35" s="500">
        <v>3.9353078575600234E-2</v>
      </c>
      <c r="V35" s="500">
        <v>8.1215416814578556E-2</v>
      </c>
      <c r="W35" s="500">
        <v>-304.28556700000081</v>
      </c>
      <c r="X35" s="500">
        <v>1595.7045920972887</v>
      </c>
      <c r="Y35" s="500">
        <v>1337.2262390750313</v>
      </c>
      <c r="Z35" s="500">
        <v>1057.027617809817</v>
      </c>
      <c r="AA35" s="500">
        <v>178.5439201724279</v>
      </c>
      <c r="AB35" s="500">
        <v>368.47228784543455</v>
      </c>
    </row>
    <row r="36" spans="1:28" ht="15" customHeight="1">
      <c r="A36" s="17"/>
      <c r="B36" s="22">
        <f>'Oil supply projection'!$B36</f>
        <v>2045</v>
      </c>
      <c r="C36" s="157">
        <f ca="1"/>
        <v>1609.0736143586289</v>
      </c>
      <c r="D36" s="157">
        <f ca="1"/>
        <v>1343.9034030993728</v>
      </c>
      <c r="E36" s="157">
        <f ca="1"/>
        <v>1061.7046476294972</v>
      </c>
      <c r="F36" s="157">
        <f ca="1"/>
        <v>183.67726464271124</v>
      </c>
      <c r="G36" s="162">
        <f ca="1"/>
        <v>377.56057626978986</v>
      </c>
      <c r="H36" s="165">
        <f ca="1"/>
        <v>4575.9195060000002</v>
      </c>
      <c r="I36" s="609"/>
      <c r="J36" s="609"/>
      <c r="L36" s="616">
        <v>1718.8172609999999</v>
      </c>
      <c r="M36" s="616">
        <v>1435.5616460000001</v>
      </c>
      <c r="N36" s="616">
        <v>1134.1160890000001</v>
      </c>
      <c r="O36" s="616">
        <v>196.20460499999999</v>
      </c>
      <c r="P36" s="616">
        <v>403.31133999999997</v>
      </c>
      <c r="Q36" s="56">
        <f t="shared" si="0"/>
        <v>4888.0109410000005</v>
      </c>
      <c r="R36" s="500">
        <v>0.35163940542415406</v>
      </c>
      <c r="S36" s="500">
        <v>0.29369035039563757</v>
      </c>
      <c r="T36" s="500">
        <v>0.23201995713372525</v>
      </c>
      <c r="U36" s="500">
        <v>4.0139968459207254E-2</v>
      </c>
      <c r="V36" s="500">
        <v>8.2510318587275838E-2</v>
      </c>
      <c r="W36" s="500">
        <v>-312.09143500000027</v>
      </c>
      <c r="X36" s="500">
        <v>1609.0736143586289</v>
      </c>
      <c r="Y36" s="500">
        <v>1343.9034030993728</v>
      </c>
      <c r="Z36" s="500">
        <v>1061.7046476294972</v>
      </c>
      <c r="AA36" s="500">
        <v>183.67726464271124</v>
      </c>
      <c r="AB36" s="500">
        <v>377.56057626978986</v>
      </c>
    </row>
    <row r="37" spans="1:28" ht="15" customHeight="1">
      <c r="A37" s="17"/>
      <c r="B37" s="22">
        <f>'Oil supply projection'!$B37</f>
        <v>2046</v>
      </c>
      <c r="C37" s="157">
        <f ca="1"/>
        <v>1621.4462187400729</v>
      </c>
      <c r="D37" s="157">
        <f ca="1"/>
        <v>1348.8498193973269</v>
      </c>
      <c r="E37" s="157">
        <f ca="1"/>
        <v>1067.9082499626531</v>
      </c>
      <c r="F37" s="157">
        <f ca="1"/>
        <v>188.43607306843913</v>
      </c>
      <c r="G37" s="162">
        <f ca="1"/>
        <v>387.884367831509</v>
      </c>
      <c r="H37" s="165">
        <f ca="1"/>
        <v>4614.5247290000007</v>
      </c>
      <c r="I37" s="609"/>
      <c r="J37" s="609"/>
      <c r="L37" s="616">
        <v>1734.9929199999999</v>
      </c>
      <c r="M37" s="616">
        <v>1443.307129</v>
      </c>
      <c r="N37" s="616">
        <v>1142.6917719999999</v>
      </c>
      <c r="O37" s="616">
        <v>201.63188199999999</v>
      </c>
      <c r="P37" s="616">
        <v>415.04714999999999</v>
      </c>
      <c r="Q37" s="56">
        <f t="shared" si="0"/>
        <v>4937.6708529999996</v>
      </c>
      <c r="R37" s="500">
        <v>0.35137881232927132</v>
      </c>
      <c r="S37" s="500">
        <v>0.2923052532193563</v>
      </c>
      <c r="T37" s="500">
        <v>0.23142323699153219</v>
      </c>
      <c r="U37" s="500">
        <v>4.0835423826902868E-2</v>
      </c>
      <c r="V37" s="500">
        <v>8.4057273632937315E-2</v>
      </c>
      <c r="W37" s="500">
        <v>-323.14612399999896</v>
      </c>
      <c r="X37" s="500">
        <v>1621.4462187400729</v>
      </c>
      <c r="Y37" s="500">
        <v>1348.8498193973269</v>
      </c>
      <c r="Z37" s="500">
        <v>1067.9082499626531</v>
      </c>
      <c r="AA37" s="500">
        <v>188.43607306843913</v>
      </c>
      <c r="AB37" s="500">
        <v>387.884367831509</v>
      </c>
    </row>
    <row r="38" spans="1:28" ht="15" customHeight="1">
      <c r="A38" s="17"/>
      <c r="B38" s="22">
        <f>'Oil supply projection'!$B38</f>
        <v>2047</v>
      </c>
      <c r="C38" s="157">
        <f ca="1"/>
        <v>1633.7114873211756</v>
      </c>
      <c r="D38" s="157">
        <f ca="1"/>
        <v>1355.4430785941911</v>
      </c>
      <c r="E38" s="157">
        <f ca="1"/>
        <v>1077.4005652736193</v>
      </c>
      <c r="F38" s="157">
        <f ca="1"/>
        <v>193.27774311926584</v>
      </c>
      <c r="G38" s="162">
        <f ca="1"/>
        <v>395.0418886917484</v>
      </c>
      <c r="H38" s="165">
        <f ca="1"/>
        <v>4654.8747630000007</v>
      </c>
      <c r="I38" s="609"/>
      <c r="J38" s="609"/>
      <c r="K38" s="56"/>
      <c r="L38" s="616">
        <v>1751.5421140000001</v>
      </c>
      <c r="M38" s="616">
        <v>1453.2037350000001</v>
      </c>
      <c r="N38" s="616">
        <v>1155.107544</v>
      </c>
      <c r="O38" s="616">
        <v>207.217804</v>
      </c>
      <c r="P38" s="616">
        <v>423.534088</v>
      </c>
      <c r="Q38" s="56">
        <f t="shared" si="0"/>
        <v>4990.6052849999996</v>
      </c>
      <c r="R38" s="500">
        <v>0.35096787142523939</v>
      </c>
      <c r="S38" s="500">
        <v>0.29118787241455824</v>
      </c>
      <c r="T38" s="500">
        <v>0.23145640218669389</v>
      </c>
      <c r="U38" s="500">
        <v>4.1521577477350025E-2</v>
      </c>
      <c r="V38" s="500">
        <v>8.4866276496158521E-2</v>
      </c>
      <c r="W38" s="500">
        <v>-335.73052199999984</v>
      </c>
      <c r="X38" s="500">
        <v>1633.7114873211756</v>
      </c>
      <c r="Y38" s="500">
        <v>1355.4430785941911</v>
      </c>
      <c r="Z38" s="500">
        <v>1077.4005652736193</v>
      </c>
      <c r="AA38" s="500">
        <v>193.27774311926584</v>
      </c>
      <c r="AB38" s="500">
        <v>395.0418886917484</v>
      </c>
    </row>
    <row r="39" spans="1:28" ht="15" customHeight="1">
      <c r="A39" s="19"/>
      <c r="B39" s="22">
        <f>'Oil supply projection'!$B39</f>
        <v>2048</v>
      </c>
      <c r="C39" s="157">
        <f ca="1"/>
        <v>1649.1676226413226</v>
      </c>
      <c r="D39" s="157">
        <f ca="1"/>
        <v>1365.1439346438378</v>
      </c>
      <c r="E39" s="157">
        <f ca="1"/>
        <v>1081.2651033860175</v>
      </c>
      <c r="F39" s="157">
        <f ca="1"/>
        <v>198.04815870573472</v>
      </c>
      <c r="G39" s="162">
        <f ca="1"/>
        <v>404.68311862308843</v>
      </c>
      <c r="H39" s="165">
        <f ca="1"/>
        <v>4698.3079380000008</v>
      </c>
      <c r="I39" s="609"/>
      <c r="J39" s="609"/>
      <c r="K39" s="56"/>
      <c r="L39" s="616">
        <v>1769.1437989999999</v>
      </c>
      <c r="M39" s="616">
        <v>1464.4575199999999</v>
      </c>
      <c r="N39" s="616">
        <v>1159.9266359999999</v>
      </c>
      <c r="O39" s="616">
        <v>212.45607000000001</v>
      </c>
      <c r="P39" s="616">
        <v>434.123627</v>
      </c>
      <c r="Q39" s="56">
        <f t="shared" si="0"/>
        <v>5040.1076519999997</v>
      </c>
      <c r="R39" s="500">
        <v>0.35101309756706761</v>
      </c>
      <c r="S39" s="500">
        <v>0.29056076201445391</v>
      </c>
      <c r="T39" s="500">
        <v>0.23013925814455996</v>
      </c>
      <c r="U39" s="500">
        <v>4.2153081773103368E-2</v>
      </c>
      <c r="V39" s="500">
        <v>8.6133800500815177E-2</v>
      </c>
      <c r="W39" s="500">
        <v>-341.79971399999886</v>
      </c>
      <c r="X39" s="500">
        <v>1649.1676226413226</v>
      </c>
      <c r="Y39" s="500">
        <v>1365.1439346438378</v>
      </c>
      <c r="Z39" s="500">
        <v>1081.2651033860175</v>
      </c>
      <c r="AA39" s="500">
        <v>198.04815870573472</v>
      </c>
      <c r="AB39" s="500">
        <v>404.68311862308843</v>
      </c>
    </row>
    <row r="40" spans="1:28" ht="15" customHeight="1">
      <c r="A40" s="17"/>
      <c r="B40" s="22">
        <f>'Oil supply projection'!$B40</f>
        <v>2049</v>
      </c>
      <c r="C40" s="157">
        <f ca="1"/>
        <v>1663.2779379886754</v>
      </c>
      <c r="D40" s="157">
        <f ca="1"/>
        <v>1373.5616238274722</v>
      </c>
      <c r="E40" s="157">
        <f ca="1"/>
        <v>1081.6751344732311</v>
      </c>
      <c r="F40" s="157">
        <f ca="1"/>
        <v>202.30680441431943</v>
      </c>
      <c r="G40" s="162">
        <f ca="1"/>
        <v>413.76400629630263</v>
      </c>
      <c r="H40" s="165">
        <f ca="1"/>
        <v>4734.5855070000007</v>
      </c>
      <c r="I40" s="609"/>
      <c r="J40" s="609"/>
      <c r="K40" s="56"/>
      <c r="L40" s="616">
        <v>1787.889404</v>
      </c>
      <c r="M40" s="616">
        <v>1476.4677730000001</v>
      </c>
      <c r="N40" s="616">
        <v>1162.713379</v>
      </c>
      <c r="O40" s="616">
        <v>217.46347</v>
      </c>
      <c r="P40" s="616">
        <v>444.762878</v>
      </c>
      <c r="Q40" s="56">
        <f t="shared" si="0"/>
        <v>5089.2969039999989</v>
      </c>
      <c r="R40" s="500">
        <v>0.35130381224070167</v>
      </c>
      <c r="S40" s="500">
        <v>0.29011232805843007</v>
      </c>
      <c r="T40" s="500">
        <v>0.22846247741729322</v>
      </c>
      <c r="U40" s="500">
        <v>4.272957033202008E-2</v>
      </c>
      <c r="V40" s="500">
        <v>8.7391811951555209E-2</v>
      </c>
      <c r="W40" s="500">
        <v>-354.71139699999912</v>
      </c>
      <c r="X40" s="500">
        <v>1663.2779379886754</v>
      </c>
      <c r="Y40" s="500">
        <v>1373.5616238274722</v>
      </c>
      <c r="Z40" s="500">
        <v>1081.6751344732311</v>
      </c>
      <c r="AA40" s="500">
        <v>202.30680441431943</v>
      </c>
      <c r="AB40" s="500">
        <v>413.76400629630263</v>
      </c>
    </row>
    <row r="41" spans="1:28" ht="15" customHeight="1">
      <c r="A41" s="17"/>
      <c r="B41" s="22">
        <f>'Oil supply projection'!$B41</f>
        <v>2050</v>
      </c>
      <c r="C41" s="157">
        <f ca="1"/>
        <v>1679.6704371158255</v>
      </c>
      <c r="D41" s="157">
        <f ca="1"/>
        <v>1383.3619119269665</v>
      </c>
      <c r="E41" s="157">
        <f ca="1"/>
        <v>1086.9070477836258</v>
      </c>
      <c r="F41" s="157">
        <f ca="1"/>
        <v>206.50798462374541</v>
      </c>
      <c r="G41" s="162">
        <f ca="1"/>
        <v>423.00551554983832</v>
      </c>
      <c r="H41" s="165">
        <f ca="1"/>
        <v>4779.4528970000019</v>
      </c>
      <c r="I41" s="609"/>
      <c r="J41" s="609"/>
      <c r="K41" s="56"/>
      <c r="L41" s="616">
        <v>1808.84375</v>
      </c>
      <c r="M41" s="616">
        <v>1489.7479249999999</v>
      </c>
      <c r="N41" s="616">
        <v>1170.4945070000001</v>
      </c>
      <c r="O41" s="616">
        <v>222.38926699999999</v>
      </c>
      <c r="P41" s="616">
        <v>455.536316</v>
      </c>
      <c r="Q41" s="56">
        <f t="shared" si="0"/>
        <v>5147.0117649999993</v>
      </c>
      <c r="R41" s="500">
        <v>0.35143571310643784</v>
      </c>
      <c r="S41" s="500">
        <v>0.28943938600070407</v>
      </c>
      <c r="T41" s="500">
        <v>0.22741244054646148</v>
      </c>
      <c r="U41" s="500">
        <v>4.3207452625669301E-2</v>
      </c>
      <c r="V41" s="500">
        <v>8.850500772072746E-2</v>
      </c>
      <c r="W41" s="500">
        <v>-367.55886799999826</v>
      </c>
      <c r="X41" s="500">
        <v>1679.6704371158255</v>
      </c>
      <c r="Y41" s="500">
        <v>1383.3619119269665</v>
      </c>
      <c r="Z41" s="500">
        <v>1086.9070477836258</v>
      </c>
      <c r="AA41" s="500">
        <v>206.50798462374541</v>
      </c>
      <c r="AB41" s="500">
        <v>423.00551554983832</v>
      </c>
    </row>
    <row r="42" spans="1:28" ht="15" customHeight="1">
      <c r="A42" s="17"/>
      <c r="B42" s="22">
        <f>'Oil supply projection'!$B42</f>
        <v>2051</v>
      </c>
      <c r="C42" s="157">
        <f ca="1"/>
        <v>1693.793623787536</v>
      </c>
      <c r="D42" s="157">
        <f ca="1"/>
        <v>1394.9936452033032</v>
      </c>
      <c r="E42" s="157">
        <f ca="1"/>
        <v>1096.0460972015608</v>
      </c>
      <c r="F42" s="157">
        <f ca="1"/>
        <v>208.24436739955229</v>
      </c>
      <c r="G42" s="162">
        <f ca="1"/>
        <v>426.5622762853144</v>
      </c>
      <c r="H42" s="165">
        <f ca="1"/>
        <v>4819.6400098772665</v>
      </c>
      <c r="I42" s="609"/>
      <c r="J42" s="609">
        <f t="shared" ref="J42:J84" si="1">J41*(1+elect_forecast)</f>
        <v>0</v>
      </c>
      <c r="K42" s="56">
        <f t="shared" ref="K42:K84" si="2">K41*(1+elect_forecast)</f>
        <v>0</v>
      </c>
      <c r="L42" s="56">
        <f t="shared" ref="L42:L84" si="3">L41*(1+elect_forecast)</f>
        <v>1824.0530656947353</v>
      </c>
      <c r="M42" s="56">
        <f t="shared" ref="M42:M84" si="4">M41*(1+elect_forecast)</f>
        <v>1502.2741846600186</v>
      </c>
      <c r="N42" s="56">
        <f t="shared" ref="N42:N84" si="5">N41*(1+elect_forecast)</f>
        <v>1180.3363855347916</v>
      </c>
      <c r="O42" s="56">
        <f t="shared" ref="O42:O84" si="6">O41*(1+elect_forecast)</f>
        <v>224.25918449227859</v>
      </c>
      <c r="P42" s="56">
        <f t="shared" ref="P42:P84" si="7">P41*(1+elect_forecast)</f>
        <v>459.36660573091831</v>
      </c>
      <c r="Q42" s="56">
        <f>SUM(L42:P42)</f>
        <v>5190.2894261127431</v>
      </c>
      <c r="R42" s="500">
        <v>0.35143571310643773</v>
      </c>
      <c r="S42" s="500">
        <v>0.28943938600070396</v>
      </c>
      <c r="T42" s="500">
        <v>0.22741244054646143</v>
      </c>
      <c r="U42" s="500">
        <v>4.3207452625669288E-2</v>
      </c>
      <c r="V42" s="500">
        <v>8.8505007720727433E-2</v>
      </c>
      <c r="W42" s="500">
        <v>-370.64941623547566</v>
      </c>
      <c r="X42" s="500">
        <v>1693.793623787536</v>
      </c>
      <c r="Y42" s="500">
        <v>1394.9936452033032</v>
      </c>
      <c r="Z42" s="500">
        <v>1096.0460972015608</v>
      </c>
      <c r="AA42" s="500">
        <v>208.24436739955229</v>
      </c>
      <c r="AB42" s="500">
        <v>426.5622762853144</v>
      </c>
    </row>
    <row r="43" spans="1:28" ht="15" customHeight="1">
      <c r="A43" s="17"/>
      <c r="B43" s="22">
        <f>'Oil supply projection'!$B43</f>
        <v>2052</v>
      </c>
      <c r="C43" s="157">
        <f ca="1"/>
        <v>1708.0355625652305</v>
      </c>
      <c r="D43" s="157">
        <f ca="1"/>
        <v>1406.7231816776655</v>
      </c>
      <c r="E43" s="157">
        <f ca="1"/>
        <v>1105.2619905634513</v>
      </c>
      <c r="F43" s="157">
        <f ca="1"/>
        <v>209.99535021685222</v>
      </c>
      <c r="G43" s="162">
        <f ca="1"/>
        <v>430.14894336116799</v>
      </c>
      <c r="H43" s="165">
        <f ca="1"/>
        <v>4860.1650283843665</v>
      </c>
      <c r="I43" s="609"/>
      <c r="J43" s="609">
        <f t="shared" si="1"/>
        <v>0</v>
      </c>
      <c r="K43" s="56">
        <f t="shared" si="2"/>
        <v>0</v>
      </c>
      <c r="L43" s="56">
        <f t="shared" si="3"/>
        <v>1839.3902660029992</v>
      </c>
      <c r="M43" s="56">
        <f t="shared" si="4"/>
        <v>1514.9057689715687</v>
      </c>
      <c r="N43" s="56">
        <f t="shared" si="5"/>
        <v>1190.261017617348</v>
      </c>
      <c r="O43" s="56">
        <f t="shared" si="6"/>
        <v>226.14482482709855</v>
      </c>
      <c r="P43" s="56">
        <f t="shared" si="7"/>
        <v>463.22910171830284</v>
      </c>
      <c r="Q43" s="56">
        <f>SUM(L43:P43)</f>
        <v>5233.9309791373171</v>
      </c>
      <c r="R43" s="500">
        <v>0.35143571310643779</v>
      </c>
      <c r="S43" s="500">
        <v>0.28943938600070401</v>
      </c>
      <c r="T43" s="500">
        <v>0.22741244054646148</v>
      </c>
      <c r="U43" s="500">
        <v>4.3207452625669295E-2</v>
      </c>
      <c r="V43" s="500">
        <v>8.8505007720727447E-2</v>
      </c>
      <c r="W43" s="500">
        <v>-373.76595075294972</v>
      </c>
      <c r="X43" s="500">
        <v>1708.0355625652305</v>
      </c>
      <c r="Y43" s="500">
        <v>1406.7231816776655</v>
      </c>
      <c r="Z43" s="500">
        <v>1105.2619905634513</v>
      </c>
      <c r="AA43" s="500">
        <v>209.99535021685222</v>
      </c>
      <c r="AB43" s="500">
        <v>430.14894336116799</v>
      </c>
    </row>
    <row r="44" spans="1:28" ht="15" customHeight="1">
      <c r="A44" s="17"/>
      <c r="B44" s="22">
        <f>'Oil supply projection'!$B44</f>
        <v>2053</v>
      </c>
      <c r="C44" s="157">
        <f ca="1"/>
        <v>1722.3972519532106</v>
      </c>
      <c r="D44" s="157">
        <f ca="1"/>
        <v>1418.5513437094814</v>
      </c>
      <c r="E44" s="157">
        <f ca="1"/>
        <v>1114.5553739968577</v>
      </c>
      <c r="F44" s="157">
        <f ca="1"/>
        <v>211.76105583729321</v>
      </c>
      <c r="G44" s="162">
        <f ca="1"/>
        <v>433.76576823912478</v>
      </c>
      <c r="H44" s="165">
        <f ca="1"/>
        <v>4901.0307937359685</v>
      </c>
      <c r="I44" s="609"/>
      <c r="J44" s="609">
        <f t="shared" si="1"/>
        <v>0</v>
      </c>
      <c r="K44" s="56">
        <f t="shared" si="2"/>
        <v>0</v>
      </c>
      <c r="L44" s="56">
        <f t="shared" si="3"/>
        <v>1854.8564262180332</v>
      </c>
      <c r="M44" s="56">
        <f t="shared" si="4"/>
        <v>1527.6435635367789</v>
      </c>
      <c r="N44" s="56">
        <f t="shared" si="5"/>
        <v>1200.2690990650017</v>
      </c>
      <c r="O44" s="56">
        <f t="shared" si="6"/>
        <v>228.04632020696536</v>
      </c>
      <c r="P44" s="56">
        <f t="shared" si="7"/>
        <v>467.12407476228321</v>
      </c>
      <c r="Q44" s="56">
        <f t="shared" ref="Q44:Q84" si="8">Q43*(1+elect_forecast)</f>
        <v>5277.9394837890623</v>
      </c>
      <c r="R44" s="500">
        <v>0.35143571310643779</v>
      </c>
      <c r="S44" s="500">
        <v>0.28943938600070401</v>
      </c>
      <c r="T44" s="500">
        <v>0.22741244054646148</v>
      </c>
      <c r="U44" s="500">
        <v>4.3207452625669295E-2</v>
      </c>
      <c r="V44" s="500">
        <v>8.8505007720727447E-2</v>
      </c>
      <c r="W44" s="500">
        <v>-376.90869005309469</v>
      </c>
      <c r="X44" s="500">
        <v>1722.3972519532106</v>
      </c>
      <c r="Y44" s="500">
        <v>1418.5513437094814</v>
      </c>
      <c r="Z44" s="500">
        <v>1114.5553739968577</v>
      </c>
      <c r="AA44" s="500">
        <v>211.76105583729321</v>
      </c>
      <c r="AB44" s="500">
        <v>433.76576823912478</v>
      </c>
    </row>
    <row r="45" spans="1:28" ht="15" customHeight="1">
      <c r="A45" s="17"/>
      <c r="B45" s="22">
        <f>'Oil supply projection'!$B45</f>
        <v>2054</v>
      </c>
      <c r="C45" s="157">
        <f ca="1"/>
        <v>1736.8796988515137</v>
      </c>
      <c r="D45" s="157">
        <f ca="1"/>
        <v>1430.4789605728338</v>
      </c>
      <c r="E45" s="157">
        <f ca="1"/>
        <v>1123.9268990621836</v>
      </c>
      <c r="F45" s="157">
        <f ca="1"/>
        <v>213.54160805474154</v>
      </c>
      <c r="G45" s="162">
        <f ca="1"/>
        <v>437.41300449527938</v>
      </c>
      <c r="H45" s="165">
        <f ca="1"/>
        <v>4942.2401710365511</v>
      </c>
      <c r="I45" s="609"/>
      <c r="J45" s="609">
        <f t="shared" si="1"/>
        <v>0</v>
      </c>
      <c r="K45" s="56">
        <f t="shared" si="2"/>
        <v>0</v>
      </c>
      <c r="L45" s="56">
        <f t="shared" si="3"/>
        <v>1870.452630674476</v>
      </c>
      <c r="M45" s="56">
        <f t="shared" si="4"/>
        <v>1540.4884614041935</v>
      </c>
      <c r="N45" s="56">
        <f t="shared" si="5"/>
        <v>1210.3613315457317</v>
      </c>
      <c r="O45" s="56">
        <f t="shared" si="6"/>
        <v>229.96380394598398</v>
      </c>
      <c r="P45" s="56">
        <f t="shared" si="7"/>
        <v>471.05179793995995</v>
      </c>
      <c r="Q45" s="56">
        <f t="shared" si="8"/>
        <v>5322.3180255103453</v>
      </c>
      <c r="R45" s="500">
        <v>0.35143571310643779</v>
      </c>
      <c r="S45" s="500">
        <v>0.28943938600070396</v>
      </c>
      <c r="T45" s="500">
        <v>0.22741244054646148</v>
      </c>
      <c r="U45" s="500">
        <v>4.3207452625669295E-2</v>
      </c>
      <c r="V45" s="500">
        <v>8.8505007720727447E-2</v>
      </c>
      <c r="W45" s="500">
        <v>-380.0778544737932</v>
      </c>
      <c r="X45" s="500">
        <v>1736.8796988515137</v>
      </c>
      <c r="Y45" s="500">
        <v>1430.4789605728338</v>
      </c>
      <c r="Z45" s="500">
        <v>1123.9268990621836</v>
      </c>
      <c r="AA45" s="500">
        <v>213.54160805474154</v>
      </c>
      <c r="AB45" s="500">
        <v>437.41300449527938</v>
      </c>
    </row>
    <row r="46" spans="1:28" ht="15" customHeight="1">
      <c r="A46" s="17"/>
      <c r="B46" s="22">
        <f>'Oil supply projection'!$B46</f>
        <v>2055</v>
      </c>
      <c r="C46" s="157">
        <f ca="1"/>
        <v>1751.483918626499</v>
      </c>
      <c r="D46" s="157">
        <f ca="1"/>
        <v>1442.5068685145941</v>
      </c>
      <c r="E46" s="157">
        <f ca="1"/>
        <v>1133.3772227983497</v>
      </c>
      <c r="F46" s="157">
        <f ca="1"/>
        <v>215.33713170395993</v>
      </c>
      <c r="G46" s="162">
        <f ca="1"/>
        <v>441.0909078378711</v>
      </c>
      <c r="H46" s="165">
        <f ca="1"/>
        <v>4983.7960494812742</v>
      </c>
      <c r="I46" s="609"/>
      <c r="J46" s="609">
        <f t="shared" si="1"/>
        <v>0</v>
      </c>
      <c r="K46" s="56">
        <f t="shared" si="2"/>
        <v>0</v>
      </c>
      <c r="L46" s="56">
        <f t="shared" si="3"/>
        <v>1886.1799728243861</v>
      </c>
      <c r="M46" s="56">
        <f t="shared" si="4"/>
        <v>1553.4413631313844</v>
      </c>
      <c r="N46" s="56">
        <f t="shared" si="5"/>
        <v>1220.5384226273572</v>
      </c>
      <c r="O46" s="56">
        <f t="shared" si="6"/>
        <v>231.89741047920538</v>
      </c>
      <c r="P46" s="56">
        <f t="shared" si="7"/>
        <v>475.01254662455005</v>
      </c>
      <c r="Q46" s="56">
        <f t="shared" si="8"/>
        <v>5367.0697156868837</v>
      </c>
      <c r="R46" s="500">
        <v>0.35143571310643779</v>
      </c>
      <c r="S46" s="500">
        <v>0.28943938600070396</v>
      </c>
      <c r="T46" s="500">
        <v>0.22741244054646145</v>
      </c>
      <c r="U46" s="500">
        <v>4.3207452625669288E-2</v>
      </c>
      <c r="V46" s="500">
        <v>8.8505007720727433E-2</v>
      </c>
      <c r="W46" s="500">
        <v>-383.27366620560952</v>
      </c>
      <c r="X46" s="500">
        <v>1751.483918626499</v>
      </c>
      <c r="Y46" s="500">
        <v>1442.5068685145941</v>
      </c>
      <c r="Z46" s="500">
        <v>1133.3772227983497</v>
      </c>
      <c r="AA46" s="500">
        <v>215.33713170395993</v>
      </c>
      <c r="AB46" s="500">
        <v>441.0909078378711</v>
      </c>
    </row>
    <row r="47" spans="1:28" ht="15" customHeight="1">
      <c r="A47" s="17"/>
      <c r="B47" s="22">
        <f>'Oil supply projection'!$B47</f>
        <v>2056</v>
      </c>
      <c r="C47" s="157">
        <f ca="1"/>
        <v>1766.2109351820436</v>
      </c>
      <c r="D47" s="157">
        <f ca="1"/>
        <v>1454.6359108130587</v>
      </c>
      <c r="E47" s="157">
        <f ca="1"/>
        <v>1142.9070077688666</v>
      </c>
      <c r="F47" s="157">
        <f ca="1"/>
        <v>217.14775266936084</v>
      </c>
      <c r="G47" s="162">
        <f ca="1"/>
        <v>444.79973612521417</v>
      </c>
      <c r="H47" s="165">
        <f ca="1"/>
        <v>5025.7013425585428</v>
      </c>
      <c r="I47" s="609"/>
      <c r="J47" s="609">
        <f t="shared" si="1"/>
        <v>0</v>
      </c>
      <c r="K47" s="56">
        <f t="shared" si="2"/>
        <v>0</v>
      </c>
      <c r="L47" s="56">
        <f t="shared" si="3"/>
        <v>1902.0395553139037</v>
      </c>
      <c r="M47" s="56">
        <f t="shared" si="4"/>
        <v>1566.503176848089</v>
      </c>
      <c r="N47" s="56">
        <f t="shared" si="5"/>
        <v>1230.8010858271466</v>
      </c>
      <c r="O47" s="56">
        <f t="shared" si="6"/>
        <v>233.84727537205191</v>
      </c>
      <c r="P47" s="56">
        <f t="shared" si="7"/>
        <v>479.00659850469339</v>
      </c>
      <c r="Q47" s="56">
        <f t="shared" si="8"/>
        <v>5412.1976918658847</v>
      </c>
      <c r="R47" s="500">
        <v>0.35143571310643779</v>
      </c>
      <c r="S47" s="500">
        <v>0.28943938600070396</v>
      </c>
      <c r="T47" s="500">
        <v>0.22741244054646148</v>
      </c>
      <c r="U47" s="500">
        <v>4.3207452625669295E-2</v>
      </c>
      <c r="V47" s="500">
        <v>8.8505007720727447E-2</v>
      </c>
      <c r="W47" s="500">
        <v>-386.49634930734101</v>
      </c>
      <c r="X47" s="500">
        <v>1766.2109351820436</v>
      </c>
      <c r="Y47" s="500">
        <v>1454.6359108130587</v>
      </c>
      <c r="Z47" s="500">
        <v>1142.9070077688666</v>
      </c>
      <c r="AA47" s="500">
        <v>217.14775266936084</v>
      </c>
      <c r="AB47" s="500">
        <v>444.79973612521417</v>
      </c>
    </row>
    <row r="48" spans="1:28" ht="15" customHeight="1">
      <c r="A48" s="17"/>
      <c r="B48" s="22">
        <f>'Oil supply projection'!$B48</f>
        <v>2057</v>
      </c>
      <c r="C48" s="157">
        <f ca="1"/>
        <v>1781.0617810313199</v>
      </c>
      <c r="D48" s="157">
        <f ca="1"/>
        <v>1466.8669378370648</v>
      </c>
      <c r="E48" s="157">
        <f ca="1"/>
        <v>1152.5169221082792</v>
      </c>
      <c r="F48" s="157">
        <f ca="1"/>
        <v>218.97359789383125</v>
      </c>
      <c r="G48" s="162">
        <f ca="1"/>
        <v>448.53974938377416</v>
      </c>
      <c r="H48" s="165">
        <f ca="1"/>
        <v>5067.9589882542705</v>
      </c>
      <c r="I48" s="609"/>
      <c r="J48" s="609">
        <f t="shared" si="1"/>
        <v>0</v>
      </c>
      <c r="K48" s="323">
        <f t="shared" si="2"/>
        <v>0</v>
      </c>
      <c r="L48" s="56">
        <f t="shared" si="3"/>
        <v>1918.0324900605578</v>
      </c>
      <c r="M48" s="56">
        <f t="shared" si="4"/>
        <v>1579.6748183198793</v>
      </c>
      <c r="N48" s="56">
        <f t="shared" si="5"/>
        <v>1241.1500406618404</v>
      </c>
      <c r="O48" s="56">
        <f t="shared" si="6"/>
        <v>235.81353532982178</v>
      </c>
      <c r="P48" s="56">
        <f t="shared" si="7"/>
        <v>483.03423360392139</v>
      </c>
      <c r="Q48" s="56">
        <f t="shared" si="8"/>
        <v>5457.705117976021</v>
      </c>
      <c r="R48" s="500">
        <v>0.35143571310643773</v>
      </c>
      <c r="S48" s="500">
        <v>0.28943938600070401</v>
      </c>
      <c r="T48" s="500">
        <v>0.22741244054646148</v>
      </c>
      <c r="U48" s="500">
        <v>4.3207452625669295E-2</v>
      </c>
      <c r="V48" s="500">
        <v>8.8505007720727433E-2</v>
      </c>
      <c r="W48" s="500">
        <v>-389.74612972175146</v>
      </c>
      <c r="X48" s="500">
        <v>1781.0617810313199</v>
      </c>
      <c r="Y48" s="500">
        <v>1466.8669378370648</v>
      </c>
      <c r="Z48" s="500">
        <v>1152.5169221082792</v>
      </c>
      <c r="AA48" s="500">
        <v>218.97359789383125</v>
      </c>
      <c r="AB48" s="500">
        <v>448.53974938377416</v>
      </c>
    </row>
    <row r="49" spans="1:28" ht="15" customHeight="1">
      <c r="A49" s="17"/>
      <c r="B49" s="22">
        <f>'Oil supply projection'!$B49</f>
        <v>2058</v>
      </c>
      <c r="C49" s="157">
        <f ca="1"/>
        <v>1796.0374973691919</v>
      </c>
      <c r="D49" s="157">
        <f ca="1"/>
        <v>1479.2008071056146</v>
      </c>
      <c r="E49" s="157">
        <f ca="1"/>
        <v>1162.2076395690158</v>
      </c>
      <c r="F49" s="157">
        <f ca="1"/>
        <v>220.81479538763315</v>
      </c>
      <c r="G49" s="162">
        <f ca="1"/>
        <v>452.31120982639959</v>
      </c>
      <c r="H49" s="165">
        <f ca="1"/>
        <v>5110.5719492578555</v>
      </c>
      <c r="I49" s="609"/>
      <c r="J49" s="609">
        <f t="shared" si="1"/>
        <v>0</v>
      </c>
      <c r="K49" s="323">
        <f t="shared" si="2"/>
        <v>0</v>
      </c>
      <c r="L49" s="56">
        <f t="shared" si="3"/>
        <v>1934.1598983312226</v>
      </c>
      <c r="M49" s="56">
        <f t="shared" si="4"/>
        <v>1592.9572110123663</v>
      </c>
      <c r="N49" s="56">
        <f t="shared" si="5"/>
        <v>1251.5860126980981</v>
      </c>
      <c r="O49" s="56">
        <f t="shared" si="6"/>
        <v>237.7963282072734</v>
      </c>
      <c r="P49" s="56">
        <f t="shared" si="7"/>
        <v>487.09573430028979</v>
      </c>
      <c r="Q49" s="56">
        <f t="shared" si="8"/>
        <v>5503.5951845492509</v>
      </c>
      <c r="R49" s="500">
        <v>0.35143571310643773</v>
      </c>
      <c r="S49" s="500">
        <v>0.28943938600070396</v>
      </c>
      <c r="T49" s="500">
        <v>0.22741244054646145</v>
      </c>
      <c r="U49" s="500">
        <v>4.3207452625669295E-2</v>
      </c>
      <c r="V49" s="500">
        <v>8.8505007720727433E-2</v>
      </c>
      <c r="W49" s="500">
        <v>-393.02323529139539</v>
      </c>
      <c r="X49" s="500">
        <v>1796.0374973691919</v>
      </c>
      <c r="Y49" s="500">
        <v>1479.2008071056146</v>
      </c>
      <c r="Z49" s="500">
        <v>1162.2076395690158</v>
      </c>
      <c r="AA49" s="500">
        <v>220.81479538763315</v>
      </c>
      <c r="AB49" s="500">
        <v>452.31120982639959</v>
      </c>
    </row>
    <row r="50" spans="1:28" ht="15" customHeight="1">
      <c r="A50" s="17"/>
      <c r="B50" s="22">
        <f>'Oil supply projection'!$B50</f>
        <v>2059</v>
      </c>
      <c r="C50" s="157">
        <f ca="1"/>
        <v>1811.1391341452097</v>
      </c>
      <c r="D50" s="157">
        <f ca="1"/>
        <v>1491.6383833479938</v>
      </c>
      <c r="E50" s="157">
        <f ca="1"/>
        <v>1171.9798395686221</v>
      </c>
      <c r="F50" s="157">
        <f ca="1"/>
        <v>222.67147423737839</v>
      </c>
      <c r="G50" s="162">
        <f ca="1"/>
        <v>456.11438187070536</v>
      </c>
      <c r="H50" s="165">
        <f ca="1"/>
        <v>5153.5432131699099</v>
      </c>
      <c r="I50" s="609"/>
      <c r="J50" s="609">
        <f t="shared" si="1"/>
        <v>0</v>
      </c>
      <c r="K50" s="323">
        <f t="shared" si="2"/>
        <v>0</v>
      </c>
      <c r="L50" s="56">
        <f t="shared" si="3"/>
        <v>1950.4229108207298</v>
      </c>
      <c r="M50" s="56">
        <f t="shared" si="4"/>
        <v>1606.3512861559448</v>
      </c>
      <c r="N50" s="56">
        <f t="shared" si="5"/>
        <v>1262.1097336033672</v>
      </c>
      <c r="O50" s="56">
        <f t="shared" si="6"/>
        <v>239.79579301829057</v>
      </c>
      <c r="P50" s="56">
        <f t="shared" si="7"/>
        <v>491.19138534617588</v>
      </c>
      <c r="Q50" s="56">
        <f t="shared" si="8"/>
        <v>5549.8711089445087</v>
      </c>
      <c r="R50" s="500">
        <v>0.35143571310643773</v>
      </c>
      <c r="S50" s="500">
        <v>0.28943938600070401</v>
      </c>
      <c r="T50" s="500">
        <v>0.22741244054646145</v>
      </c>
      <c r="U50" s="500">
        <v>4.3207452625669295E-2</v>
      </c>
      <c r="V50" s="500">
        <v>8.8505007720727433E-2</v>
      </c>
      <c r="W50" s="500">
        <v>-396.3278957745988</v>
      </c>
      <c r="X50" s="500">
        <v>1811.1391341452097</v>
      </c>
      <c r="Y50" s="500">
        <v>1491.6383833479938</v>
      </c>
      <c r="Z50" s="500">
        <v>1171.9798395686221</v>
      </c>
      <c r="AA50" s="500">
        <v>222.67147423737839</v>
      </c>
      <c r="AB50" s="500">
        <v>456.11438187070536</v>
      </c>
    </row>
    <row r="51" spans="1:28" ht="15" customHeight="1">
      <c r="A51" s="17"/>
      <c r="B51" s="22">
        <f>'Oil supply projection'!$B51</f>
        <v>2060</v>
      </c>
      <c r="C51" s="157">
        <f ca="1"/>
        <v>1826.3677501372238</v>
      </c>
      <c r="D51" s="157">
        <f ca="1"/>
        <v>1504.1805385643991</v>
      </c>
      <c r="E51" s="157">
        <f ca="1"/>
        <v>1181.8342072373966</v>
      </c>
      <c r="F51" s="157">
        <f ca="1"/>
        <v>224.54376461507877</v>
      </c>
      <c r="G51" s="162">
        <f ca="1"/>
        <v>459.94953215761143</v>
      </c>
      <c r="H51" s="165">
        <f ca="1"/>
        <v>5196.8757927117094</v>
      </c>
      <c r="I51" s="609"/>
      <c r="J51" s="609">
        <f t="shared" si="1"/>
        <v>0</v>
      </c>
      <c r="K51" s="323">
        <f t="shared" si="2"/>
        <v>0</v>
      </c>
      <c r="L51" s="56">
        <f t="shared" si="3"/>
        <v>1966.8226677311413</v>
      </c>
      <c r="M51" s="56">
        <f t="shared" si="4"/>
        <v>1619.8579828110815</v>
      </c>
      <c r="N51" s="56">
        <f t="shared" si="5"/>
        <v>1272.7219411971807</v>
      </c>
      <c r="O51" s="56">
        <f t="shared" si="6"/>
        <v>241.81206994562859</v>
      </c>
      <c r="P51" s="56">
        <f t="shared" si="7"/>
        <v>495.32147388824285</v>
      </c>
      <c r="Q51" s="56">
        <f t="shared" si="8"/>
        <v>5596.5361355732757</v>
      </c>
      <c r="R51" s="500">
        <v>0.35143571310643773</v>
      </c>
      <c r="S51" s="500">
        <v>0.28943938600070396</v>
      </c>
      <c r="T51" s="500">
        <v>0.22741244054646145</v>
      </c>
      <c r="U51" s="500">
        <v>4.3207452625669288E-2</v>
      </c>
      <c r="V51" s="500">
        <v>8.8505007720727433E-2</v>
      </c>
      <c r="W51" s="500">
        <v>-399.66034286156537</v>
      </c>
      <c r="X51" s="500">
        <v>1826.3677501372238</v>
      </c>
      <c r="Y51" s="500">
        <v>1504.1805385643991</v>
      </c>
      <c r="Z51" s="500">
        <v>1181.8342072373966</v>
      </c>
      <c r="AA51" s="500">
        <v>224.54376461507877</v>
      </c>
      <c r="AB51" s="500">
        <v>459.94953215761143</v>
      </c>
    </row>
    <row r="52" spans="1:28" ht="15" customHeight="1">
      <c r="A52" s="17"/>
      <c r="B52" s="22">
        <f>'Oil supply projection'!$B52</f>
        <v>2061</v>
      </c>
      <c r="C52" s="157">
        <f ca="1"/>
        <v>1841.7244130256131</v>
      </c>
      <c r="D52" s="157">
        <f ca="1"/>
        <v>1516.8281520870721</v>
      </c>
      <c r="E52" s="157">
        <f ca="1"/>
        <v>1191.7714334664231</v>
      </c>
      <c r="F52" s="157">
        <f ca="1"/>
        <v>226.43179778727233</v>
      </c>
      <c r="G52" s="162">
        <f ca="1"/>
        <v>463.81692957003622</v>
      </c>
      <c r="H52" s="165">
        <f ca="1"/>
        <v>5240.5727259364176</v>
      </c>
      <c r="I52" s="609"/>
      <c r="J52" s="609">
        <f t="shared" si="1"/>
        <v>0</v>
      </c>
      <c r="K52" s="323">
        <f t="shared" si="2"/>
        <v>0</v>
      </c>
      <c r="L52" s="56">
        <f t="shared" si="3"/>
        <v>1983.3603188516897</v>
      </c>
      <c r="M52" s="56">
        <f t="shared" si="4"/>
        <v>1633.4782479341529</v>
      </c>
      <c r="N52" s="56">
        <f t="shared" si="5"/>
        <v>1283.4233795028854</v>
      </c>
      <c r="O52" s="56">
        <f t="shared" si="6"/>
        <v>243.84530035074263</v>
      </c>
      <c r="P52" s="56">
        <f t="shared" si="7"/>
        <v>499.48628948757136</v>
      </c>
      <c r="Q52" s="56">
        <f t="shared" si="8"/>
        <v>5643.5935361270431</v>
      </c>
      <c r="R52" s="500">
        <v>0.35143571310643767</v>
      </c>
      <c r="S52" s="500">
        <v>0.28943938600070396</v>
      </c>
      <c r="T52" s="500">
        <v>0.22741244054646145</v>
      </c>
      <c r="U52" s="500">
        <v>4.3207452625669288E-2</v>
      </c>
      <c r="V52" s="500">
        <v>8.8505007720727433E-2</v>
      </c>
      <c r="W52" s="500">
        <v>-403.02081019062553</v>
      </c>
      <c r="X52" s="500">
        <v>1841.7244130256131</v>
      </c>
      <c r="Y52" s="500">
        <v>1516.8281520870721</v>
      </c>
      <c r="Z52" s="500">
        <v>1191.7714334664231</v>
      </c>
      <c r="AA52" s="500">
        <v>226.43179778727233</v>
      </c>
      <c r="AB52" s="500">
        <v>463.81692957003622</v>
      </c>
    </row>
    <row r="53" spans="1:28" ht="15" customHeight="1">
      <c r="A53" s="16"/>
      <c r="B53" s="22">
        <f>'Oil supply projection'!$B53</f>
        <v>2062</v>
      </c>
      <c r="C53" s="157">
        <f ca="1"/>
        <v>1857.2101994681448</v>
      </c>
      <c r="D53" s="157">
        <f ca="1"/>
        <v>1529.5821106419526</v>
      </c>
      <c r="E53" s="157">
        <f ca="1"/>
        <v>1201.7922149560118</v>
      </c>
      <c r="F53" s="157">
        <f ca="1"/>
        <v>228.3357061242269</v>
      </c>
      <c r="G53" s="162">
        <f ca="1"/>
        <v>467.71684525174931</v>
      </c>
      <c r="H53" s="165">
        <f ca="1"/>
        <v>5284.6370764420853</v>
      </c>
      <c r="I53" s="609"/>
      <c r="J53" s="609">
        <f t="shared" si="1"/>
        <v>0</v>
      </c>
      <c r="K53" s="323">
        <f t="shared" si="2"/>
        <v>0</v>
      </c>
      <c r="L53" s="56">
        <f t="shared" si="3"/>
        <v>2000.0370236393899</v>
      </c>
      <c r="M53" s="56">
        <f t="shared" si="4"/>
        <v>1647.2130364438369</v>
      </c>
      <c r="N53" s="56">
        <f t="shared" si="5"/>
        <v>1294.2147987998055</v>
      </c>
      <c r="O53" s="56">
        <f t="shared" si="6"/>
        <v>245.8956267836985</v>
      </c>
      <c r="P53" s="56">
        <f t="shared" si="7"/>
        <v>503.68612413996101</v>
      </c>
      <c r="Q53" s="56">
        <f t="shared" si="8"/>
        <v>5691.0466098066927</v>
      </c>
      <c r="R53" s="500">
        <v>0.35143571310643773</v>
      </c>
      <c r="S53" s="500">
        <v>0.28943938600070396</v>
      </c>
      <c r="T53" s="500">
        <v>0.22741244054646145</v>
      </c>
      <c r="U53" s="500">
        <v>4.3207452625669295E-2</v>
      </c>
      <c r="V53" s="500">
        <v>8.8505007720727433E-2</v>
      </c>
      <c r="W53" s="500">
        <v>-406.40953336460643</v>
      </c>
      <c r="X53" s="500">
        <v>1857.2101994681448</v>
      </c>
      <c r="Y53" s="500">
        <v>1529.5821106419526</v>
      </c>
      <c r="Z53" s="500">
        <v>1201.7922149560118</v>
      </c>
      <c r="AA53" s="500">
        <v>228.3357061242269</v>
      </c>
      <c r="AB53" s="500">
        <v>467.71684525174931</v>
      </c>
    </row>
    <row r="54" spans="1:28" ht="15" customHeight="1">
      <c r="A54" s="16"/>
      <c r="B54" s="22">
        <f>'Oil supply projection'!$B54</f>
        <v>2063</v>
      </c>
      <c r="C54" s="157">
        <f ca="1"/>
        <v>1872.8261951754539</v>
      </c>
      <c r="D54" s="157">
        <f ca="1"/>
        <v>1542.4433084108439</v>
      </c>
      <c r="E54" s="157">
        <f ca="1"/>
        <v>1211.8972542645431</v>
      </c>
      <c r="F54" s="157">
        <f ca="1"/>
        <v>230.25562310922001</v>
      </c>
      <c r="G54" s="162">
        <f ca="1"/>
        <v>471.64955262637989</v>
      </c>
      <c r="H54" s="165">
        <f ca="1"/>
        <v>5329.0719335864414</v>
      </c>
      <c r="I54" s="609"/>
      <c r="J54" s="609">
        <f t="shared" si="1"/>
        <v>0</v>
      </c>
      <c r="K54" s="323">
        <f t="shared" si="2"/>
        <v>0</v>
      </c>
      <c r="L54" s="56">
        <f t="shared" si="3"/>
        <v>2016.8539513003282</v>
      </c>
      <c r="M54" s="56">
        <f t="shared" si="4"/>
        <v>1661.0633112880616</v>
      </c>
      <c r="N54" s="56">
        <f t="shared" si="5"/>
        <v>1305.0969556758457</v>
      </c>
      <c r="O54" s="56">
        <f t="shared" si="6"/>
        <v>247.9631929931669</v>
      </c>
      <c r="P54" s="56">
        <f t="shared" si="7"/>
        <v>507.92127229640204</v>
      </c>
      <c r="Q54" s="56">
        <f t="shared" si="8"/>
        <v>5738.8986835538053</v>
      </c>
      <c r="R54" s="500">
        <v>0.35143571310643773</v>
      </c>
      <c r="S54" s="500">
        <v>0.28943938600070396</v>
      </c>
      <c r="T54" s="500">
        <v>0.22741244054646145</v>
      </c>
      <c r="U54" s="500">
        <v>4.3207452625669288E-2</v>
      </c>
      <c r="V54" s="500">
        <v>8.8505007720727433E-2</v>
      </c>
      <c r="W54" s="500">
        <v>-409.82674996736387</v>
      </c>
      <c r="X54" s="500">
        <v>1872.8261951754539</v>
      </c>
      <c r="Y54" s="500">
        <v>1542.4433084108439</v>
      </c>
      <c r="Z54" s="500">
        <v>1211.8972542645431</v>
      </c>
      <c r="AA54" s="500">
        <v>230.25562310922001</v>
      </c>
      <c r="AB54" s="500">
        <v>471.64955262637989</v>
      </c>
    </row>
    <row r="55" spans="1:28" ht="15" customHeight="1">
      <c r="A55" s="16"/>
      <c r="B55" s="22">
        <f>'Oil supply projection'!$B55</f>
        <v>2064</v>
      </c>
      <c r="C55" s="157">
        <f ca="1"/>
        <v>1888.5734949871671</v>
      </c>
      <c r="D55" s="157">
        <f ca="1"/>
        <v>1555.4126470941064</v>
      </c>
      <c r="E55" s="157">
        <f ca="1"/>
        <v>1222.0872598577253</v>
      </c>
      <c r="F55" s="157">
        <f ca="1"/>
        <v>232.19168334789796</v>
      </c>
      <c r="G55" s="162">
        <f ca="1"/>
        <v>475.61532741658795</v>
      </c>
      <c r="H55" s="165">
        <f ca="1"/>
        <v>5373.8804127034846</v>
      </c>
      <c r="I55" s="609"/>
      <c r="J55" s="609">
        <f t="shared" si="1"/>
        <v>0</v>
      </c>
      <c r="K55" s="323">
        <f t="shared" si="2"/>
        <v>0</v>
      </c>
      <c r="L55" s="56">
        <f t="shared" si="3"/>
        <v>2033.8122808716364</v>
      </c>
      <c r="M55" s="56">
        <f t="shared" si="4"/>
        <v>1675.030043511518</v>
      </c>
      <c r="N55" s="56">
        <f t="shared" si="5"/>
        <v>1316.0706130805343</v>
      </c>
      <c r="O55" s="56">
        <f t="shared" si="6"/>
        <v>250.04814393650165</v>
      </c>
      <c r="P55" s="56">
        <f t="shared" si="7"/>
        <v>512.19203088371933</v>
      </c>
      <c r="Q55" s="56">
        <f t="shared" si="8"/>
        <v>5787.1531122839106</v>
      </c>
      <c r="R55" s="500">
        <v>0.35143571310643767</v>
      </c>
      <c r="S55" s="500">
        <v>0.28943938600070396</v>
      </c>
      <c r="T55" s="500">
        <v>0.22741244054646148</v>
      </c>
      <c r="U55" s="500">
        <v>4.3207452625669288E-2</v>
      </c>
      <c r="V55" s="500">
        <v>8.8505007720727433E-2</v>
      </c>
      <c r="W55" s="500">
        <v>-413.27269958042507</v>
      </c>
      <c r="X55" s="500">
        <v>1888.5734949871671</v>
      </c>
      <c r="Y55" s="500">
        <v>1555.4126470941064</v>
      </c>
      <c r="Z55" s="500">
        <v>1222.0872598577253</v>
      </c>
      <c r="AA55" s="500">
        <v>232.19168334789796</v>
      </c>
      <c r="AB55" s="500">
        <v>475.61532741658795</v>
      </c>
    </row>
    <row r="56" spans="1:28" ht="15" customHeight="1">
      <c r="A56" s="16"/>
      <c r="B56" s="22">
        <f>'Oil supply projection'!$B56</f>
        <v>2065</v>
      </c>
      <c r="C56" s="157">
        <f ca="1"/>
        <v>1904.4532029486591</v>
      </c>
      <c r="D56" s="157">
        <f ca="1"/>
        <v>1568.4910359738749</v>
      </c>
      <c r="E56" s="157">
        <f ca="1"/>
        <v>1232.3629461582641</v>
      </c>
      <c r="F56" s="157">
        <f ca="1"/>
        <v>234.14402257771275</v>
      </c>
      <c r="G56" s="162">
        <f ca="1"/>
        <v>479.61444766339412</v>
      </c>
      <c r="H56" s="165">
        <f ca="1"/>
        <v>5419.0656553219051</v>
      </c>
      <c r="I56" s="609"/>
      <c r="J56" s="609">
        <f t="shared" si="1"/>
        <v>0</v>
      </c>
      <c r="K56" s="323">
        <f t="shared" si="2"/>
        <v>0</v>
      </c>
      <c r="L56" s="56">
        <f t="shared" si="3"/>
        <v>2050.913201304154</v>
      </c>
      <c r="M56" s="56">
        <f t="shared" si="4"/>
        <v>1689.1142123237403</v>
      </c>
      <c r="N56" s="56">
        <f t="shared" si="5"/>
        <v>1327.1365403785144</v>
      </c>
      <c r="O56" s="56">
        <f t="shared" si="6"/>
        <v>252.15062578990268</v>
      </c>
      <c r="P56" s="56">
        <f t="shared" si="7"/>
        <v>516.49869932538991</v>
      </c>
      <c r="Q56" s="56">
        <f t="shared" si="8"/>
        <v>5835.8132791217022</v>
      </c>
      <c r="R56" s="500">
        <v>0.35143571310643767</v>
      </c>
      <c r="S56" s="500">
        <v>0.28943938600070396</v>
      </c>
      <c r="T56" s="500">
        <v>0.22741244054646145</v>
      </c>
      <c r="U56" s="500">
        <v>4.3207452625669288E-2</v>
      </c>
      <c r="V56" s="500">
        <v>8.8505007720727433E-2</v>
      </c>
      <c r="W56" s="500">
        <v>-416.7476237997962</v>
      </c>
      <c r="X56" s="500">
        <v>1904.4532029486591</v>
      </c>
      <c r="Y56" s="500">
        <v>1568.4910359738749</v>
      </c>
      <c r="Z56" s="500">
        <v>1232.3629461582641</v>
      </c>
      <c r="AA56" s="500">
        <v>234.14402257771275</v>
      </c>
      <c r="AB56" s="500">
        <v>479.61444766339412</v>
      </c>
    </row>
    <row r="57" spans="1:28" ht="15" customHeight="1">
      <c r="A57" s="16"/>
      <c r="B57" s="22">
        <f>'Oil supply projection'!$B57</f>
        <v>2066</v>
      </c>
      <c r="C57" s="157">
        <f ca="1"/>
        <v>1920.4664323884576</v>
      </c>
      <c r="D57" s="157">
        <f ca="1"/>
        <v>1581.6793919778079</v>
      </c>
      <c r="E57" s="157">
        <f ca="1"/>
        <v>1242.7250335959518</v>
      </c>
      <c r="F57" s="157">
        <f ca="1"/>
        <v>236.11277767743854</v>
      </c>
      <c r="G57" s="162">
        <f ca="1"/>
        <v>483.6471937456738</v>
      </c>
      <c r="H57" s="165">
        <f ca="1"/>
        <v>5464.630829385329</v>
      </c>
      <c r="I57" s="609"/>
      <c r="J57" s="609">
        <f t="shared" si="1"/>
        <v>0</v>
      </c>
      <c r="K57" s="323">
        <f t="shared" si="2"/>
        <v>0</v>
      </c>
      <c r="L57" s="56">
        <f t="shared" si="3"/>
        <v>2068.1579115457848</v>
      </c>
      <c r="M57" s="56">
        <f t="shared" si="4"/>
        <v>1703.316805167758</v>
      </c>
      <c r="N57" s="56">
        <f t="shared" si="5"/>
        <v>1338.2955134034844</v>
      </c>
      <c r="O57" s="56">
        <f t="shared" si="6"/>
        <v>254.27078595866448</v>
      </c>
      <c r="P57" s="56">
        <f t="shared" si="7"/>
        <v>520.84157956253591</v>
      </c>
      <c r="Q57" s="56">
        <f t="shared" si="8"/>
        <v>5884.8825956382288</v>
      </c>
      <c r="R57" s="500">
        <v>0.35143571310643767</v>
      </c>
      <c r="S57" s="500">
        <v>0.28943938600070396</v>
      </c>
      <c r="T57" s="500">
        <v>0.22741244054646145</v>
      </c>
      <c r="U57" s="500">
        <v>4.3207452625669288E-2</v>
      </c>
      <c r="V57" s="500">
        <v>8.8505007720727433E-2</v>
      </c>
      <c r="W57" s="500">
        <v>-420.25176625289805</v>
      </c>
      <c r="X57" s="500">
        <v>1920.4664323884576</v>
      </c>
      <c r="Y57" s="500">
        <v>1581.6793919778079</v>
      </c>
      <c r="Z57" s="500">
        <v>1242.7250335959518</v>
      </c>
      <c r="AA57" s="500">
        <v>236.11277767743854</v>
      </c>
      <c r="AB57" s="500">
        <v>483.6471937456738</v>
      </c>
    </row>
    <row r="58" spans="1:28" ht="15" customHeight="1">
      <c r="A58" s="16"/>
      <c r="B58" s="22">
        <f>'Oil supply projection'!$B58</f>
        <v>2067</v>
      </c>
      <c r="C58" s="157">
        <f ca="1"/>
        <v>1936.6143059963013</v>
      </c>
      <c r="D58" s="157">
        <f ca="1"/>
        <v>1594.978639743375</v>
      </c>
      <c r="E58" s="157">
        <f ca="1"/>
        <v>1253.1742486581768</v>
      </c>
      <c r="F58" s="157">
        <f ca="1"/>
        <v>238.09808667676862</v>
      </c>
      <c r="G58" s="162">
        <f ca="1"/>
        <v>487.71384839981448</v>
      </c>
      <c r="H58" s="165">
        <f ca="1"/>
        <v>5510.5791294744358</v>
      </c>
      <c r="I58" s="609"/>
      <c r="J58" s="609">
        <f t="shared" si="1"/>
        <v>0</v>
      </c>
      <c r="K58" s="323">
        <f t="shared" si="2"/>
        <v>0</v>
      </c>
      <c r="L58" s="56">
        <f t="shared" si="3"/>
        <v>2085.5476206255571</v>
      </c>
      <c r="M58" s="56">
        <f t="shared" si="4"/>
        <v>1717.6388177893261</v>
      </c>
      <c r="N58" s="56">
        <f t="shared" si="5"/>
        <v>1349.5483145125916</v>
      </c>
      <c r="O58" s="56">
        <f t="shared" si="6"/>
        <v>256.40877308751061</v>
      </c>
      <c r="P58" s="56">
        <f t="shared" si="7"/>
        <v>525.22097607509329</v>
      </c>
      <c r="Q58" s="56">
        <f t="shared" si="8"/>
        <v>5934.3645020900804</v>
      </c>
      <c r="R58" s="500">
        <v>0.35143571310643762</v>
      </c>
      <c r="S58" s="500">
        <v>0.28943938600070396</v>
      </c>
      <c r="T58" s="500">
        <v>0.22741244054646143</v>
      </c>
      <c r="U58" s="500">
        <v>4.3207452625669281E-2</v>
      </c>
      <c r="V58" s="500">
        <v>8.8505007720727419E-2</v>
      </c>
      <c r="W58" s="500">
        <v>-423.7853726156427</v>
      </c>
      <c r="X58" s="500">
        <v>1936.6143059963013</v>
      </c>
      <c r="Y58" s="500">
        <v>1594.978639743375</v>
      </c>
      <c r="Z58" s="500">
        <v>1253.1742486581768</v>
      </c>
      <c r="AA58" s="500">
        <v>238.09808667676862</v>
      </c>
      <c r="AB58" s="500">
        <v>487.71384839981448</v>
      </c>
    </row>
    <row r="59" spans="1:28" ht="15" customHeight="1">
      <c r="A59" s="16"/>
      <c r="B59" s="22">
        <f>'Oil supply projection'!$B59</f>
        <v>2068</v>
      </c>
      <c r="C59" s="157">
        <f ca="1"/>
        <v>1952.8979559018494</v>
      </c>
      <c r="D59" s="157">
        <f ca="1"/>
        <v>1608.3897116826827</v>
      </c>
      <c r="E59" s="157">
        <f ca="1"/>
        <v>1263.7113239408568</v>
      </c>
      <c r="F59" s="157">
        <f ca="1"/>
        <v>240.10008876599244</v>
      </c>
      <c r="G59" s="162">
        <f ca="1"/>
        <v>491.81469673953819</v>
      </c>
      <c r="H59" s="165">
        <f ca="1"/>
        <v>5556.913777030918</v>
      </c>
      <c r="I59" s="609"/>
      <c r="J59" s="609">
        <f t="shared" si="1"/>
        <v>0</v>
      </c>
      <c r="K59" s="323">
        <f t="shared" si="2"/>
        <v>0</v>
      </c>
      <c r="L59" s="56">
        <f t="shared" si="3"/>
        <v>2103.0835477383871</v>
      </c>
      <c r="M59" s="56">
        <f t="shared" si="4"/>
        <v>1732.0812543067368</v>
      </c>
      <c r="N59" s="56">
        <f t="shared" si="5"/>
        <v>1360.8957326412828</v>
      </c>
      <c r="O59" s="56">
        <f t="shared" si="6"/>
        <v>258.56473707101537</v>
      </c>
      <c r="P59" s="56">
        <f t="shared" si="7"/>
        <v>529.63719590315918</v>
      </c>
      <c r="Q59" s="56">
        <f t="shared" si="8"/>
        <v>5984.2624676605828</v>
      </c>
      <c r="R59" s="500">
        <v>0.35143571310643762</v>
      </c>
      <c r="S59" s="500">
        <v>0.28943938600070401</v>
      </c>
      <c r="T59" s="500">
        <v>0.22741244054646143</v>
      </c>
      <c r="U59" s="500">
        <v>4.3207452625669281E-2</v>
      </c>
      <c r="V59" s="500">
        <v>8.8505007720727419E-2</v>
      </c>
      <c r="W59" s="500">
        <v>-427.34869062966209</v>
      </c>
      <c r="X59" s="500">
        <v>1952.8979559018494</v>
      </c>
      <c r="Y59" s="500">
        <v>1608.3897116826827</v>
      </c>
      <c r="Z59" s="500">
        <v>1263.7113239408568</v>
      </c>
      <c r="AA59" s="500">
        <v>240.10008876599244</v>
      </c>
      <c r="AB59" s="500">
        <v>491.81469673953819</v>
      </c>
    </row>
    <row r="60" spans="1:28" ht="15" customHeight="1">
      <c r="A60" s="16"/>
      <c r="B60" s="22">
        <f>'Oil supply projection'!$B60</f>
        <v>2069</v>
      </c>
      <c r="C60" s="157">
        <f ca="1"/>
        <v>1969.3185237540563</v>
      </c>
      <c r="D60" s="157">
        <f ca="1"/>
        <v>1621.9135480478451</v>
      </c>
      <c r="E60" s="157">
        <f ca="1"/>
        <v>1274.3369981998019</v>
      </c>
      <c r="F60" s="157">
        <f ca="1"/>
        <v>242.11892430575426</v>
      </c>
      <c r="G60" s="162">
        <f ca="1"/>
        <v>495.95002627589105</v>
      </c>
      <c r="H60" s="165">
        <f ca="1"/>
        <v>5603.6380205833484</v>
      </c>
      <c r="I60" s="609"/>
      <c r="J60" s="609">
        <f t="shared" si="1"/>
        <v>0</v>
      </c>
      <c r="K60" s="323">
        <f t="shared" si="2"/>
        <v>0</v>
      </c>
      <c r="L60" s="56">
        <f t="shared" si="3"/>
        <v>2120.7669223305579</v>
      </c>
      <c r="M60" s="56">
        <f t="shared" si="4"/>
        <v>1746.645127281218</v>
      </c>
      <c r="N60" s="56">
        <f t="shared" si="5"/>
        <v>1372.3385633586179</v>
      </c>
      <c r="O60" s="56">
        <f t="shared" si="6"/>
        <v>260.73882906411279</v>
      </c>
      <c r="P60" s="56">
        <f t="shared" si="7"/>
        <v>534.09054866851852</v>
      </c>
      <c r="Q60" s="56">
        <f t="shared" si="8"/>
        <v>6034.5799907030269</v>
      </c>
      <c r="R60" s="500">
        <v>0.35143571310643762</v>
      </c>
      <c r="S60" s="500">
        <v>0.28943938600070396</v>
      </c>
      <c r="T60" s="500">
        <v>0.22741244054646143</v>
      </c>
      <c r="U60" s="500">
        <v>4.3207452625669281E-2</v>
      </c>
      <c r="V60" s="500">
        <v>8.8505007720727405E-2</v>
      </c>
      <c r="W60" s="500">
        <v>-430.94197011967663</v>
      </c>
      <c r="X60" s="500">
        <v>1969.3185237540563</v>
      </c>
      <c r="Y60" s="500">
        <v>1621.9135480478451</v>
      </c>
      <c r="Z60" s="500">
        <v>1274.3369981998019</v>
      </c>
      <c r="AA60" s="500">
        <v>242.11892430575426</v>
      </c>
      <c r="AB60" s="500">
        <v>495.95002627589105</v>
      </c>
    </row>
    <row r="61" spans="1:28" ht="15" customHeight="1">
      <c r="A61" s="16"/>
      <c r="B61" s="22">
        <f>'Oil supply projection'!$B61</f>
        <v>2070</v>
      </c>
      <c r="C61" s="157">
        <f ca="1"/>
        <v>1985.8771608012114</v>
      </c>
      <c r="D61" s="157">
        <f ca="1"/>
        <v>1635.5510969969057</v>
      </c>
      <c r="E61" s="157">
        <f ca="1"/>
        <v>1285.0520164025086</v>
      </c>
      <c r="F61" s="157">
        <f ca="1"/>
        <v>244.15473483689379</v>
      </c>
      <c r="G61" s="162">
        <f ca="1"/>
        <v>500.12012693740047</v>
      </c>
      <c r="H61" s="165">
        <f ca="1"/>
        <v>5650.7551359749204</v>
      </c>
      <c r="I61" s="609"/>
      <c r="J61" s="609">
        <f t="shared" si="1"/>
        <v>0</v>
      </c>
      <c r="K61" s="323">
        <f t="shared" si="2"/>
        <v>0</v>
      </c>
      <c r="L61" s="56">
        <f t="shared" si="3"/>
        <v>2138.5989841859159</v>
      </c>
      <c r="M61" s="56">
        <f t="shared" si="4"/>
        <v>1761.331457787925</v>
      </c>
      <c r="N61" s="56">
        <f t="shared" si="5"/>
        <v>1383.877608923046</v>
      </c>
      <c r="O61" s="56">
        <f t="shared" si="6"/>
        <v>262.93120149269419</v>
      </c>
      <c r="P61" s="56">
        <f t="shared" si="7"/>
        <v>538.58134659635164</v>
      </c>
      <c r="Q61" s="56">
        <f t="shared" si="8"/>
        <v>6085.3205989859343</v>
      </c>
      <c r="R61" s="500">
        <v>0.35143571310643762</v>
      </c>
      <c r="S61" s="500">
        <v>0.28943938600070401</v>
      </c>
      <c r="T61" s="500">
        <v>0.22741244054646145</v>
      </c>
      <c r="U61" s="500">
        <v>4.3207452625669281E-2</v>
      </c>
      <c r="V61" s="500">
        <v>8.8505007720727405E-2</v>
      </c>
      <c r="W61" s="500">
        <v>-434.56546301101298</v>
      </c>
      <c r="X61" s="500">
        <v>1985.8771608012114</v>
      </c>
      <c r="Y61" s="500">
        <v>1635.5510969969057</v>
      </c>
      <c r="Z61" s="500">
        <v>1285.0520164025086</v>
      </c>
      <c r="AA61" s="500">
        <v>244.15473483689379</v>
      </c>
      <c r="AB61" s="500">
        <v>500.12012693740047</v>
      </c>
    </row>
    <row r="62" spans="1:28" ht="15" customHeight="1">
      <c r="A62" s="16"/>
      <c r="B62" s="22">
        <f>'Oil supply projection'!$B62</f>
        <v>2071</v>
      </c>
      <c r="C62" s="157">
        <f ca="1"/>
        <v>2002.5750279716572</v>
      </c>
      <c r="D62" s="157">
        <f ca="1"/>
        <v>1649.3033146603148</v>
      </c>
      <c r="E62" s="157">
        <f ca="1"/>
        <v>1295.8571297803901</v>
      </c>
      <c r="F62" s="157">
        <f ca="1"/>
        <v>246.20766309036995</v>
      </c>
      <c r="G62" s="162">
        <f ca="1"/>
        <v>504.32529109040274</v>
      </c>
      <c r="H62" s="165">
        <f ca="1"/>
        <v>5698.2684265931348</v>
      </c>
      <c r="I62" s="609"/>
      <c r="J62" s="609">
        <f t="shared" si="1"/>
        <v>0</v>
      </c>
      <c r="K62" s="323">
        <f t="shared" si="2"/>
        <v>0</v>
      </c>
      <c r="L62" s="56">
        <f t="shared" si="3"/>
        <v>2156.580983512792</v>
      </c>
      <c r="M62" s="56">
        <f t="shared" si="4"/>
        <v>1776.1412754875273</v>
      </c>
      <c r="N62" s="56">
        <f t="shared" si="5"/>
        <v>1395.5136783386527</v>
      </c>
      <c r="O62" s="56">
        <f t="shared" si="6"/>
        <v>265.14200806429466</v>
      </c>
      <c r="P62" s="56">
        <f t="shared" si="7"/>
        <v>543.10990453712441</v>
      </c>
      <c r="Q62" s="56">
        <f t="shared" si="8"/>
        <v>6136.4878499403922</v>
      </c>
      <c r="R62" s="500">
        <v>0.35143571310643762</v>
      </c>
      <c r="S62" s="500">
        <v>0.28943938600070401</v>
      </c>
      <c r="T62" s="500">
        <v>0.22741244054646148</v>
      </c>
      <c r="U62" s="500">
        <v>4.3207452625669288E-2</v>
      </c>
      <c r="V62" s="500">
        <v>8.8505007720727419E-2</v>
      </c>
      <c r="W62" s="500">
        <v>-438.21942334725645</v>
      </c>
      <c r="X62" s="500">
        <v>2002.5750279716572</v>
      </c>
      <c r="Y62" s="500">
        <v>1649.3033146603148</v>
      </c>
      <c r="Z62" s="500">
        <v>1295.8571297803901</v>
      </c>
      <c r="AA62" s="500">
        <v>246.20766309036995</v>
      </c>
      <c r="AB62" s="500">
        <v>504.32529109040274</v>
      </c>
    </row>
    <row r="63" spans="1:28" ht="15" customHeight="1">
      <c r="A63" s="16"/>
      <c r="B63" s="22">
        <f>'Oil supply projection'!$B63</f>
        <v>2072</v>
      </c>
      <c r="C63" s="157">
        <f ca="1"/>
        <v>2019.4132959551762</v>
      </c>
      <c r="D63" s="157">
        <f ca="1"/>
        <v>1663.1711652079598</v>
      </c>
      <c r="E63" s="157">
        <f ca="1"/>
        <v>1306.7530958814439</v>
      </c>
      <c r="F63" s="157">
        <f ca="1"/>
        <v>248.27785299726736</v>
      </c>
      <c r="G63" s="162">
        <f ca="1"/>
        <v>508.56581355953978</v>
      </c>
      <c r="H63" s="165">
        <f ca="1"/>
        <v>5746.1812236013866</v>
      </c>
      <c r="I63" s="609"/>
      <c r="J63" s="609">
        <f t="shared" si="1"/>
        <v>0</v>
      </c>
      <c r="K63" s="323">
        <f t="shared" si="2"/>
        <v>0</v>
      </c>
      <c r="L63" s="56">
        <f t="shared" si="3"/>
        <v>2174.7141810316539</v>
      </c>
      <c r="M63" s="56">
        <f t="shared" si="4"/>
        <v>1791.0756186983988</v>
      </c>
      <c r="N63" s="56">
        <f t="shared" si="5"/>
        <v>1407.2475874118791</v>
      </c>
      <c r="O63" s="56">
        <f t="shared" si="6"/>
        <v>267.37140377886976</v>
      </c>
      <c r="P63" s="56">
        <f t="shared" si="7"/>
        <v>547.67653998866228</v>
      </c>
      <c r="Q63" s="56">
        <f t="shared" si="8"/>
        <v>6188.0853309094655</v>
      </c>
      <c r="R63" s="500">
        <v>0.35143571310643762</v>
      </c>
      <c r="S63" s="500">
        <v>0.28943938600070396</v>
      </c>
      <c r="T63" s="500">
        <v>0.22741244054646145</v>
      </c>
      <c r="U63" s="500">
        <v>4.3207452625669281E-2</v>
      </c>
      <c r="V63" s="500">
        <v>8.8505007720727419E-2</v>
      </c>
      <c r="W63" s="500">
        <v>-441.90410730807707</v>
      </c>
      <c r="X63" s="500">
        <v>2019.4132959551762</v>
      </c>
      <c r="Y63" s="500">
        <v>1663.1711652079598</v>
      </c>
      <c r="Z63" s="500">
        <v>1306.7530958814439</v>
      </c>
      <c r="AA63" s="500">
        <v>248.27785299726736</v>
      </c>
      <c r="AB63" s="500">
        <v>508.56581355953978</v>
      </c>
    </row>
    <row r="64" spans="1:28" ht="15" customHeight="1">
      <c r="A64" s="16"/>
      <c r="B64" s="22">
        <f>'Oil supply projection'!$B64</f>
        <v>2073</v>
      </c>
      <c r="C64" s="157">
        <f ca="1"/>
        <v>2036.393145285075</v>
      </c>
      <c r="D64" s="157">
        <f ca="1"/>
        <v>1677.1556209167679</v>
      </c>
      <c r="E64" s="157">
        <f ca="1"/>
        <v>1317.7406786233662</v>
      </c>
      <c r="F64" s="157">
        <f ca="1"/>
        <v>250.36544969888772</v>
      </c>
      <c r="G64" s="162">
        <f ca="1"/>
        <v>512.84199164843062</v>
      </c>
      <c r="H64" s="165">
        <f ca="1"/>
        <v>5794.4968861725274</v>
      </c>
      <c r="I64" s="609"/>
      <c r="J64" s="609">
        <f t="shared" si="1"/>
        <v>0</v>
      </c>
      <c r="K64" s="323">
        <f t="shared" si="2"/>
        <v>0</v>
      </c>
      <c r="L64" s="56">
        <f t="shared" si="3"/>
        <v>2192.9998480634958</v>
      </c>
      <c r="M64" s="56">
        <f t="shared" si="4"/>
        <v>1806.1355344694141</v>
      </c>
      <c r="N64" s="56">
        <f t="shared" si="5"/>
        <v>1419.0801588087186</v>
      </c>
      <c r="O64" s="56">
        <f t="shared" si="6"/>
        <v>269.61954493966232</v>
      </c>
      <c r="P64" s="56">
        <f t="shared" si="7"/>
        <v>552.28157311841051</v>
      </c>
      <c r="Q64" s="56">
        <f t="shared" si="8"/>
        <v>6240.1166593997032</v>
      </c>
      <c r="R64" s="500">
        <v>0.35143571310643762</v>
      </c>
      <c r="S64" s="500">
        <v>0.28943938600070396</v>
      </c>
      <c r="T64" s="500">
        <v>0.22741244054646145</v>
      </c>
      <c r="U64" s="500">
        <v>4.3207452625669281E-2</v>
      </c>
      <c r="V64" s="500">
        <v>8.8505007720727419E-2</v>
      </c>
      <c r="W64" s="500">
        <v>-445.61977322717394</v>
      </c>
      <c r="X64" s="500">
        <v>2036.393145285075</v>
      </c>
      <c r="Y64" s="500">
        <v>1677.1556209167679</v>
      </c>
      <c r="Z64" s="500">
        <v>1317.7406786233662</v>
      </c>
      <c r="AA64" s="500">
        <v>250.36544969888772</v>
      </c>
      <c r="AB64" s="500">
        <v>512.84199164843062</v>
      </c>
    </row>
    <row r="65" spans="1:28" ht="15" customHeight="1">
      <c r="A65" s="16"/>
      <c r="B65" s="22">
        <f>'Oil supply projection'!$B65</f>
        <v>2074</v>
      </c>
      <c r="C65" s="157">
        <f ca="1"/>
        <v>2053.5157664209446</v>
      </c>
      <c r="D65" s="157">
        <f ca="1"/>
        <v>1691.2576622388681</v>
      </c>
      <c r="E65" s="157">
        <f ca="1"/>
        <v>1328.8206483471067</v>
      </c>
      <c r="F65" s="157">
        <f ca="1"/>
        <v>252.47059955692529</v>
      </c>
      <c r="G65" s="162">
        <f ca="1"/>
        <v>517.15412516051413</v>
      </c>
      <c r="H65" s="165">
        <f ca="1"/>
        <v>5843.2188017243589</v>
      </c>
      <c r="I65" s="609"/>
      <c r="J65" s="609">
        <f t="shared" si="1"/>
        <v>0</v>
      </c>
      <c r="K65" s="323">
        <f t="shared" si="2"/>
        <v>0</v>
      </c>
      <c r="L65" s="56">
        <f t="shared" si="3"/>
        <v>2211.4392666189706</v>
      </c>
      <c r="M65" s="56">
        <f t="shared" si="4"/>
        <v>1821.3220786533575</v>
      </c>
      <c r="N65" s="56">
        <f t="shared" si="5"/>
        <v>1431.0122221123936</v>
      </c>
      <c r="O65" s="56">
        <f t="shared" si="6"/>
        <v>271.88658916416108</v>
      </c>
      <c r="P65" s="56">
        <f t="shared" si="7"/>
        <v>556.92532678588066</v>
      </c>
      <c r="Q65" s="56">
        <f t="shared" si="8"/>
        <v>6292.5854833347657</v>
      </c>
      <c r="R65" s="500">
        <v>0.35143571310643756</v>
      </c>
      <c r="S65" s="500">
        <v>0.28943938600070396</v>
      </c>
      <c r="T65" s="500">
        <v>0.22741244054646143</v>
      </c>
      <c r="U65" s="500">
        <v>4.3207452625669274E-2</v>
      </c>
      <c r="V65" s="500">
        <v>8.8505007720727405E-2</v>
      </c>
      <c r="W65" s="500">
        <v>-449.36668161040507</v>
      </c>
      <c r="X65" s="500">
        <v>2053.5157664209446</v>
      </c>
      <c r="Y65" s="500">
        <v>1691.2576622388681</v>
      </c>
      <c r="Z65" s="500">
        <v>1328.8206483471067</v>
      </c>
      <c r="AA65" s="500">
        <v>252.47059955692529</v>
      </c>
      <c r="AB65" s="500">
        <v>517.15412516051413</v>
      </c>
    </row>
    <row r="66" spans="1:28" ht="15" customHeight="1">
      <c r="A66" s="16"/>
      <c r="B66" s="22">
        <f>'Oil supply projection'!$B66</f>
        <v>2075</v>
      </c>
      <c r="C66" s="157">
        <f ca="1"/>
        <v>2070.7823598321288</v>
      </c>
      <c r="D66" s="157">
        <f ca="1"/>
        <v>1705.4782778703345</v>
      </c>
      <c r="E66" s="157">
        <f ca="1"/>
        <v>1339.9937818708804</v>
      </c>
      <c r="F66" s="157">
        <f ca="1"/>
        <v>254.59345016372887</v>
      </c>
      <c r="G66" s="162">
        <f ca="1"/>
        <v>521.50251642006913</v>
      </c>
      <c r="H66" s="165">
        <f ca="1"/>
        <v>5892.3503861571407</v>
      </c>
      <c r="I66" s="609"/>
      <c r="J66" s="609">
        <f t="shared" si="1"/>
        <v>0</v>
      </c>
      <c r="K66" s="323">
        <f t="shared" si="2"/>
        <v>0</v>
      </c>
      <c r="L66" s="56">
        <f t="shared" si="3"/>
        <v>2230.0337294882715</v>
      </c>
      <c r="M66" s="56">
        <f t="shared" si="4"/>
        <v>1836.6363159809489</v>
      </c>
      <c r="N66" s="56">
        <f t="shared" si="5"/>
        <v>1443.044613881518</v>
      </c>
      <c r="O66" s="56">
        <f t="shared" si="6"/>
        <v>274.17269539515121</v>
      </c>
      <c r="P66" s="56">
        <f t="shared" si="7"/>
        <v>561.60812656528674</v>
      </c>
      <c r="Q66" s="56">
        <f t="shared" si="8"/>
        <v>6345.495481311179</v>
      </c>
      <c r="R66" s="500">
        <v>0.35143571310643756</v>
      </c>
      <c r="S66" s="500">
        <v>0.2894393860007039</v>
      </c>
      <c r="T66" s="500">
        <v>0.2274124405464614</v>
      </c>
      <c r="U66" s="500">
        <v>4.3207452625669274E-2</v>
      </c>
      <c r="V66" s="500">
        <v>8.8505007720727405E-2</v>
      </c>
      <c r="W66" s="500">
        <v>-453.14509515403461</v>
      </c>
      <c r="X66" s="500">
        <v>2070.7823598321288</v>
      </c>
      <c r="Y66" s="500">
        <v>1705.4782778703345</v>
      </c>
      <c r="Z66" s="500">
        <v>1339.9937818708804</v>
      </c>
      <c r="AA66" s="500">
        <v>254.59345016372887</v>
      </c>
      <c r="AB66" s="500">
        <v>521.50251642006913</v>
      </c>
    </row>
    <row r="67" spans="1:28" ht="15" customHeight="1">
      <c r="A67" s="16"/>
      <c r="B67" s="22">
        <f>'Oil supply projection'!$B67</f>
        <v>2076</v>
      </c>
      <c r="C67" s="157">
        <f ca="1"/>
        <v>2088.1941360818882</v>
      </c>
      <c r="D67" s="157">
        <f ca="1"/>
        <v>1719.8184648205029</v>
      </c>
      <c r="E67" s="157">
        <f ca="1"/>
        <v>1351.2608625446294</v>
      </c>
      <c r="F67" s="157">
        <f ca="1"/>
        <v>256.73415035264901</v>
      </c>
      <c r="G67" s="162">
        <f ca="1"/>
        <v>525.8874702934105</v>
      </c>
      <c r="H67" s="165">
        <f ca="1"/>
        <v>5941.8950840930802</v>
      </c>
      <c r="I67" s="609"/>
      <c r="J67" s="609">
        <f t="shared" si="1"/>
        <v>0</v>
      </c>
      <c r="K67" s="323">
        <f t="shared" si="2"/>
        <v>0</v>
      </c>
      <c r="L67" s="56">
        <f t="shared" si="3"/>
        <v>2248.7845403317706</v>
      </c>
      <c r="M67" s="56">
        <f t="shared" si="4"/>
        <v>1852.0793201354925</v>
      </c>
      <c r="N67" s="56">
        <f t="shared" si="5"/>
        <v>1455.1781777087483</v>
      </c>
      <c r="O67" s="56">
        <f t="shared" si="6"/>
        <v>276.47802391185775</v>
      </c>
      <c r="P67" s="56">
        <f t="shared" si="7"/>
        <v>566.3303007683711</v>
      </c>
      <c r="Q67" s="56">
        <f t="shared" si="8"/>
        <v>6398.850362856243</v>
      </c>
      <c r="R67" s="500">
        <v>0.35143571310643756</v>
      </c>
      <c r="S67" s="500">
        <v>0.2894393860007039</v>
      </c>
      <c r="T67" s="500">
        <v>0.2274124405464614</v>
      </c>
      <c r="U67" s="500">
        <v>4.3207452625669274E-2</v>
      </c>
      <c r="V67" s="500">
        <v>8.8505007720727405E-2</v>
      </c>
      <c r="W67" s="500">
        <v>-456.95527876316009</v>
      </c>
      <c r="X67" s="500">
        <v>2088.1941360818882</v>
      </c>
      <c r="Y67" s="500">
        <v>1719.8184648205029</v>
      </c>
      <c r="Z67" s="500">
        <v>1351.2608625446294</v>
      </c>
      <c r="AA67" s="500">
        <v>256.73415035264901</v>
      </c>
      <c r="AB67" s="500">
        <v>525.8874702934105</v>
      </c>
    </row>
    <row r="68" spans="1:28" ht="15" customHeight="1">
      <c r="A68" s="16"/>
      <c r="B68" s="22">
        <f>'Oil supply projection'!$B68</f>
        <v>2077</v>
      </c>
      <c r="C68" s="157">
        <f ca="1"/>
        <v>2105.752315912272</v>
      </c>
      <c r="D68" s="157">
        <f ca="1"/>
        <v>1734.2792284818697</v>
      </c>
      <c r="E68" s="157">
        <f ca="1"/>
        <v>1362.6226803049428</v>
      </c>
      <c r="F68" s="157">
        <f ca="1"/>
        <v>258.89285020847302</v>
      </c>
      <c r="G68" s="162">
        <f ca="1"/>
        <v>530.30929421026258</v>
      </c>
      <c r="H68" s="165">
        <f ca="1"/>
        <v>5991.8563691178206</v>
      </c>
      <c r="I68" s="609"/>
      <c r="J68" s="609">
        <f t="shared" si="1"/>
        <v>0</v>
      </c>
      <c r="K68" s="323">
        <f t="shared" si="2"/>
        <v>0</v>
      </c>
      <c r="L68" s="56">
        <f t="shared" si="3"/>
        <v>2267.6930137714176</v>
      </c>
      <c r="M68" s="56">
        <f t="shared" si="4"/>
        <v>1867.6521738281519</v>
      </c>
      <c r="N68" s="56">
        <f t="shared" si="5"/>
        <v>1467.4137642799278</v>
      </c>
      <c r="O68" s="56">
        <f t="shared" si="6"/>
        <v>278.80273634118288</v>
      </c>
      <c r="P68" s="56">
        <f t="shared" si="7"/>
        <v>571.09218046742228</v>
      </c>
      <c r="Q68" s="56">
        <f t="shared" si="8"/>
        <v>6452.6538686881049</v>
      </c>
      <c r="R68" s="500">
        <v>0.35143571310643762</v>
      </c>
      <c r="S68" s="500">
        <v>0.28943938600070396</v>
      </c>
      <c r="T68" s="500">
        <v>0.2274124405464614</v>
      </c>
      <c r="U68" s="500">
        <v>4.3207452625669281E-2</v>
      </c>
      <c r="V68" s="500">
        <v>8.8505007720727405E-2</v>
      </c>
      <c r="W68" s="500">
        <v>-460.79749957028253</v>
      </c>
      <c r="X68" s="500">
        <v>2105.752315912272</v>
      </c>
      <c r="Y68" s="500">
        <v>1734.2792284818697</v>
      </c>
      <c r="Z68" s="500">
        <v>1362.6226803049428</v>
      </c>
      <c r="AA68" s="500">
        <v>258.89285020847302</v>
      </c>
      <c r="AB68" s="500">
        <v>530.30929421026258</v>
      </c>
    </row>
    <row r="69" spans="1:28" ht="15" customHeight="1">
      <c r="A69" s="16"/>
      <c r="B69" s="22">
        <f>'Oil supply projection'!$B69</f>
        <v>2078</v>
      </c>
      <c r="C69" s="157">
        <f ca="1"/>
        <v>2123.4581303297032</v>
      </c>
      <c r="D69" s="157">
        <f ca="1"/>
        <v>1748.8615827005817</v>
      </c>
      <c r="E69" s="157">
        <f ca="1"/>
        <v>1374.0800317304402</v>
      </c>
      <c r="F69" s="157">
        <f ca="1"/>
        <v>261.06970107794729</v>
      </c>
      <c r="G69" s="162">
        <f ca="1"/>
        <v>534.76829818531348</v>
      </c>
      <c r="H69" s="165">
        <f ca="1"/>
        <v>6042.2377440239861</v>
      </c>
      <c r="I69" s="609"/>
      <c r="J69" s="609">
        <f t="shared" si="1"/>
        <v>0</v>
      </c>
      <c r="K69" s="323">
        <f t="shared" si="2"/>
        <v>0</v>
      </c>
      <c r="L69" s="56">
        <f t="shared" si="3"/>
        <v>2286.760475482909</v>
      </c>
      <c r="M69" s="56">
        <f t="shared" si="4"/>
        <v>1883.3559688738608</v>
      </c>
      <c r="N69" s="56">
        <f t="shared" si="5"/>
        <v>1479.7522314337289</v>
      </c>
      <c r="O69" s="56">
        <f t="shared" si="6"/>
        <v>281.14699566903755</v>
      </c>
      <c r="P69" s="56">
        <f t="shared" si="7"/>
        <v>575.89409951848666</v>
      </c>
      <c r="Q69" s="56">
        <f t="shared" si="8"/>
        <v>6506.9097709780253</v>
      </c>
      <c r="R69" s="500">
        <v>0.35143571310643762</v>
      </c>
      <c r="S69" s="500">
        <v>0.28943938600070396</v>
      </c>
      <c r="T69" s="500">
        <v>0.2274124405464614</v>
      </c>
      <c r="U69" s="500">
        <v>4.3207452625669274E-2</v>
      </c>
      <c r="V69" s="500">
        <v>8.8505007720727391E-2</v>
      </c>
      <c r="W69" s="500">
        <v>-464.67202695403739</v>
      </c>
      <c r="X69" s="500">
        <v>2123.4581303297032</v>
      </c>
      <c r="Y69" s="500">
        <v>1748.8615827005817</v>
      </c>
      <c r="Z69" s="500">
        <v>1374.0800317304402</v>
      </c>
      <c r="AA69" s="500">
        <v>261.06970107794729</v>
      </c>
      <c r="AB69" s="500">
        <v>534.76829818531348</v>
      </c>
    </row>
    <row r="70" spans="1:28" ht="15" customHeight="1">
      <c r="A70" s="16"/>
      <c r="B70" s="22">
        <f>'Oil supply projection'!$B70</f>
        <v>2079</v>
      </c>
      <c r="C70" s="157">
        <f ca="1"/>
        <v>2141.312820691287</v>
      </c>
      <c r="D70" s="157">
        <f ca="1"/>
        <v>1763.5665498475159</v>
      </c>
      <c r="E70" s="157">
        <f ca="1"/>
        <v>1385.6337200976195</v>
      </c>
      <c r="F70" s="157">
        <f ca="1"/>
        <v>263.2648555803882</v>
      </c>
      <c r="G70" s="162">
        <f ca="1"/>
        <v>539.26479483995092</v>
      </c>
      <c r="H70" s="165">
        <f ca="1"/>
        <v>6093.0427410567618</v>
      </c>
      <c r="I70" s="609"/>
      <c r="J70" s="609">
        <f t="shared" si="1"/>
        <v>0</v>
      </c>
      <c r="K70" s="323">
        <f t="shared" si="2"/>
        <v>0</v>
      </c>
      <c r="L70" s="56">
        <f t="shared" si="3"/>
        <v>2305.9882622886312</v>
      </c>
      <c r="M70" s="56">
        <f t="shared" si="4"/>
        <v>1899.1918062678683</v>
      </c>
      <c r="N70" s="56">
        <f t="shared" si="5"/>
        <v>1492.1944442217957</v>
      </c>
      <c r="O70" s="56">
        <f t="shared" si="6"/>
        <v>283.51096625176854</v>
      </c>
      <c r="P70" s="56">
        <f t="shared" si="7"/>
        <v>580.73639458477533</v>
      </c>
      <c r="Q70" s="56">
        <f t="shared" si="8"/>
        <v>6561.6218736148412</v>
      </c>
      <c r="R70" s="500">
        <v>0.35143571310643762</v>
      </c>
      <c r="S70" s="500">
        <v>0.28943938600070396</v>
      </c>
      <c r="T70" s="500">
        <v>0.2274124405464614</v>
      </c>
      <c r="U70" s="500">
        <v>4.3207452625669281E-2</v>
      </c>
      <c r="V70" s="500">
        <v>8.8505007720727405E-2</v>
      </c>
      <c r="W70" s="500">
        <v>-468.57913255807762</v>
      </c>
      <c r="X70" s="500">
        <v>2141.312820691287</v>
      </c>
      <c r="Y70" s="500">
        <v>1763.5665498475159</v>
      </c>
      <c r="Z70" s="500">
        <v>1385.6337200976195</v>
      </c>
      <c r="AA70" s="500">
        <v>263.2648555803882</v>
      </c>
      <c r="AB70" s="500">
        <v>539.26479483995092</v>
      </c>
    </row>
    <row r="71" spans="1:28" ht="15" customHeight="1">
      <c r="A71" s="16"/>
      <c r="B71" s="22">
        <f>'Oil supply projection'!$B71</f>
        <v>2080</v>
      </c>
      <c r="C71" s="157">
        <f ca="1"/>
        <v>2159.3176387918434</v>
      </c>
      <c r="D71" s="157">
        <f ca="1"/>
        <v>1778.3951608899597</v>
      </c>
      <c r="E71" s="157">
        <f ca="1"/>
        <v>1397.2845554371752</v>
      </c>
      <c r="F71" s="157">
        <f ca="1"/>
        <v>265.47846761838264</v>
      </c>
      <c r="G71" s="162">
        <f ca="1"/>
        <v>543.79909942417896</v>
      </c>
      <c r="H71" s="165">
        <f ca="1"/>
        <v>6144.2749221615395</v>
      </c>
      <c r="I71" s="609"/>
      <c r="J71" s="609">
        <f t="shared" si="1"/>
        <v>0</v>
      </c>
      <c r="K71" s="323">
        <f t="shared" si="2"/>
        <v>0</v>
      </c>
      <c r="L71" s="56">
        <f t="shared" si="3"/>
        <v>2325.377722251385</v>
      </c>
      <c r="M71" s="56">
        <f t="shared" si="4"/>
        <v>1915.1607962629316</v>
      </c>
      <c r="N71" s="56">
        <f t="shared" si="5"/>
        <v>1504.7412749693931</v>
      </c>
      <c r="O71" s="56">
        <f t="shared" si="6"/>
        <v>285.89481382768139</v>
      </c>
      <c r="P71" s="56">
        <f t="shared" si="7"/>
        <v>585.61940516026709</v>
      </c>
      <c r="Q71" s="56">
        <f t="shared" si="8"/>
        <v>6616.7940124716606</v>
      </c>
      <c r="R71" s="500">
        <v>0.35143571310643767</v>
      </c>
      <c r="S71" s="500">
        <v>0.28943938600070396</v>
      </c>
      <c r="T71" s="500">
        <v>0.22741244054646137</v>
      </c>
      <c r="U71" s="500">
        <v>4.3207452625669274E-2</v>
      </c>
      <c r="V71" s="500">
        <v>8.8505007720727391E-2</v>
      </c>
      <c r="W71" s="500">
        <v>-472.51909031011837</v>
      </c>
      <c r="X71" s="500">
        <v>2159.3176387918434</v>
      </c>
      <c r="Y71" s="500">
        <v>1778.3951608899597</v>
      </c>
      <c r="Z71" s="500">
        <v>1397.2845554371752</v>
      </c>
      <c r="AA71" s="500">
        <v>265.47846761838264</v>
      </c>
      <c r="AB71" s="500">
        <v>543.79909942417896</v>
      </c>
    </row>
    <row r="72" spans="1:28" ht="15" customHeight="1">
      <c r="A72" s="16"/>
      <c r="B72" s="22">
        <f>'Oil supply projection'!$B72</f>
        <v>2081</v>
      </c>
      <c r="C72" s="157">
        <f ca="1"/>
        <v>2177.4738469516678</v>
      </c>
      <c r="D72" s="157">
        <f ca="1"/>
        <v>1793.3484554638919</v>
      </c>
      <c r="E72" s="157">
        <f ca="1"/>
        <v>1409.0333545907909</v>
      </c>
      <c r="F72" s="157">
        <f ca="1"/>
        <v>267.7106923885778</v>
      </c>
      <c r="G72" s="162">
        <f ca="1"/>
        <v>548.3715298387217</v>
      </c>
      <c r="H72" s="165">
        <f ca="1"/>
        <v>6195.9378792336493</v>
      </c>
      <c r="I72" s="609"/>
      <c r="J72" s="609">
        <f t="shared" si="1"/>
        <v>0</v>
      </c>
      <c r="K72" s="323">
        <f t="shared" si="2"/>
        <v>0</v>
      </c>
      <c r="L72" s="56">
        <f t="shared" si="3"/>
        <v>2344.9302147688986</v>
      </c>
      <c r="M72" s="56">
        <f t="shared" si="4"/>
        <v>1931.2640584471549</v>
      </c>
      <c r="N72" s="56">
        <f t="shared" si="5"/>
        <v>1517.3936033365658</v>
      </c>
      <c r="O72" s="56">
        <f t="shared" si="6"/>
        <v>288.29870552866043</v>
      </c>
      <c r="P72" s="56">
        <f t="shared" si="7"/>
        <v>590.54347359351107</v>
      </c>
      <c r="Q72" s="56">
        <f t="shared" si="8"/>
        <v>6672.430055674793</v>
      </c>
      <c r="R72" s="500">
        <v>0.35143571310643767</v>
      </c>
      <c r="S72" s="500">
        <v>0.28943938600070396</v>
      </c>
      <c r="T72" s="500">
        <v>0.22741244054646137</v>
      </c>
      <c r="U72" s="500">
        <v>4.3207452625669274E-2</v>
      </c>
      <c r="V72" s="500">
        <v>8.8505007720727391E-2</v>
      </c>
      <c r="W72" s="500">
        <v>-476.49217644114105</v>
      </c>
      <c r="X72" s="500">
        <v>2177.4738469516678</v>
      </c>
      <c r="Y72" s="500">
        <v>1793.3484554638919</v>
      </c>
      <c r="Z72" s="500">
        <v>1409.0333545907909</v>
      </c>
      <c r="AA72" s="500">
        <v>267.7106923885778</v>
      </c>
      <c r="AB72" s="500">
        <v>548.3715298387217</v>
      </c>
    </row>
    <row r="73" spans="1:28" ht="15" customHeight="1">
      <c r="A73" s="16"/>
      <c r="B73" s="22">
        <f>'Oil supply projection'!$B73</f>
        <v>2082</v>
      </c>
      <c r="C73" s="157">
        <f ca="1"/>
        <v>2195.7827181050316</v>
      </c>
      <c r="D73" s="157">
        <f ca="1"/>
        <v>1808.4274819468683</v>
      </c>
      <c r="E73" s="157">
        <f ca="1"/>
        <v>1420.8809412684038</v>
      </c>
      <c r="F73" s="157">
        <f ca="1"/>
        <v>269.96168639256183</v>
      </c>
      <c r="G73" s="162">
        <f ca="1"/>
        <v>552.9824066573093</v>
      </c>
      <c r="H73" s="165">
        <f ca="1"/>
        <v>6248.0352343701752</v>
      </c>
      <c r="I73" s="609"/>
      <c r="J73" s="609">
        <f t="shared" si="1"/>
        <v>0</v>
      </c>
      <c r="K73" s="323">
        <f t="shared" si="2"/>
        <v>0</v>
      </c>
      <c r="L73" s="56">
        <f t="shared" si="3"/>
        <v>2364.6471106691351</v>
      </c>
      <c r="M73" s="56">
        <f t="shared" si="4"/>
        <v>1947.5027218224843</v>
      </c>
      <c r="N73" s="56">
        <f t="shared" si="5"/>
        <v>1530.1523163798113</v>
      </c>
      <c r="O73" s="56">
        <f t="shared" si="6"/>
        <v>290.72280989188636</v>
      </c>
      <c r="P73" s="56">
        <f t="shared" si="7"/>
        <v>595.50894511162824</v>
      </c>
      <c r="Q73" s="56">
        <f t="shared" si="8"/>
        <v>6728.533903874948</v>
      </c>
      <c r="R73" s="500">
        <v>0.35143571310643767</v>
      </c>
      <c r="S73" s="500">
        <v>0.2894393860007039</v>
      </c>
      <c r="T73" s="500">
        <v>0.22741244054646137</v>
      </c>
      <c r="U73" s="500">
        <v>4.3207452625669274E-2</v>
      </c>
      <c r="V73" s="500">
        <v>8.8505007720727377E-2</v>
      </c>
      <c r="W73" s="500">
        <v>-480.49866950477099</v>
      </c>
      <c r="X73" s="500">
        <v>2195.7827181050316</v>
      </c>
      <c r="Y73" s="500">
        <v>1808.4274819468683</v>
      </c>
      <c r="Z73" s="500">
        <v>1420.8809412684038</v>
      </c>
      <c r="AA73" s="500">
        <v>269.96168639256183</v>
      </c>
      <c r="AB73" s="500">
        <v>552.9824066573093</v>
      </c>
    </row>
    <row r="74" spans="1:28" ht="15" customHeight="1">
      <c r="A74" s="16"/>
      <c r="B74" s="22">
        <f>'Oil supply projection'!$B74</f>
        <v>2083</v>
      </c>
      <c r="C74" s="157">
        <f ca="1"/>
        <v>2214.2455358894331</v>
      </c>
      <c r="D74" s="157">
        <f ca="1"/>
        <v>1823.6332975315283</v>
      </c>
      <c r="E74" s="157">
        <f ca="1"/>
        <v>1432.8281461059601</v>
      </c>
      <c r="F74" s="157">
        <f ca="1"/>
        <v>272.23160744783684</v>
      </c>
      <c r="G74" s="162">
        <f ca="1"/>
        <v>557.63205314915547</v>
      </c>
      <c r="H74" s="165">
        <f ca="1"/>
        <v>6300.570640123914</v>
      </c>
      <c r="I74" s="609"/>
      <c r="J74" s="609">
        <f t="shared" si="1"/>
        <v>0</v>
      </c>
      <c r="K74" s="323">
        <f t="shared" si="2"/>
        <v>0</v>
      </c>
      <c r="L74" s="56">
        <f t="shared" si="3"/>
        <v>2384.5297923064027</v>
      </c>
      <c r="M74" s="56">
        <f t="shared" si="4"/>
        <v>1963.8779248838623</v>
      </c>
      <c r="N74" s="56">
        <f t="shared" si="5"/>
        <v>1543.0183086142711</v>
      </c>
      <c r="O74" s="56">
        <f t="shared" si="6"/>
        <v>293.16729687165241</v>
      </c>
      <c r="P74" s="56">
        <f t="shared" si="7"/>
        <v>600.51616784451585</v>
      </c>
      <c r="Q74" s="56">
        <f t="shared" si="8"/>
        <v>6785.1094905207065</v>
      </c>
      <c r="R74" s="500">
        <v>0.35143571310643767</v>
      </c>
      <c r="S74" s="500">
        <v>0.2894393860007039</v>
      </c>
      <c r="T74" s="500">
        <v>0.2274124405464614</v>
      </c>
      <c r="U74" s="500">
        <v>4.3207452625669274E-2</v>
      </c>
      <c r="V74" s="500">
        <v>8.8505007720727391E-2</v>
      </c>
      <c r="W74" s="500">
        <v>-484.53885039679062</v>
      </c>
      <c r="X74" s="500">
        <v>2214.2455358894331</v>
      </c>
      <c r="Y74" s="500">
        <v>1823.6332975315283</v>
      </c>
      <c r="Z74" s="500">
        <v>1432.8281461059601</v>
      </c>
      <c r="AA74" s="500">
        <v>272.23160744783684</v>
      </c>
      <c r="AB74" s="500">
        <v>557.63205314915547</v>
      </c>
    </row>
    <row r="75" spans="1:28" ht="15" customHeight="1">
      <c r="A75" s="16"/>
      <c r="B75" s="22">
        <f>'Oil supply projection'!$B75</f>
        <v>2084</v>
      </c>
      <c r="C75" s="157">
        <f ca="1"/>
        <v>2232.8635947355883</v>
      </c>
      <c r="D75" s="157">
        <f ca="1"/>
        <v>1838.9669682997126</v>
      </c>
      <c r="E75" s="157">
        <f ca="1"/>
        <v>1444.8758067236492</v>
      </c>
      <c r="F75" s="157">
        <f ca="1"/>
        <v>274.52061469888292</v>
      </c>
      <c r="G75" s="162">
        <f ca="1"/>
        <v>562.32079530162116</v>
      </c>
      <c r="H75" s="165">
        <f ca="1"/>
        <v>6353.547779759454</v>
      </c>
      <c r="I75" s="609"/>
      <c r="J75" s="609">
        <f t="shared" si="1"/>
        <v>0</v>
      </c>
      <c r="K75" s="323">
        <f t="shared" si="2"/>
        <v>0</v>
      </c>
      <c r="L75" s="56">
        <f t="shared" si="3"/>
        <v>2404.5796536582689</v>
      </c>
      <c r="M75" s="56">
        <f t="shared" si="4"/>
        <v>1980.3908156990476</v>
      </c>
      <c r="N75" s="56">
        <f t="shared" si="5"/>
        <v>1555.9924820764461</v>
      </c>
      <c r="O75" s="56">
        <f t="shared" si="6"/>
        <v>295.63233785127994</v>
      </c>
      <c r="P75" s="56">
        <f t="shared" si="7"/>
        <v>605.56549284925438</v>
      </c>
      <c r="Q75" s="56">
        <f t="shared" si="8"/>
        <v>6842.1607821342996</v>
      </c>
      <c r="R75" s="500">
        <v>0.35143571310643767</v>
      </c>
      <c r="S75" s="500">
        <v>0.2894393860007039</v>
      </c>
      <c r="T75" s="500">
        <v>0.22741244054646137</v>
      </c>
      <c r="U75" s="500">
        <v>4.3207452625669267E-2</v>
      </c>
      <c r="V75" s="500">
        <v>8.8505007720727391E-2</v>
      </c>
      <c r="W75" s="500">
        <v>-488.61300237484284</v>
      </c>
      <c r="X75" s="500">
        <v>2232.8635947355883</v>
      </c>
      <c r="Y75" s="500">
        <v>1838.9669682997126</v>
      </c>
      <c r="Z75" s="500">
        <v>1444.8758067236492</v>
      </c>
      <c r="AA75" s="500">
        <v>274.52061469888292</v>
      </c>
      <c r="AB75" s="500">
        <v>562.32079530162116</v>
      </c>
    </row>
    <row r="76" spans="1:28" ht="15" customHeight="1">
      <c r="A76" s="16"/>
      <c r="B76" s="22">
        <f>'Oil supply projection'!$B76</f>
        <v>2085</v>
      </c>
      <c r="C76" s="157">
        <f ca="1"/>
        <v>2251.6381999581872</v>
      </c>
      <c r="D76" s="157">
        <f ca="1"/>
        <v>1854.4295692972066</v>
      </c>
      <c r="E76" s="157">
        <f ca="1"/>
        <v>1457.0247677846282</v>
      </c>
      <c r="F76" s="157">
        <f ca="1"/>
        <v>276.828868628316</v>
      </c>
      <c r="G76" s="162">
        <f ca="1"/>
        <v>567.04896184306892</v>
      </c>
      <c r="H76" s="165">
        <f ca="1"/>
        <v>6406.9703675114069</v>
      </c>
      <c r="I76" s="609"/>
      <c r="J76" s="609">
        <f t="shared" si="1"/>
        <v>0</v>
      </c>
      <c r="K76" s="323">
        <f t="shared" si="2"/>
        <v>0</v>
      </c>
      <c r="L76" s="56">
        <f t="shared" si="3"/>
        <v>2424.7981004232956</v>
      </c>
      <c r="M76" s="56">
        <f t="shared" si="4"/>
        <v>1997.0425519891066</v>
      </c>
      <c r="N76" s="56">
        <f t="shared" si="5"/>
        <v>1569.0757463874379</v>
      </c>
      <c r="O76" s="56">
        <f t="shared" si="6"/>
        <v>298.11810565513406</v>
      </c>
      <c r="P76" s="56">
        <f t="shared" si="7"/>
        <v>610.65727413472052</v>
      </c>
      <c r="Q76" s="56">
        <f t="shared" si="8"/>
        <v>6899.6917785896976</v>
      </c>
      <c r="R76" s="500">
        <v>0.35143571310643767</v>
      </c>
      <c r="S76" s="500">
        <v>0.2894393860007039</v>
      </c>
      <c r="T76" s="500">
        <v>0.22741244054646137</v>
      </c>
      <c r="U76" s="500">
        <v>4.320745262566926E-2</v>
      </c>
      <c r="V76" s="500">
        <v>8.8505007720727391E-2</v>
      </c>
      <c r="W76" s="500">
        <v>-492.72141107828793</v>
      </c>
      <c r="X76" s="500">
        <v>2251.6381999581872</v>
      </c>
      <c r="Y76" s="500">
        <v>1854.4295692972066</v>
      </c>
      <c r="Z76" s="500">
        <v>1457.0247677846282</v>
      </c>
      <c r="AA76" s="500">
        <v>276.828868628316</v>
      </c>
      <c r="AB76" s="500">
        <v>567.04896184306892</v>
      </c>
    </row>
    <row r="77" spans="1:28" ht="15" customHeight="1">
      <c r="A77" s="16"/>
      <c r="B77" s="22">
        <f>'Oil supply projection'!$B77</f>
        <v>2086</v>
      </c>
      <c r="C77" s="157">
        <f ca="1"/>
        <v>2270.5706678474066</v>
      </c>
      <c r="D77" s="157">
        <f ca="1"/>
        <v>1870.0221846091113</v>
      </c>
      <c r="E77" s="157">
        <f ca="1"/>
        <v>1469.2758810542432</v>
      </c>
      <c r="F77" s="157">
        <f ca="1"/>
        <v>279.15653106813954</v>
      </c>
      <c r="G77" s="162">
        <f ca="1"/>
        <v>571.81688426591131</v>
      </c>
      <c r="H77" s="165">
        <f ca="1"/>
        <v>6460.8421488448121</v>
      </c>
      <c r="I77" s="609"/>
      <c r="J77" s="609">
        <f t="shared" si="1"/>
        <v>0</v>
      </c>
      <c r="K77" s="323">
        <f t="shared" si="2"/>
        <v>0</v>
      </c>
      <c r="L77" s="56">
        <f t="shared" si="3"/>
        <v>2445.1865501195907</v>
      </c>
      <c r="M77" s="56">
        <f t="shared" si="4"/>
        <v>2013.8343012095809</v>
      </c>
      <c r="N77" s="56">
        <f t="shared" si="5"/>
        <v>1582.2690188167228</v>
      </c>
      <c r="O77" s="56">
        <f t="shared" si="6"/>
        <v>300.62477456074043</v>
      </c>
      <c r="P77" s="56">
        <f t="shared" si="7"/>
        <v>615.7918686864067</v>
      </c>
      <c r="Q77" s="56">
        <f t="shared" si="8"/>
        <v>6957.7065133930446</v>
      </c>
      <c r="R77" s="500">
        <v>0.35143571310643767</v>
      </c>
      <c r="S77" s="500">
        <v>0.28943938600070385</v>
      </c>
      <c r="T77" s="500">
        <v>0.22741244054646137</v>
      </c>
      <c r="U77" s="500">
        <v>4.320745262566926E-2</v>
      </c>
      <c r="V77" s="500">
        <v>8.8505007720727391E-2</v>
      </c>
      <c r="W77" s="500">
        <v>-496.86436454822979</v>
      </c>
      <c r="X77" s="500">
        <v>2270.5706678474066</v>
      </c>
      <c r="Y77" s="500">
        <v>1870.0221846091113</v>
      </c>
      <c r="Z77" s="500">
        <v>1469.2758810542432</v>
      </c>
      <c r="AA77" s="500">
        <v>279.15653106813954</v>
      </c>
      <c r="AB77" s="500">
        <v>571.81688426591131</v>
      </c>
    </row>
    <row r="78" spans="1:28" ht="15" customHeight="1">
      <c r="A78" s="16"/>
      <c r="B78" s="22">
        <f>'Oil supply projection'!$B78</f>
        <v>2087</v>
      </c>
      <c r="C78" s="157">
        <f ca="1"/>
        <v>2289.6623257611964</v>
      </c>
      <c r="D78" s="157">
        <f ca="1"/>
        <v>1885.7459074358501</v>
      </c>
      <c r="E78" s="157">
        <f ca="1"/>
        <v>1481.630005459745</v>
      </c>
      <c r="F78" s="157">
        <f ca="1"/>
        <v>281.50376521108996</v>
      </c>
      <c r="G78" s="162">
        <f ca="1"/>
        <v>576.62489684985076</v>
      </c>
      <c r="H78" s="165">
        <f ca="1"/>
        <v>6515.1669007177316</v>
      </c>
      <c r="I78" s="609"/>
      <c r="J78" s="609">
        <f t="shared" si="1"/>
        <v>0</v>
      </c>
      <c r="K78" s="323">
        <f t="shared" si="2"/>
        <v>0</v>
      </c>
      <c r="L78" s="56">
        <f t="shared" si="3"/>
        <v>2465.7464321841912</v>
      </c>
      <c r="M78" s="56">
        <f t="shared" si="4"/>
        <v>2030.7672406323384</v>
      </c>
      <c r="N78" s="56">
        <f t="shared" si="5"/>
        <v>1595.5732243464613</v>
      </c>
      <c r="O78" s="56">
        <f t="shared" si="6"/>
        <v>303.1525203110038</v>
      </c>
      <c r="P78" s="56">
        <f t="shared" si="7"/>
        <v>620.96963649144936</v>
      </c>
      <c r="Q78" s="56">
        <f t="shared" si="8"/>
        <v>7016.2090539654473</v>
      </c>
      <c r="R78" s="500">
        <v>0.35143571310643762</v>
      </c>
      <c r="S78" s="500">
        <v>0.28943938600070385</v>
      </c>
      <c r="T78" s="500">
        <v>0.22741244054646137</v>
      </c>
      <c r="U78" s="500">
        <v>4.320745262566926E-2</v>
      </c>
      <c r="V78" s="500">
        <v>8.8505007720727391E-2</v>
      </c>
      <c r="W78" s="500">
        <v>-501.04215324771212</v>
      </c>
      <c r="X78" s="500">
        <v>2289.6623257611964</v>
      </c>
      <c r="Y78" s="500">
        <v>1885.7459074358501</v>
      </c>
      <c r="Z78" s="500">
        <v>1481.630005459745</v>
      </c>
      <c r="AA78" s="500">
        <v>281.50376521108996</v>
      </c>
      <c r="AB78" s="500">
        <v>576.62489684985076</v>
      </c>
    </row>
    <row r="79" spans="1:28" ht="15" customHeight="1">
      <c r="A79" s="16"/>
      <c r="B79" s="22">
        <f>'Oil supply projection'!$B79</f>
        <v>2088</v>
      </c>
      <c r="C79" s="157">
        <f ca="1"/>
        <v>2308.9145122183427</v>
      </c>
      <c r="D79" s="157">
        <f ca="1"/>
        <v>1901.6018401698118</v>
      </c>
      <c r="E79" s="157">
        <f ca="1"/>
        <v>1494.0880071505101</v>
      </c>
      <c r="F79" s="157">
        <f ca="1"/>
        <v>283.87073562207877</v>
      </c>
      <c r="G79" s="162">
        <f ca="1"/>
        <v>581.47333668531667</v>
      </c>
      <c r="H79" s="165">
        <f ca="1"/>
        <v>6569.94843184606</v>
      </c>
      <c r="I79" s="609"/>
      <c r="J79" s="609">
        <f t="shared" si="1"/>
        <v>0</v>
      </c>
      <c r="K79" s="323">
        <f t="shared" si="2"/>
        <v>0</v>
      </c>
      <c r="L79" s="56">
        <f t="shared" si="3"/>
        <v>2486.4791880732814</v>
      </c>
      <c r="M79" s="56">
        <f t="shared" si="4"/>
        <v>2047.8425574281114</v>
      </c>
      <c r="N79" s="56">
        <f t="shared" si="5"/>
        <v>1608.989295736349</v>
      </c>
      <c r="O79" s="56">
        <f t="shared" si="6"/>
        <v>305.70152012652943</v>
      </c>
      <c r="P79" s="56">
        <f t="shared" si="7"/>
        <v>626.1909405638678</v>
      </c>
      <c r="Q79" s="56">
        <f t="shared" si="8"/>
        <v>7075.203501928142</v>
      </c>
      <c r="R79" s="500">
        <v>0.35143571310643762</v>
      </c>
      <c r="S79" s="500">
        <v>0.2894393860007039</v>
      </c>
      <c r="T79" s="500">
        <v>0.2274124405464614</v>
      </c>
      <c r="U79" s="500">
        <v>4.320745262566926E-2</v>
      </c>
      <c r="V79" s="500">
        <v>8.8505007720727405E-2</v>
      </c>
      <c r="W79" s="500">
        <v>-505.25507008207933</v>
      </c>
      <c r="X79" s="500">
        <v>2308.9145122183427</v>
      </c>
      <c r="Y79" s="500">
        <v>1901.6018401698118</v>
      </c>
      <c r="Z79" s="500">
        <v>1494.0880071505101</v>
      </c>
      <c r="AA79" s="500">
        <v>283.87073562207877</v>
      </c>
      <c r="AB79" s="500">
        <v>581.47333668531667</v>
      </c>
    </row>
    <row r="80" spans="1:28" ht="15" customHeight="1">
      <c r="A80" s="16"/>
      <c r="B80" s="22">
        <f>'Oil supply projection'!$B80</f>
        <v>2089</v>
      </c>
      <c r="C80" s="157">
        <f ca="1"/>
        <v>2328.3285769923095</v>
      </c>
      <c r="D80" s="157">
        <f ca="1"/>
        <v>1917.5910944726406</v>
      </c>
      <c r="E80" s="157">
        <f ca="1"/>
        <v>1506.6507595587657</v>
      </c>
      <c r="F80" s="157">
        <f ca="1"/>
        <v>286.25760824973003</v>
      </c>
      <c r="G80" s="162">
        <f ca="1"/>
        <v>586.36254369709877</v>
      </c>
      <c r="H80" s="165">
        <f ca="1"/>
        <v>6625.1905829705438</v>
      </c>
      <c r="I80" s="609"/>
      <c r="J80" s="609">
        <f t="shared" si="1"/>
        <v>0</v>
      </c>
      <c r="K80" s="323">
        <f t="shared" si="2"/>
        <v>0</v>
      </c>
      <c r="L80" s="56">
        <f t="shared" si="3"/>
        <v>2507.3862713632539</v>
      </c>
      <c r="M80" s="56">
        <f t="shared" si="4"/>
        <v>2065.0614487497296</v>
      </c>
      <c r="N80" s="56">
        <f t="shared" si="5"/>
        <v>1622.5181735890128</v>
      </c>
      <c r="O80" s="56">
        <f t="shared" si="6"/>
        <v>308.27195271804811</v>
      </c>
      <c r="P80" s="56">
        <f t="shared" si="7"/>
        <v>631.45614697001486</v>
      </c>
      <c r="Q80" s="56">
        <f t="shared" si="8"/>
        <v>7134.6939933900621</v>
      </c>
      <c r="R80" s="500">
        <v>0.35143571310643767</v>
      </c>
      <c r="S80" s="500">
        <v>0.2894393860007039</v>
      </c>
      <c r="T80" s="500">
        <v>0.2274124405464614</v>
      </c>
      <c r="U80" s="500">
        <v>4.320745262566926E-2</v>
      </c>
      <c r="V80" s="500">
        <v>8.8505007720727405E-2</v>
      </c>
      <c r="W80" s="500">
        <v>-509.50341041951469</v>
      </c>
      <c r="X80" s="500">
        <v>2328.3285769923095</v>
      </c>
      <c r="Y80" s="500">
        <v>1917.5910944726406</v>
      </c>
      <c r="Z80" s="500">
        <v>1506.6507595587657</v>
      </c>
      <c r="AA80" s="500">
        <v>286.25760824973003</v>
      </c>
      <c r="AB80" s="500">
        <v>586.36254369709877</v>
      </c>
    </row>
    <row r="81" spans="1:28" ht="15" customHeight="1">
      <c r="A81" s="16"/>
      <c r="B81" s="22">
        <f>'Oil supply projection'!$B81</f>
        <v>2090</v>
      </c>
      <c r="C81" s="157">
        <f ca="1"/>
        <v>2347.9058812058715</v>
      </c>
      <c r="D81" s="157">
        <f ca="1"/>
        <v>1933.7147913531744</v>
      </c>
      <c r="E81" s="157">
        <f ca="1"/>
        <v>1519.3191434608259</v>
      </c>
      <c r="F81" s="157">
        <f ca="1"/>
        <v>288.66455043801471</v>
      </c>
      <c r="G81" s="162">
        <f ca="1"/>
        <v>591.29286066817895</v>
      </c>
      <c r="H81" s="165">
        <f ca="1"/>
        <v>6680.8972271260654</v>
      </c>
      <c r="I81" s="609"/>
      <c r="J81" s="609">
        <f t="shared" si="1"/>
        <v>0</v>
      </c>
      <c r="K81" s="323">
        <f t="shared" si="2"/>
        <v>0</v>
      </c>
      <c r="L81" s="56">
        <f t="shared" si="3"/>
        <v>2528.4691478526183</v>
      </c>
      <c r="M81" s="56">
        <f t="shared" si="4"/>
        <v>2082.425121816053</v>
      </c>
      <c r="N81" s="56">
        <f t="shared" si="5"/>
        <v>1636.1608064159559</v>
      </c>
      <c r="O81" s="56">
        <f t="shared" si="6"/>
        <v>310.86399829894549</v>
      </c>
      <c r="P81" s="56">
        <f t="shared" si="7"/>
        <v>636.76562485424233</v>
      </c>
      <c r="Q81" s="56">
        <f t="shared" si="8"/>
        <v>7194.6846992378178</v>
      </c>
      <c r="R81" s="500">
        <v>0.35143571310643762</v>
      </c>
      <c r="S81" s="500">
        <v>0.2894393860007039</v>
      </c>
      <c r="T81" s="500">
        <v>0.22741244054646143</v>
      </c>
      <c r="U81" s="500">
        <v>4.320745262566926E-2</v>
      </c>
      <c r="V81" s="500">
        <v>8.8505007720727391E-2</v>
      </c>
      <c r="W81" s="500">
        <v>-513.78747211174959</v>
      </c>
      <c r="X81" s="500">
        <v>2347.9058812058715</v>
      </c>
      <c r="Y81" s="500">
        <v>1933.7147913531744</v>
      </c>
      <c r="Z81" s="500">
        <v>1519.3191434608259</v>
      </c>
      <c r="AA81" s="500">
        <v>288.66455043801471</v>
      </c>
      <c r="AB81" s="500">
        <v>591.29286066817895</v>
      </c>
    </row>
    <row r="82" spans="1:28" ht="15" customHeight="1">
      <c r="A82" s="16"/>
      <c r="B82" s="22">
        <f>'Oil supply projection'!$B82</f>
        <v>2091</v>
      </c>
      <c r="C82" s="157">
        <f ca="1"/>
        <v>2367.6477974265431</v>
      </c>
      <c r="D82" s="157">
        <f ca="1"/>
        <v>1949.9740612460378</v>
      </c>
      <c r="E82" s="157">
        <f ca="1"/>
        <v>1532.0940470388437</v>
      </c>
      <c r="F82" s="157">
        <f ca="1"/>
        <v>291.09173093798358</v>
      </c>
      <c r="G82" s="162">
        <f ca="1"/>
        <v>596.26463326376393</v>
      </c>
      <c r="H82" s="165">
        <f ca="1"/>
        <v>6737.072269913172</v>
      </c>
      <c r="I82" s="609"/>
      <c r="J82" s="609">
        <f t="shared" si="1"/>
        <v>0</v>
      </c>
      <c r="K82" s="323">
        <f t="shared" si="2"/>
        <v>0</v>
      </c>
      <c r="L82" s="56">
        <f t="shared" si="3"/>
        <v>2549.7292956647711</v>
      </c>
      <c r="M82" s="56">
        <f t="shared" si="4"/>
        <v>2099.9347939966092</v>
      </c>
      <c r="N82" s="56">
        <f t="shared" si="5"/>
        <v>1649.9181507040587</v>
      </c>
      <c r="O82" s="56">
        <f t="shared" si="6"/>
        <v>313.47783859789689</v>
      </c>
      <c r="P82" s="56">
        <f t="shared" si="7"/>
        <v>642.11974646478143</v>
      </c>
      <c r="Q82" s="56">
        <f t="shared" si="8"/>
        <v>7255.1798254281202</v>
      </c>
      <c r="R82" s="500">
        <v>0.35143571310643762</v>
      </c>
      <c r="S82" s="500">
        <v>0.2894393860007039</v>
      </c>
      <c r="T82" s="500">
        <v>0.22741244054646143</v>
      </c>
      <c r="U82" s="500">
        <v>4.320745262566926E-2</v>
      </c>
      <c r="V82" s="500">
        <v>8.8505007720727391E-2</v>
      </c>
      <c r="W82" s="500">
        <v>-518.10755551494549</v>
      </c>
      <c r="X82" s="500">
        <v>2367.6477974265431</v>
      </c>
      <c r="Y82" s="500">
        <v>1949.9740612460378</v>
      </c>
      <c r="Z82" s="500">
        <v>1532.0940470388437</v>
      </c>
      <c r="AA82" s="500">
        <v>291.09173093798358</v>
      </c>
      <c r="AB82" s="500">
        <v>596.26463326376393</v>
      </c>
    </row>
    <row r="83" spans="1:28" s="21" customFormat="1" ht="15" customHeight="1">
      <c r="A83" s="16"/>
      <c r="B83" s="22">
        <f>'Oil supply projection'!$B83</f>
        <v>2092</v>
      </c>
      <c r="C83" s="157">
        <f ca="1"/>
        <v>2387.5557097628111</v>
      </c>
      <c r="D83" s="157">
        <f ca="1"/>
        <v>1966.3700440909004</v>
      </c>
      <c r="E83" s="157">
        <f ca="1"/>
        <v>1544.9763659430823</v>
      </c>
      <c r="F83" s="157">
        <f ca="1"/>
        <v>293.53931991959843</v>
      </c>
      <c r="G83" s="162">
        <f ca="1"/>
        <v>601.27821005552084</v>
      </c>
      <c r="H83" s="165">
        <f ca="1"/>
        <v>6793.7196497719133</v>
      </c>
      <c r="I83" s="609"/>
      <c r="J83" s="609">
        <f t="shared" si="1"/>
        <v>0</v>
      </c>
      <c r="K83" s="323">
        <f t="shared" si="2"/>
        <v>0</v>
      </c>
      <c r="L83" s="56">
        <f t="shared" si="3"/>
        <v>2571.1682053516256</v>
      </c>
      <c r="M83" s="56">
        <f t="shared" si="4"/>
        <v>2117.5916928969446</v>
      </c>
      <c r="N83" s="56">
        <f t="shared" si="5"/>
        <v>1663.7911709826383</v>
      </c>
      <c r="O83" s="56">
        <f t="shared" si="6"/>
        <v>316.11365687160833</v>
      </c>
      <c r="P83" s="56">
        <f t="shared" si="7"/>
        <v>647.51888717984116</v>
      </c>
      <c r="Q83" s="56">
        <f t="shared" si="8"/>
        <v>7316.1836132826611</v>
      </c>
      <c r="R83" s="501">
        <v>0.35143571310643762</v>
      </c>
      <c r="S83" s="501">
        <v>0.2894393860007039</v>
      </c>
      <c r="T83" s="501">
        <v>0.2274124405464614</v>
      </c>
      <c r="U83" s="501">
        <v>4.320745262566926E-2</v>
      </c>
      <c r="V83" s="501">
        <v>8.8505007720727391E-2</v>
      </c>
      <c r="W83" s="501">
        <v>-522.46396351074509</v>
      </c>
      <c r="X83" s="501">
        <v>2387.5557097628111</v>
      </c>
      <c r="Y83" s="501">
        <v>1966.3700440909004</v>
      </c>
      <c r="Z83" s="501">
        <v>1544.9763659430823</v>
      </c>
      <c r="AA83" s="501">
        <v>293.53931991959843</v>
      </c>
      <c r="AB83" s="501">
        <v>601.27821005552084</v>
      </c>
    </row>
    <row r="84" spans="1:28" ht="15" customHeight="1">
      <c r="A84" s="16"/>
      <c r="B84" s="22">
        <f>'Oil supply projection'!$B84</f>
        <v>2093</v>
      </c>
      <c r="C84" s="442">
        <f ca="1"/>
        <v>2407.6310139611696</v>
      </c>
      <c r="D84" s="442">
        <f ca="1"/>
        <v>1982.903889412393</v>
      </c>
      <c r="E84" s="442">
        <f ca="1"/>
        <v>1557.9670033547068</v>
      </c>
      <c r="F84" s="442">
        <f ca="1"/>
        <v>296.00748898366214</v>
      </c>
      <c r="G84" s="443">
        <f ca="1"/>
        <v>606.33394254601353</v>
      </c>
      <c r="H84" s="436">
        <f ca="1"/>
        <v>6850.843338257946</v>
      </c>
      <c r="I84" s="609"/>
      <c r="J84" s="609">
        <f t="shared" si="1"/>
        <v>0</v>
      </c>
      <c r="K84" s="323">
        <f t="shared" si="2"/>
        <v>0</v>
      </c>
      <c r="L84" s="56">
        <f t="shared" si="3"/>
        <v>2592.7873799981139</v>
      </c>
      <c r="M84" s="56">
        <f t="shared" si="4"/>
        <v>2135.3970564446909</v>
      </c>
      <c r="N84" s="56">
        <f t="shared" si="5"/>
        <v>1677.7808398910713</v>
      </c>
      <c r="O84" s="56">
        <f t="shared" si="6"/>
        <v>318.77163791766469</v>
      </c>
      <c r="P84" s="56">
        <f t="shared" si="7"/>
        <v>652.96342553392617</v>
      </c>
      <c r="Q84" s="56">
        <f t="shared" si="8"/>
        <v>7377.7003397854705</v>
      </c>
      <c r="R84" s="500">
        <v>0.35143571310643762</v>
      </c>
      <c r="S84" s="500">
        <v>0.28943938600070385</v>
      </c>
      <c r="T84" s="500">
        <v>0.2274124405464614</v>
      </c>
      <c r="U84" s="500">
        <v>4.3207452625669253E-2</v>
      </c>
      <c r="V84" s="500">
        <v>8.8505007720727391E-2</v>
      </c>
      <c r="W84" s="500">
        <v>-526.85700152752179</v>
      </c>
      <c r="X84" s="500">
        <v>2407.6310139611696</v>
      </c>
      <c r="Y84" s="500">
        <v>1982.903889412393</v>
      </c>
      <c r="Z84" s="500">
        <v>1557.9670033547068</v>
      </c>
      <c r="AA84" s="500">
        <v>296.00748898366214</v>
      </c>
      <c r="AB84" s="500">
        <v>606.33394254601353</v>
      </c>
    </row>
    <row r="85" spans="1:28" ht="15" customHeight="1">
      <c r="A85" s="16"/>
      <c r="B85" s="194" t="s">
        <v>441</v>
      </c>
      <c r="C85" s="589" t="s">
        <v>316</v>
      </c>
      <c r="D85" s="589" t="s">
        <v>316</v>
      </c>
      <c r="E85" s="589" t="s">
        <v>316</v>
      </c>
      <c r="F85" s="589" t="s">
        <v>316</v>
      </c>
      <c r="G85" s="589" t="s">
        <v>316</v>
      </c>
      <c r="H85" s="106" t="s">
        <v>317</v>
      </c>
      <c r="I85" s="610"/>
      <c r="J85" s="610"/>
      <c r="L85" s="589" t="s">
        <v>316</v>
      </c>
      <c r="M85" s="589" t="s">
        <v>316</v>
      </c>
      <c r="N85" s="589" t="s">
        <v>316</v>
      </c>
      <c r="O85" s="589" t="s">
        <v>316</v>
      </c>
      <c r="P85" s="589" t="s">
        <v>316</v>
      </c>
      <c r="Q85" s="594"/>
    </row>
    <row r="86" spans="1:28" ht="15" customHeight="1">
      <c r="A86" s="16"/>
      <c r="B86" s="194" t="s">
        <v>442</v>
      </c>
      <c r="C86" s="107" t="s">
        <v>319</v>
      </c>
      <c r="D86" s="107" t="s">
        <v>319</v>
      </c>
      <c r="E86" s="107" t="s">
        <v>319</v>
      </c>
      <c r="F86" s="107" t="s">
        <v>319</v>
      </c>
      <c r="G86" s="107" t="s">
        <v>319</v>
      </c>
      <c r="H86" s="106"/>
      <c r="I86" s="610"/>
      <c r="J86" s="610"/>
      <c r="L86" s="107" t="s">
        <v>319</v>
      </c>
      <c r="M86" s="107" t="s">
        <v>319</v>
      </c>
      <c r="N86" s="107" t="s">
        <v>319</v>
      </c>
      <c r="O86" s="107" t="s">
        <v>319</v>
      </c>
      <c r="P86" s="107" t="s">
        <v>319</v>
      </c>
      <c r="Q86" s="594"/>
    </row>
    <row r="87" spans="1:28" ht="15" customHeight="1">
      <c r="B87" s="194" t="s">
        <v>443</v>
      </c>
      <c r="C87" s="590" t="s">
        <v>321</v>
      </c>
      <c r="D87" s="590" t="s">
        <v>321</v>
      </c>
      <c r="E87" s="590" t="s">
        <v>321</v>
      </c>
      <c r="F87" s="590" t="s">
        <v>321</v>
      </c>
      <c r="G87" s="590" t="s">
        <v>321</v>
      </c>
      <c r="H87" s="106"/>
      <c r="I87" s="610"/>
      <c r="J87" s="610"/>
      <c r="L87" s="590" t="s">
        <v>321</v>
      </c>
      <c r="M87" s="590" t="s">
        <v>321</v>
      </c>
      <c r="N87" s="590" t="s">
        <v>321</v>
      </c>
      <c r="O87" s="590" t="s">
        <v>321</v>
      </c>
      <c r="P87" s="590" t="s">
        <v>321</v>
      </c>
      <c r="Q87" s="594"/>
    </row>
    <row r="88" spans="1:28" ht="27.75" customHeight="1">
      <c r="B88" s="194" t="s">
        <v>444</v>
      </c>
      <c r="C88" s="591" t="s">
        <v>445</v>
      </c>
      <c r="D88" s="591" t="s">
        <v>445</v>
      </c>
      <c r="E88" s="591" t="s">
        <v>445</v>
      </c>
      <c r="F88" s="591" t="s">
        <v>445</v>
      </c>
      <c r="G88" s="591" t="s">
        <v>445</v>
      </c>
      <c r="H88" s="106"/>
      <c r="I88" s="610"/>
      <c r="J88" s="610"/>
      <c r="L88" s="591" t="s">
        <v>445</v>
      </c>
      <c r="M88" s="591" t="s">
        <v>445</v>
      </c>
      <c r="N88" s="591" t="s">
        <v>445</v>
      </c>
      <c r="O88" s="591" t="s">
        <v>445</v>
      </c>
      <c r="P88" s="591" t="s">
        <v>445</v>
      </c>
      <c r="Q88" s="594"/>
    </row>
    <row r="89" spans="1:28" ht="15" customHeight="1">
      <c r="B89" s="194" t="s">
        <v>446</v>
      </c>
      <c r="C89" s="593">
        <v>1353</v>
      </c>
      <c r="D89" s="593">
        <v>1354</v>
      </c>
      <c r="E89" s="593">
        <v>1355</v>
      </c>
      <c r="F89" s="593">
        <v>1356</v>
      </c>
      <c r="G89" s="593">
        <v>1358</v>
      </c>
      <c r="H89" s="106"/>
      <c r="I89" s="610"/>
      <c r="J89" s="610"/>
      <c r="L89" s="593">
        <v>1353</v>
      </c>
      <c r="M89" s="593">
        <v>1354</v>
      </c>
      <c r="N89" s="593">
        <v>1355</v>
      </c>
      <c r="O89" s="593">
        <v>1356</v>
      </c>
      <c r="P89" s="593">
        <v>1358</v>
      </c>
      <c r="Q89" s="594"/>
    </row>
    <row r="90" spans="1:28" ht="15" customHeight="1">
      <c r="B90" s="194" t="s">
        <v>447</v>
      </c>
      <c r="C90" s="589" t="s">
        <v>281</v>
      </c>
      <c r="D90" s="589" t="s">
        <v>282</v>
      </c>
      <c r="E90" s="589" t="s">
        <v>283</v>
      </c>
      <c r="F90" s="589" t="s">
        <v>421</v>
      </c>
      <c r="G90" s="589" t="s">
        <v>448</v>
      </c>
      <c r="H90" s="106"/>
      <c r="I90" s="610"/>
      <c r="J90" s="610"/>
      <c r="L90" s="589" t="s">
        <v>281</v>
      </c>
      <c r="M90" s="589" t="s">
        <v>282</v>
      </c>
      <c r="N90" s="589" t="s">
        <v>283</v>
      </c>
      <c r="O90" s="589" t="s">
        <v>421</v>
      </c>
      <c r="P90" s="589" t="s">
        <v>448</v>
      </c>
      <c r="Q90" s="594"/>
    </row>
    <row r="91" spans="1:28" ht="15" customHeight="1">
      <c r="A91" s="16"/>
      <c r="C91" s="1" t="s">
        <v>449</v>
      </c>
    </row>
    <row r="92" spans="1:28" ht="15" customHeight="1">
      <c r="A92" s="16"/>
      <c r="C92" s="1" t="s">
        <v>450</v>
      </c>
    </row>
    <row r="93" spans="1:28" ht="15" customHeight="1">
      <c r="C93" s="1" t="s">
        <v>451</v>
      </c>
    </row>
    <row r="94" spans="1:28" ht="27.75" customHeight="1"/>
  </sheetData>
  <mergeCells count="2">
    <mergeCell ref="A1:B1"/>
    <mergeCell ref="L9:P9"/>
  </mergeCells>
  <phoneticPr fontId="29" type="noConversion"/>
  <conditionalFormatting sqref="F4">
    <cfRule type="cellIs" dxfId="127" priority="1" operator="equal">
      <formula>"IMBALANCED!"</formula>
    </cfRule>
    <cfRule type="cellIs" dxfId="126" priority="2" stopIfTrue="1" operator="equal">
      <formula>"In equilibrium"</formula>
    </cfRule>
  </conditionalFormatting>
  <conditionalFormatting sqref="C10:J84">
    <cfRule type="expression" dxfId="125" priority="3" stopIfTrue="1">
      <formula>ISERROR(C10)</formula>
    </cfRule>
  </conditionalFormatting>
  <hyperlinks>
    <hyperlink ref="A1" location="'Table of Contents'!A1" tooltip="Click here to return to the Table of Contents tab" display="Return to Table of Contents" xr:uid="{00000000-0004-0000-0B00-000000000000}"/>
    <hyperlink ref="AC4" location="'Electricity demand projection'!C91" tooltip="Click here for more information on equilibrating supply and demand in NEMS output." display="Equilibration notes" xr:uid="{00000000-0004-0000-0B00-000001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7585" r:id="rId4" name="Button 1">
              <controlPr defaultSize="0" print="0" autoFill="0" autoPict="0" macro="[0]!electricity_equilibrate">
                <anchor moveWithCells="1" sizeWithCells="1">
                  <from>
                    <xdr:col>6</xdr:col>
                    <xdr:colOff>95250</xdr:colOff>
                    <xdr:row>2</xdr:row>
                    <xdr:rowOff>171450</xdr:rowOff>
                  </from>
                  <to>
                    <xdr:col>7</xdr:col>
                    <xdr:colOff>533400</xdr:colOff>
                    <xdr:row>4</xdr:row>
                    <xdr:rowOff>66675</xdr:rowOff>
                  </to>
                </anchor>
              </controlPr>
            </control>
          </mc:Choice>
        </mc:AlternateContent>
        <mc:AlternateContent xmlns:mc="http://schemas.openxmlformats.org/markup-compatibility/2006">
          <mc:Choice Requires="x14">
            <control shapeId="67589" r:id="rId5" name="Option Button 5">
              <controlPr defaultSize="0" autoFill="0" autoLine="0" autoPict="0">
                <anchor moveWithCells="1">
                  <from>
                    <xdr:col>3</xdr:col>
                    <xdr:colOff>57150</xdr:colOff>
                    <xdr:row>6</xdr:row>
                    <xdr:rowOff>19050</xdr:rowOff>
                  </from>
                  <to>
                    <xdr:col>4</xdr:col>
                    <xdr:colOff>142875</xdr:colOff>
                    <xdr:row>7</xdr:row>
                    <xdr:rowOff>0</xdr:rowOff>
                  </to>
                </anchor>
              </controlPr>
            </control>
          </mc:Choice>
        </mc:AlternateContent>
        <mc:AlternateContent xmlns:mc="http://schemas.openxmlformats.org/markup-compatibility/2006">
          <mc:Choice Requires="x14">
            <control shapeId="67590" r:id="rId6" name="Option Button 6">
              <controlPr defaultSize="0" autoFill="0" autoLine="0" autoPict="0">
                <anchor moveWithCells="1">
                  <from>
                    <xdr:col>4</xdr:col>
                    <xdr:colOff>514350</xdr:colOff>
                    <xdr:row>6</xdr:row>
                    <xdr:rowOff>19050</xdr:rowOff>
                  </from>
                  <to>
                    <xdr:col>5</xdr:col>
                    <xdr:colOff>876300</xdr:colOff>
                    <xdr:row>7</xdr:row>
                    <xdr:rowOff>0</xdr:rowOff>
                  </to>
                </anchor>
              </controlPr>
            </control>
          </mc:Choice>
        </mc:AlternateContent>
        <mc:AlternateContent xmlns:mc="http://schemas.openxmlformats.org/markup-compatibility/2006">
          <mc:Choice Requires="x14">
            <control shapeId="67591" r:id="rId7" name="Button 7">
              <controlPr defaultSize="0" print="0" autoFill="0" autoPict="0" macro="[0]!electricity_clear">
                <anchor moveWithCells="1" sizeWithCells="1">
                  <from>
                    <xdr:col>6</xdr:col>
                    <xdr:colOff>400050</xdr:colOff>
                    <xdr:row>5</xdr:row>
                    <xdr:rowOff>247650</xdr:rowOff>
                  </from>
                  <to>
                    <xdr:col>7</xdr:col>
                    <xdr:colOff>457200</xdr:colOff>
                    <xdr:row>6</xdr:row>
                    <xdr:rowOff>209550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tabColor indexed="27"/>
    <pageSetUpPr fitToPage="1"/>
  </sheetPr>
  <dimension ref="A1:H90"/>
  <sheetViews>
    <sheetView topLeftCell="A73" workbookViewId="0">
      <selection activeCell="F96" sqref="F96"/>
    </sheetView>
  </sheetViews>
  <sheetFormatPr defaultColWidth="9.28515625" defaultRowHeight="15" customHeight="1"/>
  <cols>
    <col min="1" max="1" width="15.5703125" style="18" customWidth="1"/>
    <col min="2" max="2" width="10.28515625" style="1" customWidth="1"/>
    <col min="3" max="6" width="17.28515625" style="1" customWidth="1"/>
    <col min="7" max="7" width="17.28515625" style="48" customWidth="1"/>
    <col min="8" max="14" width="14.5703125" style="1" customWidth="1"/>
    <col min="15" max="15" width="14" style="1" customWidth="1"/>
    <col min="16" max="16384" width="9.28515625" style="1"/>
  </cols>
  <sheetData>
    <row r="1" spans="1:7" ht="15.75" thickBot="1">
      <c r="A1" s="701" t="s">
        <v>27</v>
      </c>
      <c r="B1" s="702"/>
      <c r="C1" s="180"/>
      <c r="D1" s="180"/>
      <c r="E1" s="86"/>
      <c r="F1" s="21"/>
      <c r="G1" s="1"/>
    </row>
    <row r="2" spans="1:7" ht="16.5" customHeight="1">
      <c r="A2" s="1"/>
      <c r="B2" s="2"/>
      <c r="C2" s="2"/>
      <c r="D2" s="2"/>
      <c r="E2" s="2"/>
      <c r="G2" s="1"/>
    </row>
    <row r="3" spans="1:7" ht="16.5" customHeight="1">
      <c r="A3" s="1"/>
      <c r="B3" s="2"/>
      <c r="C3" s="2"/>
      <c r="D3" s="2"/>
      <c r="E3" s="2"/>
      <c r="G3" s="1"/>
    </row>
    <row r="4" spans="1:7" ht="16.5" customHeight="1">
      <c r="A4" s="1"/>
      <c r="B4" s="2"/>
      <c r="C4" s="2"/>
      <c r="D4" s="2"/>
      <c r="E4" s="2"/>
      <c r="G4" s="1"/>
    </row>
    <row r="5" spans="1:7" ht="16.5" customHeight="1">
      <c r="A5" s="1"/>
      <c r="B5" s="2"/>
      <c r="C5" s="2"/>
      <c r="D5" s="2"/>
      <c r="E5" s="2"/>
      <c r="G5" s="1"/>
    </row>
    <row r="6" spans="1:7" ht="19.5" customHeight="1">
      <c r="A6" s="16"/>
      <c r="B6" s="11" t="s">
        <v>452</v>
      </c>
      <c r="C6" s="12"/>
      <c r="D6" s="12"/>
      <c r="E6" s="12"/>
      <c r="F6" s="60"/>
      <c r="G6" s="60"/>
    </row>
    <row r="7" spans="1:7" ht="19.5" customHeight="1">
      <c r="A7" s="16"/>
      <c r="B7" s="14"/>
      <c r="C7" s="58"/>
      <c r="D7" s="58"/>
      <c r="E7" s="58"/>
      <c r="F7" s="10"/>
      <c r="G7" s="63"/>
    </row>
    <row r="8" spans="1:7" ht="29.25" customHeight="1">
      <c r="A8" s="16"/>
      <c r="B8" s="650"/>
      <c r="C8" s="650" t="s">
        <v>283</v>
      </c>
      <c r="D8" s="650" t="s">
        <v>14</v>
      </c>
      <c r="E8" s="653" t="s">
        <v>200</v>
      </c>
      <c r="F8" s="653" t="s">
        <v>279</v>
      </c>
      <c r="G8" s="650" t="s">
        <v>405</v>
      </c>
    </row>
    <row r="9" spans="1:7" ht="29.25" customHeight="1" thickBot="1">
      <c r="A9" s="16"/>
      <c r="B9" s="66" t="s">
        <v>268</v>
      </c>
      <c r="C9" s="67" t="s">
        <v>395</v>
      </c>
      <c r="D9" s="67" t="s">
        <v>395</v>
      </c>
      <c r="E9" s="67" t="s">
        <v>395</v>
      </c>
      <c r="F9" s="67" t="s">
        <v>395</v>
      </c>
      <c r="G9" s="67" t="s">
        <v>395</v>
      </c>
    </row>
    <row r="10" spans="1:7" ht="15" customHeight="1" thickTop="1">
      <c r="A10" s="16"/>
      <c r="B10" s="22">
        <f>'Oil supply projection'!$B10</f>
        <v>2019</v>
      </c>
      <c r="C10" s="511">
        <v>48.36</v>
      </c>
      <c r="D10" s="511">
        <v>552.61505099999999</v>
      </c>
      <c r="E10" s="511">
        <v>7.0980220000000003</v>
      </c>
      <c r="F10" s="511">
        <v>92.851996999999997</v>
      </c>
      <c r="G10" s="165">
        <f t="array" ref="G10:G84">aeo_dem_coa_ind+aeo_dem_coa_ele+aeo_dem_coa_oth+aeo_dem_coa_exp</f>
        <v>700.92507000000001</v>
      </c>
    </row>
    <row r="11" spans="1:7" ht="15" customHeight="1">
      <c r="A11" s="17"/>
      <c r="B11" s="22">
        <f>'Oil supply projection'!$B11</f>
        <v>2020</v>
      </c>
      <c r="C11" s="511">
        <v>39.939003999999997</v>
      </c>
      <c r="D11" s="511">
        <v>436.60287499999998</v>
      </c>
      <c r="E11" s="511">
        <v>3.2481409999999999</v>
      </c>
      <c r="F11" s="511">
        <v>69.069999999999993</v>
      </c>
      <c r="G11" s="165">
        <v>548.86001999999996</v>
      </c>
    </row>
    <row r="12" spans="1:7" ht="15" customHeight="1">
      <c r="B12" s="22">
        <f>'Oil supply projection'!$B12</f>
        <v>2021</v>
      </c>
      <c r="C12" s="511">
        <v>43.271608000000001</v>
      </c>
      <c r="D12" s="511">
        <v>501.24996900000002</v>
      </c>
      <c r="E12" s="511">
        <v>-44.651609000000001</v>
      </c>
      <c r="F12" s="511">
        <v>90.869995000000003</v>
      </c>
      <c r="G12" s="165">
        <v>590.73996299999999</v>
      </c>
    </row>
    <row r="13" spans="1:7" ht="15" customHeight="1">
      <c r="B13" s="22">
        <f>'Oil supply projection'!$B13</f>
        <v>2022</v>
      </c>
      <c r="C13" s="511">
        <v>40.484535999999999</v>
      </c>
      <c r="D13" s="511">
        <v>458.041718</v>
      </c>
      <c r="E13" s="511">
        <v>14.473816999999999</v>
      </c>
      <c r="F13" s="511">
        <v>85.043937999999997</v>
      </c>
      <c r="G13" s="165">
        <v>598.04400900000007</v>
      </c>
    </row>
    <row r="14" spans="1:7" ht="15" customHeight="1">
      <c r="B14" s="22">
        <f>'Oil supply projection'!$B14</f>
        <v>2023</v>
      </c>
      <c r="C14" s="511">
        <v>38.204970000000003</v>
      </c>
      <c r="D14" s="511">
        <v>429.44375600000001</v>
      </c>
      <c r="E14" s="511">
        <v>24.831985</v>
      </c>
      <c r="F14" s="511">
        <v>85.385040000000004</v>
      </c>
      <c r="G14" s="165">
        <v>577.86575100000005</v>
      </c>
    </row>
    <row r="15" spans="1:7" ht="15" customHeight="1">
      <c r="B15" s="22">
        <f>'Oil supply projection'!$B15</f>
        <v>2024</v>
      </c>
      <c r="C15" s="511">
        <v>38.801312000000003</v>
      </c>
      <c r="D15" s="511">
        <v>449.53472900000003</v>
      </c>
      <c r="E15" s="511">
        <v>-8.3710660000000008</v>
      </c>
      <c r="F15" s="511">
        <v>109.27423899999999</v>
      </c>
      <c r="G15" s="165">
        <v>589.23921400000006</v>
      </c>
    </row>
    <row r="16" spans="1:7" ht="15" customHeight="1">
      <c r="B16" s="22">
        <f>'Oil supply projection'!$B16</f>
        <v>2025</v>
      </c>
      <c r="C16" s="511">
        <v>38.492277000000001</v>
      </c>
      <c r="D16" s="511">
        <v>408.03463699999998</v>
      </c>
      <c r="E16" s="511">
        <v>-3.0587800000000001</v>
      </c>
      <c r="F16" s="511">
        <v>107.51786800000001</v>
      </c>
      <c r="G16" s="165">
        <v>550.98600199999998</v>
      </c>
    </row>
    <row r="17" spans="1:7" ht="15" customHeight="1">
      <c r="B17" s="22">
        <f>'Oil supply projection'!$B17</f>
        <v>2026</v>
      </c>
      <c r="C17" s="511">
        <v>38.554705999999996</v>
      </c>
      <c r="D17" s="511">
        <v>343.55801400000001</v>
      </c>
      <c r="E17" s="511">
        <v>-0.54492800000000008</v>
      </c>
      <c r="F17" s="511">
        <v>117.770073</v>
      </c>
      <c r="G17" s="165">
        <v>499.33786499999997</v>
      </c>
    </row>
    <row r="18" spans="1:7" ht="15" customHeight="1">
      <c r="B18" s="22">
        <f>'Oil supply projection'!$B18</f>
        <v>2027</v>
      </c>
      <c r="C18" s="511">
        <v>38.400812999999999</v>
      </c>
      <c r="D18" s="511">
        <v>287.96148699999998</v>
      </c>
      <c r="E18" s="511">
        <v>-2.783747</v>
      </c>
      <c r="F18" s="511">
        <v>116.416832</v>
      </c>
      <c r="G18" s="165">
        <v>439.995385</v>
      </c>
    </row>
    <row r="19" spans="1:7" ht="15" customHeight="1">
      <c r="B19" s="22">
        <f>'Oil supply projection'!$B19</f>
        <v>2028</v>
      </c>
      <c r="C19" s="511">
        <v>38.099316999999999</v>
      </c>
      <c r="D19" s="511">
        <v>237.22894299999999</v>
      </c>
      <c r="E19" s="511">
        <v>-0.13738699999999993</v>
      </c>
      <c r="F19" s="511">
        <v>116.613823</v>
      </c>
      <c r="G19" s="165">
        <v>391.80469600000004</v>
      </c>
    </row>
    <row r="20" spans="1:7" ht="15" customHeight="1">
      <c r="B20" s="22">
        <f>'Oil supply projection'!$B20</f>
        <v>2029</v>
      </c>
      <c r="C20" s="511">
        <v>37.697583999999999</v>
      </c>
      <c r="D20" s="511">
        <v>211.316147</v>
      </c>
      <c r="E20" s="511">
        <v>-6.7668930000000005</v>
      </c>
      <c r="F20" s="511">
        <v>115.98806</v>
      </c>
      <c r="G20" s="165">
        <v>358.23489799999999</v>
      </c>
    </row>
    <row r="21" spans="1:7" ht="15" customHeight="1">
      <c r="A21" s="17"/>
      <c r="B21" s="22">
        <f>'Oil supply projection'!$B21</f>
        <v>2030</v>
      </c>
      <c r="C21" s="511">
        <v>37.207003</v>
      </c>
      <c r="D21" s="511">
        <v>187.86004600000001</v>
      </c>
      <c r="E21" s="511">
        <v>-4.1496630000000003</v>
      </c>
      <c r="F21" s="511">
        <v>114.500992</v>
      </c>
      <c r="G21" s="165">
        <v>335.41837799999996</v>
      </c>
    </row>
    <row r="22" spans="1:7" ht="15" customHeight="1">
      <c r="A22" s="17"/>
      <c r="B22" s="22">
        <f>'Oil supply projection'!$B22</f>
        <v>2031</v>
      </c>
      <c r="C22" s="511">
        <v>36.773033999999996</v>
      </c>
      <c r="D22" s="511">
        <v>183.870743</v>
      </c>
      <c r="E22" s="511">
        <v>-3.1092000000000004</v>
      </c>
      <c r="F22" s="511">
        <v>116.27583300000001</v>
      </c>
      <c r="G22" s="165">
        <v>333.81041000000005</v>
      </c>
    </row>
    <row r="23" spans="1:7" ht="15" customHeight="1">
      <c r="A23" s="17"/>
      <c r="B23" s="22">
        <f>'Oil supply projection'!$B23</f>
        <v>2032</v>
      </c>
      <c r="C23" s="511">
        <v>36.523035</v>
      </c>
      <c r="D23" s="511">
        <v>187.67295799999999</v>
      </c>
      <c r="E23" s="511">
        <v>-3.8825020000000006</v>
      </c>
      <c r="F23" s="511">
        <v>118.767662</v>
      </c>
      <c r="G23" s="165">
        <v>339.08115299999997</v>
      </c>
    </row>
    <row r="24" spans="1:7" ht="15" customHeight="1">
      <c r="A24" s="17"/>
      <c r="B24" s="22">
        <f>'Oil supply projection'!$B24</f>
        <v>2033</v>
      </c>
      <c r="C24" s="511">
        <v>35.957706999999999</v>
      </c>
      <c r="D24" s="511">
        <v>190.71700999999999</v>
      </c>
      <c r="E24" s="511">
        <v>-3.2679180000000003</v>
      </c>
      <c r="F24" s="511">
        <v>115.133972</v>
      </c>
      <c r="G24" s="165">
        <v>338.54077099999995</v>
      </c>
    </row>
    <row r="25" spans="1:7" ht="15" customHeight="1">
      <c r="A25" s="17"/>
      <c r="B25" s="22">
        <f>'Oil supply projection'!$B25</f>
        <v>2034</v>
      </c>
      <c r="C25" s="511">
        <v>35.330370000000002</v>
      </c>
      <c r="D25" s="511">
        <v>186.60214199999999</v>
      </c>
      <c r="E25" s="511">
        <v>-4.6384660000000002</v>
      </c>
      <c r="F25" s="511">
        <v>114.09594</v>
      </c>
      <c r="G25" s="165">
        <v>331.38998599999996</v>
      </c>
    </row>
    <row r="26" spans="1:7" ht="15" customHeight="1">
      <c r="A26" s="17"/>
      <c r="B26" s="22">
        <f>'Oil supply projection'!$B26</f>
        <v>2035</v>
      </c>
      <c r="C26" s="511">
        <v>34.752026000000001</v>
      </c>
      <c r="D26" s="511">
        <v>186.539154</v>
      </c>
      <c r="E26" s="511">
        <v>-3.1301270000000003</v>
      </c>
      <c r="F26" s="511">
        <v>115.494713</v>
      </c>
      <c r="G26" s="165">
        <v>333.65576600000003</v>
      </c>
    </row>
    <row r="27" spans="1:7" ht="15" customHeight="1">
      <c r="A27" s="17"/>
      <c r="B27" s="22">
        <f>'Oil supply projection'!$B27</f>
        <v>2036</v>
      </c>
      <c r="C27" s="511">
        <v>34.167931000000003</v>
      </c>
      <c r="D27" s="511">
        <v>182.648651</v>
      </c>
      <c r="E27" s="511">
        <v>-3.2002290000000002</v>
      </c>
      <c r="F27" s="511">
        <v>113.353363</v>
      </c>
      <c r="G27" s="165">
        <v>326.96971600000001</v>
      </c>
    </row>
    <row r="28" spans="1:7" ht="15" customHeight="1">
      <c r="A28" s="19"/>
      <c r="B28" s="22">
        <f>'Oil supply projection'!$B28</f>
        <v>2037</v>
      </c>
      <c r="C28" s="511">
        <v>33.667192</v>
      </c>
      <c r="D28" s="511">
        <v>174.665131</v>
      </c>
      <c r="E28" s="511">
        <v>-5.5803729999999998</v>
      </c>
      <c r="F28" s="511">
        <v>112.15657</v>
      </c>
      <c r="G28" s="165">
        <v>314.90852000000001</v>
      </c>
    </row>
    <row r="29" spans="1:7" ht="15" customHeight="1">
      <c r="A29" s="17"/>
      <c r="B29" s="22">
        <f>'Oil supply projection'!$B29</f>
        <v>2038</v>
      </c>
      <c r="C29" s="511">
        <v>33.060147999999998</v>
      </c>
      <c r="D29" s="511">
        <v>161.36264</v>
      </c>
      <c r="E29" s="511">
        <v>-3.5856250000000003</v>
      </c>
      <c r="F29" s="511">
        <v>113.867958</v>
      </c>
      <c r="G29" s="165">
        <v>304.70512100000002</v>
      </c>
    </row>
    <row r="30" spans="1:7" ht="15" customHeight="1">
      <c r="A30" s="17"/>
      <c r="B30" s="22">
        <f>'Oil supply projection'!$B30</f>
        <v>2039</v>
      </c>
      <c r="C30" s="511">
        <v>32.426985999999999</v>
      </c>
      <c r="D30" s="511">
        <v>155.481415</v>
      </c>
      <c r="E30" s="511">
        <v>-1.0571339999999998</v>
      </c>
      <c r="F30" s="511">
        <v>111.47648599999999</v>
      </c>
      <c r="G30" s="165">
        <v>298.32775300000003</v>
      </c>
    </row>
    <row r="31" spans="1:7" ht="15" customHeight="1">
      <c r="A31" s="17"/>
      <c r="B31" s="22">
        <f>'Oil supply projection'!$B31</f>
        <v>2040</v>
      </c>
      <c r="C31" s="511">
        <v>31.960565000000003</v>
      </c>
      <c r="D31" s="511">
        <v>153.26622</v>
      </c>
      <c r="E31" s="511">
        <v>-1.511002</v>
      </c>
      <c r="F31" s="511">
        <v>111.49990099999999</v>
      </c>
      <c r="G31" s="165">
        <v>295.21568400000001</v>
      </c>
    </row>
    <row r="32" spans="1:7" ht="15" customHeight="1">
      <c r="A32" s="17"/>
      <c r="B32" s="22">
        <f>'Oil supply projection'!$B32</f>
        <v>2041</v>
      </c>
      <c r="C32" s="511">
        <v>31.605328</v>
      </c>
      <c r="D32" s="511">
        <v>155.18524199999999</v>
      </c>
      <c r="E32" s="511">
        <v>-1.9914489999999998</v>
      </c>
      <c r="F32" s="511">
        <v>110.767937</v>
      </c>
      <c r="G32" s="165">
        <v>295.56705800000003</v>
      </c>
    </row>
    <row r="33" spans="1:7" ht="15" customHeight="1">
      <c r="A33" s="17"/>
      <c r="B33" s="22">
        <f>'Oil supply projection'!$B33</f>
        <v>2042</v>
      </c>
      <c r="C33" s="511">
        <v>31.267245000000003</v>
      </c>
      <c r="D33" s="511">
        <v>155.157455</v>
      </c>
      <c r="E33" s="511">
        <v>-1.9609490000000001</v>
      </c>
      <c r="F33" s="511">
        <v>111.611496</v>
      </c>
      <c r="G33" s="165">
        <v>296.07524699999999</v>
      </c>
    </row>
    <row r="34" spans="1:7" ht="15" customHeight="1">
      <c r="A34" s="17"/>
      <c r="B34" s="22">
        <f>'Oil supply projection'!$B34</f>
        <v>2043</v>
      </c>
      <c r="C34" s="511">
        <v>30.860574</v>
      </c>
      <c r="D34" s="511">
        <v>152.83235199999999</v>
      </c>
      <c r="E34" s="511">
        <v>-1.4240720000000002</v>
      </c>
      <c r="F34" s="511">
        <v>109.504662</v>
      </c>
      <c r="G34" s="165">
        <v>291.77351599999997</v>
      </c>
    </row>
    <row r="35" spans="1:7" ht="15" customHeight="1">
      <c r="A35" s="17"/>
      <c r="B35" s="22">
        <f>'Oil supply projection'!$B35</f>
        <v>2044</v>
      </c>
      <c r="C35" s="511">
        <v>30.415053</v>
      </c>
      <c r="D35" s="511">
        <v>150.34053</v>
      </c>
      <c r="E35" s="511">
        <v>-0.65846500000000008</v>
      </c>
      <c r="F35" s="511">
        <v>109.560219</v>
      </c>
      <c r="G35" s="165">
        <v>289.65733699999998</v>
      </c>
    </row>
    <row r="36" spans="1:7" ht="15" customHeight="1">
      <c r="A36" s="17"/>
      <c r="B36" s="22">
        <f>'Oil supply projection'!$B36</f>
        <v>2045</v>
      </c>
      <c r="C36" s="511">
        <v>30.326829</v>
      </c>
      <c r="D36" s="511">
        <v>148.415222</v>
      </c>
      <c r="E36" s="511">
        <v>-1.067553</v>
      </c>
      <c r="F36" s="511">
        <v>109.958618</v>
      </c>
      <c r="G36" s="165">
        <v>287.63311599999997</v>
      </c>
    </row>
    <row r="37" spans="1:7" ht="15" customHeight="1">
      <c r="A37" s="17"/>
      <c r="B37" s="22">
        <f>'Oil supply projection'!$B37</f>
        <v>2046</v>
      </c>
      <c r="C37" s="511">
        <v>30.216801</v>
      </c>
      <c r="D37" s="511">
        <v>142.90239</v>
      </c>
      <c r="E37" s="511">
        <v>2.6014999999999899E-2</v>
      </c>
      <c r="F37" s="511">
        <v>109.10322600000001</v>
      </c>
      <c r="G37" s="165">
        <v>282.24843199999998</v>
      </c>
    </row>
    <row r="38" spans="1:7" ht="15" customHeight="1">
      <c r="A38" s="17"/>
      <c r="B38" s="22">
        <f>'Oil supply projection'!$B38</f>
        <v>2047</v>
      </c>
      <c r="C38" s="511">
        <v>30.274256000000001</v>
      </c>
      <c r="D38" s="511">
        <v>143.29144299999999</v>
      </c>
      <c r="E38" s="511">
        <v>-1.201589</v>
      </c>
      <c r="F38" s="511">
        <v>108.792534</v>
      </c>
      <c r="G38" s="165">
        <v>281.15664399999997</v>
      </c>
    </row>
    <row r="39" spans="1:7" ht="15" customHeight="1">
      <c r="A39" s="19"/>
      <c r="B39" s="22">
        <f>'Oil supply projection'!$B39</f>
        <v>2048</v>
      </c>
      <c r="C39" s="511">
        <v>30.372039000000001</v>
      </c>
      <c r="D39" s="511">
        <v>139.210724</v>
      </c>
      <c r="E39" s="511">
        <v>0.61522199999999994</v>
      </c>
      <c r="F39" s="511">
        <v>110.26593</v>
      </c>
      <c r="G39" s="165">
        <v>280.46391499999999</v>
      </c>
    </row>
    <row r="40" spans="1:7" ht="15" customHeight="1">
      <c r="A40" s="17"/>
      <c r="B40" s="22">
        <f>'Oil supply projection'!$B40</f>
        <v>2049</v>
      </c>
      <c r="C40" s="511">
        <v>29.874274</v>
      </c>
      <c r="D40" s="511">
        <v>136.666031</v>
      </c>
      <c r="E40" s="511">
        <v>0.54678099999999996</v>
      </c>
      <c r="F40" s="511">
        <v>110.64806400000001</v>
      </c>
      <c r="G40" s="165">
        <v>277.73514999999998</v>
      </c>
    </row>
    <row r="41" spans="1:7" ht="15" customHeight="1">
      <c r="A41" s="17"/>
      <c r="B41" s="22">
        <f>'Oil supply projection'!$B41</f>
        <v>2050</v>
      </c>
      <c r="C41" s="511">
        <v>29.521989000000001</v>
      </c>
      <c r="D41" s="511">
        <v>128.36480700000001</v>
      </c>
      <c r="E41" s="511">
        <v>0.62562099999999998</v>
      </c>
      <c r="F41" s="511">
        <v>111.503181</v>
      </c>
      <c r="G41" s="165">
        <v>270.01559800000001</v>
      </c>
    </row>
    <row r="42" spans="1:7" ht="15" customHeight="1">
      <c r="A42" s="17"/>
      <c r="B42" s="22">
        <f>'Oil supply projection'!$B42</f>
        <v>2051</v>
      </c>
      <c r="C42" s="511">
        <f t="shared" ref="C42:C84" si="0">C41*(1+coal_forecast)</f>
        <v>29.259746416634371</v>
      </c>
      <c r="D42" s="511">
        <f t="shared" ref="D42:D84" si="1">D41*(1+coal_forecast)</f>
        <v>127.22454783247203</v>
      </c>
      <c r="E42" s="511">
        <f t="shared" ref="E42:E84" si="2">E41*(1+coal_forecast)</f>
        <v>0.62006363503899453</v>
      </c>
      <c r="F42" s="511">
        <f t="shared" ref="F42:F84" si="3">F41*(1+coal_forecast)</f>
        <v>110.51270294518719</v>
      </c>
      <c r="G42" s="165">
        <v>267.61706082933256</v>
      </c>
    </row>
    <row r="43" spans="1:7" ht="15" customHeight="1">
      <c r="A43" s="17"/>
      <c r="B43" s="22">
        <f>'Oil supply projection'!$B43</f>
        <v>2052</v>
      </c>
      <c r="C43" s="511">
        <f t="shared" si="0"/>
        <v>28.999833323078196</v>
      </c>
      <c r="D43" s="511">
        <f t="shared" si="1"/>
        <v>126.09441753904527</v>
      </c>
      <c r="E43" s="511">
        <f t="shared" si="2"/>
        <v>0.61455563591658757</v>
      </c>
      <c r="F43" s="511">
        <f t="shared" si="3"/>
        <v>109.53102326516752</v>
      </c>
      <c r="G43" s="165">
        <v>265.23982976320758</v>
      </c>
    </row>
    <row r="44" spans="1:7" ht="15" customHeight="1">
      <c r="A44" s="17"/>
      <c r="B44" s="22">
        <f>'Oil supply projection'!$B44</f>
        <v>2053</v>
      </c>
      <c r="C44" s="511">
        <f t="shared" si="0"/>
        <v>28.742229026571728</v>
      </c>
      <c r="D44" s="511">
        <f t="shared" si="1"/>
        <v>124.97432614535822</v>
      </c>
      <c r="E44" s="511">
        <f t="shared" si="2"/>
        <v>0.60909656411811652</v>
      </c>
      <c r="F44" s="511">
        <f t="shared" si="3"/>
        <v>108.55806380434872</v>
      </c>
      <c r="G44" s="165">
        <v>262.88371554039679</v>
      </c>
    </row>
    <row r="45" spans="1:7" ht="15" customHeight="1">
      <c r="A45" s="17"/>
      <c r="B45" s="22">
        <f>'Oil supply projection'!$B45</f>
        <v>2054</v>
      </c>
      <c r="C45" s="511">
        <f t="shared" si="0"/>
        <v>28.486913018168135</v>
      </c>
      <c r="D45" s="511">
        <f t="shared" si="1"/>
        <v>123.86418447628783</v>
      </c>
      <c r="E45" s="511">
        <f t="shared" si="2"/>
        <v>0.6036859850242261</v>
      </c>
      <c r="F45" s="511">
        <f t="shared" si="3"/>
        <v>107.59374710139137</v>
      </c>
      <c r="G45" s="165">
        <v>260.54853058087156</v>
      </c>
    </row>
    <row r="46" spans="1:7" ht="15" customHeight="1">
      <c r="A46" s="17"/>
      <c r="B46" s="22">
        <f>'Oil supply projection'!$B46</f>
        <v>2055</v>
      </c>
      <c r="C46" s="511">
        <f t="shared" si="0"/>
        <v>28.233864971100697</v>
      </c>
      <c r="D46" s="511">
        <f t="shared" si="1"/>
        <v>122.76390414884992</v>
      </c>
      <c r="E46" s="511">
        <f t="shared" si="2"/>
        <v>0.59832346787626645</v>
      </c>
      <c r="F46" s="511">
        <f t="shared" si="3"/>
        <v>106.63799638304184</v>
      </c>
      <c r="G46" s="165">
        <v>258.2340889708687</v>
      </c>
    </row>
    <row r="47" spans="1:7" ht="15" customHeight="1">
      <c r="A47" s="17"/>
      <c r="B47" s="22">
        <f>'Oil supply projection'!$B47</f>
        <v>2056</v>
      </c>
      <c r="C47" s="511">
        <f t="shared" si="0"/>
        <v>27.983064739164501</v>
      </c>
      <c r="D47" s="511">
        <f t="shared" si="1"/>
        <v>121.67339756516259</v>
      </c>
      <c r="E47" s="511">
        <f t="shared" si="2"/>
        <v>0.59300858574199855</v>
      </c>
      <c r="F47" s="511">
        <f t="shared" si="3"/>
        <v>105.69073555802007</v>
      </c>
      <c r="G47" s="165">
        <v>255.94020644808916</v>
      </c>
    </row>
    <row r="48" spans="1:7" ht="15" customHeight="1">
      <c r="A48" s="17"/>
      <c r="B48" s="22">
        <f>'Oil supply projection'!$B48</f>
        <v>2057</v>
      </c>
      <c r="C48" s="511">
        <f t="shared" si="0"/>
        <v>27.734492355112526</v>
      </c>
      <c r="D48" s="511">
        <f t="shared" si="1"/>
        <v>120.59257790547227</v>
      </c>
      <c r="E48" s="511">
        <f t="shared" si="2"/>
        <v>0.58774091548160445</v>
      </c>
      <c r="F48" s="511">
        <f t="shared" si="3"/>
        <v>104.75188921096165</v>
      </c>
      <c r="G48" s="165">
        <v>253.66670038702807</v>
      </c>
    </row>
    <row r="49" spans="1:7" ht="15" customHeight="1">
      <c r="A49" s="17"/>
      <c r="B49" s="22">
        <f>'Oil supply projection'!$B49</f>
        <v>2058</v>
      </c>
      <c r="C49" s="511">
        <f t="shared" si="0"/>
        <v>27.488128029065965</v>
      </c>
      <c r="D49" s="511">
        <f t="shared" si="1"/>
        <v>119.52135912124157</v>
      </c>
      <c r="E49" s="511">
        <f t="shared" si="2"/>
        <v>0.58252003771399952</v>
      </c>
      <c r="F49" s="511">
        <f t="shared" si="3"/>
        <v>103.82138259641367</v>
      </c>
      <c r="G49" s="165">
        <v>251.4133897844352</v>
      </c>
    </row>
    <row r="50" spans="1:7" ht="15" customHeight="1">
      <c r="A50" s="17"/>
      <c r="B50" s="22">
        <f>'Oil supply projection'!$B50</f>
        <v>2059</v>
      </c>
      <c r="C50" s="511">
        <f t="shared" si="0"/>
        <v>27.243952146938668</v>
      </c>
      <c r="D50" s="511">
        <f t="shared" si="1"/>
        <v>118.45965592829866</v>
      </c>
      <c r="E50" s="511">
        <f t="shared" si="2"/>
        <v>0.57734553678344358</v>
      </c>
      <c r="F50" s="511">
        <f t="shared" si="3"/>
        <v>102.89914163288391</v>
      </c>
      <c r="G50" s="165">
        <v>249.18009524490469</v>
      </c>
    </row>
    <row r="51" spans="1:7" ht="15" customHeight="1">
      <c r="A51" s="17"/>
      <c r="B51" s="22">
        <f>'Oil supply projection'!$B51</f>
        <v>2060</v>
      </c>
      <c r="C51" s="511">
        <f t="shared" si="0"/>
        <v>27.001945268875581</v>
      </c>
      <c r="D51" s="511">
        <f t="shared" si="1"/>
        <v>117.40738380004738</v>
      </c>
      <c r="E51" s="511">
        <f t="shared" si="2"/>
        <v>0.57221700072644865</v>
      </c>
      <c r="F51" s="511">
        <f t="shared" si="3"/>
        <v>101.98509289694294</v>
      </c>
      <c r="G51" s="165">
        <v>246.96663896659237</v>
      </c>
    </row>
    <row r="52" spans="1:7" ht="15" customHeight="1">
      <c r="A52" s="17"/>
      <c r="B52" s="22">
        <f>'Oil supply projection'!$B52</f>
        <v>2061</v>
      </c>
      <c r="C52" s="511">
        <f t="shared" si="0"/>
        <v>26.76208812770507</v>
      </c>
      <c r="D52" s="511">
        <f t="shared" si="1"/>
        <v>116.36445896073779</v>
      </c>
      <c r="E52" s="511">
        <f t="shared" si="2"/>
        <v>0.56713402123898138</v>
      </c>
      <c r="F52" s="511">
        <f t="shared" si="3"/>
        <v>101.07916361737855</v>
      </c>
      <c r="G52" s="165">
        <v>244.7728447270604</v>
      </c>
    </row>
    <row r="53" spans="1:7" ht="15" customHeight="1">
      <c r="A53" s="16"/>
      <c r="B53" s="22">
        <f>'Oil supply projection'!$B53</f>
        <v>2062</v>
      </c>
      <c r="C53" s="511">
        <f t="shared" si="0"/>
        <v>26.524361627404971</v>
      </c>
      <c r="D53" s="511">
        <f t="shared" si="1"/>
        <v>115.33079837879639</v>
      </c>
      <c r="E53" s="511">
        <f t="shared" si="2"/>
        <v>0.56209619364395558</v>
      </c>
      <c r="F53" s="511">
        <f t="shared" si="3"/>
        <v>100.18128166940214</v>
      </c>
      <c r="G53" s="165">
        <v>242.59853786924742</v>
      </c>
    </row>
    <row r="54" spans="1:7" ht="15" customHeight="1">
      <c r="A54" s="16"/>
      <c r="B54" s="22">
        <f>'Oil supply projection'!$B54</f>
        <v>2063</v>
      </c>
      <c r="C54" s="511">
        <f t="shared" si="0"/>
        <v>26.288746841582281</v>
      </c>
      <c r="D54" s="511">
        <f t="shared" si="1"/>
        <v>114.30631976021564</v>
      </c>
      <c r="E54" s="511">
        <f t="shared" si="2"/>
        <v>0.55710311685901481</v>
      </c>
      <c r="F54" s="511">
        <f t="shared" si="3"/>
        <v>99.291375568906545</v>
      </c>
      <c r="G54" s="165">
        <v>240.4435452875635</v>
      </c>
    </row>
    <row r="55" spans="1:7" ht="15" customHeight="1">
      <c r="A55" s="16"/>
      <c r="B55" s="22">
        <f>'Oil supply projection'!$B55</f>
        <v>2064</v>
      </c>
      <c r="C55" s="511">
        <f t="shared" si="0"/>
        <v>26.055225011966343</v>
      </c>
      <c r="D55" s="511">
        <f t="shared" si="1"/>
        <v>113.2909415420022</v>
      </c>
      <c r="E55" s="511">
        <f t="shared" si="2"/>
        <v>0.55215439336460015</v>
      </c>
      <c r="F55" s="511">
        <f t="shared" si="3"/>
        <v>98.409374466774949</v>
      </c>
      <c r="G55" s="165">
        <v>238.30769541410808</v>
      </c>
    </row>
    <row r="56" spans="1:7" ht="15" customHeight="1">
      <c r="A56" s="16"/>
      <c r="B56" s="22">
        <f>'Oil supply projection'!$B56</f>
        <v>2065</v>
      </c>
      <c r="C56" s="511">
        <f t="shared" si="0"/>
        <v>25.823777546915434</v>
      </c>
      <c r="D56" s="511">
        <f t="shared" si="1"/>
        <v>112.28458288568338</v>
      </c>
      <c r="E56" s="511">
        <f t="shared" si="2"/>
        <v>0.54724962917230213</v>
      </c>
      <c r="F56" s="511">
        <f t="shared" si="3"/>
        <v>97.535208143240226</v>
      </c>
      <c r="G56" s="165">
        <v>236.19081820501134</v>
      </c>
    </row>
    <row r="57" spans="1:7" ht="15" customHeight="1">
      <c r="A57" s="16"/>
      <c r="B57" s="22">
        <f>'Oil supply projection'!$B57</f>
        <v>2066</v>
      </c>
      <c r="C57" s="511">
        <f t="shared" si="0"/>
        <v>25.594386019936596</v>
      </c>
      <c r="D57" s="511">
        <f t="shared" si="1"/>
        <v>111.28716367087119</v>
      </c>
      <c r="E57" s="511">
        <f t="shared" si="2"/>
        <v>0.54238843379349388</v>
      </c>
      <c r="F57" s="511">
        <f t="shared" si="3"/>
        <v>96.668807002294486</v>
      </c>
      <c r="G57" s="165">
        <v>234.09274512689575</v>
      </c>
    </row>
    <row r="58" spans="1:7" ht="15" customHeight="1">
      <c r="A58" s="16"/>
      <c r="B58" s="22">
        <f>'Oil supply projection'!$B58</f>
        <v>2067</v>
      </c>
      <c r="C58" s="511">
        <f t="shared" si="0"/>
        <v>25.367032168218635</v>
      </c>
      <c r="D58" s="511">
        <f t="shared" si="1"/>
        <v>110.29860448888373</v>
      </c>
      <c r="E58" s="511">
        <f t="shared" si="2"/>
        <v>0.53757042020824242</v>
      </c>
      <c r="F58" s="511">
        <f t="shared" si="3"/>
        <v>95.810102066148247</v>
      </c>
      <c r="G58" s="165">
        <v>232.01330914345886</v>
      </c>
    </row>
    <row r="59" spans="1:7" ht="15" customHeight="1">
      <c r="A59" s="16"/>
      <c r="B59" s="22">
        <f>'Oil supply projection'!$B59</f>
        <v>2068</v>
      </c>
      <c r="C59" s="511">
        <f t="shared" si="0"/>
        <v>25.141697891178133</v>
      </c>
      <c r="D59" s="511">
        <f t="shared" si="1"/>
        <v>109.31882663642301</v>
      </c>
      <c r="E59" s="511">
        <f t="shared" si="2"/>
        <v>0.53279520483449649</v>
      </c>
      <c r="F59" s="511">
        <f t="shared" si="3"/>
        <v>94.959024969738806</v>
      </c>
      <c r="G59" s="165">
        <v>229.95234470217443</v>
      </c>
    </row>
    <row r="60" spans="1:7" ht="15" customHeight="1">
      <c r="A60" s="16"/>
      <c r="B60" s="22">
        <f>'Oil supply projection'!$B60</f>
        <v>2069</v>
      </c>
      <c r="C60" s="511">
        <f t="shared" si="0"/>
        <v>24.918365249018393</v>
      </c>
      <c r="D60" s="511">
        <f t="shared" si="1"/>
        <v>108.34775210930917</v>
      </c>
      <c r="E60" s="511">
        <f t="shared" si="2"/>
        <v>0.52806240749754818</v>
      </c>
      <c r="F60" s="511">
        <f t="shared" si="3"/>
        <v>94.115507955287455</v>
      </c>
      <c r="G60" s="165">
        <v>227.90968772111256</v>
      </c>
    </row>
    <row r="61" spans="1:7" ht="15" customHeight="1">
      <c r="A61" s="16"/>
      <c r="B61" s="22">
        <f>'Oil supply projection'!$B61</f>
        <v>2070</v>
      </c>
      <c r="C61" s="511">
        <f t="shared" si="0"/>
        <v>24.697016461301178</v>
      </c>
      <c r="D61" s="511">
        <f t="shared" si="1"/>
        <v>107.38530359627016</v>
      </c>
      <c r="E61" s="511">
        <f t="shared" si="2"/>
        <v>0.52337165139976527</v>
      </c>
      <c r="F61" s="511">
        <f t="shared" si="3"/>
        <v>93.279483866904954</v>
      </c>
      <c r="G61" s="165">
        <v>225.88517557587608</v>
      </c>
    </row>
    <row r="62" spans="1:7" ht="15" customHeight="1">
      <c r="A62" s="16"/>
      <c r="B62" s="22">
        <f>'Oil supply projection'!$B62</f>
        <v>2071</v>
      </c>
      <c r="C62" s="511">
        <f t="shared" si="0"/>
        <v>24.477633905531135</v>
      </c>
      <c r="D62" s="511">
        <f t="shared" si="1"/>
        <v>106.43140447278671</v>
      </c>
      <c r="E62" s="511">
        <f t="shared" si="2"/>
        <v>0.51872256309059306</v>
      </c>
      <c r="F62" s="511">
        <f t="shared" si="3"/>
        <v>92.450886145245022</v>
      </c>
      <c r="G62" s="165">
        <v>223.87864708665347</v>
      </c>
    </row>
    <row r="63" spans="1:7" ht="15" customHeight="1">
      <c r="A63" s="16"/>
      <c r="B63" s="22">
        <f>'Oil supply projection'!$B63</f>
        <v>2072</v>
      </c>
      <c r="C63" s="511">
        <f t="shared" si="0"/>
        <v>24.260200115752792</v>
      </c>
      <c r="D63" s="511">
        <f t="shared" si="1"/>
        <v>105.48597879499191</v>
      </c>
      <c r="E63" s="511">
        <f t="shared" si="2"/>
        <v>0.51411477243682246</v>
      </c>
      <c r="F63" s="511">
        <f t="shared" si="3"/>
        <v>91.629648822205212</v>
      </c>
      <c r="G63" s="165">
        <v>221.88994250538673</v>
      </c>
    </row>
    <row r="64" spans="1:7" ht="15" customHeight="1">
      <c r="A64" s="16"/>
      <c r="B64" s="22">
        <f>'Oil supply projection'!$B64</f>
        <v>2073</v>
      </c>
      <c r="C64" s="511">
        <f t="shared" si="0"/>
        <v>24.044697781160018</v>
      </c>
      <c r="D64" s="511">
        <f t="shared" si="1"/>
        <v>104.54895129362502</v>
      </c>
      <c r="E64" s="511">
        <f t="shared" si="2"/>
        <v>0.50954791259312204</v>
      </c>
      <c r="F64" s="511">
        <f t="shared" si="3"/>
        <v>90.815706515674961</v>
      </c>
      <c r="G64" s="165">
        <v>219.91890350305312</v>
      </c>
    </row>
    <row r="65" spans="1:7" ht="15" customHeight="1">
      <c r="A65" s="16"/>
      <c r="B65" s="22">
        <f>'Oil supply projection'!$B65</f>
        <v>2074</v>
      </c>
      <c r="C65" s="511">
        <f t="shared" si="0"/>
        <v>23.831109744717853</v>
      </c>
      <c r="D65" s="511">
        <f t="shared" si="1"/>
        <v>103.62024736803899</v>
      </c>
      <c r="E65" s="511">
        <f t="shared" si="2"/>
        <v>0.50502161997283201</v>
      </c>
      <c r="F65" s="511">
        <f t="shared" si="3"/>
        <v>90.008994424330254</v>
      </c>
      <c r="G65" s="165">
        <v>217.96537315705993</v>
      </c>
    </row>
    <row r="66" spans="1:7" ht="15" customHeight="1">
      <c r="A66" s="16"/>
      <c r="B66" s="22">
        <f>'Oil supply projection'!$B66</f>
        <v>2075</v>
      </c>
      <c r="C66" s="511">
        <f t="shared" si="0"/>
        <v>23.619419001796548</v>
      </c>
      <c r="D66" s="511">
        <f t="shared" si="1"/>
        <v>102.69979308026116</v>
      </c>
      <c r="E66" s="511">
        <f t="shared" si="2"/>
        <v>0.50053553421901742</v>
      </c>
      <c r="F66" s="511">
        <f t="shared" si="3"/>
        <v>89.209448322474486</v>
      </c>
      <c r="G66" s="165">
        <v>216.0291959387512</v>
      </c>
    </row>
    <row r="67" spans="1:7" ht="15" customHeight="1">
      <c r="A67" s="16"/>
      <c r="B67" s="22">
        <f>'Oil supply projection'!$B67</f>
        <v>2076</v>
      </c>
      <c r="C67" s="511">
        <f t="shared" si="0"/>
        <v>23.409608698817763</v>
      </c>
      <c r="D67" s="511">
        <f t="shared" si="1"/>
        <v>101.78751514910675</v>
      </c>
      <c r="E67" s="511">
        <f t="shared" si="2"/>
        <v>0.4960892981757789</v>
      </c>
      <c r="F67" s="511">
        <f t="shared" si="3"/>
        <v>88.417004554925214</v>
      </c>
      <c r="G67" s="165">
        <v>214.1102177010255</v>
      </c>
    </row>
    <row r="68" spans="1:7" ht="15" customHeight="1">
      <c r="A68" s="16"/>
      <c r="B68" s="22">
        <f>'Oil supply projection'!$B68</f>
        <v>2077</v>
      </c>
      <c r="C68" s="511">
        <f t="shared" si="0"/>
        <v>23.201662131912787</v>
      </c>
      <c r="D68" s="511">
        <f t="shared" si="1"/>
        <v>100.88334094434467</v>
      </c>
      <c r="E68" s="511">
        <f t="shared" si="2"/>
        <v>0.49168255785981785</v>
      </c>
      <c r="F68" s="511">
        <f t="shared" si="3"/>
        <v>87.631600031946277</v>
      </c>
      <c r="G68" s="165">
        <v>212.20828566606355</v>
      </c>
    </row>
    <row r="69" spans="1:7" ht="15" customHeight="1">
      <c r="A69" s="16"/>
      <c r="B69" s="22">
        <f>'Oil supply projection'!$B69</f>
        <v>2078</v>
      </c>
      <c r="C69" s="511">
        <f t="shared" si="0"/>
        <v>22.995562745592668</v>
      </c>
      <c r="D69" s="511">
        <f t="shared" si="1"/>
        <v>99.987198480915097</v>
      </c>
      <c r="E69" s="511">
        <f t="shared" si="2"/>
        <v>0.48731496243225436</v>
      </c>
      <c r="F69" s="511">
        <f t="shared" si="3"/>
        <v>86.85317222422502</v>
      </c>
      <c r="G69" s="165">
        <v>210.32324841316503</v>
      </c>
    </row>
    <row r="70" spans="1:7" ht="15" customHeight="1">
      <c r="A70" s="16"/>
      <c r="B70" s="22">
        <f>'Oil supply projection'!$B70</f>
        <v>2079</v>
      </c>
      <c r="C70" s="511">
        <f t="shared" si="0"/>
        <v>22.791294131430167</v>
      </c>
      <c r="D70" s="511">
        <f t="shared" si="1"/>
        <v>99.099016413198484</v>
      </c>
      <c r="E70" s="511">
        <f t="shared" si="2"/>
        <v>0.48298616417069551</v>
      </c>
      <c r="F70" s="511">
        <f t="shared" si="3"/>
        <v>86.081659157893995</v>
      </c>
      <c r="G70" s="165">
        <v>208.45495586669335</v>
      </c>
    </row>
    <row r="71" spans="1:7" ht="15" customHeight="1">
      <c r="A71" s="16"/>
      <c r="B71" s="22">
        <f>'Oil supply projection'!$B71</f>
        <v>2080</v>
      </c>
      <c r="C71" s="511">
        <f t="shared" si="0"/>
        <v>22.588840026753406</v>
      </c>
      <c r="D71" s="511">
        <f t="shared" si="1"/>
        <v>98.218724029335391</v>
      </c>
      <c r="E71" s="511">
        <f t="shared" si="2"/>
        <v>0.47869581844155173</v>
      </c>
      <c r="F71" s="511">
        <f t="shared" si="3"/>
        <v>85.316999409597031</v>
      </c>
      <c r="G71" s="165">
        <v>206.60325928412738</v>
      </c>
    </row>
    <row r="72" spans="1:7" ht="15" customHeight="1">
      <c r="A72" s="16"/>
      <c r="B72" s="22">
        <f>'Oil supply projection'!$B72</f>
        <v>2081</v>
      </c>
      <c r="C72" s="511">
        <f t="shared" si="0"/>
        <v>22.388184313351143</v>
      </c>
      <c r="D72" s="511">
        <f t="shared" si="1"/>
        <v>97.346251245596847</v>
      </c>
      <c r="E72" s="511">
        <f t="shared" si="2"/>
        <v>0.47444358367259909</v>
      </c>
      <c r="F72" s="511">
        <f t="shared" si="3"/>
        <v>84.559132101599033</v>
      </c>
      <c r="G72" s="165">
        <v>204.76801124421962</v>
      </c>
    </row>
    <row r="73" spans="1:7" ht="15" customHeight="1">
      <c r="A73" s="16"/>
      <c r="B73" s="22">
        <f>'Oil supply projection'!$B73</f>
        <v>2082</v>
      </c>
      <c r="C73" s="511">
        <f t="shared" si="0"/>
        <v>22.189311016189524</v>
      </c>
      <c r="D73" s="511">
        <f t="shared" si="1"/>
        <v>96.481528600804694</v>
      </c>
      <c r="E73" s="511">
        <f t="shared" si="2"/>
        <v>0.47022912132578537</v>
      </c>
      <c r="F73" s="511">
        <f t="shared" si="3"/>
        <v>83.807996896939244</v>
      </c>
      <c r="G73" s="165">
        <v>202.94906563525925</v>
      </c>
    </row>
    <row r="74" spans="1:7" ht="15" customHeight="1">
      <c r="A74" s="16"/>
      <c r="B74" s="22">
        <f>'Oil supply projection'!$B74</f>
        <v>2083</v>
      </c>
      <c r="C74" s="511">
        <f t="shared" si="0"/>
        <v>21.992204302140244</v>
      </c>
      <c r="D74" s="511">
        <f t="shared" si="1"/>
        <v>95.624487250801479</v>
      </c>
      <c r="E74" s="511">
        <f t="shared" si="2"/>
        <v>0.46605209587027746</v>
      </c>
      <c r="F74" s="511">
        <f t="shared" si="3"/>
        <v>83.063533994627619</v>
      </c>
      <c r="G74" s="165">
        <v>201.14627764343962</v>
      </c>
    </row>
    <row r="75" spans="1:7" ht="15" customHeight="1">
      <c r="A75" s="16"/>
      <c r="B75" s="22">
        <f>'Oil supply projection'!$B75</f>
        <v>2084</v>
      </c>
      <c r="C75" s="511">
        <f t="shared" si="0"/>
        <v>21.796848478720015</v>
      </c>
      <c r="D75" s="511">
        <f t="shared" si="1"/>
        <v>94.775058962969524</v>
      </c>
      <c r="E75" s="511">
        <f t="shared" si="2"/>
        <v>0.46191217475574864</v>
      </c>
      <c r="F75" s="511">
        <f t="shared" si="3"/>
        <v>82.32568412488375</v>
      </c>
      <c r="G75" s="165">
        <v>199.35950374132904</v>
      </c>
    </row>
    <row r="76" spans="1:7" ht="15" customHeight="1">
      <c r="A76" s="16"/>
      <c r="B76" s="22">
        <f>'Oil supply projection'!$B76</f>
        <v>2085</v>
      </c>
      <c r="C76" s="511">
        <f t="shared" si="0"/>
        <v>21.603227992841212</v>
      </c>
      <c r="D76" s="511">
        <f t="shared" si="1"/>
        <v>93.933176110798584</v>
      </c>
      <c r="E76" s="511">
        <f t="shared" si="2"/>
        <v>0.45780902838590265</v>
      </c>
      <c r="F76" s="511">
        <f t="shared" si="3"/>
        <v>81.594388544418209</v>
      </c>
      <c r="G76" s="165">
        <v>197.58860167644389</v>
      </c>
    </row>
    <row r="77" spans="1:7" ht="15" customHeight="1">
      <c r="A77" s="16"/>
      <c r="B77" s="22">
        <f>'Oil supply projection'!$B77</f>
        <v>2086</v>
      </c>
      <c r="C77" s="511">
        <f t="shared" si="0"/>
        <v>21.411327429573632</v>
      </c>
      <c r="D77" s="511">
        <f t="shared" si="1"/>
        <v>93.098771668501882</v>
      </c>
      <c r="E77" s="511">
        <f t="shared" si="2"/>
        <v>0.45374233009223319</v>
      </c>
      <c r="F77" s="511">
        <f t="shared" si="3"/>
        <v>80.869589031755723</v>
      </c>
      <c r="G77" s="165">
        <v>195.83343045992348</v>
      </c>
    </row>
    <row r="78" spans="1:7" ht="15" customHeight="1">
      <c r="A78" s="16"/>
      <c r="B78" s="22">
        <f>'Oil supply projection'!$B78</f>
        <v>2087</v>
      </c>
      <c r="C78" s="511">
        <f t="shared" si="0"/>
        <v>21.221131510917246</v>
      </c>
      <c r="D78" s="511">
        <f t="shared" si="1"/>
        <v>92.271779205679849</v>
      </c>
      <c r="E78" s="511">
        <f t="shared" si="2"/>
        <v>0.44971175610801661</v>
      </c>
      <c r="F78" s="511">
        <f t="shared" si="3"/>
        <v>80.15122788259994</v>
      </c>
      <c r="G78" s="165">
        <v>194.09385035530505</v>
      </c>
    </row>
    <row r="79" spans="1:7" ht="15" customHeight="1">
      <c r="A79" s="16"/>
      <c r="B79" s="22">
        <f>'Oil supply projection'!$B79</f>
        <v>2088</v>
      </c>
      <c r="C79" s="511">
        <f t="shared" si="0"/>
        <v>21.032625094585857</v>
      </c>
      <c r="D79" s="511">
        <f t="shared" si="1"/>
        <v>91.452132882031378</v>
      </c>
      <c r="E79" s="511">
        <f t="shared" si="2"/>
        <v>0.44571698554253542</v>
      </c>
      <c r="F79" s="511">
        <f t="shared" si="3"/>
        <v>79.439247905239327</v>
      </c>
      <c r="G79" s="165">
        <v>192.3697228673991</v>
      </c>
    </row>
    <row r="80" spans="1:7" ht="15" customHeight="1">
      <c r="A80" s="16"/>
      <c r="B80" s="22">
        <f>'Oil supply projection'!$B80</f>
        <v>2089</v>
      </c>
      <c r="C80" s="511">
        <f t="shared" si="0"/>
        <v>20.845793172801557</v>
      </c>
      <c r="D80" s="511">
        <f t="shared" si="1"/>
        <v>90.639767442111975</v>
      </c>
      <c r="E80" s="511">
        <f t="shared" si="2"/>
        <v>0.44175770035553075</v>
      </c>
      <c r="F80" s="511">
        <f t="shared" si="3"/>
        <v>78.733592415993911</v>
      </c>
      <c r="G80" s="165">
        <v>190.66091073126296</v>
      </c>
    </row>
    <row r="81" spans="1:8" ht="15" customHeight="1">
      <c r="A81" s="16"/>
      <c r="B81" s="22">
        <f>'Oil supply projection'!$B81</f>
        <v>2090</v>
      </c>
      <c r="C81" s="511">
        <f t="shared" si="0"/>
        <v>20.660620871099898</v>
      </c>
      <c r="D81" s="511">
        <f t="shared" si="1"/>
        <v>89.834618210138501</v>
      </c>
      <c r="E81" s="511">
        <f t="shared" si="2"/>
        <v>0.43783358533188199</v>
      </c>
      <c r="F81" s="511">
        <f t="shared" si="3"/>
        <v>78.034205234702469</v>
      </c>
      <c r="G81" s="165">
        <v>188.96727790127275</v>
      </c>
    </row>
    <row r="82" spans="1:8" ht="15" customHeight="1">
      <c r="A82" s="16"/>
      <c r="B82" s="22">
        <f>'Oil supply projection'!$B82</f>
        <v>2091</v>
      </c>
      <c r="C82" s="511">
        <f t="shared" si="0"/>
        <v>20.47709344714567</v>
      </c>
      <c r="D82" s="511">
        <f t="shared" si="1"/>
        <v>89.036621084840078</v>
      </c>
      <c r="E82" s="511">
        <f t="shared" si="2"/>
        <v>0.43394432805651112</v>
      </c>
      <c r="F82" s="511">
        <f t="shared" si="3"/>
        <v>77.341030680249787</v>
      </c>
      <c r="G82" s="165">
        <v>187.28868954029207</v>
      </c>
    </row>
    <row r="83" spans="1:8" s="21" customFormat="1" ht="15" customHeight="1">
      <c r="A83" s="16"/>
      <c r="B83" s="22">
        <f>'Oil supply projection'!$B83</f>
        <v>2092</v>
      </c>
      <c r="C83" s="511">
        <f t="shared" si="0"/>
        <v>20.295196289559204</v>
      </c>
      <c r="D83" s="511">
        <f t="shared" si="1"/>
        <v>88.245712534354709</v>
      </c>
      <c r="E83" s="511">
        <f t="shared" si="2"/>
        <v>0.43008961888951014</v>
      </c>
      <c r="F83" s="511">
        <f t="shared" si="3"/>
        <v>76.654013566133628</v>
      </c>
      <c r="G83" s="165">
        <v>185.62501200893706</v>
      </c>
      <c r="H83" s="1"/>
    </row>
    <row r="84" spans="1:8" ht="15" customHeight="1">
      <c r="A84" s="16"/>
      <c r="B84" s="22">
        <f>'Oil supply projection'!$B84</f>
        <v>2093</v>
      </c>
      <c r="C84" s="511">
        <f t="shared" si="0"/>
        <v>20.114914916753104</v>
      </c>
      <c r="D84" s="511">
        <f t="shared" si="1"/>
        <v>87.461829591171238</v>
      </c>
      <c r="E84" s="511">
        <f t="shared" si="2"/>
        <v>0.42626915094148926</v>
      </c>
      <c r="F84" s="511">
        <f t="shared" si="3"/>
        <v>75.973099196071132</v>
      </c>
      <c r="G84" s="165">
        <v>183.97611285493696</v>
      </c>
    </row>
    <row r="85" spans="1:8" ht="15" customHeight="1">
      <c r="A85" s="16"/>
      <c r="B85" s="194" t="s">
        <v>441</v>
      </c>
      <c r="C85" s="589" t="s">
        <v>316</v>
      </c>
      <c r="D85" s="589" t="s">
        <v>316</v>
      </c>
      <c r="E85" s="589" t="s">
        <v>316</v>
      </c>
      <c r="F85" s="589" t="s">
        <v>316</v>
      </c>
      <c r="G85" s="106" t="s">
        <v>317</v>
      </c>
    </row>
    <row r="86" spans="1:8" ht="15" customHeight="1">
      <c r="A86" s="16"/>
      <c r="B86" s="194" t="s">
        <v>442</v>
      </c>
      <c r="C86" s="107" t="s">
        <v>319</v>
      </c>
      <c r="D86" s="107" t="s">
        <v>319</v>
      </c>
      <c r="E86" s="107" t="s">
        <v>319</v>
      </c>
      <c r="F86" s="107" t="s">
        <v>319</v>
      </c>
      <c r="G86" s="106"/>
    </row>
    <row r="87" spans="1:8" ht="15" customHeight="1">
      <c r="B87" s="194" t="s">
        <v>443</v>
      </c>
      <c r="C87" s="590" t="s">
        <v>321</v>
      </c>
      <c r="D87" s="590" t="s">
        <v>321</v>
      </c>
      <c r="E87" s="590" t="s">
        <v>321</v>
      </c>
      <c r="F87" s="590" t="s">
        <v>321</v>
      </c>
      <c r="G87" s="108"/>
    </row>
    <row r="88" spans="1:8" ht="29.25" customHeight="1">
      <c r="B88" s="194" t="s">
        <v>444</v>
      </c>
      <c r="C88" s="591" t="s">
        <v>396</v>
      </c>
      <c r="D88" s="591" t="s">
        <v>396</v>
      </c>
      <c r="E88" s="591" t="s">
        <v>396</v>
      </c>
      <c r="F88" s="591" t="s">
        <v>396</v>
      </c>
      <c r="G88" s="106"/>
    </row>
    <row r="89" spans="1:8" ht="15" customHeight="1">
      <c r="B89" s="194" t="s">
        <v>446</v>
      </c>
      <c r="C89" s="592" t="s">
        <v>453</v>
      </c>
      <c r="D89" s="593">
        <v>2279</v>
      </c>
      <c r="E89" s="593" t="s">
        <v>454</v>
      </c>
      <c r="F89" s="593">
        <v>2268</v>
      </c>
      <c r="G89" s="106"/>
    </row>
    <row r="90" spans="1:8" ht="15" customHeight="1">
      <c r="B90" s="194" t="s">
        <v>447</v>
      </c>
      <c r="C90" s="593" t="s">
        <v>455</v>
      </c>
      <c r="D90" s="593" t="s">
        <v>456</v>
      </c>
      <c r="E90" s="591" t="s">
        <v>457</v>
      </c>
      <c r="F90" s="593" t="s">
        <v>279</v>
      </c>
      <c r="G90" s="106"/>
    </row>
  </sheetData>
  <mergeCells count="1">
    <mergeCell ref="A1:B1"/>
  </mergeCells>
  <phoneticPr fontId="29" type="noConversion"/>
  <conditionalFormatting sqref="G10:G11">
    <cfRule type="expression" dxfId="124" priority="5" stopIfTrue="1">
      <formula>ISERROR(G10)</formula>
    </cfRule>
  </conditionalFormatting>
  <conditionalFormatting sqref="C10:E11">
    <cfRule type="expression" dxfId="123" priority="2" stopIfTrue="1">
      <formula>ISERROR(C10)</formula>
    </cfRule>
  </conditionalFormatting>
  <conditionalFormatting sqref="F10:F11">
    <cfRule type="expression" dxfId="122" priority="1" stopIfTrue="1">
      <formula>ISERROR(F10)</formula>
    </cfRule>
  </conditionalFormatting>
  <hyperlinks>
    <hyperlink ref="A1" location="'Table of Contents'!A1" tooltip="Click here to return to the Table of Contents tab" display="Return to Table of Contents" xr:uid="{00000000-0004-0000-0C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0">
    <tabColor indexed="46"/>
    <pageSetUpPr fitToPage="1"/>
  </sheetPr>
  <dimension ref="A1:L87"/>
  <sheetViews>
    <sheetView workbookViewId="0">
      <pane xSplit="2" ySplit="9" topLeftCell="C10" activePane="bottomRight" state="frozen"/>
      <selection pane="topRight" activeCell="A2" sqref="A2"/>
      <selection pane="bottomLeft" activeCell="A2" sqref="A2"/>
      <selection pane="bottomRight" sqref="A1:B1"/>
    </sheetView>
  </sheetViews>
  <sheetFormatPr defaultColWidth="9.28515625" defaultRowHeight="15" customHeight="1"/>
  <cols>
    <col min="1" max="1" width="15.5703125" style="18" customWidth="1"/>
    <col min="2" max="2" width="10.28515625" style="1" customWidth="1"/>
    <col min="3" max="3" width="19.42578125" style="1" customWidth="1"/>
    <col min="4" max="4" width="21.28515625" style="1" customWidth="1"/>
    <col min="5" max="12" width="14.5703125" style="1" customWidth="1"/>
    <col min="13" max="16384" width="9.28515625" style="1"/>
  </cols>
  <sheetData>
    <row r="1" spans="1:12" ht="15.75" thickBot="1">
      <c r="A1" s="701" t="s">
        <v>27</v>
      </c>
      <c r="B1" s="702"/>
      <c r="C1" s="620"/>
      <c r="D1" s="180"/>
      <c r="E1" s="180"/>
      <c r="F1" s="2"/>
      <c r="G1" s="2"/>
      <c r="H1" s="2"/>
    </row>
    <row r="2" spans="1:12" ht="16.5" customHeight="1">
      <c r="A2" s="1"/>
      <c r="B2" s="2"/>
      <c r="C2" s="2"/>
      <c r="D2" s="2"/>
      <c r="E2" s="2"/>
      <c r="F2" s="2"/>
      <c r="G2" s="2"/>
      <c r="H2" s="2"/>
    </row>
    <row r="3" spans="1:12" ht="16.5" customHeight="1">
      <c r="A3" s="1"/>
      <c r="B3" s="2"/>
      <c r="C3" s="2"/>
      <c r="D3" s="2"/>
      <c r="E3" s="2"/>
      <c r="F3" s="2"/>
      <c r="G3" s="2"/>
      <c r="H3" s="2"/>
    </row>
    <row r="4" spans="1:12" ht="16.5" customHeight="1">
      <c r="A4" s="1"/>
      <c r="B4" s="2"/>
      <c r="C4" s="2"/>
      <c r="D4" s="2"/>
      <c r="E4" s="2"/>
      <c r="F4" s="2"/>
      <c r="G4" s="2"/>
      <c r="H4" s="2"/>
    </row>
    <row r="5" spans="1:12" ht="16.5" customHeight="1">
      <c r="A5" s="1"/>
      <c r="B5" s="2"/>
      <c r="C5" s="2"/>
      <c r="D5" s="2"/>
      <c r="E5" s="2"/>
      <c r="F5" s="2"/>
      <c r="G5" s="2"/>
      <c r="H5" s="2"/>
      <c r="I5" s="2"/>
      <c r="J5" s="2"/>
      <c r="K5" s="2"/>
      <c r="L5" s="2"/>
    </row>
    <row r="6" spans="1:12" ht="19.5" customHeight="1">
      <c r="A6" s="16"/>
      <c r="B6" s="11" t="s">
        <v>458</v>
      </c>
      <c r="C6" s="59"/>
      <c r="D6" s="12"/>
      <c r="E6" s="12"/>
      <c r="F6" s="12"/>
      <c r="G6" s="12"/>
      <c r="H6" s="59"/>
      <c r="I6" s="59"/>
      <c r="J6" s="60"/>
      <c r="K6" s="60"/>
      <c r="L6" s="60"/>
    </row>
    <row r="7" spans="1:12" ht="19.5" customHeight="1">
      <c r="A7" s="16"/>
      <c r="B7" s="61"/>
      <c r="C7" s="62"/>
      <c r="D7" s="57"/>
      <c r="E7" s="57"/>
      <c r="F7" s="57"/>
      <c r="G7" s="57"/>
      <c r="H7" s="62"/>
      <c r="I7" s="62"/>
      <c r="J7" s="62"/>
      <c r="K7" s="62"/>
      <c r="L7" s="80"/>
    </row>
    <row r="8" spans="1:12" ht="29.25" customHeight="1">
      <c r="A8" s="16"/>
      <c r="B8" s="650"/>
      <c r="C8" s="650" t="s">
        <v>167</v>
      </c>
      <c r="D8" s="650" t="s">
        <v>172</v>
      </c>
      <c r="E8" s="650" t="s">
        <v>187</v>
      </c>
      <c r="F8" s="650" t="s">
        <v>174</v>
      </c>
      <c r="G8" s="650" t="s">
        <v>192</v>
      </c>
      <c r="H8" s="650" t="s">
        <v>198</v>
      </c>
      <c r="I8" s="650" t="s">
        <v>200</v>
      </c>
      <c r="J8" s="653" t="s">
        <v>202</v>
      </c>
      <c r="K8" s="653" t="s">
        <v>307</v>
      </c>
      <c r="L8" s="242" t="s">
        <v>459</v>
      </c>
    </row>
    <row r="9" spans="1:12" ht="29.25" customHeight="1" thickBot="1">
      <c r="A9" s="16"/>
      <c r="B9" s="66" t="s">
        <v>268</v>
      </c>
      <c r="C9" s="96" t="s">
        <v>314</v>
      </c>
      <c r="D9" s="96" t="s">
        <v>314</v>
      </c>
      <c r="E9" s="96" t="s">
        <v>314</v>
      </c>
      <c r="F9" s="96" t="s">
        <v>314</v>
      </c>
      <c r="G9" s="96" t="s">
        <v>314</v>
      </c>
      <c r="H9" s="96" t="s">
        <v>314</v>
      </c>
      <c r="I9" s="96" t="s">
        <v>314</v>
      </c>
      <c r="J9" s="96" t="s">
        <v>314</v>
      </c>
      <c r="K9" s="96" t="s">
        <v>314</v>
      </c>
      <c r="L9" s="243" t="s">
        <v>314</v>
      </c>
    </row>
    <row r="10" spans="1:12" ht="15" customHeight="1" thickTop="1">
      <c r="A10" s="16"/>
      <c r="B10" s="22">
        <f>'Oil supply projection'!$B10</f>
        <v>2019</v>
      </c>
      <c r="C10" s="30">
        <f t="array" ref="C10:L10">aeo_sup_oil_2010</f>
        <v>7.9359999999999999</v>
      </c>
      <c r="D10" s="30">
        <v>1.889</v>
      </c>
      <c r="E10" s="30">
        <v>1.954</v>
      </c>
      <c r="F10" s="30">
        <v>0.37979299999999999</v>
      </c>
      <c r="G10" s="30">
        <v>8.5207000000000005E-2</v>
      </c>
      <c r="H10" s="30">
        <v>1.1168190000000002</v>
      </c>
      <c r="I10" s="30">
        <v>5.5843980000000002</v>
      </c>
      <c r="J10" s="30">
        <v>82.039636000000002</v>
      </c>
      <c r="K10" s="65">
        <v>100.984853</v>
      </c>
      <c r="L10" s="30">
        <v>2.8804875231009954</v>
      </c>
    </row>
    <row r="11" spans="1:12" ht="15" customHeight="1">
      <c r="A11" s="17"/>
      <c r="B11" s="22">
        <f>'Oil supply projection'!$B11</f>
        <v>2020</v>
      </c>
      <c r="C11" s="157">
        <f t="array" ref="C11:C84" ca="1">(b_oil_l48_t*sim_price_oil^e_sup_oil_l48_t+(1-g_sup_oil_l48_t)*OFFSET(sim_sup_oil_l48_t,-1,0))*display</f>
        <v>7.4690000000000003</v>
      </c>
      <c r="D11" s="157">
        <f t="array" ref="D11:D84" ca="1">(b_oil_l48*sim_price_oil^e_sup_oil_l48+(1-g_sup_oil_l48)*OFFSET(sim_sup_oil_l48,-1,0))*display</f>
        <v>1.6320000000000001</v>
      </c>
      <c r="E11" s="157">
        <f t="array" ref="E11:E84" ca="1">(b_oil_off*sim_price_oil^e_sup_oil_off+(1-g_sup_oil_off)*OFFSET(sim_sup_oil_off,-1,0))*display</f>
        <v>1.6950000000000001</v>
      </c>
      <c r="F11" s="157">
        <f t="array" ref="F11:F84" ca="1">(b_oil_ala_on*sim_price_oil^e_sup_oil_ala_on+(1-g_sup_oil_ala_on)*OFFSET(sim_sup_oil_ala_on,-1,0))*display</f>
        <v>0.36165700000000001</v>
      </c>
      <c r="G11" s="157">
        <f t="array" ref="G11:G84" ca="1">(b_oil_ala_off*sim_price_oil^e_sup_oil_ala_off+(1-g_sup_oil_ala_off)*OFFSET(sim_sup_oil_ala_off,-1,0))*display</f>
        <v>8.6343000000000003E-2</v>
      </c>
      <c r="H11" s="157">
        <f t="array" ref="H11:H84" ca="1">(b_oil_bio*sim_price_oil^e_sup_oil_bio+(1-g_sup_oil_bio)*OFFSET(sim_sup_oil_bio,-1,0))*display</f>
        <v>1.0036829999999999</v>
      </c>
      <c r="I11" s="157">
        <f t="array" ref="I11:I84" ca="1">(b_oil_oth*sim_price_oil^e_sup_oil_oth+(1-g_sup_oil_oth)*OFFSET(sim_sup_oil_oth,-1,0))*display</f>
        <v>6.0136760000000109</v>
      </c>
      <c r="J11" s="162">
        <f t="array" ref="J11:J84" ca="1">(b_oil_row*sim_price_oil^e_sup_oil_row+(1-g_sup_oil_row)*OFFSET(sim_sup_oil_row,-1,0))*display</f>
        <v>81.753249999999994</v>
      </c>
      <c r="K11" s="165">
        <f t="array" ref="K11:K84" ca="1">(sim_sup_oil_l48_t+sim_sup_oil_l48+sim_sup_oil_off+sim_sup_oil_ala_on+sim_sup_oil_ala_off+sim_sup_oil_bio+sim_sup_oil_oth+sim_sup_oil_row)*display</f>
        <v>100.01460900000001</v>
      </c>
      <c r="L11" s="157">
        <f t="array" ref="L11:L84" ca="1">(b_oil_can*sim_price_oil^e_sup_oil_can+(1-g_sup_oil_can)*OFFSET(sim_sup_oil_can,-1,0))*display</f>
        <v>2.7524577064201705</v>
      </c>
    </row>
    <row r="12" spans="1:12" ht="15" customHeight="1">
      <c r="B12" s="22">
        <f>'Oil supply projection'!$B12</f>
        <v>2021</v>
      </c>
      <c r="C12" s="157">
        <f ca="1"/>
        <v>7.3079999999999998</v>
      </c>
      <c r="D12" s="157">
        <f ca="1"/>
        <v>1.65</v>
      </c>
      <c r="E12" s="157">
        <f ca="1"/>
        <v>1.7529999999999999</v>
      </c>
      <c r="F12" s="157">
        <f ca="1"/>
        <v>0.35377900000000001</v>
      </c>
      <c r="G12" s="157">
        <f ca="1"/>
        <v>8.3220999999999989E-2</v>
      </c>
      <c r="H12" s="157">
        <f ca="1"/>
        <v>1.0678890000000001</v>
      </c>
      <c r="I12" s="157">
        <f ca="1"/>
        <v>8.3978230000000078</v>
      </c>
      <c r="J12" s="162">
        <f ca="1"/>
        <v>82.460802000000001</v>
      </c>
      <c r="K12" s="165">
        <f ca="1"/>
        <v>103.07451400000001</v>
      </c>
      <c r="L12" s="157">
        <f ca="1"/>
        <v>3.1700674946462248</v>
      </c>
    </row>
    <row r="13" spans="1:12" ht="15" customHeight="1">
      <c r="B13" s="22">
        <f>'Oil supply projection'!$B13</f>
        <v>2022</v>
      </c>
      <c r="C13" s="157">
        <f ca="1"/>
        <v>8.0050000000000008</v>
      </c>
      <c r="D13" s="157">
        <f ca="1"/>
        <v>1.5835539999999999</v>
      </c>
      <c r="E13" s="157">
        <f ca="1"/>
        <v>1.803407</v>
      </c>
      <c r="F13" s="157">
        <f ca="1"/>
        <v>0.36202400000000001</v>
      </c>
      <c r="G13" s="157">
        <f ca="1"/>
        <v>7.4427999999999994E-2</v>
      </c>
      <c r="H13" s="157">
        <f ca="1"/>
        <v>1.0893170000000001</v>
      </c>
      <c r="I13" s="157">
        <f ca="1"/>
        <v>7.5139959999999864</v>
      </c>
      <c r="J13" s="162">
        <f ca="1"/>
        <v>79.639999999999986</v>
      </c>
      <c r="K13" s="165">
        <f ca="1"/>
        <v>100.07172599999997</v>
      </c>
      <c r="L13" s="157">
        <f ca="1"/>
        <v>3.4017635963629003</v>
      </c>
    </row>
    <row r="14" spans="1:12" ht="15" customHeight="1">
      <c r="B14" s="22">
        <f>'Oil supply projection'!$B14</f>
        <v>2023</v>
      </c>
      <c r="C14" s="157">
        <f ca="1"/>
        <v>8.6690349999999992</v>
      </c>
      <c r="D14" s="157">
        <f ca="1"/>
        <v>1.3900269999999999</v>
      </c>
      <c r="E14" s="157">
        <f ca="1"/>
        <v>1.855688</v>
      </c>
      <c r="F14" s="157">
        <f ca="1"/>
        <v>0.33609899999999998</v>
      </c>
      <c r="G14" s="157">
        <f ca="1"/>
        <v>6.9690000000000002E-2</v>
      </c>
      <c r="H14" s="157">
        <f ca="1"/>
        <v>1.058557</v>
      </c>
      <c r="I14" s="157">
        <f ca="1"/>
        <v>7.5788310000000001</v>
      </c>
      <c r="J14" s="162">
        <f ca="1"/>
        <v>80.11</v>
      </c>
      <c r="K14" s="165">
        <f ca="1"/>
        <v>101.067927</v>
      </c>
      <c r="L14" s="157">
        <f ca="1"/>
        <v>3.6603930569088208</v>
      </c>
    </row>
    <row r="15" spans="1:12" ht="15" customHeight="1">
      <c r="B15" s="22">
        <f>'Oil supply projection'!$B15</f>
        <v>2024</v>
      </c>
      <c r="C15" s="157">
        <f ca="1"/>
        <v>9.057658</v>
      </c>
      <c r="D15" s="157">
        <f ca="1"/>
        <v>1.298054</v>
      </c>
      <c r="E15" s="157">
        <f ca="1"/>
        <v>1.9276530000000001</v>
      </c>
      <c r="F15" s="157">
        <f ca="1"/>
        <v>0.31116100000000002</v>
      </c>
      <c r="G15" s="157">
        <f ca="1"/>
        <v>7.084E-2</v>
      </c>
      <c r="H15" s="157">
        <f ca="1"/>
        <v>1.1347229999999999</v>
      </c>
      <c r="I15" s="157">
        <f ca="1"/>
        <v>7.635142000000001</v>
      </c>
      <c r="J15" s="162">
        <f ca="1"/>
        <v>81.06</v>
      </c>
      <c r="K15" s="165">
        <f ca="1"/>
        <v>102.495231</v>
      </c>
      <c r="L15" s="157">
        <f ca="1"/>
        <v>3.8281909833908108</v>
      </c>
    </row>
    <row r="16" spans="1:12" ht="15" customHeight="1">
      <c r="B16" s="22">
        <f>'Oil supply projection'!$B16</f>
        <v>2025</v>
      </c>
      <c r="C16" s="157">
        <f ca="1"/>
        <v>9.0845260000000003</v>
      </c>
      <c r="D16" s="157">
        <f ca="1"/>
        <v>1.3129199999999999</v>
      </c>
      <c r="E16" s="157">
        <f ca="1"/>
        <v>1.972143</v>
      </c>
      <c r="F16" s="157">
        <f ca="1"/>
        <v>0.377749</v>
      </c>
      <c r="G16" s="157">
        <f ca="1"/>
        <v>7.6492000000000004E-2</v>
      </c>
      <c r="H16" s="157">
        <f ca="1"/>
        <v>1.122123</v>
      </c>
      <c r="I16" s="157">
        <f ca="1"/>
        <v>7.7001050000000006</v>
      </c>
      <c r="J16" s="162">
        <f ca="1"/>
        <v>81.841848164281288</v>
      </c>
      <c r="K16" s="165">
        <f ca="1"/>
        <v>103.4879061642813</v>
      </c>
      <c r="L16" s="157">
        <f ca="1"/>
        <v>3.7744068995997977</v>
      </c>
    </row>
    <row r="17" spans="1:12" ht="15" customHeight="1">
      <c r="B17" s="22">
        <f>'Oil supply projection'!$B17</f>
        <v>2026</v>
      </c>
      <c r="C17" s="157">
        <f ca="1"/>
        <v>9.141235</v>
      </c>
      <c r="D17" s="157">
        <f ca="1"/>
        <v>1.3352390000000001</v>
      </c>
      <c r="E17" s="157">
        <f ca="1"/>
        <v>1.996534</v>
      </c>
      <c r="F17" s="157">
        <f ca="1"/>
        <v>0.39646799999999999</v>
      </c>
      <c r="G17" s="157">
        <f ca="1"/>
        <v>8.013300000000001E-2</v>
      </c>
      <c r="H17" s="157">
        <f ca="1"/>
        <v>1.1171450000000001</v>
      </c>
      <c r="I17" s="157">
        <f ca="1"/>
        <v>7.7328539999999855</v>
      </c>
      <c r="J17" s="162">
        <f ca="1"/>
        <v>82.623696328562559</v>
      </c>
      <c r="K17" s="165">
        <f ca="1"/>
        <v>104.42330432856255</v>
      </c>
      <c r="L17" s="157">
        <f ca="1"/>
        <v>3.7343871082310467</v>
      </c>
    </row>
    <row r="18" spans="1:12" ht="15" customHeight="1">
      <c r="B18" s="22">
        <f>'Oil supply projection'!$B18</f>
        <v>2027</v>
      </c>
      <c r="C18" s="157">
        <f ca="1"/>
        <v>9.1152460000000008</v>
      </c>
      <c r="D18" s="157">
        <f ca="1"/>
        <v>1.3542580000000002</v>
      </c>
      <c r="E18" s="157">
        <f ca="1"/>
        <v>1.972699</v>
      </c>
      <c r="F18" s="157">
        <f ca="1"/>
        <v>0.42872399999999999</v>
      </c>
      <c r="G18" s="157">
        <f ca="1"/>
        <v>7.6696E-2</v>
      </c>
      <c r="H18" s="157">
        <f ca="1"/>
        <v>1.1176010000000003</v>
      </c>
      <c r="I18" s="157">
        <f ca="1"/>
        <v>7.8286150000000143</v>
      </c>
      <c r="J18" s="162">
        <f ca="1"/>
        <v>83.405544492843831</v>
      </c>
      <c r="K18" s="165">
        <f ca="1"/>
        <v>105.29938349284384</v>
      </c>
      <c r="L18" s="157">
        <f ca="1"/>
        <v>3.8535111871183445</v>
      </c>
    </row>
    <row r="19" spans="1:12" ht="15" customHeight="1">
      <c r="B19" s="22">
        <f>'Oil supply projection'!$B19</f>
        <v>2028</v>
      </c>
      <c r="C19" s="157">
        <f ca="1"/>
        <v>9.1133059999999997</v>
      </c>
      <c r="D19" s="157">
        <f ca="1"/>
        <v>1.3758980000000001</v>
      </c>
      <c r="E19" s="157">
        <f ca="1"/>
        <v>1.9361250000000001</v>
      </c>
      <c r="F19" s="157">
        <f ca="1"/>
        <v>0.47810799999999998</v>
      </c>
      <c r="G19" s="157">
        <f ca="1"/>
        <v>7.3567000000000007E-2</v>
      </c>
      <c r="H19" s="157">
        <f ca="1"/>
        <v>1.0953930000000001</v>
      </c>
      <c r="I19" s="157">
        <f ca="1"/>
        <v>7.8847150000000141</v>
      </c>
      <c r="J19" s="162">
        <f ca="1"/>
        <v>84.187392657125102</v>
      </c>
      <c r="K19" s="165">
        <f ca="1"/>
        <v>106.14450465712511</v>
      </c>
      <c r="L19" s="157">
        <f ca="1"/>
        <v>3.9214651290265632</v>
      </c>
    </row>
    <row r="20" spans="1:12" ht="15" customHeight="1">
      <c r="B20" s="22">
        <f>'Oil supply projection'!$B20</f>
        <v>2029</v>
      </c>
      <c r="C20" s="157">
        <f ca="1"/>
        <v>9.0533319999999993</v>
      </c>
      <c r="D20" s="157">
        <f ca="1"/>
        <v>1.4009239999999998</v>
      </c>
      <c r="E20" s="157">
        <f ca="1"/>
        <v>1.929052</v>
      </c>
      <c r="F20" s="157">
        <f ca="1"/>
        <v>0.49165599999999998</v>
      </c>
      <c r="G20" s="157">
        <f ca="1"/>
        <v>7.0713000000000012E-2</v>
      </c>
      <c r="H20" s="157">
        <f ca="1"/>
        <v>1.095818</v>
      </c>
      <c r="I20" s="157">
        <f ca="1"/>
        <v>7.9311150000000001</v>
      </c>
      <c r="J20" s="162">
        <f ca="1"/>
        <v>84.969240821406373</v>
      </c>
      <c r="K20" s="165">
        <f ca="1"/>
        <v>106.94185082140638</v>
      </c>
      <c r="L20" s="157">
        <f ca="1"/>
        <v>4.0011598724833384</v>
      </c>
    </row>
    <row r="21" spans="1:12" ht="15" customHeight="1">
      <c r="A21" s="17"/>
      <c r="B21" s="22">
        <f>'Oil supply projection'!$B21</f>
        <v>2030</v>
      </c>
      <c r="C21" s="157">
        <f ca="1"/>
        <v>9.0678510421860938</v>
      </c>
      <c r="D21" s="157">
        <f ca="1"/>
        <v>1.4315086745202525</v>
      </c>
      <c r="E21" s="157">
        <f ca="1"/>
        <v>1.853423744715061</v>
      </c>
      <c r="F21" s="157">
        <f ca="1"/>
        <v>0.49935859198639915</v>
      </c>
      <c r="G21" s="157">
        <f ca="1"/>
        <v>0.10096239258680334</v>
      </c>
      <c r="H21" s="157">
        <f ca="1"/>
        <v>1.0948186343745359</v>
      </c>
      <c r="I21" s="157">
        <f ca="1"/>
        <v>7.8694884210873646</v>
      </c>
      <c r="J21" s="162">
        <f ca="1"/>
        <v>85.748360763767636</v>
      </c>
      <c r="K21" s="165">
        <f ca="1"/>
        <v>107.66577226522415</v>
      </c>
      <c r="L21" s="157">
        <f ca="1"/>
        <v>4.0041573903785936</v>
      </c>
    </row>
    <row r="22" spans="1:12" ht="15" customHeight="1">
      <c r="A22" s="17"/>
      <c r="B22" s="22">
        <f>'Oil supply projection'!$B22</f>
        <v>2031</v>
      </c>
      <c r="C22" s="157">
        <f ca="1"/>
        <v>9.0631136288171099</v>
      </c>
      <c r="D22" s="157">
        <f ca="1"/>
        <v>1.4491906562714409</v>
      </c>
      <c r="E22" s="157">
        <f ca="1"/>
        <v>1.7992487615703221</v>
      </c>
      <c r="F22" s="157">
        <f ca="1"/>
        <v>0.49242640919537334</v>
      </c>
      <c r="G22" s="157">
        <f ca="1"/>
        <v>0.1077019091018985</v>
      </c>
      <c r="H22" s="157">
        <f ca="1"/>
        <v>1.0936088511265916</v>
      </c>
      <c r="I22" s="157">
        <f ca="1"/>
        <v>7.8616493536936174</v>
      </c>
      <c r="J22" s="162">
        <f ca="1"/>
        <v>85.783708071764011</v>
      </c>
      <c r="K22" s="165">
        <f ca="1"/>
        <v>107.65064764154036</v>
      </c>
      <c r="L22" s="157">
        <f ca="1"/>
        <v>4.0482909829137679</v>
      </c>
    </row>
    <row r="23" spans="1:12" ht="15" customHeight="1">
      <c r="A23" s="17"/>
      <c r="B23" s="22">
        <f>'Oil supply projection'!$B23</f>
        <v>2032</v>
      </c>
      <c r="C23" s="157">
        <f ca="1"/>
        <v>9.1295320881843498</v>
      </c>
      <c r="D23" s="157">
        <f ca="1"/>
        <v>1.4590275590083297</v>
      </c>
      <c r="E23" s="157">
        <f ca="1"/>
        <v>1.7270304413487576</v>
      </c>
      <c r="F23" s="157">
        <f ca="1"/>
        <v>0.52287410388163713</v>
      </c>
      <c r="G23" s="157">
        <f ca="1"/>
        <v>0.10697756382464478</v>
      </c>
      <c r="H23" s="157">
        <f ca="1"/>
        <v>1.09054093509554</v>
      </c>
      <c r="I23" s="157">
        <f ca="1"/>
        <v>7.8215343750356157</v>
      </c>
      <c r="J23" s="162">
        <f ca="1"/>
        <v>85.812333778459404</v>
      </c>
      <c r="K23" s="165">
        <f ca="1"/>
        <v>107.66985084483828</v>
      </c>
      <c r="L23" s="157">
        <f ca="1"/>
        <v>4.0438213987529021</v>
      </c>
    </row>
    <row r="24" spans="1:12" ht="15" customHeight="1">
      <c r="A24" s="17"/>
      <c r="B24" s="22">
        <f>'Oil supply projection'!$B24</f>
        <v>2033</v>
      </c>
      <c r="C24" s="157">
        <f ca="1"/>
        <v>9.1561998821718031</v>
      </c>
      <c r="D24" s="157">
        <f ca="1"/>
        <v>1.478910478903489</v>
      </c>
      <c r="E24" s="157">
        <f ca="1"/>
        <v>1.6798419679738448</v>
      </c>
      <c r="F24" s="157">
        <f ca="1"/>
        <v>0.5478347090805219</v>
      </c>
      <c r="G24" s="157">
        <f ca="1"/>
        <v>0.10595145498449239</v>
      </c>
      <c r="H24" s="157">
        <f ca="1"/>
        <v>1.0909119503615643</v>
      </c>
      <c r="I24" s="157">
        <f ca="1"/>
        <v>7.8064796132996488</v>
      </c>
      <c r="J24" s="162">
        <f ca="1"/>
        <v>85.847769088760487</v>
      </c>
      <c r="K24" s="165">
        <f ca="1"/>
        <v>107.71389914553585</v>
      </c>
      <c r="L24" s="157">
        <f ca="1"/>
        <v>4.0467736833034875</v>
      </c>
    </row>
    <row r="25" spans="1:12" ht="15" customHeight="1">
      <c r="A25" s="17"/>
      <c r="B25" s="22">
        <f>'Oil supply projection'!$B25</f>
        <v>2034</v>
      </c>
      <c r="C25" s="157">
        <f ca="1"/>
        <v>9.1368700027394372</v>
      </c>
      <c r="D25" s="157">
        <f ca="1"/>
        <v>1.4982969887349356</v>
      </c>
      <c r="E25" s="157">
        <f ca="1"/>
        <v>1.6439851288119338</v>
      </c>
      <c r="F25" s="157">
        <f ca="1"/>
        <v>0.50718208433024814</v>
      </c>
      <c r="G25" s="157">
        <f ca="1"/>
        <v>0.10159592603454043</v>
      </c>
      <c r="H25" s="157">
        <f ca="1"/>
        <v>1.0906468623364169</v>
      </c>
      <c r="I25" s="157">
        <f ca="1"/>
        <v>7.8435051309250792</v>
      </c>
      <c r="J25" s="162">
        <f ca="1"/>
        <v>85.883184917900593</v>
      </c>
      <c r="K25" s="165">
        <f ca="1"/>
        <v>107.70526704181319</v>
      </c>
      <c r="L25" s="157">
        <f ca="1"/>
        <v>4.0804418532856808</v>
      </c>
    </row>
    <row r="26" spans="1:12" ht="15" customHeight="1">
      <c r="A26" s="17"/>
      <c r="B26" s="22">
        <f>'Oil supply projection'!$B26</f>
        <v>2035</v>
      </c>
      <c r="C26" s="157">
        <f ca="1"/>
        <v>9.1592344630589952</v>
      </c>
      <c r="D26" s="157">
        <f ca="1"/>
        <v>1.5245287559785448</v>
      </c>
      <c r="E26" s="157">
        <f ca="1"/>
        <v>1.6383447601197971</v>
      </c>
      <c r="F26" s="157">
        <f ca="1"/>
        <v>0.4659340270232557</v>
      </c>
      <c r="G26" s="157">
        <f ca="1"/>
        <v>9.6903298796516893E-2</v>
      </c>
      <c r="H26" s="157">
        <f ca="1"/>
        <v>1.0963622784446689</v>
      </c>
      <c r="I26" s="157">
        <f ca="1"/>
        <v>7.8800357192993786</v>
      </c>
      <c r="J26" s="162">
        <f ca="1"/>
        <v>85.918597359237836</v>
      </c>
      <c r="K26" s="165">
        <f ca="1"/>
        <v>107.77994066195899</v>
      </c>
      <c r="L26" s="157">
        <f ca="1"/>
        <v>4.0634015573490876</v>
      </c>
    </row>
    <row r="27" spans="1:12" ht="15" customHeight="1">
      <c r="A27" s="17"/>
      <c r="B27" s="22">
        <f>'Oil supply projection'!$B27</f>
        <v>2036</v>
      </c>
      <c r="C27" s="157">
        <f ca="1"/>
        <v>9.183990110466052</v>
      </c>
      <c r="D27" s="157">
        <f ca="1"/>
        <v>1.5399823618044419</v>
      </c>
      <c r="E27" s="157">
        <f ca="1"/>
        <v>1.5427755892010937</v>
      </c>
      <c r="F27" s="157">
        <f ca="1"/>
        <v>0.45861404888307949</v>
      </c>
      <c r="G27" s="157">
        <f ca="1"/>
        <v>0.10254592535783714</v>
      </c>
      <c r="H27" s="157">
        <f ca="1"/>
        <v>1.0939291746004405</v>
      </c>
      <c r="I27" s="157">
        <f ca="1"/>
        <v>7.8648528569476222</v>
      </c>
      <c r="J27" s="162">
        <f ca="1"/>
        <v>85.953986990812766</v>
      </c>
      <c r="K27" s="165">
        <f ca="1"/>
        <v>107.74067705807333</v>
      </c>
      <c r="L27" s="157">
        <f ca="1"/>
        <v>4.0726715796037105</v>
      </c>
    </row>
    <row r="28" spans="1:12" ht="15" customHeight="1">
      <c r="A28" s="19"/>
      <c r="B28" s="22">
        <f>'Oil supply projection'!$B28</f>
        <v>2037</v>
      </c>
      <c r="C28" s="157">
        <f ca="1"/>
        <v>9.1873207379346677</v>
      </c>
      <c r="D28" s="157">
        <f ca="1"/>
        <v>1.5594832571206727</v>
      </c>
      <c r="E28" s="157">
        <f ca="1"/>
        <v>1.4198155426627213</v>
      </c>
      <c r="F28" s="157">
        <f ca="1"/>
        <v>0.48334366975637344</v>
      </c>
      <c r="G28" s="157">
        <f ca="1"/>
        <v>0.11844392674489911</v>
      </c>
      <c r="H28" s="157">
        <f ca="1"/>
        <v>1.0928839534937931</v>
      </c>
      <c r="I28" s="157">
        <f ca="1"/>
        <v>7.8224288630155954</v>
      </c>
      <c r="J28" s="162">
        <f ca="1"/>
        <v>85.98937363050328</v>
      </c>
      <c r="K28" s="165">
        <f ca="1"/>
        <v>107.673093581232</v>
      </c>
      <c r="L28" s="157">
        <f ca="1"/>
        <v>4.0983186943719572</v>
      </c>
    </row>
    <row r="29" spans="1:12" ht="15" customHeight="1">
      <c r="A29" s="17"/>
      <c r="B29" s="22">
        <f>'Oil supply projection'!$B29</f>
        <v>2038</v>
      </c>
      <c r="C29" s="157">
        <f ca="1"/>
        <v>9.1976594678578127</v>
      </c>
      <c r="D29" s="157">
        <f ca="1"/>
        <v>1.5827500150608711</v>
      </c>
      <c r="E29" s="157">
        <f ca="1"/>
        <v>1.2833405178431554</v>
      </c>
      <c r="F29" s="157">
        <f ca="1"/>
        <v>0.5105853349916355</v>
      </c>
      <c r="G29" s="157">
        <f ca="1"/>
        <v>0.13477259110435319</v>
      </c>
      <c r="H29" s="157">
        <f ca="1"/>
        <v>1.0927513907659618</v>
      </c>
      <c r="I29" s="157">
        <f ca="1"/>
        <v>7.8108837956704642</v>
      </c>
      <c r="J29" s="162">
        <f ca="1"/>
        <v>86.024733371649177</v>
      </c>
      <c r="K29" s="165">
        <f ca="1"/>
        <v>107.63747648494343</v>
      </c>
      <c r="L29" s="157">
        <f ca="1"/>
        <v>4.108654474951865</v>
      </c>
    </row>
    <row r="30" spans="1:12" ht="15" customHeight="1">
      <c r="A30" s="17"/>
      <c r="B30" s="22">
        <f>'Oil supply projection'!$B30</f>
        <v>2039</v>
      </c>
      <c r="C30" s="157">
        <f ca="1"/>
        <v>9.2037660962772261</v>
      </c>
      <c r="D30" s="157">
        <f ca="1"/>
        <v>1.6038043494579259</v>
      </c>
      <c r="E30" s="157">
        <f ca="1"/>
        <v>1.1631567212750724</v>
      </c>
      <c r="F30" s="157">
        <f ca="1"/>
        <v>0.5290525437475212</v>
      </c>
      <c r="G30" s="157">
        <f ca="1"/>
        <v>0.14816212284136057</v>
      </c>
      <c r="H30" s="157">
        <f ca="1"/>
        <v>1.0932571234810338</v>
      </c>
      <c r="I30" s="157">
        <f ca="1"/>
        <v>7.7712323844890179</v>
      </c>
      <c r="J30" s="162">
        <f ca="1"/>
        <v>86.060122846378761</v>
      </c>
      <c r="K30" s="165">
        <f ca="1"/>
        <v>107.57255418794792</v>
      </c>
      <c r="L30" s="157">
        <f ca="1"/>
        <v>4.1018127787723611</v>
      </c>
    </row>
    <row r="31" spans="1:12" ht="15" customHeight="1">
      <c r="A31" s="17"/>
      <c r="B31" s="22">
        <f>'Oil supply projection'!$B31</f>
        <v>2040</v>
      </c>
      <c r="C31" s="157">
        <f ca="1"/>
        <v>9.2042664393416409</v>
      </c>
      <c r="D31" s="157">
        <f ca="1"/>
        <v>1.6289387932774277</v>
      </c>
      <c r="E31" s="157">
        <f ca="1"/>
        <v>1.1038559877097802</v>
      </c>
      <c r="F31" s="157">
        <f ca="1"/>
        <v>0.50334220456695078</v>
      </c>
      <c r="G31" s="157">
        <f ca="1"/>
        <v>0.14563033199699088</v>
      </c>
      <c r="H31" s="157">
        <f ca="1"/>
        <v>1.0951955116957324</v>
      </c>
      <c r="I31" s="157">
        <f ca="1"/>
        <v>7.7867760800277246</v>
      </c>
      <c r="J31" s="162">
        <f ca="1"/>
        <v>86.095489836144182</v>
      </c>
      <c r="K31" s="165">
        <f ca="1"/>
        <v>107.56349518476043</v>
      </c>
      <c r="L31" s="157">
        <f ca="1"/>
        <v>4.1524857915226132</v>
      </c>
    </row>
    <row r="32" spans="1:12" ht="15" customHeight="1">
      <c r="A32" s="17"/>
      <c r="B32" s="22">
        <f>'Oil supply projection'!$B32</f>
        <v>2041</v>
      </c>
      <c r="C32" s="157">
        <f ca="1"/>
        <v>9.2240645092384597</v>
      </c>
      <c r="D32" s="157">
        <f ca="1"/>
        <v>1.6436173398968532</v>
      </c>
      <c r="E32" s="157">
        <f ca="1"/>
        <v>0.96739541096360115</v>
      </c>
      <c r="F32" s="157">
        <f ca="1"/>
        <v>0.49370604114525957</v>
      </c>
      <c r="G32" s="157">
        <f ca="1"/>
        <v>0.14805021066547064</v>
      </c>
      <c r="H32" s="157">
        <f ca="1"/>
        <v>1.0979046556815866</v>
      </c>
      <c r="I32" s="157">
        <f ca="1"/>
        <v>7.7914609966497528</v>
      </c>
      <c r="J32" s="162">
        <f ca="1"/>
        <v>86.130838876997601</v>
      </c>
      <c r="K32" s="165">
        <f ca="1"/>
        <v>107.49703804123858</v>
      </c>
      <c r="L32" s="157">
        <f ca="1"/>
        <v>4.1630526358063049</v>
      </c>
    </row>
    <row r="33" spans="1:12" ht="15" customHeight="1">
      <c r="A33" s="17"/>
      <c r="B33" s="22">
        <f>'Oil supply projection'!$B33</f>
        <v>2042</v>
      </c>
      <c r="C33" s="157">
        <f ca="1"/>
        <v>9.2636433558743718</v>
      </c>
      <c r="D33" s="157">
        <f ca="1"/>
        <v>1.6454673128980175</v>
      </c>
      <c r="E33" s="157">
        <f ca="1"/>
        <v>0.88572638937020143</v>
      </c>
      <c r="F33" s="157">
        <f ca="1"/>
        <v>0.48695445754065125</v>
      </c>
      <c r="G33" s="157">
        <f ca="1"/>
        <v>0.15075308293802464</v>
      </c>
      <c r="H33" s="157">
        <f ca="1"/>
        <v>1.1099562839809016</v>
      </c>
      <c r="I33" s="157">
        <f ca="1"/>
        <v>7.8090810549715313</v>
      </c>
      <c r="J33" s="162">
        <f ca="1"/>
        <v>86.166209106513989</v>
      </c>
      <c r="K33" s="165">
        <f ca="1"/>
        <v>107.51779104408769</v>
      </c>
      <c r="L33" s="157">
        <f ca="1"/>
        <v>4.1789137764227133</v>
      </c>
    </row>
    <row r="34" spans="1:12" ht="15" customHeight="1">
      <c r="A34" s="17"/>
      <c r="B34" s="22">
        <f>'Oil supply projection'!$B34</f>
        <v>2043</v>
      </c>
      <c r="C34" s="157">
        <f ca="1"/>
        <v>9.2667934900761768</v>
      </c>
      <c r="D34" s="157">
        <f ca="1"/>
        <v>1.644222397935776</v>
      </c>
      <c r="E34" s="157">
        <f ca="1"/>
        <v>0.86121969469537119</v>
      </c>
      <c r="F34" s="157">
        <f ca="1"/>
        <v>0.52386592686065481</v>
      </c>
      <c r="G34" s="157">
        <f ca="1"/>
        <v>0.16866022528525035</v>
      </c>
      <c r="H34" s="157">
        <f ca="1"/>
        <v>1.1138984525176423</v>
      </c>
      <c r="I34" s="157">
        <f ca="1"/>
        <v>7.8150234779555507</v>
      </c>
      <c r="J34" s="162">
        <f ca="1"/>
        <v>86.201566739768126</v>
      </c>
      <c r="K34" s="165">
        <f ca="1"/>
        <v>107.59525040509455</v>
      </c>
      <c r="L34" s="157">
        <f ca="1"/>
        <v>4.1816844205194581</v>
      </c>
    </row>
    <row r="35" spans="1:12" ht="15" customHeight="1">
      <c r="A35" s="17"/>
      <c r="B35" s="22">
        <f>'Oil supply projection'!$B35</f>
        <v>2044</v>
      </c>
      <c r="C35" s="157">
        <f ca="1"/>
        <v>9.3437541569241525</v>
      </c>
      <c r="D35" s="157">
        <f ca="1"/>
        <v>1.6437186286587528</v>
      </c>
      <c r="E35" s="157">
        <f ca="1"/>
        <v>0.80529895736541124</v>
      </c>
      <c r="F35" s="157">
        <f ca="1"/>
        <v>0.53930114577059296</v>
      </c>
      <c r="G35" s="157">
        <f ca="1"/>
        <v>0.17939279268604363</v>
      </c>
      <c r="H35" s="157">
        <f ca="1"/>
        <v>1.1119786708549186</v>
      </c>
      <c r="I35" s="157">
        <f ca="1"/>
        <v>7.7881391777084694</v>
      </c>
      <c r="J35" s="162">
        <f ca="1"/>
        <v>86.236883866708112</v>
      </c>
      <c r="K35" s="165">
        <f ca="1"/>
        <v>107.64846739667645</v>
      </c>
      <c r="L35" s="157">
        <f ca="1"/>
        <v>4.1536021166336674</v>
      </c>
    </row>
    <row r="36" spans="1:12" ht="15" customHeight="1">
      <c r="A36" s="17"/>
      <c r="B36" s="22">
        <f>'Oil supply projection'!$B36</f>
        <v>2045</v>
      </c>
      <c r="C36" s="157">
        <f ca="1"/>
        <v>0</v>
      </c>
      <c r="D36" s="157">
        <f ca="1"/>
        <v>0</v>
      </c>
      <c r="E36" s="157">
        <f ca="1"/>
        <v>0</v>
      </c>
      <c r="F36" s="157">
        <f ca="1"/>
        <v>0</v>
      </c>
      <c r="G36" s="157">
        <f ca="1"/>
        <v>0</v>
      </c>
      <c r="H36" s="157">
        <f ca="1"/>
        <v>0</v>
      </c>
      <c r="I36" s="157">
        <f ca="1"/>
        <v>0</v>
      </c>
      <c r="J36" s="162">
        <f ca="1"/>
        <v>0</v>
      </c>
      <c r="K36" s="165">
        <f ca="1"/>
        <v>0</v>
      </c>
      <c r="L36" s="157">
        <f ca="1"/>
        <v>0</v>
      </c>
    </row>
    <row r="37" spans="1:12" ht="15" customHeight="1">
      <c r="A37" s="17"/>
      <c r="B37" s="22">
        <f>'Oil supply projection'!$B37</f>
        <v>2046</v>
      </c>
      <c r="C37" s="157">
        <f ca="1"/>
        <v>0</v>
      </c>
      <c r="D37" s="157">
        <f ca="1"/>
        <v>0</v>
      </c>
      <c r="E37" s="157">
        <f ca="1"/>
        <v>0</v>
      </c>
      <c r="F37" s="157">
        <f ca="1"/>
        <v>0</v>
      </c>
      <c r="G37" s="157">
        <f ca="1"/>
        <v>0</v>
      </c>
      <c r="H37" s="157">
        <f ca="1"/>
        <v>0</v>
      </c>
      <c r="I37" s="157">
        <f ca="1"/>
        <v>0</v>
      </c>
      <c r="J37" s="162">
        <f ca="1"/>
        <v>0</v>
      </c>
      <c r="K37" s="165">
        <f ca="1"/>
        <v>0</v>
      </c>
      <c r="L37" s="157">
        <f ca="1"/>
        <v>0</v>
      </c>
    </row>
    <row r="38" spans="1:12" ht="15" customHeight="1">
      <c r="A38" s="17"/>
      <c r="B38" s="22">
        <f>'Oil supply projection'!$B38</f>
        <v>2047</v>
      </c>
      <c r="C38" s="157">
        <f ca="1"/>
        <v>0</v>
      </c>
      <c r="D38" s="157">
        <f ca="1"/>
        <v>0</v>
      </c>
      <c r="E38" s="157">
        <f ca="1"/>
        <v>0</v>
      </c>
      <c r="F38" s="157">
        <f ca="1"/>
        <v>0</v>
      </c>
      <c r="G38" s="157">
        <f ca="1"/>
        <v>0</v>
      </c>
      <c r="H38" s="157">
        <f ca="1"/>
        <v>0</v>
      </c>
      <c r="I38" s="157">
        <f ca="1"/>
        <v>0</v>
      </c>
      <c r="J38" s="162">
        <f ca="1"/>
        <v>0</v>
      </c>
      <c r="K38" s="165">
        <f ca="1"/>
        <v>0</v>
      </c>
      <c r="L38" s="157">
        <f ca="1"/>
        <v>0</v>
      </c>
    </row>
    <row r="39" spans="1:12" ht="15" customHeight="1">
      <c r="A39" s="19"/>
      <c r="B39" s="22">
        <f>'Oil supply projection'!$B39</f>
        <v>2048</v>
      </c>
      <c r="C39" s="157">
        <f ca="1"/>
        <v>0</v>
      </c>
      <c r="D39" s="157">
        <f ca="1"/>
        <v>0</v>
      </c>
      <c r="E39" s="157">
        <f ca="1"/>
        <v>0</v>
      </c>
      <c r="F39" s="157">
        <f ca="1"/>
        <v>0</v>
      </c>
      <c r="G39" s="157">
        <f ca="1"/>
        <v>0</v>
      </c>
      <c r="H39" s="157">
        <f ca="1"/>
        <v>0</v>
      </c>
      <c r="I39" s="157">
        <f ca="1"/>
        <v>0</v>
      </c>
      <c r="J39" s="162">
        <f ca="1"/>
        <v>0</v>
      </c>
      <c r="K39" s="165">
        <f ca="1"/>
        <v>0</v>
      </c>
      <c r="L39" s="157">
        <f ca="1"/>
        <v>0</v>
      </c>
    </row>
    <row r="40" spans="1:12" ht="15" customHeight="1">
      <c r="A40" s="17"/>
      <c r="B40" s="22">
        <f>'Oil supply projection'!$B40</f>
        <v>2049</v>
      </c>
      <c r="C40" s="157">
        <f ca="1"/>
        <v>0</v>
      </c>
      <c r="D40" s="157">
        <f ca="1"/>
        <v>0</v>
      </c>
      <c r="E40" s="157">
        <f ca="1"/>
        <v>0</v>
      </c>
      <c r="F40" s="157">
        <f ca="1"/>
        <v>0</v>
      </c>
      <c r="G40" s="157">
        <f ca="1"/>
        <v>0</v>
      </c>
      <c r="H40" s="157">
        <f ca="1"/>
        <v>0</v>
      </c>
      <c r="I40" s="157">
        <f ca="1"/>
        <v>0</v>
      </c>
      <c r="J40" s="162">
        <f ca="1"/>
        <v>0</v>
      </c>
      <c r="K40" s="165">
        <f ca="1"/>
        <v>0</v>
      </c>
      <c r="L40" s="157">
        <f ca="1"/>
        <v>0</v>
      </c>
    </row>
    <row r="41" spans="1:12" ht="15" customHeight="1">
      <c r="A41" s="17"/>
      <c r="B41" s="22">
        <f>'Oil supply projection'!$B41</f>
        <v>2050</v>
      </c>
      <c r="C41" s="157">
        <f ca="1"/>
        <v>0</v>
      </c>
      <c r="D41" s="157">
        <f ca="1"/>
        <v>0</v>
      </c>
      <c r="E41" s="157">
        <f ca="1"/>
        <v>0</v>
      </c>
      <c r="F41" s="157">
        <f ca="1"/>
        <v>0</v>
      </c>
      <c r="G41" s="157">
        <f ca="1"/>
        <v>0</v>
      </c>
      <c r="H41" s="157">
        <f ca="1"/>
        <v>0</v>
      </c>
      <c r="I41" s="157">
        <f ca="1"/>
        <v>0</v>
      </c>
      <c r="J41" s="162">
        <f ca="1"/>
        <v>0</v>
      </c>
      <c r="K41" s="165">
        <f ca="1"/>
        <v>0</v>
      </c>
      <c r="L41" s="157">
        <f ca="1"/>
        <v>0</v>
      </c>
    </row>
    <row r="42" spans="1:12" ht="15" customHeight="1">
      <c r="A42" s="17"/>
      <c r="B42" s="22">
        <f>'Oil supply projection'!$B42</f>
        <v>2051</v>
      </c>
      <c r="C42" s="157">
        <f ca="1"/>
        <v>0</v>
      </c>
      <c r="D42" s="157">
        <f ca="1"/>
        <v>0</v>
      </c>
      <c r="E42" s="157">
        <f ca="1"/>
        <v>0</v>
      </c>
      <c r="F42" s="157">
        <f ca="1"/>
        <v>0</v>
      </c>
      <c r="G42" s="157">
        <f ca="1"/>
        <v>0</v>
      </c>
      <c r="H42" s="157">
        <f ca="1"/>
        <v>0</v>
      </c>
      <c r="I42" s="157">
        <f ca="1"/>
        <v>0</v>
      </c>
      <c r="J42" s="162">
        <f ca="1"/>
        <v>0</v>
      </c>
      <c r="K42" s="165">
        <f ca="1"/>
        <v>0</v>
      </c>
      <c r="L42" s="157">
        <f ca="1"/>
        <v>0</v>
      </c>
    </row>
    <row r="43" spans="1:12" ht="15" customHeight="1">
      <c r="A43" s="17"/>
      <c r="B43" s="22">
        <f>'Oil supply projection'!$B43</f>
        <v>2052</v>
      </c>
      <c r="C43" s="157">
        <f ca="1"/>
        <v>0</v>
      </c>
      <c r="D43" s="157">
        <f ca="1"/>
        <v>0</v>
      </c>
      <c r="E43" s="157">
        <f ca="1"/>
        <v>0</v>
      </c>
      <c r="F43" s="157">
        <f ca="1"/>
        <v>0</v>
      </c>
      <c r="G43" s="157">
        <f ca="1"/>
        <v>0</v>
      </c>
      <c r="H43" s="157">
        <f ca="1"/>
        <v>0</v>
      </c>
      <c r="I43" s="157">
        <f ca="1"/>
        <v>0</v>
      </c>
      <c r="J43" s="162">
        <f ca="1"/>
        <v>0</v>
      </c>
      <c r="K43" s="165">
        <f ca="1"/>
        <v>0</v>
      </c>
      <c r="L43" s="157">
        <f ca="1"/>
        <v>0</v>
      </c>
    </row>
    <row r="44" spans="1:12" ht="15" customHeight="1">
      <c r="A44" s="17"/>
      <c r="B44" s="22">
        <f>'Oil supply projection'!$B44</f>
        <v>2053</v>
      </c>
      <c r="C44" s="157">
        <f ca="1"/>
        <v>0</v>
      </c>
      <c r="D44" s="157">
        <f ca="1"/>
        <v>0</v>
      </c>
      <c r="E44" s="157">
        <f ca="1"/>
        <v>0</v>
      </c>
      <c r="F44" s="157">
        <f ca="1"/>
        <v>0</v>
      </c>
      <c r="G44" s="157">
        <f ca="1"/>
        <v>0</v>
      </c>
      <c r="H44" s="157">
        <f ca="1"/>
        <v>0</v>
      </c>
      <c r="I44" s="157">
        <f ca="1"/>
        <v>0</v>
      </c>
      <c r="J44" s="162">
        <f ca="1"/>
        <v>0</v>
      </c>
      <c r="K44" s="165">
        <f ca="1"/>
        <v>0</v>
      </c>
      <c r="L44" s="157">
        <f ca="1"/>
        <v>0</v>
      </c>
    </row>
    <row r="45" spans="1:12" ht="15" customHeight="1">
      <c r="A45" s="17"/>
      <c r="B45" s="22">
        <f>'Oil supply projection'!$B45</f>
        <v>2054</v>
      </c>
      <c r="C45" s="157">
        <f ca="1"/>
        <v>0</v>
      </c>
      <c r="D45" s="157">
        <f ca="1"/>
        <v>0</v>
      </c>
      <c r="E45" s="157">
        <f ca="1"/>
        <v>0</v>
      </c>
      <c r="F45" s="157">
        <f ca="1"/>
        <v>0</v>
      </c>
      <c r="G45" s="157">
        <f ca="1"/>
        <v>0</v>
      </c>
      <c r="H45" s="157">
        <f ca="1"/>
        <v>0</v>
      </c>
      <c r="I45" s="157">
        <f ca="1"/>
        <v>0</v>
      </c>
      <c r="J45" s="162">
        <f ca="1"/>
        <v>0</v>
      </c>
      <c r="K45" s="165">
        <f ca="1"/>
        <v>0</v>
      </c>
      <c r="L45" s="157">
        <f ca="1"/>
        <v>0</v>
      </c>
    </row>
    <row r="46" spans="1:12" ht="15" customHeight="1">
      <c r="A46" s="17"/>
      <c r="B46" s="22">
        <f>'Oil supply projection'!$B46</f>
        <v>2055</v>
      </c>
      <c r="C46" s="157">
        <f ca="1"/>
        <v>0</v>
      </c>
      <c r="D46" s="157">
        <f ca="1"/>
        <v>0</v>
      </c>
      <c r="E46" s="157">
        <f ca="1"/>
        <v>0</v>
      </c>
      <c r="F46" s="157">
        <f ca="1"/>
        <v>0</v>
      </c>
      <c r="G46" s="157">
        <f ca="1"/>
        <v>0</v>
      </c>
      <c r="H46" s="157">
        <f ca="1"/>
        <v>0</v>
      </c>
      <c r="I46" s="157">
        <f ca="1"/>
        <v>0</v>
      </c>
      <c r="J46" s="162">
        <f ca="1"/>
        <v>0</v>
      </c>
      <c r="K46" s="165">
        <f ca="1"/>
        <v>0</v>
      </c>
      <c r="L46" s="157">
        <f ca="1"/>
        <v>0</v>
      </c>
    </row>
    <row r="47" spans="1:12" ht="15" customHeight="1">
      <c r="A47" s="17"/>
      <c r="B47" s="22">
        <f>'Oil supply projection'!$B47</f>
        <v>2056</v>
      </c>
      <c r="C47" s="157">
        <f ca="1"/>
        <v>0</v>
      </c>
      <c r="D47" s="157">
        <f ca="1"/>
        <v>0</v>
      </c>
      <c r="E47" s="157">
        <f ca="1"/>
        <v>0</v>
      </c>
      <c r="F47" s="157">
        <f ca="1"/>
        <v>0</v>
      </c>
      <c r="G47" s="157">
        <f ca="1"/>
        <v>0</v>
      </c>
      <c r="H47" s="157">
        <f ca="1"/>
        <v>0</v>
      </c>
      <c r="I47" s="157">
        <f ca="1"/>
        <v>0</v>
      </c>
      <c r="J47" s="162">
        <f ca="1"/>
        <v>0</v>
      </c>
      <c r="K47" s="165">
        <f ca="1"/>
        <v>0</v>
      </c>
      <c r="L47" s="157">
        <f ca="1"/>
        <v>0</v>
      </c>
    </row>
    <row r="48" spans="1:12" ht="15" customHeight="1">
      <c r="A48" s="17"/>
      <c r="B48" s="22">
        <f>'Oil supply projection'!$B48</f>
        <v>2057</v>
      </c>
      <c r="C48" s="157">
        <f ca="1"/>
        <v>0</v>
      </c>
      <c r="D48" s="157">
        <f ca="1"/>
        <v>0</v>
      </c>
      <c r="E48" s="157">
        <f ca="1"/>
        <v>0</v>
      </c>
      <c r="F48" s="157">
        <f ca="1"/>
        <v>0</v>
      </c>
      <c r="G48" s="157">
        <f ca="1"/>
        <v>0</v>
      </c>
      <c r="H48" s="157">
        <f ca="1"/>
        <v>0</v>
      </c>
      <c r="I48" s="157">
        <f ca="1"/>
        <v>0</v>
      </c>
      <c r="J48" s="162">
        <f ca="1"/>
        <v>0</v>
      </c>
      <c r="K48" s="165">
        <f ca="1"/>
        <v>0</v>
      </c>
      <c r="L48" s="157">
        <f ca="1"/>
        <v>0</v>
      </c>
    </row>
    <row r="49" spans="1:12" ht="15" customHeight="1">
      <c r="A49" s="17"/>
      <c r="B49" s="22">
        <f>'Oil supply projection'!$B49</f>
        <v>2058</v>
      </c>
      <c r="C49" s="157">
        <f ca="1"/>
        <v>0</v>
      </c>
      <c r="D49" s="157">
        <f ca="1"/>
        <v>0</v>
      </c>
      <c r="E49" s="157">
        <f ca="1"/>
        <v>0</v>
      </c>
      <c r="F49" s="157">
        <f ca="1"/>
        <v>0</v>
      </c>
      <c r="G49" s="157">
        <f ca="1"/>
        <v>0</v>
      </c>
      <c r="H49" s="157">
        <f ca="1"/>
        <v>0</v>
      </c>
      <c r="I49" s="157">
        <f ca="1"/>
        <v>0</v>
      </c>
      <c r="J49" s="162">
        <f ca="1"/>
        <v>0</v>
      </c>
      <c r="K49" s="165">
        <f ca="1"/>
        <v>0</v>
      </c>
      <c r="L49" s="157">
        <f ca="1"/>
        <v>0</v>
      </c>
    </row>
    <row r="50" spans="1:12" ht="15" customHeight="1">
      <c r="A50" s="17"/>
      <c r="B50" s="22">
        <f>'Oil supply projection'!$B50</f>
        <v>2059</v>
      </c>
      <c r="C50" s="157">
        <f ca="1"/>
        <v>0</v>
      </c>
      <c r="D50" s="157">
        <f ca="1"/>
        <v>0</v>
      </c>
      <c r="E50" s="157">
        <f ca="1"/>
        <v>0</v>
      </c>
      <c r="F50" s="157">
        <f ca="1"/>
        <v>0</v>
      </c>
      <c r="G50" s="157">
        <f ca="1"/>
        <v>0</v>
      </c>
      <c r="H50" s="157">
        <f ca="1"/>
        <v>0</v>
      </c>
      <c r="I50" s="157">
        <f ca="1"/>
        <v>0</v>
      </c>
      <c r="J50" s="162">
        <f ca="1"/>
        <v>0</v>
      </c>
      <c r="K50" s="165">
        <f ca="1"/>
        <v>0</v>
      </c>
      <c r="L50" s="157">
        <f ca="1"/>
        <v>0</v>
      </c>
    </row>
    <row r="51" spans="1:12" ht="15" customHeight="1">
      <c r="A51" s="17"/>
      <c r="B51" s="22">
        <f>'Oil supply projection'!$B51</f>
        <v>2060</v>
      </c>
      <c r="C51" s="157">
        <f ca="1"/>
        <v>0</v>
      </c>
      <c r="D51" s="157">
        <f ca="1"/>
        <v>0</v>
      </c>
      <c r="E51" s="157">
        <f ca="1"/>
        <v>0</v>
      </c>
      <c r="F51" s="157">
        <f ca="1"/>
        <v>0</v>
      </c>
      <c r="G51" s="157">
        <f ca="1"/>
        <v>0</v>
      </c>
      <c r="H51" s="157">
        <f ca="1"/>
        <v>0</v>
      </c>
      <c r="I51" s="157">
        <f ca="1"/>
        <v>0</v>
      </c>
      <c r="J51" s="162">
        <f ca="1"/>
        <v>0</v>
      </c>
      <c r="K51" s="165">
        <f ca="1"/>
        <v>0</v>
      </c>
      <c r="L51" s="157">
        <f ca="1"/>
        <v>0</v>
      </c>
    </row>
    <row r="52" spans="1:12" ht="15" customHeight="1">
      <c r="A52" s="17"/>
      <c r="B52" s="22">
        <f>'Oil supply projection'!$B52</f>
        <v>2061</v>
      </c>
      <c r="C52" s="157">
        <f ca="1"/>
        <v>0</v>
      </c>
      <c r="D52" s="157">
        <f ca="1"/>
        <v>0</v>
      </c>
      <c r="E52" s="157">
        <f ca="1"/>
        <v>0</v>
      </c>
      <c r="F52" s="157">
        <f ca="1"/>
        <v>0</v>
      </c>
      <c r="G52" s="157">
        <f ca="1"/>
        <v>0</v>
      </c>
      <c r="H52" s="157">
        <f ca="1"/>
        <v>0</v>
      </c>
      <c r="I52" s="157">
        <f ca="1"/>
        <v>0</v>
      </c>
      <c r="J52" s="162">
        <f ca="1"/>
        <v>0</v>
      </c>
      <c r="K52" s="165">
        <f ca="1"/>
        <v>0</v>
      </c>
      <c r="L52" s="157">
        <f ca="1"/>
        <v>0</v>
      </c>
    </row>
    <row r="53" spans="1:12" ht="15" customHeight="1">
      <c r="A53" s="16"/>
      <c r="B53" s="22">
        <f>'Oil supply projection'!$B53</f>
        <v>2062</v>
      </c>
      <c r="C53" s="157">
        <f ca="1"/>
        <v>0</v>
      </c>
      <c r="D53" s="157">
        <f ca="1"/>
        <v>0</v>
      </c>
      <c r="E53" s="157">
        <f ca="1"/>
        <v>0</v>
      </c>
      <c r="F53" s="157">
        <f ca="1"/>
        <v>0</v>
      </c>
      <c r="G53" s="157">
        <f ca="1"/>
        <v>0</v>
      </c>
      <c r="H53" s="157">
        <f ca="1"/>
        <v>0</v>
      </c>
      <c r="I53" s="157">
        <f ca="1"/>
        <v>0</v>
      </c>
      <c r="J53" s="162">
        <f ca="1"/>
        <v>0</v>
      </c>
      <c r="K53" s="165">
        <f ca="1"/>
        <v>0</v>
      </c>
      <c r="L53" s="157">
        <f ca="1"/>
        <v>0</v>
      </c>
    </row>
    <row r="54" spans="1:12" ht="15" customHeight="1">
      <c r="A54" s="16"/>
      <c r="B54" s="22">
        <f>'Oil supply projection'!$B54</f>
        <v>2063</v>
      </c>
      <c r="C54" s="157">
        <f ca="1"/>
        <v>0</v>
      </c>
      <c r="D54" s="157">
        <f ca="1"/>
        <v>0</v>
      </c>
      <c r="E54" s="157">
        <f ca="1"/>
        <v>0</v>
      </c>
      <c r="F54" s="157">
        <f ca="1"/>
        <v>0</v>
      </c>
      <c r="G54" s="157">
        <f ca="1"/>
        <v>0</v>
      </c>
      <c r="H54" s="157">
        <f ca="1"/>
        <v>0</v>
      </c>
      <c r="I54" s="157">
        <f ca="1"/>
        <v>0</v>
      </c>
      <c r="J54" s="162">
        <f ca="1"/>
        <v>0</v>
      </c>
      <c r="K54" s="165">
        <f ca="1"/>
        <v>0</v>
      </c>
      <c r="L54" s="157">
        <f ca="1"/>
        <v>0</v>
      </c>
    </row>
    <row r="55" spans="1:12" ht="15" customHeight="1">
      <c r="A55" s="16"/>
      <c r="B55" s="22">
        <f>'Oil supply projection'!$B55</f>
        <v>2064</v>
      </c>
      <c r="C55" s="157">
        <f ca="1"/>
        <v>0</v>
      </c>
      <c r="D55" s="157">
        <f ca="1"/>
        <v>0</v>
      </c>
      <c r="E55" s="157">
        <f ca="1"/>
        <v>0</v>
      </c>
      <c r="F55" s="157">
        <f ca="1"/>
        <v>0</v>
      </c>
      <c r="G55" s="157">
        <f ca="1"/>
        <v>0</v>
      </c>
      <c r="H55" s="157">
        <f ca="1"/>
        <v>0</v>
      </c>
      <c r="I55" s="157">
        <f ca="1"/>
        <v>0</v>
      </c>
      <c r="J55" s="162">
        <f ca="1"/>
        <v>0</v>
      </c>
      <c r="K55" s="165">
        <f ca="1"/>
        <v>0</v>
      </c>
      <c r="L55" s="157">
        <f ca="1"/>
        <v>0</v>
      </c>
    </row>
    <row r="56" spans="1:12" ht="15" customHeight="1">
      <c r="A56" s="16"/>
      <c r="B56" s="22">
        <f>'Oil supply projection'!$B56</f>
        <v>2065</v>
      </c>
      <c r="C56" s="157">
        <f ca="1"/>
        <v>0</v>
      </c>
      <c r="D56" s="157">
        <f ca="1"/>
        <v>0</v>
      </c>
      <c r="E56" s="157">
        <f ca="1"/>
        <v>0</v>
      </c>
      <c r="F56" s="157">
        <f ca="1"/>
        <v>0</v>
      </c>
      <c r="G56" s="157">
        <f ca="1"/>
        <v>0</v>
      </c>
      <c r="H56" s="157">
        <f ca="1"/>
        <v>0</v>
      </c>
      <c r="I56" s="157">
        <f ca="1"/>
        <v>0</v>
      </c>
      <c r="J56" s="162">
        <f ca="1"/>
        <v>0</v>
      </c>
      <c r="K56" s="165">
        <f ca="1"/>
        <v>0</v>
      </c>
      <c r="L56" s="157">
        <f ca="1"/>
        <v>0</v>
      </c>
    </row>
    <row r="57" spans="1:12" ht="15" customHeight="1">
      <c r="A57" s="16"/>
      <c r="B57" s="22">
        <f>'Oil supply projection'!$B57</f>
        <v>2066</v>
      </c>
      <c r="C57" s="157">
        <f ca="1"/>
        <v>0</v>
      </c>
      <c r="D57" s="157">
        <f ca="1"/>
        <v>0</v>
      </c>
      <c r="E57" s="157">
        <f ca="1"/>
        <v>0</v>
      </c>
      <c r="F57" s="157">
        <f ca="1"/>
        <v>0</v>
      </c>
      <c r="G57" s="157">
        <f ca="1"/>
        <v>0</v>
      </c>
      <c r="H57" s="157">
        <f ca="1"/>
        <v>0</v>
      </c>
      <c r="I57" s="157">
        <f ca="1"/>
        <v>0</v>
      </c>
      <c r="J57" s="162">
        <f ca="1"/>
        <v>0</v>
      </c>
      <c r="K57" s="165">
        <f ca="1"/>
        <v>0</v>
      </c>
      <c r="L57" s="157">
        <f ca="1"/>
        <v>0</v>
      </c>
    </row>
    <row r="58" spans="1:12" ht="15" customHeight="1">
      <c r="A58" s="16"/>
      <c r="B58" s="22">
        <f>'Oil supply projection'!$B58</f>
        <v>2067</v>
      </c>
      <c r="C58" s="157">
        <f ca="1"/>
        <v>0</v>
      </c>
      <c r="D58" s="157">
        <f ca="1"/>
        <v>0</v>
      </c>
      <c r="E58" s="157">
        <f ca="1"/>
        <v>0</v>
      </c>
      <c r="F58" s="157">
        <f ca="1"/>
        <v>0</v>
      </c>
      <c r="G58" s="157">
        <f ca="1"/>
        <v>0</v>
      </c>
      <c r="H58" s="157">
        <f ca="1"/>
        <v>0</v>
      </c>
      <c r="I58" s="157">
        <f ca="1"/>
        <v>0</v>
      </c>
      <c r="J58" s="162">
        <f ca="1"/>
        <v>0</v>
      </c>
      <c r="K58" s="165">
        <f ca="1"/>
        <v>0</v>
      </c>
      <c r="L58" s="157">
        <f ca="1"/>
        <v>0</v>
      </c>
    </row>
    <row r="59" spans="1:12" ht="15" customHeight="1">
      <c r="A59" s="16"/>
      <c r="B59" s="22">
        <f>'Oil supply projection'!$B59</f>
        <v>2068</v>
      </c>
      <c r="C59" s="157">
        <f ca="1"/>
        <v>0</v>
      </c>
      <c r="D59" s="157">
        <f ca="1"/>
        <v>0</v>
      </c>
      <c r="E59" s="157">
        <f ca="1"/>
        <v>0</v>
      </c>
      <c r="F59" s="157">
        <f ca="1"/>
        <v>0</v>
      </c>
      <c r="G59" s="157">
        <f ca="1"/>
        <v>0</v>
      </c>
      <c r="H59" s="157">
        <f ca="1"/>
        <v>0</v>
      </c>
      <c r="I59" s="157">
        <f ca="1"/>
        <v>0</v>
      </c>
      <c r="J59" s="162">
        <f ca="1"/>
        <v>0</v>
      </c>
      <c r="K59" s="165">
        <f ca="1"/>
        <v>0</v>
      </c>
      <c r="L59" s="157">
        <f ca="1"/>
        <v>0</v>
      </c>
    </row>
    <row r="60" spans="1:12" ht="15" customHeight="1">
      <c r="A60" s="16"/>
      <c r="B60" s="22">
        <f>'Oil supply projection'!$B60</f>
        <v>2069</v>
      </c>
      <c r="C60" s="157">
        <f ca="1"/>
        <v>0</v>
      </c>
      <c r="D60" s="157">
        <f ca="1"/>
        <v>0</v>
      </c>
      <c r="E60" s="157">
        <f ca="1"/>
        <v>0</v>
      </c>
      <c r="F60" s="157">
        <f ca="1"/>
        <v>0</v>
      </c>
      <c r="G60" s="157">
        <f ca="1"/>
        <v>0</v>
      </c>
      <c r="H60" s="157">
        <f ca="1"/>
        <v>0</v>
      </c>
      <c r="I60" s="157">
        <f ca="1"/>
        <v>0</v>
      </c>
      <c r="J60" s="157">
        <f ca="1"/>
        <v>0</v>
      </c>
      <c r="K60" s="165">
        <f ca="1"/>
        <v>0</v>
      </c>
      <c r="L60" s="157">
        <f ca="1"/>
        <v>0</v>
      </c>
    </row>
    <row r="61" spans="1:12" ht="15" customHeight="1">
      <c r="A61" s="16"/>
      <c r="B61" s="22">
        <f>'Oil supply projection'!$B61</f>
        <v>2070</v>
      </c>
      <c r="C61" s="157">
        <f ca="1"/>
        <v>0</v>
      </c>
      <c r="D61" s="157">
        <f ca="1"/>
        <v>0</v>
      </c>
      <c r="E61" s="157">
        <f ca="1"/>
        <v>0</v>
      </c>
      <c r="F61" s="157">
        <f ca="1"/>
        <v>0</v>
      </c>
      <c r="G61" s="157">
        <f ca="1"/>
        <v>0</v>
      </c>
      <c r="H61" s="157">
        <f ca="1"/>
        <v>0</v>
      </c>
      <c r="I61" s="157">
        <f ca="1"/>
        <v>0</v>
      </c>
      <c r="J61" s="157">
        <f ca="1"/>
        <v>0</v>
      </c>
      <c r="K61" s="165">
        <f ca="1"/>
        <v>0</v>
      </c>
      <c r="L61" s="157">
        <f ca="1"/>
        <v>0</v>
      </c>
    </row>
    <row r="62" spans="1:12" ht="15" customHeight="1">
      <c r="A62" s="16"/>
      <c r="B62" s="22">
        <f>'Oil supply projection'!$B62</f>
        <v>2071</v>
      </c>
      <c r="C62" s="157">
        <f ca="1"/>
        <v>0</v>
      </c>
      <c r="D62" s="157">
        <f ca="1"/>
        <v>0</v>
      </c>
      <c r="E62" s="157">
        <f ca="1"/>
        <v>0</v>
      </c>
      <c r="F62" s="157">
        <f ca="1"/>
        <v>0</v>
      </c>
      <c r="G62" s="157">
        <f ca="1"/>
        <v>0</v>
      </c>
      <c r="H62" s="157">
        <f ca="1"/>
        <v>0</v>
      </c>
      <c r="I62" s="157">
        <f ca="1"/>
        <v>0</v>
      </c>
      <c r="J62" s="157">
        <f ca="1"/>
        <v>0</v>
      </c>
      <c r="K62" s="165">
        <f ca="1"/>
        <v>0</v>
      </c>
      <c r="L62" s="157">
        <f ca="1"/>
        <v>0</v>
      </c>
    </row>
    <row r="63" spans="1:12" ht="15" customHeight="1">
      <c r="A63" s="16"/>
      <c r="B63" s="22">
        <f>'Oil supply projection'!$B63</f>
        <v>2072</v>
      </c>
      <c r="C63" s="157">
        <f ca="1"/>
        <v>0</v>
      </c>
      <c r="D63" s="157">
        <f ca="1"/>
        <v>0</v>
      </c>
      <c r="E63" s="157">
        <f ca="1"/>
        <v>0</v>
      </c>
      <c r="F63" s="157">
        <f ca="1"/>
        <v>0</v>
      </c>
      <c r="G63" s="157">
        <f ca="1"/>
        <v>0</v>
      </c>
      <c r="H63" s="157">
        <f ca="1"/>
        <v>0</v>
      </c>
      <c r="I63" s="157">
        <f ca="1"/>
        <v>0</v>
      </c>
      <c r="J63" s="157">
        <f ca="1"/>
        <v>0</v>
      </c>
      <c r="K63" s="165">
        <f ca="1"/>
        <v>0</v>
      </c>
      <c r="L63" s="157">
        <f ca="1"/>
        <v>0</v>
      </c>
    </row>
    <row r="64" spans="1:12" ht="15" customHeight="1">
      <c r="A64" s="16"/>
      <c r="B64" s="22">
        <f>'Oil supply projection'!$B64</f>
        <v>2073</v>
      </c>
      <c r="C64" s="157">
        <f ca="1"/>
        <v>0</v>
      </c>
      <c r="D64" s="157">
        <f ca="1"/>
        <v>0</v>
      </c>
      <c r="E64" s="157">
        <f ca="1"/>
        <v>0</v>
      </c>
      <c r="F64" s="157">
        <f ca="1"/>
        <v>0</v>
      </c>
      <c r="G64" s="157">
        <f ca="1"/>
        <v>0</v>
      </c>
      <c r="H64" s="157">
        <f ca="1"/>
        <v>0</v>
      </c>
      <c r="I64" s="157">
        <f ca="1"/>
        <v>0</v>
      </c>
      <c r="J64" s="157">
        <f ca="1"/>
        <v>0</v>
      </c>
      <c r="K64" s="165">
        <f ca="1"/>
        <v>0</v>
      </c>
      <c r="L64" s="157">
        <f ca="1"/>
        <v>0</v>
      </c>
    </row>
    <row r="65" spans="1:12" ht="15" customHeight="1">
      <c r="A65" s="16"/>
      <c r="B65" s="22">
        <f>'Oil supply projection'!$B65</f>
        <v>2074</v>
      </c>
      <c r="C65" s="157">
        <f ca="1"/>
        <v>0</v>
      </c>
      <c r="D65" s="157">
        <f ca="1"/>
        <v>0</v>
      </c>
      <c r="E65" s="157">
        <f ca="1"/>
        <v>0</v>
      </c>
      <c r="F65" s="157">
        <f ca="1"/>
        <v>0</v>
      </c>
      <c r="G65" s="157">
        <f ca="1"/>
        <v>0</v>
      </c>
      <c r="H65" s="157">
        <f ca="1"/>
        <v>0</v>
      </c>
      <c r="I65" s="157">
        <f ca="1"/>
        <v>0</v>
      </c>
      <c r="J65" s="157">
        <f ca="1"/>
        <v>0</v>
      </c>
      <c r="K65" s="165">
        <f ca="1"/>
        <v>0</v>
      </c>
      <c r="L65" s="157">
        <f ca="1"/>
        <v>0</v>
      </c>
    </row>
    <row r="66" spans="1:12" ht="15" customHeight="1">
      <c r="A66" s="16"/>
      <c r="B66" s="22">
        <f>'Oil supply projection'!$B66</f>
        <v>2075</v>
      </c>
      <c r="C66" s="157">
        <f ca="1"/>
        <v>0</v>
      </c>
      <c r="D66" s="157">
        <f ca="1"/>
        <v>0</v>
      </c>
      <c r="E66" s="157">
        <f ca="1"/>
        <v>0</v>
      </c>
      <c r="F66" s="157">
        <f ca="1"/>
        <v>0</v>
      </c>
      <c r="G66" s="157">
        <f ca="1"/>
        <v>0</v>
      </c>
      <c r="H66" s="157">
        <f ca="1"/>
        <v>0</v>
      </c>
      <c r="I66" s="157">
        <f ca="1"/>
        <v>0</v>
      </c>
      <c r="J66" s="157">
        <f ca="1"/>
        <v>0</v>
      </c>
      <c r="K66" s="165">
        <f ca="1"/>
        <v>0</v>
      </c>
      <c r="L66" s="157">
        <f ca="1"/>
        <v>0</v>
      </c>
    </row>
    <row r="67" spans="1:12" ht="15" customHeight="1">
      <c r="A67" s="16"/>
      <c r="B67" s="22">
        <f>'Oil supply projection'!$B67</f>
        <v>2076</v>
      </c>
      <c r="C67" s="157">
        <f ca="1"/>
        <v>0</v>
      </c>
      <c r="D67" s="157">
        <f ca="1"/>
        <v>0</v>
      </c>
      <c r="E67" s="157">
        <f ca="1"/>
        <v>0</v>
      </c>
      <c r="F67" s="157">
        <f ca="1"/>
        <v>0</v>
      </c>
      <c r="G67" s="157">
        <f ca="1"/>
        <v>0</v>
      </c>
      <c r="H67" s="157">
        <f ca="1"/>
        <v>0</v>
      </c>
      <c r="I67" s="157">
        <f ca="1"/>
        <v>0</v>
      </c>
      <c r="J67" s="157">
        <f ca="1"/>
        <v>0</v>
      </c>
      <c r="K67" s="165">
        <f ca="1"/>
        <v>0</v>
      </c>
      <c r="L67" s="157">
        <f ca="1"/>
        <v>0</v>
      </c>
    </row>
    <row r="68" spans="1:12" ht="15" customHeight="1">
      <c r="A68" s="16"/>
      <c r="B68" s="22">
        <f>'Oil supply projection'!$B68</f>
        <v>2077</v>
      </c>
      <c r="C68" s="157">
        <f ca="1"/>
        <v>0</v>
      </c>
      <c r="D68" s="157">
        <f ca="1"/>
        <v>0</v>
      </c>
      <c r="E68" s="157">
        <f ca="1"/>
        <v>0</v>
      </c>
      <c r="F68" s="157">
        <f ca="1"/>
        <v>0</v>
      </c>
      <c r="G68" s="157">
        <f ca="1"/>
        <v>0</v>
      </c>
      <c r="H68" s="157">
        <f ca="1"/>
        <v>0</v>
      </c>
      <c r="I68" s="157">
        <f ca="1"/>
        <v>0</v>
      </c>
      <c r="J68" s="157">
        <f ca="1"/>
        <v>0</v>
      </c>
      <c r="K68" s="165">
        <f ca="1"/>
        <v>0</v>
      </c>
      <c r="L68" s="157">
        <f ca="1"/>
        <v>0</v>
      </c>
    </row>
    <row r="69" spans="1:12" ht="15" customHeight="1">
      <c r="A69" s="16"/>
      <c r="B69" s="22">
        <f>'Oil supply projection'!$B69</f>
        <v>2078</v>
      </c>
      <c r="C69" s="157">
        <f ca="1"/>
        <v>0</v>
      </c>
      <c r="D69" s="157">
        <f ca="1"/>
        <v>0</v>
      </c>
      <c r="E69" s="157">
        <f ca="1"/>
        <v>0</v>
      </c>
      <c r="F69" s="157">
        <f ca="1"/>
        <v>0</v>
      </c>
      <c r="G69" s="157">
        <f ca="1"/>
        <v>0</v>
      </c>
      <c r="H69" s="157">
        <f ca="1"/>
        <v>0</v>
      </c>
      <c r="I69" s="157">
        <f ca="1"/>
        <v>0</v>
      </c>
      <c r="J69" s="157">
        <f ca="1"/>
        <v>0</v>
      </c>
      <c r="K69" s="165">
        <f ca="1"/>
        <v>0</v>
      </c>
      <c r="L69" s="157">
        <f ca="1"/>
        <v>0</v>
      </c>
    </row>
    <row r="70" spans="1:12" ht="15" customHeight="1">
      <c r="A70" s="16"/>
      <c r="B70" s="22">
        <f>'Oil supply projection'!$B70</f>
        <v>2079</v>
      </c>
      <c r="C70" s="157">
        <f ca="1"/>
        <v>0</v>
      </c>
      <c r="D70" s="157">
        <f ca="1"/>
        <v>0</v>
      </c>
      <c r="E70" s="157">
        <f ca="1"/>
        <v>0</v>
      </c>
      <c r="F70" s="157">
        <f ca="1"/>
        <v>0</v>
      </c>
      <c r="G70" s="157">
        <f ca="1"/>
        <v>0</v>
      </c>
      <c r="H70" s="157">
        <f ca="1"/>
        <v>0</v>
      </c>
      <c r="I70" s="157">
        <f ca="1"/>
        <v>0</v>
      </c>
      <c r="J70" s="157">
        <f ca="1"/>
        <v>0</v>
      </c>
      <c r="K70" s="165">
        <f ca="1"/>
        <v>0</v>
      </c>
      <c r="L70" s="157">
        <f ca="1"/>
        <v>0</v>
      </c>
    </row>
    <row r="71" spans="1:12" ht="15" customHeight="1">
      <c r="A71" s="16"/>
      <c r="B71" s="22">
        <f>'Oil supply projection'!$B71</f>
        <v>2080</v>
      </c>
      <c r="C71" s="157">
        <f ca="1"/>
        <v>0</v>
      </c>
      <c r="D71" s="157">
        <f ca="1"/>
        <v>0</v>
      </c>
      <c r="E71" s="157">
        <f ca="1"/>
        <v>0</v>
      </c>
      <c r="F71" s="157">
        <f ca="1"/>
        <v>0</v>
      </c>
      <c r="G71" s="157">
        <f ca="1"/>
        <v>0</v>
      </c>
      <c r="H71" s="157">
        <f ca="1"/>
        <v>0</v>
      </c>
      <c r="I71" s="157">
        <f ca="1"/>
        <v>0</v>
      </c>
      <c r="J71" s="157">
        <f ca="1"/>
        <v>0</v>
      </c>
      <c r="K71" s="165">
        <f ca="1"/>
        <v>0</v>
      </c>
      <c r="L71" s="157">
        <f ca="1"/>
        <v>0</v>
      </c>
    </row>
    <row r="72" spans="1:12" ht="15" customHeight="1">
      <c r="A72" s="16"/>
      <c r="B72" s="22">
        <f>'Oil supply projection'!$B72</f>
        <v>2081</v>
      </c>
      <c r="C72" s="157">
        <f ca="1"/>
        <v>0</v>
      </c>
      <c r="D72" s="157">
        <f ca="1"/>
        <v>0</v>
      </c>
      <c r="E72" s="157">
        <f ca="1"/>
        <v>0</v>
      </c>
      <c r="F72" s="157">
        <f ca="1"/>
        <v>0</v>
      </c>
      <c r="G72" s="157">
        <f ca="1"/>
        <v>0</v>
      </c>
      <c r="H72" s="157">
        <f ca="1"/>
        <v>0</v>
      </c>
      <c r="I72" s="157">
        <f ca="1"/>
        <v>0</v>
      </c>
      <c r="J72" s="157">
        <f ca="1"/>
        <v>0</v>
      </c>
      <c r="K72" s="165">
        <f ca="1"/>
        <v>0</v>
      </c>
      <c r="L72" s="157">
        <f ca="1"/>
        <v>0</v>
      </c>
    </row>
    <row r="73" spans="1:12" ht="15" customHeight="1">
      <c r="A73" s="16"/>
      <c r="B73" s="22">
        <f>'Oil supply projection'!$B73</f>
        <v>2082</v>
      </c>
      <c r="C73" s="157">
        <f ca="1"/>
        <v>0</v>
      </c>
      <c r="D73" s="157">
        <f ca="1"/>
        <v>0</v>
      </c>
      <c r="E73" s="157">
        <f ca="1"/>
        <v>0</v>
      </c>
      <c r="F73" s="157">
        <f ca="1"/>
        <v>0</v>
      </c>
      <c r="G73" s="157">
        <f ca="1"/>
        <v>0</v>
      </c>
      <c r="H73" s="157">
        <f ca="1"/>
        <v>0</v>
      </c>
      <c r="I73" s="157">
        <f ca="1"/>
        <v>0</v>
      </c>
      <c r="J73" s="157">
        <f ca="1"/>
        <v>0</v>
      </c>
      <c r="K73" s="165">
        <f ca="1"/>
        <v>0</v>
      </c>
      <c r="L73" s="157">
        <f ca="1"/>
        <v>0</v>
      </c>
    </row>
    <row r="74" spans="1:12" ht="15" customHeight="1">
      <c r="A74" s="16"/>
      <c r="B74" s="22">
        <f>'Oil supply projection'!$B74</f>
        <v>2083</v>
      </c>
      <c r="C74" s="157">
        <f ca="1"/>
        <v>0</v>
      </c>
      <c r="D74" s="157">
        <f ca="1"/>
        <v>0</v>
      </c>
      <c r="E74" s="157">
        <f ca="1"/>
        <v>0</v>
      </c>
      <c r="F74" s="157">
        <f ca="1"/>
        <v>0</v>
      </c>
      <c r="G74" s="157">
        <f ca="1"/>
        <v>0</v>
      </c>
      <c r="H74" s="157">
        <f ca="1"/>
        <v>0</v>
      </c>
      <c r="I74" s="157">
        <f ca="1"/>
        <v>0</v>
      </c>
      <c r="J74" s="157">
        <f ca="1"/>
        <v>0</v>
      </c>
      <c r="K74" s="165">
        <f ca="1"/>
        <v>0</v>
      </c>
      <c r="L74" s="157">
        <f ca="1"/>
        <v>0</v>
      </c>
    </row>
    <row r="75" spans="1:12" ht="15" customHeight="1">
      <c r="A75" s="16"/>
      <c r="B75" s="22">
        <f>'Oil supply projection'!$B75</f>
        <v>2084</v>
      </c>
      <c r="C75" s="157">
        <f ca="1"/>
        <v>0</v>
      </c>
      <c r="D75" s="157">
        <f ca="1"/>
        <v>0</v>
      </c>
      <c r="E75" s="157">
        <f ca="1"/>
        <v>0</v>
      </c>
      <c r="F75" s="157">
        <f ca="1"/>
        <v>0</v>
      </c>
      <c r="G75" s="157">
        <f ca="1"/>
        <v>0</v>
      </c>
      <c r="H75" s="157">
        <f ca="1"/>
        <v>0</v>
      </c>
      <c r="I75" s="157">
        <f ca="1"/>
        <v>0</v>
      </c>
      <c r="J75" s="157">
        <f ca="1"/>
        <v>0</v>
      </c>
      <c r="K75" s="165">
        <f ca="1"/>
        <v>0</v>
      </c>
      <c r="L75" s="157">
        <f ca="1"/>
        <v>0</v>
      </c>
    </row>
    <row r="76" spans="1:12" ht="15" customHeight="1">
      <c r="A76" s="16"/>
      <c r="B76" s="22">
        <f>'Oil supply projection'!$B76</f>
        <v>2085</v>
      </c>
      <c r="C76" s="157">
        <f ca="1"/>
        <v>0</v>
      </c>
      <c r="D76" s="157">
        <f ca="1"/>
        <v>0</v>
      </c>
      <c r="E76" s="157">
        <f ca="1"/>
        <v>0</v>
      </c>
      <c r="F76" s="157">
        <f ca="1"/>
        <v>0</v>
      </c>
      <c r="G76" s="157">
        <f ca="1"/>
        <v>0</v>
      </c>
      <c r="H76" s="157">
        <f ca="1"/>
        <v>0</v>
      </c>
      <c r="I76" s="157">
        <f ca="1"/>
        <v>0</v>
      </c>
      <c r="J76" s="157">
        <f ca="1"/>
        <v>0</v>
      </c>
      <c r="K76" s="165">
        <f ca="1"/>
        <v>0</v>
      </c>
      <c r="L76" s="157">
        <f ca="1"/>
        <v>0</v>
      </c>
    </row>
    <row r="77" spans="1:12" ht="15" customHeight="1">
      <c r="A77" s="16"/>
      <c r="B77" s="22">
        <f>'Oil supply projection'!$B77</f>
        <v>2086</v>
      </c>
      <c r="C77" s="157">
        <f ca="1"/>
        <v>0</v>
      </c>
      <c r="D77" s="157">
        <f ca="1"/>
        <v>0</v>
      </c>
      <c r="E77" s="157">
        <f ca="1"/>
        <v>0</v>
      </c>
      <c r="F77" s="157">
        <f ca="1"/>
        <v>0</v>
      </c>
      <c r="G77" s="157">
        <f ca="1"/>
        <v>0</v>
      </c>
      <c r="H77" s="157">
        <f ca="1"/>
        <v>0</v>
      </c>
      <c r="I77" s="157">
        <f ca="1"/>
        <v>0</v>
      </c>
      <c r="J77" s="157">
        <f ca="1"/>
        <v>0</v>
      </c>
      <c r="K77" s="165">
        <f ca="1"/>
        <v>0</v>
      </c>
      <c r="L77" s="157">
        <f ca="1"/>
        <v>0</v>
      </c>
    </row>
    <row r="78" spans="1:12" ht="15" customHeight="1">
      <c r="A78" s="16"/>
      <c r="B78" s="22">
        <f>'Oil supply projection'!$B78</f>
        <v>2087</v>
      </c>
      <c r="C78" s="157">
        <f ca="1"/>
        <v>0</v>
      </c>
      <c r="D78" s="157">
        <f ca="1"/>
        <v>0</v>
      </c>
      <c r="E78" s="157">
        <f ca="1"/>
        <v>0</v>
      </c>
      <c r="F78" s="157">
        <f ca="1"/>
        <v>0</v>
      </c>
      <c r="G78" s="157">
        <f ca="1"/>
        <v>0</v>
      </c>
      <c r="H78" s="157">
        <f ca="1"/>
        <v>0</v>
      </c>
      <c r="I78" s="157">
        <f ca="1"/>
        <v>0</v>
      </c>
      <c r="J78" s="157">
        <f ca="1"/>
        <v>0</v>
      </c>
      <c r="K78" s="165">
        <f ca="1"/>
        <v>0</v>
      </c>
      <c r="L78" s="157">
        <f ca="1"/>
        <v>0</v>
      </c>
    </row>
    <row r="79" spans="1:12" ht="15" customHeight="1">
      <c r="A79" s="16"/>
      <c r="B79" s="22">
        <f>'Oil supply projection'!$B79</f>
        <v>2088</v>
      </c>
      <c r="C79" s="157">
        <f ca="1"/>
        <v>0</v>
      </c>
      <c r="D79" s="157">
        <f ca="1"/>
        <v>0</v>
      </c>
      <c r="E79" s="157">
        <f ca="1"/>
        <v>0</v>
      </c>
      <c r="F79" s="157">
        <f ca="1"/>
        <v>0</v>
      </c>
      <c r="G79" s="157">
        <f ca="1"/>
        <v>0</v>
      </c>
      <c r="H79" s="157">
        <f ca="1"/>
        <v>0</v>
      </c>
      <c r="I79" s="157">
        <f ca="1"/>
        <v>0</v>
      </c>
      <c r="J79" s="157">
        <f ca="1"/>
        <v>0</v>
      </c>
      <c r="K79" s="165">
        <f ca="1"/>
        <v>0</v>
      </c>
      <c r="L79" s="157">
        <f ca="1"/>
        <v>0</v>
      </c>
    </row>
    <row r="80" spans="1:12" ht="15" customHeight="1">
      <c r="A80" s="16"/>
      <c r="B80" s="22">
        <f>'Oil supply projection'!$B80</f>
        <v>2089</v>
      </c>
      <c r="C80" s="157">
        <f ca="1"/>
        <v>0</v>
      </c>
      <c r="D80" s="157">
        <f ca="1"/>
        <v>0</v>
      </c>
      <c r="E80" s="157">
        <f ca="1"/>
        <v>0</v>
      </c>
      <c r="F80" s="157">
        <f ca="1"/>
        <v>0</v>
      </c>
      <c r="G80" s="157">
        <f ca="1"/>
        <v>0</v>
      </c>
      <c r="H80" s="157">
        <f ca="1"/>
        <v>0</v>
      </c>
      <c r="I80" s="157">
        <f ca="1"/>
        <v>0</v>
      </c>
      <c r="J80" s="157">
        <f ca="1"/>
        <v>0</v>
      </c>
      <c r="K80" s="165">
        <f ca="1"/>
        <v>0</v>
      </c>
      <c r="L80" s="157">
        <f ca="1"/>
        <v>0</v>
      </c>
    </row>
    <row r="81" spans="1:12" ht="15" customHeight="1">
      <c r="A81" s="16"/>
      <c r="B81" s="22">
        <f>'Oil supply projection'!$B81</f>
        <v>2090</v>
      </c>
      <c r="C81" s="157">
        <f ca="1"/>
        <v>0</v>
      </c>
      <c r="D81" s="157">
        <f ca="1"/>
        <v>0</v>
      </c>
      <c r="E81" s="157">
        <f ca="1"/>
        <v>0</v>
      </c>
      <c r="F81" s="157">
        <f ca="1"/>
        <v>0</v>
      </c>
      <c r="G81" s="157">
        <f ca="1"/>
        <v>0</v>
      </c>
      <c r="H81" s="157">
        <f ca="1"/>
        <v>0</v>
      </c>
      <c r="I81" s="157">
        <f ca="1"/>
        <v>0</v>
      </c>
      <c r="J81" s="157">
        <f ca="1"/>
        <v>0</v>
      </c>
      <c r="K81" s="165">
        <f ca="1"/>
        <v>0</v>
      </c>
      <c r="L81" s="157">
        <f ca="1"/>
        <v>0</v>
      </c>
    </row>
    <row r="82" spans="1:12" ht="15" customHeight="1">
      <c r="A82" s="16"/>
      <c r="B82" s="22">
        <f>'Oil supply projection'!$B82</f>
        <v>2091</v>
      </c>
      <c r="C82" s="157">
        <f ca="1"/>
        <v>0</v>
      </c>
      <c r="D82" s="157">
        <f ca="1"/>
        <v>0</v>
      </c>
      <c r="E82" s="157">
        <f ca="1"/>
        <v>0</v>
      </c>
      <c r="F82" s="157">
        <f ca="1"/>
        <v>0</v>
      </c>
      <c r="G82" s="157">
        <f ca="1"/>
        <v>0</v>
      </c>
      <c r="H82" s="157">
        <f ca="1"/>
        <v>0</v>
      </c>
      <c r="I82" s="157">
        <f ca="1"/>
        <v>0</v>
      </c>
      <c r="J82" s="157">
        <f ca="1"/>
        <v>0</v>
      </c>
      <c r="K82" s="165">
        <f ca="1"/>
        <v>0</v>
      </c>
      <c r="L82" s="157">
        <f ca="1"/>
        <v>0</v>
      </c>
    </row>
    <row r="83" spans="1:12" s="21" customFormat="1" ht="15" customHeight="1">
      <c r="A83" s="16"/>
      <c r="B83" s="22">
        <f>'Oil supply projection'!$B83</f>
        <v>2092</v>
      </c>
      <c r="C83" s="157">
        <f ca="1"/>
        <v>0</v>
      </c>
      <c r="D83" s="157">
        <f ca="1"/>
        <v>0</v>
      </c>
      <c r="E83" s="157">
        <f ca="1"/>
        <v>0</v>
      </c>
      <c r="F83" s="157">
        <f ca="1"/>
        <v>0</v>
      </c>
      <c r="G83" s="157">
        <f ca="1"/>
        <v>0</v>
      </c>
      <c r="H83" s="157">
        <f ca="1"/>
        <v>0</v>
      </c>
      <c r="I83" s="157">
        <f ca="1"/>
        <v>0</v>
      </c>
      <c r="J83" s="157">
        <f ca="1"/>
        <v>0</v>
      </c>
      <c r="K83" s="165">
        <f ca="1"/>
        <v>0</v>
      </c>
      <c r="L83" s="157">
        <f ca="1"/>
        <v>0</v>
      </c>
    </row>
    <row r="84" spans="1:12" ht="15" customHeight="1">
      <c r="A84" s="16"/>
      <c r="B84" s="22">
        <f>'Oil supply projection'!$B84</f>
        <v>2093</v>
      </c>
      <c r="C84" s="182">
        <f ca="1"/>
        <v>0</v>
      </c>
      <c r="D84" s="182">
        <f ca="1"/>
        <v>0</v>
      </c>
      <c r="E84" s="182">
        <f ca="1"/>
        <v>0</v>
      </c>
      <c r="F84" s="182">
        <f ca="1"/>
        <v>0</v>
      </c>
      <c r="G84" s="182">
        <f ca="1"/>
        <v>0</v>
      </c>
      <c r="H84" s="182">
        <f ca="1"/>
        <v>0</v>
      </c>
      <c r="I84" s="182">
        <f ca="1"/>
        <v>0</v>
      </c>
      <c r="J84" s="182">
        <f ca="1"/>
        <v>0</v>
      </c>
      <c r="K84" s="166">
        <f ca="1"/>
        <v>0</v>
      </c>
      <c r="L84" s="182">
        <f ca="1"/>
        <v>0</v>
      </c>
    </row>
    <row r="85" spans="1:12" ht="15" customHeight="1">
      <c r="A85" s="16"/>
      <c r="D85" s="1" t="s">
        <v>460</v>
      </c>
    </row>
    <row r="86" spans="1:12" ht="15" customHeight="1">
      <c r="A86" s="16"/>
      <c r="H86" s="21"/>
      <c r="I86" s="21"/>
      <c r="L86" s="21"/>
    </row>
    <row r="87" spans="1:12" ht="15" customHeight="1">
      <c r="H87" s="21"/>
      <c r="I87" s="21"/>
      <c r="L87" s="21"/>
    </row>
  </sheetData>
  <mergeCells count="1">
    <mergeCell ref="A1:B1"/>
  </mergeCells>
  <phoneticPr fontId="29" type="noConversion"/>
  <conditionalFormatting sqref="D10:L84">
    <cfRule type="expression" dxfId="121" priority="2" stopIfTrue="1">
      <formula>ISERROR(D10)</formula>
    </cfRule>
  </conditionalFormatting>
  <conditionalFormatting sqref="C10:C84">
    <cfRule type="expression" dxfId="120" priority="1" stopIfTrue="1">
      <formula>ISERROR(C10)</formula>
    </cfRule>
  </conditionalFormatting>
  <hyperlinks>
    <hyperlink ref="A1" location="'Table of Contents'!A1" tooltip="Click here to return to the Table of Contents tab" display="Return to Table of Contents" xr:uid="{00000000-0004-0000-0D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1">
    <tabColor indexed="46"/>
    <pageSetUpPr fitToPage="1"/>
  </sheetPr>
  <dimension ref="A1:L87"/>
  <sheetViews>
    <sheetView workbookViewId="0">
      <pane xSplit="2" ySplit="9" topLeftCell="C10" activePane="bottomRight" state="frozen"/>
      <selection pane="topRight" activeCell="A2" sqref="A2"/>
      <selection pane="bottomLeft" activeCell="A2" sqref="A2"/>
      <selection pane="bottomRight" sqref="A1:B1"/>
    </sheetView>
  </sheetViews>
  <sheetFormatPr defaultColWidth="9.28515625" defaultRowHeight="15" customHeight="1"/>
  <cols>
    <col min="1" max="1" width="15.5703125" style="18" customWidth="1"/>
    <col min="2" max="2" width="10.28515625" style="1" customWidth="1"/>
    <col min="3" max="10" width="14.5703125" style="1" customWidth="1"/>
    <col min="11" max="11" width="14.5703125" style="48" customWidth="1"/>
    <col min="12" max="15" width="14.5703125" style="1" customWidth="1"/>
    <col min="16" max="16" width="14" style="1" customWidth="1"/>
    <col min="17" max="16384" width="9.28515625" style="1"/>
  </cols>
  <sheetData>
    <row r="1" spans="1:12" ht="15.75" thickBot="1">
      <c r="A1" s="701" t="s">
        <v>27</v>
      </c>
      <c r="B1" s="702"/>
      <c r="C1" s="180"/>
      <c r="D1" s="180"/>
      <c r="E1" s="2"/>
      <c r="F1" s="180"/>
      <c r="G1" s="2"/>
      <c r="K1" s="1"/>
    </row>
    <row r="2" spans="1:12" ht="16.5" customHeight="1">
      <c r="A2" s="1"/>
      <c r="B2" s="2"/>
      <c r="C2" s="2"/>
      <c r="D2" s="2"/>
      <c r="E2" s="2"/>
      <c r="F2" s="2"/>
      <c r="G2" s="2"/>
      <c r="K2" s="1"/>
    </row>
    <row r="3" spans="1:12" ht="16.5" customHeight="1">
      <c r="A3" s="1"/>
      <c r="B3" s="2"/>
      <c r="C3" s="2"/>
      <c r="D3" s="2"/>
      <c r="E3" s="2"/>
      <c r="F3" s="2"/>
      <c r="G3" s="2"/>
      <c r="K3" s="1"/>
    </row>
    <row r="4" spans="1:12" ht="16.5" customHeight="1">
      <c r="A4" s="1"/>
      <c r="B4" s="2"/>
      <c r="C4" s="2"/>
      <c r="D4" s="2"/>
      <c r="E4" s="2"/>
      <c r="F4" s="2"/>
      <c r="G4" s="2"/>
      <c r="K4" s="1"/>
    </row>
    <row r="5" spans="1:12" ht="16.5" customHeight="1">
      <c r="A5" s="1"/>
      <c r="B5" s="2"/>
      <c r="C5" s="2"/>
      <c r="D5" s="2"/>
      <c r="E5" s="2"/>
      <c r="F5" s="2"/>
      <c r="G5" s="2"/>
      <c r="K5" s="1"/>
    </row>
    <row r="6" spans="1:12" ht="19.5" customHeight="1">
      <c r="A6" s="16"/>
      <c r="B6" s="11" t="s">
        <v>461</v>
      </c>
      <c r="C6" s="12"/>
      <c r="D6" s="12"/>
      <c r="E6" s="59"/>
      <c r="F6" s="12"/>
      <c r="G6" s="12"/>
      <c r="H6" s="59"/>
      <c r="I6" s="59"/>
      <c r="J6" s="60"/>
      <c r="K6" s="60"/>
    </row>
    <row r="7" spans="1:12" ht="19.5" customHeight="1">
      <c r="A7" s="16"/>
      <c r="B7" s="14"/>
      <c r="C7" s="58"/>
      <c r="D7" s="58"/>
      <c r="E7" s="10"/>
      <c r="F7" s="58"/>
      <c r="G7" s="58"/>
      <c r="H7" s="10"/>
      <c r="I7" s="10"/>
      <c r="J7" s="10"/>
      <c r="K7" s="63"/>
    </row>
    <row r="8" spans="1:12" ht="29.25" customHeight="1">
      <c r="A8" s="16"/>
      <c r="B8" s="650"/>
      <c r="C8" s="650" t="s">
        <v>348</v>
      </c>
      <c r="D8" s="650" t="s">
        <v>349</v>
      </c>
      <c r="E8" s="650" t="s">
        <v>350</v>
      </c>
      <c r="F8" s="650" t="s">
        <v>351</v>
      </c>
      <c r="G8" s="650" t="s">
        <v>352</v>
      </c>
      <c r="H8" s="650" t="s">
        <v>200</v>
      </c>
      <c r="I8" s="653" t="s">
        <v>353</v>
      </c>
      <c r="J8" s="653" t="s">
        <v>354</v>
      </c>
      <c r="K8" s="650" t="s">
        <v>307</v>
      </c>
    </row>
    <row r="9" spans="1:12" ht="29.25" customHeight="1" thickBot="1">
      <c r="A9" s="16"/>
      <c r="B9" s="66" t="s">
        <v>268</v>
      </c>
      <c r="C9" s="67" t="s">
        <v>355</v>
      </c>
      <c r="D9" s="67" t="s">
        <v>355</v>
      </c>
      <c r="E9" s="67" t="s">
        <v>355</v>
      </c>
      <c r="F9" s="67" t="s">
        <v>355</v>
      </c>
      <c r="G9" s="67" t="s">
        <v>355</v>
      </c>
      <c r="H9" s="67" t="s">
        <v>355</v>
      </c>
      <c r="I9" s="67" t="s">
        <v>355</v>
      </c>
      <c r="J9" s="67" t="s">
        <v>355</v>
      </c>
      <c r="K9" s="67" t="s">
        <v>355</v>
      </c>
    </row>
    <row r="10" spans="1:12" ht="15" customHeight="1" thickTop="1">
      <c r="A10" s="16"/>
      <c r="B10" s="22">
        <f>'Oil supply projection'!$B10</f>
        <v>2019</v>
      </c>
      <c r="C10" s="30">
        <f t="array" ref="C10:K10">aeo_sup_gas_2010</f>
        <v>2.6527799999999999</v>
      </c>
      <c r="D10" s="30">
        <v>29.915885000000003</v>
      </c>
      <c r="E10" s="30">
        <v>1.0198640000000001</v>
      </c>
      <c r="F10" s="30">
        <v>0.30485099999999998</v>
      </c>
      <c r="G10" s="30">
        <v>0</v>
      </c>
      <c r="H10" s="30">
        <v>6.0765E-2</v>
      </c>
      <c r="I10" s="30">
        <v>2.6877789999999999</v>
      </c>
      <c r="J10" s="30">
        <v>5.2678000000000003E-2</v>
      </c>
      <c r="K10" s="65">
        <v>36.694602000000003</v>
      </c>
    </row>
    <row r="11" spans="1:12" ht="15" customHeight="1">
      <c r="A11" s="17"/>
      <c r="B11" s="22">
        <f>'Oil supply projection'!$B11</f>
        <v>2020</v>
      </c>
      <c r="C11" s="157">
        <f t="array" ref="C11:C84" ca="1">(b_gas_con*sim_price_gas^e_sup_gas_con+(1-g_sup_gas_con)*OFFSET(sim_sup_gas_con,-1,0))*display</f>
        <v>2.5652409999999999</v>
      </c>
      <c r="D11" s="157">
        <f t="array" ref="D11:D84" ca="1">(b_gas_unc*sim_price_gas^e_sup_gas_unc+(1-g_sup_gas_unc)*OFFSET(sim_sup_gas_unc,-1,0))*display</f>
        <v>29.809835000000003</v>
      </c>
      <c r="E11" s="157">
        <f t="array" ref="E11:E84" ca="1">(b_gas_off*sim_price_gas^e_sup_gas_off+(1-g_sup_gas_off)*OFFSET(sim_sup_gas_off,-1,0))*display</f>
        <v>0.792516</v>
      </c>
      <c r="F11" s="157">
        <f t="array" ref="F11:F84" ca="1">(b_gas_ala_on*sim_price_gas^e_sup_gas_ala_on+(1-g_sup_gas_ala_on)*OFFSET(sim_sup_gas_ala_on,-1,0))*display</f>
        <v>0.303039</v>
      </c>
      <c r="G11" s="157">
        <f t="array" aca="1" ref="G11" ca="1">(b_gas_ala_off*sim_price_gas^e_sup_gas_ala_off+(1-g_sup_gas_ala_off)*OFFSET(sim_sup_gas_ala_off,-1,0))*display</f>
        <v>0</v>
      </c>
      <c r="H11" s="157">
        <f t="array" ref="H11:H84" ca="1">(b_gas_oth*sim_price_gas^e_sup_gas_oth+(1-g_sup_gas_oth)*OFFSET(sim_sup_gas_oth,-1,0))*display</f>
        <v>6.3145000000000007E-2</v>
      </c>
      <c r="I11" s="162">
        <f t="array" ref="I11:I84" ca="1">(b_gas_pip*sim_price_gas^e_sup_gas_pip+(1-g_sup_gas_pip)*OFFSET(sim_sup_gas_pip,-1,0))*display</f>
        <v>2.5018350000000003</v>
      </c>
      <c r="J11" s="162">
        <f t="array" ref="J11:J84" ca="1">(b_gas_lng*sim_price_gas^e_sup_gas_lng+(1-g_sup_gas_lng)*OFFSET(sim_sup_gas_lng,-1,0))*display</f>
        <v>4.9168999999999997E-2</v>
      </c>
      <c r="K11" s="165">
        <f t="array" aca="1" ref="K11:K84" ca="1">(sim_sup_gas_con+sim_sup_gas_unc+sim_sup_gas_ala_on+sim_sup_gas_ala_off+sim_sup_gas_off+sim_sup_gas_oth+sim_sup_gas_pip+sim_sup_gas_lng)*display</f>
        <v>36.084779999999995</v>
      </c>
    </row>
    <row r="12" spans="1:12" ht="15" customHeight="1">
      <c r="B12" s="22">
        <f>'Oil supply projection'!$B12</f>
        <v>2021</v>
      </c>
      <c r="C12" s="157">
        <f ca="1"/>
        <v>2.6489910000000001</v>
      </c>
      <c r="D12" s="157">
        <f ca="1"/>
        <v>30.985999</v>
      </c>
      <c r="E12" s="157">
        <f ca="1"/>
        <v>0.80931799999999998</v>
      </c>
      <c r="F12" s="157">
        <f ca="1"/>
        <v>0.30272399999999999</v>
      </c>
      <c r="G12" s="157">
        <f t="array" aca="1" ref="G12" ca="1">(b_gas_ala_off*sim_price_gas^e_sup_gas_ala_off+(1-g_sup_gas_ala_off)*OFFSET(sim_sup_gas_ala_off,-1,0))*display</f>
        <v>0</v>
      </c>
      <c r="H12" s="157">
        <f ca="1"/>
        <v>6.5688999999999997E-2</v>
      </c>
      <c r="I12" s="162">
        <f ca="1"/>
        <v>2.7656000000000001</v>
      </c>
      <c r="J12" s="162">
        <f ca="1"/>
        <v>2.1423999999999999E-2</v>
      </c>
      <c r="K12" s="165">
        <f ca="1"/>
        <v>37.599744999999999</v>
      </c>
    </row>
    <row r="13" spans="1:12" ht="15" customHeight="1">
      <c r="B13" s="22">
        <f>'Oil supply projection'!$B13</f>
        <v>2022</v>
      </c>
      <c r="C13" s="157">
        <f ca="1"/>
        <v>2.6248200000000002</v>
      </c>
      <c r="D13" s="157">
        <f ca="1"/>
        <v>32.421447000000001</v>
      </c>
      <c r="E13" s="157">
        <f ca="1"/>
        <v>1.070654</v>
      </c>
      <c r="F13" s="157">
        <f ca="1"/>
        <v>0.347862</v>
      </c>
      <c r="G13" s="157">
        <f t="array" aca="1" ref="G13" ca="1">(b_gas_ala_off*sim_price_gas^e_sup_gas_ala_off+(1-g_sup_gas_ala_off)*OFFSET(sim_sup_gas_ala_off,-1,0))*display</f>
        <v>0</v>
      </c>
      <c r="H13" s="157">
        <f ca="1"/>
        <v>6.6782999999999995E-2</v>
      </c>
      <c r="I13" s="162">
        <f ca="1"/>
        <v>2.8832629999999999</v>
      </c>
      <c r="J13" s="162">
        <f ca="1"/>
        <v>2.5682E-2</v>
      </c>
      <c r="K13" s="165">
        <f ca="1"/>
        <v>39.440511000000001</v>
      </c>
    </row>
    <row r="14" spans="1:12" ht="15" customHeight="1">
      <c r="B14" s="22">
        <f>'Oil supply projection'!$B14</f>
        <v>2023</v>
      </c>
      <c r="C14" s="157">
        <f ca="1"/>
        <v>2.4711029999999998</v>
      </c>
      <c r="D14" s="157">
        <f ca="1"/>
        <v>32.866078000000002</v>
      </c>
      <c r="E14" s="157">
        <f ca="1"/>
        <v>0.82395499999999999</v>
      </c>
      <c r="F14" s="157">
        <f ca="1"/>
        <v>0.32537199999999999</v>
      </c>
      <c r="G14" s="157">
        <f t="array" aca="1" ref="G14" ca="1">(b_gas_ala_off*sim_price_gas^e_sup_gas_ala_off+(1-g_sup_gas_ala_off)*OFFSET(sim_sup_gas_ala_off,-1,0))*display</f>
        <v>0</v>
      </c>
      <c r="H14" s="157">
        <f ca="1"/>
        <v>6.8294999999999995E-2</v>
      </c>
      <c r="I14" s="162">
        <f ca="1"/>
        <v>2.7183169999999999</v>
      </c>
      <c r="J14" s="162">
        <f ca="1"/>
        <v>2.1319999999999999E-2</v>
      </c>
      <c r="K14" s="165">
        <f ca="1"/>
        <v>39.294440000000002</v>
      </c>
    </row>
    <row r="15" spans="1:12" ht="15" customHeight="1">
      <c r="B15" s="22">
        <f>'Oil supply projection'!$B15</f>
        <v>2024</v>
      </c>
      <c r="C15" s="157">
        <f ca="1"/>
        <v>2.1944720000000002</v>
      </c>
      <c r="D15" s="157">
        <f ca="1"/>
        <v>32.244557</v>
      </c>
      <c r="E15" s="157">
        <f ca="1"/>
        <v>0.79542500000000005</v>
      </c>
      <c r="F15" s="157">
        <f ca="1"/>
        <v>0.33059100000000002</v>
      </c>
      <c r="G15" s="157">
        <f t="array" aca="1" ref="G15" ca="1">(b_gas_ala_off*sim_price_gas^e_sup_gas_ala_off+(1-g_sup_gas_ala_off)*OFFSET(sim_sup_gas_ala_off,-1,0))*display</f>
        <v>0</v>
      </c>
      <c r="H15" s="157">
        <f ca="1"/>
        <v>6.7214999999999997E-2</v>
      </c>
      <c r="I15" s="162">
        <f ca="1"/>
        <v>2.3739889999999999</v>
      </c>
      <c r="J15" s="162">
        <f ca="1"/>
        <v>2.8101000000000001E-2</v>
      </c>
      <c r="K15" s="165">
        <f ca="1"/>
        <v>38.034349999999996</v>
      </c>
      <c r="L15" s="531"/>
    </row>
    <row r="16" spans="1:12" ht="15" customHeight="1">
      <c r="B16" s="22">
        <f>'Oil supply projection'!$B16</f>
        <v>2025</v>
      </c>
      <c r="C16" s="157">
        <f ca="1"/>
        <v>2.1447799999999999</v>
      </c>
      <c r="D16" s="157">
        <f ca="1"/>
        <v>32.359822000000001</v>
      </c>
      <c r="E16" s="157">
        <f ca="1"/>
        <v>0.846275</v>
      </c>
      <c r="F16" s="157">
        <f ca="1"/>
        <v>0.34037299999999998</v>
      </c>
      <c r="G16" s="157">
        <f t="array" aca="1" ref="G16" ca="1">(b_gas_ala_off*sim_price_gas^e_sup_gas_ala_off+(1-g_sup_gas_ala_off)*OFFSET(sim_sup_gas_ala_off,-1,0))*display</f>
        <v>0</v>
      </c>
      <c r="H16" s="157">
        <f ca="1"/>
        <v>6.6133999999999998E-2</v>
      </c>
      <c r="I16" s="162">
        <f ca="1"/>
        <v>2.2615259999999999</v>
      </c>
      <c r="J16" s="162">
        <f ca="1"/>
        <v>3.4882999999999997E-2</v>
      </c>
      <c r="K16" s="165">
        <f ca="1"/>
        <v>38.053792999999992</v>
      </c>
    </row>
    <row r="17" spans="1:11" ht="15" customHeight="1">
      <c r="B17" s="22">
        <f>'Oil supply projection'!$B17</f>
        <v>2026</v>
      </c>
      <c r="C17" s="157">
        <f ca="1"/>
        <v>2.071491</v>
      </c>
      <c r="D17" s="157">
        <f ca="1"/>
        <v>32.832016000000003</v>
      </c>
      <c r="E17" s="157">
        <f ca="1"/>
        <v>0.86876699999999996</v>
      </c>
      <c r="F17" s="157">
        <f ca="1"/>
        <v>0.34107100000000001</v>
      </c>
      <c r="G17" s="157">
        <f t="array" aca="1" ref="G17" ca="1">(b_gas_ala_off*sim_price_gas^e_sup_gas_ala_off+(1-g_sup_gas_ala_off)*OFFSET(sim_sup_gas_ala_off,-1,0))*display</f>
        <v>0</v>
      </c>
      <c r="H17" s="157">
        <f ca="1"/>
        <v>6.5053E-2</v>
      </c>
      <c r="I17" s="162">
        <f ca="1"/>
        <v>2.1608420000000002</v>
      </c>
      <c r="J17" s="162">
        <f ca="1"/>
        <v>4.1664E-2</v>
      </c>
      <c r="K17" s="165">
        <f ca="1"/>
        <v>38.380904000000001</v>
      </c>
    </row>
    <row r="18" spans="1:11" ht="15" customHeight="1">
      <c r="B18" s="22">
        <f>'Oil supply projection'!$B18</f>
        <v>2027</v>
      </c>
      <c r="C18" s="157">
        <f ca="1"/>
        <v>1.928922</v>
      </c>
      <c r="D18" s="157">
        <f ca="1"/>
        <v>32.875060000000005</v>
      </c>
      <c r="E18" s="157">
        <f ca="1"/>
        <v>0.86991200000000002</v>
      </c>
      <c r="F18" s="157">
        <f ca="1"/>
        <v>0.34650999999999998</v>
      </c>
      <c r="G18" s="157">
        <f t="array" aca="1" ref="G18" ca="1">(b_gas_ala_off*sim_price_gas^e_sup_gas_ala_off+(1-g_sup_gas_ala_off)*OFFSET(sim_sup_gas_ala_off,-1,0))*display</f>
        <v>0</v>
      </c>
      <c r="H18" s="157">
        <f ca="1"/>
        <v>6.3973000000000002E-2</v>
      </c>
      <c r="I18" s="162">
        <f ca="1"/>
        <v>2.095736</v>
      </c>
      <c r="J18" s="162">
        <f ca="1"/>
        <v>4.8446000000000003E-2</v>
      </c>
      <c r="K18" s="165">
        <f ca="1"/>
        <v>38.228559000000004</v>
      </c>
    </row>
    <row r="19" spans="1:11" ht="15" customHeight="1">
      <c r="B19" s="22">
        <f>'Oil supply projection'!$B19</f>
        <v>2028</v>
      </c>
      <c r="C19" s="157">
        <f ca="1"/>
        <v>1.8307359999999999</v>
      </c>
      <c r="D19" s="157">
        <f ca="1"/>
        <v>33.135716999999993</v>
      </c>
      <c r="E19" s="157">
        <f ca="1"/>
        <v>0.86071600000000004</v>
      </c>
      <c r="F19" s="157">
        <f ca="1"/>
        <v>0.35272599999999998</v>
      </c>
      <c r="G19" s="157">
        <f t="array" aca="1" ref="G19" ca="1">(b_gas_ala_off*sim_price_gas^e_sup_gas_ala_off+(1-g_sup_gas_ala_off)*OFFSET(sim_sup_gas_ala_off,-1,0))*display</f>
        <v>0</v>
      </c>
      <c r="H19" s="157">
        <f ca="1"/>
        <v>6.2892000000000003E-2</v>
      </c>
      <c r="I19" s="162">
        <f ca="1"/>
        <v>1.992164</v>
      </c>
      <c r="J19" s="162">
        <f ca="1"/>
        <v>5.5226999999999998E-2</v>
      </c>
      <c r="K19" s="165">
        <f ca="1"/>
        <v>38.29017799999999</v>
      </c>
    </row>
    <row r="20" spans="1:11" ht="15" customHeight="1">
      <c r="B20" s="22">
        <f>'Oil supply projection'!$B20</f>
        <v>2029</v>
      </c>
      <c r="C20" s="157">
        <f ca="1"/>
        <v>1.744173</v>
      </c>
      <c r="D20" s="157">
        <f ca="1"/>
        <v>33.248218000000001</v>
      </c>
      <c r="E20" s="157">
        <f ca="1"/>
        <v>0.86690800000000001</v>
      </c>
      <c r="F20" s="157">
        <f ca="1"/>
        <v>0.35295500000000002</v>
      </c>
      <c r="G20" s="157">
        <f t="array" aca="1" ref="G20" ca="1">(b_gas_ala_off*sim_price_gas^e_sup_gas_ala_off+(1-g_sup_gas_ala_off)*OFFSET(sim_sup_gas_ala_off,-1,0))*display</f>
        <v>0</v>
      </c>
      <c r="H20" s="157">
        <f ca="1"/>
        <v>6.2892000000000003E-2</v>
      </c>
      <c r="I20" s="162">
        <f ca="1"/>
        <v>1.9362760000000001</v>
      </c>
      <c r="J20" s="162">
        <f ca="1"/>
        <v>5.5226999999999998E-2</v>
      </c>
      <c r="K20" s="165">
        <f ca="1"/>
        <v>38.266649000000001</v>
      </c>
    </row>
    <row r="21" spans="1:11" ht="15" customHeight="1">
      <c r="A21" s="17"/>
      <c r="B21" s="22">
        <f>'Oil supply projection'!$B21</f>
        <v>2030</v>
      </c>
      <c r="C21" s="157">
        <f ca="1"/>
        <v>1.6940416997904437</v>
      </c>
      <c r="D21" s="157">
        <f ca="1"/>
        <v>33.632399623745442</v>
      </c>
      <c r="E21" s="157">
        <f ca="1"/>
        <v>0.84834301989631788</v>
      </c>
      <c r="F21" s="157">
        <f ca="1"/>
        <v>0.35972289661122298</v>
      </c>
      <c r="G21" s="157">
        <f t="array" aca="1" ref="G21" ca="1">(b_gas_ala_off*sim_price_gas^e_sup_gas_ala_off+(1-g_sup_gas_ala_off)*OFFSET(sim_sup_gas_ala_off,-1,0))*display</f>
        <v>0</v>
      </c>
      <c r="H21" s="157">
        <f ca="1"/>
        <v>6.2890868790275278E-2</v>
      </c>
      <c r="I21" s="162">
        <f ca="1"/>
        <v>1.9785915748843086</v>
      </c>
      <c r="J21" s="162">
        <f ca="1"/>
        <v>5.522505238108931E-2</v>
      </c>
      <c r="K21" s="165">
        <f ca="1"/>
        <v>38.631214736099103</v>
      </c>
    </row>
    <row r="22" spans="1:11" ht="15" customHeight="1">
      <c r="A22" s="17"/>
      <c r="B22" s="22">
        <f>'Oil supply projection'!$B22</f>
        <v>2031</v>
      </c>
      <c r="C22" s="157">
        <f ca="1"/>
        <v>1.641814709631316</v>
      </c>
      <c r="D22" s="157">
        <f ca="1"/>
        <v>34.21442506445365</v>
      </c>
      <c r="E22" s="157">
        <f ca="1"/>
        <v>0.83726451536050184</v>
      </c>
      <c r="F22" s="157">
        <f ca="1"/>
        <v>0.3578432627112077</v>
      </c>
      <c r="G22" s="157">
        <f t="array" aca="1" ref="G22" ca="1">(b_gas_ala_off*sim_price_gas^e_sup_gas_ala_off+(1-g_sup_gas_ala_off)*OFFSET(sim_sup_gas_ala_off,-1,0))*display</f>
        <v>0</v>
      </c>
      <c r="H22" s="157">
        <f ca="1"/>
        <v>6.2890765675551283E-2</v>
      </c>
      <c r="I22" s="162">
        <f ca="1"/>
        <v>1.9805886943240261</v>
      </c>
      <c r="J22" s="162">
        <f ca="1"/>
        <v>5.5224874826558093E-2</v>
      </c>
      <c r="K22" s="165">
        <f ca="1"/>
        <v>39.150051886982816</v>
      </c>
    </row>
    <row r="23" spans="1:11" ht="15" customHeight="1">
      <c r="A23" s="17"/>
      <c r="B23" s="22">
        <f>'Oil supply projection'!$B23</f>
        <v>2032</v>
      </c>
      <c r="C23" s="157">
        <f ca="1"/>
        <v>1.6006705625649871</v>
      </c>
      <c r="D23" s="157">
        <f ca="1"/>
        <v>34.931327339659809</v>
      </c>
      <c r="E23" s="157">
        <f ca="1"/>
        <v>0.81330677627575265</v>
      </c>
      <c r="F23" s="157">
        <f ca="1"/>
        <v>0.36425212621971081</v>
      </c>
      <c r="G23" s="157">
        <f t="array" aca="1" ref="G23" ca="1">(b_gas_ala_off*sim_price_gas^e_sup_gas_ala_off+(1-g_sup_gas_ala_off)*OFFSET(sim_sup_gas_ala_off,-1,0))*display</f>
        <v>0</v>
      </c>
      <c r="H23" s="157">
        <f ca="1"/>
        <v>6.2888568852796672E-2</v>
      </c>
      <c r="I23" s="162">
        <f ca="1"/>
        <v>2.0402821589925626</v>
      </c>
      <c r="J23" s="162">
        <f ca="1"/>
        <v>5.5221092791744378E-2</v>
      </c>
      <c r="K23" s="165">
        <f ca="1"/>
        <v>39.867948625357364</v>
      </c>
    </row>
    <row r="24" spans="1:11" ht="15" customHeight="1">
      <c r="A24" s="17"/>
      <c r="B24" s="22">
        <f>'Oil supply projection'!$B24</f>
        <v>2033</v>
      </c>
      <c r="C24" s="157">
        <f ca="1"/>
        <v>1.5671624126841102</v>
      </c>
      <c r="D24" s="157">
        <f ca="1"/>
        <v>35.503783366922406</v>
      </c>
      <c r="E24" s="157">
        <f ca="1"/>
        <v>0.80278039496468567</v>
      </c>
      <c r="F24" s="157">
        <f ca="1"/>
        <v>0.36650518253253594</v>
      </c>
      <c r="G24" s="157">
        <f t="array" aca="1" ref="G24" ca="1">(b_gas_ala_off*sim_price_gas^e_sup_gas_ala_off+(1-g_sup_gas_ala_off)*OFFSET(sim_sup_gas_ala_off,-1,0))*display</f>
        <v>0</v>
      </c>
      <c r="H24" s="157">
        <f ca="1"/>
        <v>6.2888285106241573E-2</v>
      </c>
      <c r="I24" s="162">
        <f ca="1"/>
        <v>2.0382711148255428</v>
      </c>
      <c r="J24" s="162">
        <f ca="1"/>
        <v>5.5220604201643674E-2</v>
      </c>
      <c r="K24" s="165">
        <f ca="1"/>
        <v>40.396611361237163</v>
      </c>
    </row>
    <row r="25" spans="1:11" ht="15" customHeight="1">
      <c r="A25" s="17"/>
      <c r="B25" s="22">
        <f>'Oil supply projection'!$B25</f>
        <v>2034</v>
      </c>
      <c r="C25" s="157">
        <f ca="1"/>
        <v>1.5057814656243671</v>
      </c>
      <c r="D25" s="157">
        <f ca="1"/>
        <v>36.048866463618033</v>
      </c>
      <c r="E25" s="157">
        <f ca="1"/>
        <v>0.78896548863831284</v>
      </c>
      <c r="F25" s="157">
        <f ca="1"/>
        <v>0.3596244720988605</v>
      </c>
      <c r="G25" s="157">
        <f t="array" aca="1" ref="G25" ca="1">(b_gas_ala_off*sim_price_gas^e_sup_gas_ala_off+(1-g_sup_gas_ala_off)*OFFSET(sim_sup_gas_ala_off,-1,0))*display</f>
        <v>0</v>
      </c>
      <c r="H25" s="157">
        <f ca="1"/>
        <v>6.2888071070892379E-2</v>
      </c>
      <c r="I25" s="162">
        <f ca="1"/>
        <v>2.048748058652635</v>
      </c>
      <c r="J25" s="162">
        <f ca="1"/>
        <v>5.5220235642193985E-2</v>
      </c>
      <c r="K25" s="165">
        <f ca="1"/>
        <v>40.870094255345293</v>
      </c>
    </row>
    <row r="26" spans="1:11" ht="15" customHeight="1">
      <c r="A26" s="17"/>
      <c r="B26" s="22">
        <f>'Oil supply projection'!$B26</f>
        <v>2035</v>
      </c>
      <c r="C26" s="157">
        <f ca="1"/>
        <v>1.4665320245606746</v>
      </c>
      <c r="D26" s="157">
        <f ca="1"/>
        <v>36.580037985202253</v>
      </c>
      <c r="E26" s="157">
        <f ca="1"/>
        <v>0.78567955718567073</v>
      </c>
      <c r="F26" s="157">
        <f ca="1"/>
        <v>0.35625668160629498</v>
      </c>
      <c r="G26" s="157">
        <f t="array" aca="1" ref="G26" ca="1">(b_gas_ala_off*sim_price_gas^e_sup_gas_ala_off+(1-g_sup_gas_ala_off)*OFFSET(sim_sup_gas_ala_off,-1,0))*display</f>
        <v>0</v>
      </c>
      <c r="H26" s="157">
        <f ca="1"/>
        <v>6.2887910379739065E-2</v>
      </c>
      <c r="I26" s="162">
        <f ca="1"/>
        <v>2.0264260403463963</v>
      </c>
      <c r="J26" s="162">
        <f ca="1"/>
        <v>5.5219958933222277E-2</v>
      </c>
      <c r="K26" s="165">
        <f ca="1"/>
        <v>41.333040158214253</v>
      </c>
    </row>
    <row r="27" spans="1:11" ht="15" customHeight="1">
      <c r="A27" s="17"/>
      <c r="B27" s="22">
        <f>'Oil supply projection'!$B27</f>
        <v>2036</v>
      </c>
      <c r="C27" s="157">
        <f ca="1"/>
        <v>1.4128948860925501</v>
      </c>
      <c r="D27" s="157">
        <f ca="1"/>
        <v>37.017398255680277</v>
      </c>
      <c r="E27" s="157">
        <f ca="1"/>
        <v>0.74230201474501434</v>
      </c>
      <c r="F27" s="157">
        <f ca="1"/>
        <v>0.35848698512333244</v>
      </c>
      <c r="G27" s="157">
        <f t="array" aca="1" ref="G27" ca="1">(b_gas_ala_off*sim_price_gas^e_sup_gas_ala_off+(1-g_sup_gas_ala_off)*OFFSET(sim_sup_gas_ala_off,-1,0))*display</f>
        <v>0</v>
      </c>
      <c r="H27" s="157">
        <f ca="1"/>
        <v>6.2887789819275702E-2</v>
      </c>
      <c r="I27" s="162">
        <f ca="1"/>
        <v>1.9791705740085894</v>
      </c>
      <c r="J27" s="162">
        <f ca="1"/>
        <v>5.5219751324029974E-2</v>
      </c>
      <c r="K27" s="165">
        <f ca="1"/>
        <v>41.62836025679308</v>
      </c>
    </row>
    <row r="28" spans="1:11" ht="15" customHeight="1">
      <c r="A28" s="19"/>
      <c r="B28" s="22">
        <f>'Oil supply projection'!$B28</f>
        <v>2037</v>
      </c>
      <c r="C28" s="157">
        <f ca="1"/>
        <v>1.3866594462661359</v>
      </c>
      <c r="D28" s="157">
        <f ca="1"/>
        <v>37.449409678899478</v>
      </c>
      <c r="E28" s="157">
        <f ca="1"/>
        <v>0.68681001148174303</v>
      </c>
      <c r="F28" s="157">
        <f ca="1"/>
        <v>0.36512004548741589</v>
      </c>
      <c r="G28" s="157">
        <f t="array" aca="1" ref="G28" ca="1">(b_gas_ala_off*sim_price_gas^e_sup_gas_ala_off+(1-g_sup_gas_ala_off)*OFFSET(sim_sup_gas_ala_off,-1,0))*display</f>
        <v>0</v>
      </c>
      <c r="H28" s="157">
        <f ca="1"/>
        <v>6.2887718179486685E-2</v>
      </c>
      <c r="I28" s="162">
        <f ca="1"/>
        <v>1.994300453857544</v>
      </c>
      <c r="J28" s="162">
        <f ca="1"/>
        <v>5.5219627947184213E-2</v>
      </c>
      <c r="K28" s="165">
        <f ca="1"/>
        <v>42.000406982118989</v>
      </c>
    </row>
    <row r="29" spans="1:11" ht="15" customHeight="1">
      <c r="A29" s="17"/>
      <c r="B29" s="22">
        <f>'Oil supply projection'!$B29</f>
        <v>2038</v>
      </c>
      <c r="C29" s="157">
        <f ca="1"/>
        <v>1.3657403613033983</v>
      </c>
      <c r="D29" s="157">
        <f ca="1"/>
        <v>37.746734504048383</v>
      </c>
      <c r="E29" s="157">
        <f ca="1"/>
        <v>0.62725621974214651</v>
      </c>
      <c r="F29" s="157">
        <f ca="1"/>
        <v>0.37046087071639938</v>
      </c>
      <c r="G29" s="157">
        <f t="array" aca="1" ref="G29" ca="1">(b_gas_ala_off*sim_price_gas^e_sup_gas_ala_off+(1-g_sup_gas_ala_off)*OFFSET(sim_sup_gas_ala_off,-1,0))*display</f>
        <v>0</v>
      </c>
      <c r="H29" s="157">
        <f ca="1"/>
        <v>6.2887667237701242E-2</v>
      </c>
      <c r="I29" s="162">
        <f ca="1"/>
        <v>2.0500498474676871</v>
      </c>
      <c r="J29" s="162">
        <f ca="1"/>
        <v>5.5219540211186059E-2</v>
      </c>
      <c r="K29" s="165">
        <f ca="1"/>
        <v>42.278349010726899</v>
      </c>
    </row>
    <row r="30" spans="1:11" ht="15" customHeight="1">
      <c r="A30" s="17"/>
      <c r="B30" s="22">
        <f>'Oil supply projection'!$B30</f>
        <v>2039</v>
      </c>
      <c r="C30" s="157">
        <f ca="1"/>
        <v>1.3413230051827059</v>
      </c>
      <c r="D30" s="157">
        <f ca="1"/>
        <v>38.008974184154553</v>
      </c>
      <c r="E30" s="157">
        <f ca="1"/>
        <v>0.56022469030429689</v>
      </c>
      <c r="F30" s="157">
        <f ca="1"/>
        <v>0.37448103824635715</v>
      </c>
      <c r="G30" s="157">
        <f t="array" aca="1" ref="G30" ca="1">(b_gas_ala_off*sim_price_gas^e_sup_gas_ala_off+(1-g_sup_gas_ala_off)*OFFSET(sim_sup_gas_ala_off,-1,0))*display</f>
        <v>0</v>
      </c>
      <c r="H30" s="157">
        <f ca="1"/>
        <v>6.2887618567085454E-2</v>
      </c>
      <c r="I30" s="162">
        <f ca="1"/>
        <v>2.0095858001387725</v>
      </c>
      <c r="J30" s="162">
        <f ca="1"/>
        <v>5.521945638994049E-2</v>
      </c>
      <c r="K30" s="165">
        <f ca="1"/>
        <v>42.412695792983712</v>
      </c>
    </row>
    <row r="31" spans="1:11" ht="15" customHeight="1">
      <c r="A31" s="17"/>
      <c r="B31" s="22">
        <f>'Oil supply projection'!$B31</f>
        <v>2040</v>
      </c>
      <c r="C31" s="157">
        <f ca="1"/>
        <v>1.3450230230880806</v>
      </c>
      <c r="D31" s="157">
        <f ca="1"/>
        <v>38.103881574188932</v>
      </c>
      <c r="E31" s="157">
        <f ca="1"/>
        <v>0.537513069530409</v>
      </c>
      <c r="F31" s="157">
        <f ca="1"/>
        <v>0.36962143467824132</v>
      </c>
      <c r="G31" s="157">
        <f t="array" aca="1" ref="G31" ca="1">(b_gas_ala_off*sim_price_gas^e_sup_gas_ala_off+(1-g_sup_gas_ala_off)*OFFSET(sim_sup_gas_ala_off,-1,0))*display</f>
        <v>0</v>
      </c>
      <c r="H31" s="157">
        <f ca="1"/>
        <v>6.2887607997172731E-2</v>
      </c>
      <c r="I31" s="162">
        <f ca="1"/>
        <v>2.1312954559024617</v>
      </c>
      <c r="J31" s="162">
        <f ca="1"/>
        <v>5.521943817020919E-2</v>
      </c>
      <c r="K31" s="165">
        <f ca="1"/>
        <v>42.605441603555519</v>
      </c>
    </row>
    <row r="32" spans="1:11" ht="15" customHeight="1">
      <c r="A32" s="17"/>
      <c r="B32" s="22">
        <f>'Oil supply projection'!$B32</f>
        <v>2041</v>
      </c>
      <c r="C32" s="157">
        <f ca="1"/>
        <v>1.3426145665244498</v>
      </c>
      <c r="D32" s="157">
        <f ca="1"/>
        <v>38.24803428844934</v>
      </c>
      <c r="E32" s="157">
        <f ca="1"/>
        <v>0.46929267638940719</v>
      </c>
      <c r="F32" s="157">
        <f ca="1"/>
        <v>0.37164971186143447</v>
      </c>
      <c r="G32" s="157">
        <f t="array" aca="1" ref="G32" ca="1">(b_gas_ala_off*sim_price_gas^e_sup_gas_ala_off+(1-g_sup_gas_ala_off)*OFFSET(sim_sup_gas_ala_off,-1,0))*display</f>
        <v>0</v>
      </c>
      <c r="H32" s="157">
        <f ca="1"/>
        <v>6.2887587753645044E-2</v>
      </c>
      <c r="I32" s="162">
        <f ca="1"/>
        <v>2.1593307734825196</v>
      </c>
      <c r="J32" s="162">
        <f ca="1"/>
        <v>5.5219403298704173E-2</v>
      </c>
      <c r="K32" s="165">
        <f ca="1"/>
        <v>42.709029007759511</v>
      </c>
    </row>
    <row r="33" spans="1:11" ht="15" customHeight="1">
      <c r="A33" s="17"/>
      <c r="B33" s="22">
        <f>'Oil supply projection'!$B33</f>
        <v>2042</v>
      </c>
      <c r="C33" s="157">
        <f ca="1"/>
        <v>1.3300399917329173</v>
      </c>
      <c r="D33" s="157">
        <f ca="1"/>
        <v>38.386073527614975</v>
      </c>
      <c r="E33" s="157">
        <f ca="1"/>
        <v>0.43256749681505979</v>
      </c>
      <c r="F33" s="157">
        <f ca="1"/>
        <v>0.37140704851564776</v>
      </c>
      <c r="G33" s="157">
        <f t="array" aca="1" ref="G33" ca="1">(b_gas_ala_off*sim_price_gas^e_sup_gas_ala_off+(1-g_sup_gas_ala_off)*OFFSET(sim_sup_gas_ala_off,-1,0))*display</f>
        <v>0</v>
      </c>
      <c r="H33" s="157">
        <f ca="1"/>
        <v>6.2887589189778409E-2</v>
      </c>
      <c r="I33" s="162">
        <f ca="1"/>
        <v>2.1828763604827146</v>
      </c>
      <c r="J33" s="162">
        <f ca="1"/>
        <v>5.5219405755714032E-2</v>
      </c>
      <c r="K33" s="165">
        <f ca="1"/>
        <v>42.821071420106811</v>
      </c>
    </row>
    <row r="34" spans="1:11" ht="15" customHeight="1">
      <c r="A34" s="17"/>
      <c r="B34" s="22">
        <f>'Oil supply projection'!$B34</f>
        <v>2043</v>
      </c>
      <c r="C34" s="157">
        <f ca="1"/>
        <v>1.3054570986489979</v>
      </c>
      <c r="D34" s="157">
        <f ca="1"/>
        <v>38.525036970308356</v>
      </c>
      <c r="E34" s="157">
        <f ca="1"/>
        <v>0.44379812183184447</v>
      </c>
      <c r="F34" s="157">
        <f ca="1"/>
        <v>0.38126497193356645</v>
      </c>
      <c r="G34" s="157">
        <f t="array" aca="1" ref="G34" ca="1">(b_gas_ala_off*sim_price_gas^e_sup_gas_ala_off+(1-g_sup_gas_ala_off)*OFFSET(sim_sup_gas_ala_off,-1,0))*display</f>
        <v>0</v>
      </c>
      <c r="H34" s="157">
        <f ca="1"/>
        <v>6.2887601959572964E-2</v>
      </c>
      <c r="I34" s="162">
        <f ca="1"/>
        <v>2.2353573037429961</v>
      </c>
      <c r="J34" s="162">
        <f ca="1"/>
        <v>5.5219427728199669E-2</v>
      </c>
      <c r="K34" s="165">
        <f ca="1"/>
        <v>43.009021496153537</v>
      </c>
    </row>
    <row r="35" spans="1:11" ht="15" customHeight="1">
      <c r="A35" s="17"/>
      <c r="B35" s="22">
        <f>'Oil supply projection'!$B35</f>
        <v>2044</v>
      </c>
      <c r="C35" s="157">
        <f ca="1"/>
        <v>1.2875708041263541</v>
      </c>
      <c r="D35" s="157">
        <f ca="1"/>
        <v>38.603993744956526</v>
      </c>
      <c r="E35" s="157">
        <f ca="1"/>
        <v>0.42261960456207182</v>
      </c>
      <c r="F35" s="157">
        <f ca="1"/>
        <v>0.38253624240921968</v>
      </c>
      <c r="G35" s="157">
        <f t="array" aca="1" ref="G35" ca="1">(b_gas_ala_off*sim_price_gas^e_sup_gas_ala_off+(1-g_sup_gas_ala_off)*OFFSET(sim_sup_gas_ala_off,-1,0))*display</f>
        <v>0</v>
      </c>
      <c r="H35" s="157">
        <f ca="1"/>
        <v>6.2887620707813716E-2</v>
      </c>
      <c r="I35" s="162">
        <f ca="1"/>
        <v>2.3199108461073674</v>
      </c>
      <c r="J35" s="162">
        <f ca="1"/>
        <v>5.5219459995762346E-2</v>
      </c>
      <c r="K35" s="165">
        <f ca="1"/>
        <v>43.134738322865111</v>
      </c>
    </row>
    <row r="36" spans="1:11" ht="15" customHeight="1">
      <c r="A36" s="17"/>
      <c r="B36" s="22">
        <f>'Oil supply projection'!$B36</f>
        <v>2045</v>
      </c>
      <c r="C36" s="157">
        <f ca="1"/>
        <v>0</v>
      </c>
      <c r="D36" s="157">
        <f ca="1"/>
        <v>0</v>
      </c>
      <c r="E36" s="157">
        <f ca="1"/>
        <v>0</v>
      </c>
      <c r="F36" s="157">
        <f ca="1"/>
        <v>0</v>
      </c>
      <c r="G36" s="157">
        <f t="array" aca="1" ref="G36" ca="1">(b_gas_ala_off*sim_price_gas^e_sup_gas_ala_off+(1-g_sup_gas_ala_off)*OFFSET(sim_sup_gas_ala_off,-1,0))*display</f>
        <v>0</v>
      </c>
      <c r="H36" s="157">
        <f ca="1"/>
        <v>0</v>
      </c>
      <c r="I36" s="162">
        <f ca="1"/>
        <v>0</v>
      </c>
      <c r="J36" s="162">
        <f ca="1"/>
        <v>0</v>
      </c>
      <c r="K36" s="165">
        <f ca="1"/>
        <v>0</v>
      </c>
    </row>
    <row r="37" spans="1:11" ht="15" customHeight="1">
      <c r="A37" s="17"/>
      <c r="B37" s="22">
        <f>'Oil supply projection'!$B37</f>
        <v>2046</v>
      </c>
      <c r="C37" s="157">
        <f ca="1"/>
        <v>0</v>
      </c>
      <c r="D37" s="157">
        <f ca="1"/>
        <v>0</v>
      </c>
      <c r="E37" s="157">
        <f ca="1"/>
        <v>0</v>
      </c>
      <c r="F37" s="157">
        <f ca="1"/>
        <v>0</v>
      </c>
      <c r="G37" s="157">
        <f t="array" aca="1" ref="G37" ca="1">(b_gas_ala_off*sim_price_gas^e_sup_gas_ala_off+(1-g_sup_gas_ala_off)*OFFSET(sim_sup_gas_ala_off,-1,0))*display</f>
        <v>0</v>
      </c>
      <c r="H37" s="157">
        <f ca="1"/>
        <v>0</v>
      </c>
      <c r="I37" s="162">
        <f ca="1"/>
        <v>0</v>
      </c>
      <c r="J37" s="162">
        <f ca="1"/>
        <v>0</v>
      </c>
      <c r="K37" s="165">
        <f ca="1"/>
        <v>0</v>
      </c>
    </row>
    <row r="38" spans="1:11" ht="15" customHeight="1">
      <c r="A38" s="17"/>
      <c r="B38" s="22">
        <f>'Oil supply projection'!$B38</f>
        <v>2047</v>
      </c>
      <c r="C38" s="157">
        <f ca="1"/>
        <v>0</v>
      </c>
      <c r="D38" s="157">
        <f ca="1"/>
        <v>0</v>
      </c>
      <c r="E38" s="157">
        <f ca="1"/>
        <v>0</v>
      </c>
      <c r="F38" s="157">
        <f ca="1"/>
        <v>0</v>
      </c>
      <c r="G38" s="157">
        <f t="array" aca="1" ref="G38" ca="1">(b_gas_ala_off*sim_price_gas^e_sup_gas_ala_off+(1-g_sup_gas_ala_off)*OFFSET(sim_sup_gas_ala_off,-1,0))*display</f>
        <v>0</v>
      </c>
      <c r="H38" s="157">
        <f ca="1"/>
        <v>0</v>
      </c>
      <c r="I38" s="162">
        <f ca="1"/>
        <v>0</v>
      </c>
      <c r="J38" s="162">
        <f ca="1"/>
        <v>0</v>
      </c>
      <c r="K38" s="165">
        <f ca="1"/>
        <v>0</v>
      </c>
    </row>
    <row r="39" spans="1:11" ht="15" customHeight="1">
      <c r="A39" s="19"/>
      <c r="B39" s="22">
        <f>'Oil supply projection'!$B39</f>
        <v>2048</v>
      </c>
      <c r="C39" s="157">
        <f ca="1"/>
        <v>0</v>
      </c>
      <c r="D39" s="157">
        <f ca="1"/>
        <v>0</v>
      </c>
      <c r="E39" s="157">
        <f ca="1"/>
        <v>0</v>
      </c>
      <c r="F39" s="157">
        <f ca="1"/>
        <v>0</v>
      </c>
      <c r="G39" s="157">
        <f t="array" aca="1" ref="G39" ca="1">(b_gas_ala_off*sim_price_gas^e_sup_gas_ala_off+(1-g_sup_gas_ala_off)*OFFSET(sim_sup_gas_ala_off,-1,0))*display</f>
        <v>0</v>
      </c>
      <c r="H39" s="157">
        <f ca="1"/>
        <v>0</v>
      </c>
      <c r="I39" s="162">
        <f ca="1"/>
        <v>0</v>
      </c>
      <c r="J39" s="162">
        <f ca="1"/>
        <v>0</v>
      </c>
      <c r="K39" s="165">
        <f ca="1"/>
        <v>0</v>
      </c>
    </row>
    <row r="40" spans="1:11" ht="15" customHeight="1">
      <c r="A40" s="17"/>
      <c r="B40" s="22">
        <f>'Oil supply projection'!$B40</f>
        <v>2049</v>
      </c>
      <c r="C40" s="157">
        <f ca="1"/>
        <v>0</v>
      </c>
      <c r="D40" s="157">
        <f ca="1"/>
        <v>0</v>
      </c>
      <c r="E40" s="157">
        <f ca="1"/>
        <v>0</v>
      </c>
      <c r="F40" s="157">
        <f ca="1"/>
        <v>0</v>
      </c>
      <c r="G40" s="157">
        <f t="array" aca="1" ref="G40" ca="1">(b_gas_ala_off*sim_price_gas^e_sup_gas_ala_off+(1-g_sup_gas_ala_off)*OFFSET(sim_sup_gas_ala_off,-1,0))*display</f>
        <v>0</v>
      </c>
      <c r="H40" s="157">
        <f ca="1"/>
        <v>0</v>
      </c>
      <c r="I40" s="162">
        <f ca="1"/>
        <v>0</v>
      </c>
      <c r="J40" s="162">
        <f ca="1"/>
        <v>0</v>
      </c>
      <c r="K40" s="165">
        <f ca="1"/>
        <v>0</v>
      </c>
    </row>
    <row r="41" spans="1:11" ht="15" customHeight="1">
      <c r="A41" s="17"/>
      <c r="B41" s="22">
        <f>'Oil supply projection'!$B41</f>
        <v>2050</v>
      </c>
      <c r="C41" s="157">
        <f ca="1"/>
        <v>0</v>
      </c>
      <c r="D41" s="157">
        <f ca="1"/>
        <v>0</v>
      </c>
      <c r="E41" s="157">
        <f ca="1"/>
        <v>0</v>
      </c>
      <c r="F41" s="157">
        <f ca="1"/>
        <v>0</v>
      </c>
      <c r="G41" s="157">
        <f t="array" aca="1" ref="G41" ca="1">(b_gas_ala_off*sim_price_gas^e_sup_gas_ala_off+(1-g_sup_gas_ala_off)*OFFSET(sim_sup_gas_ala_off,-1,0))*display</f>
        <v>0</v>
      </c>
      <c r="H41" s="157">
        <f ca="1"/>
        <v>0</v>
      </c>
      <c r="I41" s="162">
        <f ca="1"/>
        <v>0</v>
      </c>
      <c r="J41" s="162">
        <f ca="1"/>
        <v>0</v>
      </c>
      <c r="K41" s="165">
        <f ca="1"/>
        <v>0</v>
      </c>
    </row>
    <row r="42" spans="1:11" ht="15" customHeight="1">
      <c r="A42" s="17"/>
      <c r="B42" s="22">
        <f>'Oil supply projection'!$B42</f>
        <v>2051</v>
      </c>
      <c r="C42" s="157">
        <f ca="1"/>
        <v>0</v>
      </c>
      <c r="D42" s="157">
        <f ca="1"/>
        <v>0</v>
      </c>
      <c r="E42" s="157">
        <f ca="1"/>
        <v>0</v>
      </c>
      <c r="F42" s="157">
        <f ca="1"/>
        <v>0</v>
      </c>
      <c r="G42" s="157">
        <f t="array" aca="1" ref="G42" ca="1">(b_gas_ala_off*sim_price_gas^e_sup_gas_ala_off+(1-g_sup_gas_ala_off)*OFFSET(sim_sup_gas_ala_off,-1,0))*display</f>
        <v>0</v>
      </c>
      <c r="H42" s="157">
        <f ca="1"/>
        <v>0</v>
      </c>
      <c r="I42" s="162">
        <f ca="1"/>
        <v>0</v>
      </c>
      <c r="J42" s="162">
        <f ca="1"/>
        <v>0</v>
      </c>
      <c r="K42" s="165">
        <f ca="1"/>
        <v>0</v>
      </c>
    </row>
    <row r="43" spans="1:11" ht="15" customHeight="1">
      <c r="A43" s="17"/>
      <c r="B43" s="22">
        <f>'Oil supply projection'!$B43</f>
        <v>2052</v>
      </c>
      <c r="C43" s="157">
        <f ca="1"/>
        <v>0</v>
      </c>
      <c r="D43" s="157">
        <f ca="1"/>
        <v>0</v>
      </c>
      <c r="E43" s="157">
        <f ca="1"/>
        <v>0</v>
      </c>
      <c r="F43" s="157">
        <f ca="1"/>
        <v>0</v>
      </c>
      <c r="G43" s="157">
        <f t="array" aca="1" ref="G43" ca="1">(b_gas_ala_off*sim_price_gas^e_sup_gas_ala_off+(1-g_sup_gas_ala_off)*OFFSET(sim_sup_gas_ala_off,-1,0))*display</f>
        <v>0</v>
      </c>
      <c r="H43" s="157">
        <f ca="1"/>
        <v>0</v>
      </c>
      <c r="I43" s="162">
        <f ca="1"/>
        <v>0</v>
      </c>
      <c r="J43" s="162">
        <f ca="1"/>
        <v>0</v>
      </c>
      <c r="K43" s="165">
        <f ca="1"/>
        <v>0</v>
      </c>
    </row>
    <row r="44" spans="1:11" ht="15" customHeight="1">
      <c r="A44" s="17"/>
      <c r="B44" s="22">
        <f>'Oil supply projection'!$B44</f>
        <v>2053</v>
      </c>
      <c r="C44" s="157">
        <f ca="1"/>
        <v>0</v>
      </c>
      <c r="D44" s="157">
        <f ca="1"/>
        <v>0</v>
      </c>
      <c r="E44" s="157">
        <f ca="1"/>
        <v>0</v>
      </c>
      <c r="F44" s="157">
        <f ca="1"/>
        <v>0</v>
      </c>
      <c r="G44" s="157">
        <f t="array" aca="1" ref="G44" ca="1">(b_gas_ala_off*sim_price_gas^e_sup_gas_ala_off+(1-g_sup_gas_ala_off)*OFFSET(sim_sup_gas_ala_off,-1,0))*display</f>
        <v>0</v>
      </c>
      <c r="H44" s="157">
        <f ca="1"/>
        <v>0</v>
      </c>
      <c r="I44" s="162">
        <f ca="1"/>
        <v>0</v>
      </c>
      <c r="J44" s="162">
        <f ca="1"/>
        <v>0</v>
      </c>
      <c r="K44" s="165">
        <f ca="1"/>
        <v>0</v>
      </c>
    </row>
    <row r="45" spans="1:11" ht="15" customHeight="1">
      <c r="A45" s="17"/>
      <c r="B45" s="22">
        <f>'Oil supply projection'!$B45</f>
        <v>2054</v>
      </c>
      <c r="C45" s="157">
        <f ca="1"/>
        <v>0</v>
      </c>
      <c r="D45" s="157">
        <f ca="1"/>
        <v>0</v>
      </c>
      <c r="E45" s="157">
        <f ca="1"/>
        <v>0</v>
      </c>
      <c r="F45" s="157">
        <f ca="1"/>
        <v>0</v>
      </c>
      <c r="G45" s="157">
        <f t="array" aca="1" ref="G45" ca="1">(b_gas_ala_off*sim_price_gas^e_sup_gas_ala_off+(1-g_sup_gas_ala_off)*OFFSET(sim_sup_gas_ala_off,-1,0))*display</f>
        <v>0</v>
      </c>
      <c r="H45" s="157">
        <f ca="1"/>
        <v>0</v>
      </c>
      <c r="I45" s="162">
        <f ca="1"/>
        <v>0</v>
      </c>
      <c r="J45" s="162">
        <f ca="1"/>
        <v>0</v>
      </c>
      <c r="K45" s="165">
        <f ca="1"/>
        <v>0</v>
      </c>
    </row>
    <row r="46" spans="1:11" ht="15" customHeight="1">
      <c r="A46" s="17"/>
      <c r="B46" s="22">
        <f>'Oil supply projection'!$B46</f>
        <v>2055</v>
      </c>
      <c r="C46" s="157">
        <f ca="1"/>
        <v>0</v>
      </c>
      <c r="D46" s="157">
        <f ca="1"/>
        <v>0</v>
      </c>
      <c r="E46" s="157">
        <f ca="1"/>
        <v>0</v>
      </c>
      <c r="F46" s="157">
        <f ca="1"/>
        <v>0</v>
      </c>
      <c r="G46" s="157">
        <f t="array" aca="1" ref="G46" ca="1">(b_gas_ala_off*sim_price_gas^e_sup_gas_ala_off+(1-g_sup_gas_ala_off)*OFFSET(sim_sup_gas_ala_off,-1,0))*display</f>
        <v>0</v>
      </c>
      <c r="H46" s="157">
        <f ca="1"/>
        <v>0</v>
      </c>
      <c r="I46" s="162">
        <f ca="1"/>
        <v>0</v>
      </c>
      <c r="J46" s="162">
        <f ca="1"/>
        <v>0</v>
      </c>
      <c r="K46" s="165">
        <f ca="1"/>
        <v>0</v>
      </c>
    </row>
    <row r="47" spans="1:11" ht="15" customHeight="1">
      <c r="A47" s="17"/>
      <c r="B47" s="22">
        <f>'Oil supply projection'!$B47</f>
        <v>2056</v>
      </c>
      <c r="C47" s="157">
        <f ca="1"/>
        <v>0</v>
      </c>
      <c r="D47" s="157">
        <f ca="1"/>
        <v>0</v>
      </c>
      <c r="E47" s="157">
        <f ca="1"/>
        <v>0</v>
      </c>
      <c r="F47" s="157">
        <f ca="1"/>
        <v>0</v>
      </c>
      <c r="G47" s="157">
        <f t="array" aca="1" ref="G47" ca="1">(b_gas_ala_off*sim_price_gas^e_sup_gas_ala_off+(1-g_sup_gas_ala_off)*OFFSET(sim_sup_gas_ala_off,-1,0))*display</f>
        <v>0</v>
      </c>
      <c r="H47" s="157">
        <f ca="1"/>
        <v>0</v>
      </c>
      <c r="I47" s="162">
        <f ca="1"/>
        <v>0</v>
      </c>
      <c r="J47" s="162">
        <f ca="1"/>
        <v>0</v>
      </c>
      <c r="K47" s="165">
        <f ca="1"/>
        <v>0</v>
      </c>
    </row>
    <row r="48" spans="1:11" ht="15" customHeight="1">
      <c r="A48" s="17"/>
      <c r="B48" s="22">
        <f>'Oil supply projection'!$B48</f>
        <v>2057</v>
      </c>
      <c r="C48" s="157">
        <f ca="1"/>
        <v>0</v>
      </c>
      <c r="D48" s="157">
        <f ca="1"/>
        <v>0</v>
      </c>
      <c r="E48" s="157">
        <f ca="1"/>
        <v>0</v>
      </c>
      <c r="F48" s="157">
        <f ca="1"/>
        <v>0</v>
      </c>
      <c r="G48" s="157">
        <f t="array" aca="1" ref="G48" ca="1">(b_gas_ala_off*sim_price_gas^e_sup_gas_ala_off+(1-g_sup_gas_ala_off)*OFFSET(sim_sup_gas_ala_off,-1,0))*display</f>
        <v>0</v>
      </c>
      <c r="H48" s="157">
        <f ca="1"/>
        <v>0</v>
      </c>
      <c r="I48" s="162">
        <f ca="1"/>
        <v>0</v>
      </c>
      <c r="J48" s="162">
        <f ca="1"/>
        <v>0</v>
      </c>
      <c r="K48" s="165">
        <f ca="1"/>
        <v>0</v>
      </c>
    </row>
    <row r="49" spans="1:11" ht="15" customHeight="1">
      <c r="A49" s="17"/>
      <c r="B49" s="22">
        <f>'Oil supply projection'!$B49</f>
        <v>2058</v>
      </c>
      <c r="C49" s="157">
        <f ca="1"/>
        <v>0</v>
      </c>
      <c r="D49" s="157">
        <f ca="1"/>
        <v>0</v>
      </c>
      <c r="E49" s="157">
        <f ca="1"/>
        <v>0</v>
      </c>
      <c r="F49" s="157">
        <f ca="1"/>
        <v>0</v>
      </c>
      <c r="G49" s="157">
        <f t="array" aca="1" ref="G49" ca="1">(b_gas_ala_off*sim_price_gas^e_sup_gas_ala_off+(1-g_sup_gas_ala_off)*OFFSET(sim_sup_gas_ala_off,-1,0))*display</f>
        <v>0</v>
      </c>
      <c r="H49" s="157">
        <f ca="1"/>
        <v>0</v>
      </c>
      <c r="I49" s="162">
        <f ca="1"/>
        <v>0</v>
      </c>
      <c r="J49" s="162">
        <f ca="1"/>
        <v>0</v>
      </c>
      <c r="K49" s="165">
        <f ca="1"/>
        <v>0</v>
      </c>
    </row>
    <row r="50" spans="1:11" ht="15" customHeight="1">
      <c r="A50" s="17"/>
      <c r="B50" s="22">
        <f>'Oil supply projection'!$B50</f>
        <v>2059</v>
      </c>
      <c r="C50" s="157">
        <f ca="1"/>
        <v>0</v>
      </c>
      <c r="D50" s="157">
        <f ca="1"/>
        <v>0</v>
      </c>
      <c r="E50" s="157">
        <f ca="1"/>
        <v>0</v>
      </c>
      <c r="F50" s="157">
        <f ca="1"/>
        <v>0</v>
      </c>
      <c r="G50" s="157">
        <f t="array" aca="1" ref="G50" ca="1">(b_gas_ala_off*sim_price_gas^e_sup_gas_ala_off+(1-g_sup_gas_ala_off)*OFFSET(sim_sup_gas_ala_off,-1,0))*display</f>
        <v>0</v>
      </c>
      <c r="H50" s="157">
        <f ca="1"/>
        <v>0</v>
      </c>
      <c r="I50" s="162">
        <f ca="1"/>
        <v>0</v>
      </c>
      <c r="J50" s="162">
        <f ca="1"/>
        <v>0</v>
      </c>
      <c r="K50" s="165">
        <f ca="1"/>
        <v>0</v>
      </c>
    </row>
    <row r="51" spans="1:11" ht="15" customHeight="1">
      <c r="A51" s="17"/>
      <c r="B51" s="22">
        <f>'Oil supply projection'!$B51</f>
        <v>2060</v>
      </c>
      <c r="C51" s="157">
        <f ca="1"/>
        <v>0</v>
      </c>
      <c r="D51" s="157">
        <f ca="1"/>
        <v>0</v>
      </c>
      <c r="E51" s="157">
        <f ca="1"/>
        <v>0</v>
      </c>
      <c r="F51" s="157">
        <f ca="1"/>
        <v>0</v>
      </c>
      <c r="G51" s="157">
        <f t="array" aca="1" ref="G51" ca="1">(b_gas_ala_off*sim_price_gas^e_sup_gas_ala_off+(1-g_sup_gas_ala_off)*OFFSET(sim_sup_gas_ala_off,-1,0))*display</f>
        <v>0</v>
      </c>
      <c r="H51" s="157">
        <f ca="1"/>
        <v>0</v>
      </c>
      <c r="I51" s="162">
        <f ca="1"/>
        <v>0</v>
      </c>
      <c r="J51" s="162">
        <f ca="1"/>
        <v>0</v>
      </c>
      <c r="K51" s="165">
        <f ca="1"/>
        <v>0</v>
      </c>
    </row>
    <row r="52" spans="1:11" ht="15" customHeight="1">
      <c r="A52" s="17"/>
      <c r="B52" s="22">
        <f>'Oil supply projection'!$B52</f>
        <v>2061</v>
      </c>
      <c r="C52" s="157">
        <f ca="1"/>
        <v>0</v>
      </c>
      <c r="D52" s="157">
        <f ca="1"/>
        <v>0</v>
      </c>
      <c r="E52" s="157">
        <f ca="1"/>
        <v>0</v>
      </c>
      <c r="F52" s="157">
        <f ca="1"/>
        <v>0</v>
      </c>
      <c r="G52" s="157">
        <f t="array" aca="1" ref="G52" ca="1">(b_gas_ala_off*sim_price_gas^e_sup_gas_ala_off+(1-g_sup_gas_ala_off)*OFFSET(sim_sup_gas_ala_off,-1,0))*display</f>
        <v>0</v>
      </c>
      <c r="H52" s="157">
        <f ca="1"/>
        <v>0</v>
      </c>
      <c r="I52" s="162">
        <f ca="1"/>
        <v>0</v>
      </c>
      <c r="J52" s="162">
        <f ca="1"/>
        <v>0</v>
      </c>
      <c r="K52" s="165">
        <f ca="1"/>
        <v>0</v>
      </c>
    </row>
    <row r="53" spans="1:11" ht="15" customHeight="1">
      <c r="A53" s="16"/>
      <c r="B53" s="22">
        <f>'Oil supply projection'!$B53</f>
        <v>2062</v>
      </c>
      <c r="C53" s="157">
        <f ca="1"/>
        <v>0</v>
      </c>
      <c r="D53" s="157">
        <f ca="1"/>
        <v>0</v>
      </c>
      <c r="E53" s="157">
        <f ca="1"/>
        <v>0</v>
      </c>
      <c r="F53" s="157">
        <f ca="1"/>
        <v>0</v>
      </c>
      <c r="G53" s="157">
        <f t="array" aca="1" ref="G53" ca="1">(b_gas_ala_off*sim_price_gas^e_sup_gas_ala_off+(1-g_sup_gas_ala_off)*OFFSET(sim_sup_gas_ala_off,-1,0))*display</f>
        <v>0</v>
      </c>
      <c r="H53" s="157">
        <f ca="1"/>
        <v>0</v>
      </c>
      <c r="I53" s="162">
        <f ca="1"/>
        <v>0</v>
      </c>
      <c r="J53" s="162">
        <f ca="1"/>
        <v>0</v>
      </c>
      <c r="K53" s="165">
        <f ca="1"/>
        <v>0</v>
      </c>
    </row>
    <row r="54" spans="1:11" ht="15" customHeight="1">
      <c r="A54" s="16"/>
      <c r="B54" s="22">
        <f>'Oil supply projection'!$B54</f>
        <v>2063</v>
      </c>
      <c r="C54" s="157">
        <f ca="1"/>
        <v>0</v>
      </c>
      <c r="D54" s="157">
        <f ca="1"/>
        <v>0</v>
      </c>
      <c r="E54" s="157">
        <f ca="1"/>
        <v>0</v>
      </c>
      <c r="F54" s="157">
        <f ca="1"/>
        <v>0</v>
      </c>
      <c r="G54" s="157">
        <f t="array" aca="1" ref="G54" ca="1">(b_gas_ala_off*sim_price_gas^e_sup_gas_ala_off+(1-g_sup_gas_ala_off)*OFFSET(sim_sup_gas_ala_off,-1,0))*display</f>
        <v>0</v>
      </c>
      <c r="H54" s="157">
        <f ca="1"/>
        <v>0</v>
      </c>
      <c r="I54" s="162">
        <f ca="1"/>
        <v>0</v>
      </c>
      <c r="J54" s="162">
        <f ca="1"/>
        <v>0</v>
      </c>
      <c r="K54" s="165">
        <f ca="1"/>
        <v>0</v>
      </c>
    </row>
    <row r="55" spans="1:11" ht="15" customHeight="1">
      <c r="A55" s="16"/>
      <c r="B55" s="22">
        <f>'Oil supply projection'!$B55</f>
        <v>2064</v>
      </c>
      <c r="C55" s="157">
        <f ca="1"/>
        <v>0</v>
      </c>
      <c r="D55" s="157">
        <f ca="1"/>
        <v>0</v>
      </c>
      <c r="E55" s="157">
        <f ca="1"/>
        <v>0</v>
      </c>
      <c r="F55" s="157">
        <f ca="1"/>
        <v>0</v>
      </c>
      <c r="G55" s="157">
        <f t="array" aca="1" ref="G55" ca="1">(b_gas_ala_off*sim_price_gas^e_sup_gas_ala_off+(1-g_sup_gas_ala_off)*OFFSET(sim_sup_gas_ala_off,-1,0))*display</f>
        <v>0</v>
      </c>
      <c r="H55" s="157">
        <f ca="1"/>
        <v>0</v>
      </c>
      <c r="I55" s="162">
        <f ca="1"/>
        <v>0</v>
      </c>
      <c r="J55" s="162">
        <f ca="1"/>
        <v>0</v>
      </c>
      <c r="K55" s="165">
        <f ca="1"/>
        <v>0</v>
      </c>
    </row>
    <row r="56" spans="1:11" ht="15" customHeight="1">
      <c r="A56" s="16"/>
      <c r="B56" s="22">
        <f>'Oil supply projection'!$B56</f>
        <v>2065</v>
      </c>
      <c r="C56" s="157">
        <f ca="1"/>
        <v>0</v>
      </c>
      <c r="D56" s="157">
        <f ca="1"/>
        <v>0</v>
      </c>
      <c r="E56" s="157">
        <f ca="1"/>
        <v>0</v>
      </c>
      <c r="F56" s="157">
        <f ca="1"/>
        <v>0</v>
      </c>
      <c r="G56" s="157">
        <f t="array" aca="1" ref="G56" ca="1">(b_gas_ala_off*sim_price_gas^e_sup_gas_ala_off+(1-g_sup_gas_ala_off)*OFFSET(sim_sup_gas_ala_off,-1,0))*display</f>
        <v>0</v>
      </c>
      <c r="H56" s="157">
        <f ca="1"/>
        <v>0</v>
      </c>
      <c r="I56" s="162">
        <f ca="1"/>
        <v>0</v>
      </c>
      <c r="J56" s="162">
        <f ca="1"/>
        <v>0</v>
      </c>
      <c r="K56" s="165">
        <f ca="1"/>
        <v>0</v>
      </c>
    </row>
    <row r="57" spans="1:11" ht="15" customHeight="1">
      <c r="A57" s="16"/>
      <c r="B57" s="22">
        <f>'Oil supply projection'!$B57</f>
        <v>2066</v>
      </c>
      <c r="C57" s="157">
        <f ca="1"/>
        <v>0</v>
      </c>
      <c r="D57" s="157">
        <f ca="1"/>
        <v>0</v>
      </c>
      <c r="E57" s="157">
        <f ca="1"/>
        <v>0</v>
      </c>
      <c r="F57" s="157">
        <f ca="1"/>
        <v>0</v>
      </c>
      <c r="G57" s="157">
        <f t="array" aca="1" ref="G57" ca="1">(b_gas_ala_off*sim_price_gas^e_sup_gas_ala_off+(1-g_sup_gas_ala_off)*OFFSET(sim_sup_gas_ala_off,-1,0))*display</f>
        <v>0</v>
      </c>
      <c r="H57" s="157">
        <f ca="1"/>
        <v>0</v>
      </c>
      <c r="I57" s="162">
        <f ca="1"/>
        <v>0</v>
      </c>
      <c r="J57" s="162">
        <f ca="1"/>
        <v>0</v>
      </c>
      <c r="K57" s="165">
        <f ca="1"/>
        <v>0</v>
      </c>
    </row>
    <row r="58" spans="1:11" ht="15" customHeight="1">
      <c r="A58" s="16"/>
      <c r="B58" s="22">
        <f>'Oil supply projection'!$B58</f>
        <v>2067</v>
      </c>
      <c r="C58" s="157">
        <f ca="1"/>
        <v>0</v>
      </c>
      <c r="D58" s="157">
        <f ca="1"/>
        <v>0</v>
      </c>
      <c r="E58" s="157">
        <f ca="1"/>
        <v>0</v>
      </c>
      <c r="F58" s="157">
        <f ca="1"/>
        <v>0</v>
      </c>
      <c r="G58" s="157">
        <f t="array" aca="1" ref="G58" ca="1">(b_gas_ala_off*sim_price_gas^e_sup_gas_ala_off+(1-g_sup_gas_ala_off)*OFFSET(sim_sup_gas_ala_off,-1,0))*display</f>
        <v>0</v>
      </c>
      <c r="H58" s="157">
        <f ca="1"/>
        <v>0</v>
      </c>
      <c r="I58" s="162">
        <f ca="1"/>
        <v>0</v>
      </c>
      <c r="J58" s="162">
        <f ca="1"/>
        <v>0</v>
      </c>
      <c r="K58" s="165">
        <f ca="1"/>
        <v>0</v>
      </c>
    </row>
    <row r="59" spans="1:11" ht="15" customHeight="1">
      <c r="A59" s="16"/>
      <c r="B59" s="22">
        <f>'Oil supply projection'!$B59</f>
        <v>2068</v>
      </c>
      <c r="C59" s="157">
        <f ca="1"/>
        <v>0</v>
      </c>
      <c r="D59" s="157">
        <f ca="1"/>
        <v>0</v>
      </c>
      <c r="E59" s="157">
        <f ca="1"/>
        <v>0</v>
      </c>
      <c r="F59" s="157">
        <f ca="1"/>
        <v>0</v>
      </c>
      <c r="G59" s="157">
        <f t="array" aca="1" ref="G59" ca="1">(b_gas_ala_off*sim_price_gas^e_sup_gas_ala_off+(1-g_sup_gas_ala_off)*OFFSET(sim_sup_gas_ala_off,-1,0))*display</f>
        <v>0</v>
      </c>
      <c r="H59" s="157">
        <f ca="1"/>
        <v>0</v>
      </c>
      <c r="I59" s="162">
        <f ca="1"/>
        <v>0</v>
      </c>
      <c r="J59" s="162">
        <f ca="1"/>
        <v>0</v>
      </c>
      <c r="K59" s="165">
        <f ca="1"/>
        <v>0</v>
      </c>
    </row>
    <row r="60" spans="1:11" ht="15" customHeight="1">
      <c r="A60" s="16"/>
      <c r="B60" s="22">
        <f>'Oil supply projection'!$B60</f>
        <v>2069</v>
      </c>
      <c r="C60" s="157">
        <f ca="1"/>
        <v>0</v>
      </c>
      <c r="D60" s="157">
        <f ca="1"/>
        <v>0</v>
      </c>
      <c r="E60" s="157">
        <f ca="1"/>
        <v>0</v>
      </c>
      <c r="F60" s="157">
        <f ca="1"/>
        <v>0</v>
      </c>
      <c r="G60" s="157">
        <f t="array" aca="1" ref="G60" ca="1">(b_gas_ala_off*sim_price_gas^e_sup_gas_ala_off+(1-g_sup_gas_ala_off)*OFFSET(sim_sup_gas_ala_off,-1,0))*display</f>
        <v>0</v>
      </c>
      <c r="H60" s="157">
        <f ca="1"/>
        <v>0</v>
      </c>
      <c r="I60" s="157">
        <f ca="1"/>
        <v>0</v>
      </c>
      <c r="J60" s="157">
        <f ca="1"/>
        <v>0</v>
      </c>
      <c r="K60" s="165">
        <f ca="1"/>
        <v>0</v>
      </c>
    </row>
    <row r="61" spans="1:11" ht="15" customHeight="1">
      <c r="A61" s="16"/>
      <c r="B61" s="22">
        <f>'Oil supply projection'!$B61</f>
        <v>2070</v>
      </c>
      <c r="C61" s="157">
        <f ca="1"/>
        <v>0</v>
      </c>
      <c r="D61" s="157">
        <f ca="1"/>
        <v>0</v>
      </c>
      <c r="E61" s="157">
        <f ca="1"/>
        <v>0</v>
      </c>
      <c r="F61" s="157">
        <f ca="1"/>
        <v>0</v>
      </c>
      <c r="G61" s="157">
        <f t="array" aca="1" ref="G61" ca="1">(b_gas_ala_off*sim_price_gas^e_sup_gas_ala_off+(1-g_sup_gas_ala_off)*OFFSET(sim_sup_gas_ala_off,-1,0))*display</f>
        <v>0</v>
      </c>
      <c r="H61" s="157">
        <f ca="1"/>
        <v>0</v>
      </c>
      <c r="I61" s="157">
        <f ca="1"/>
        <v>0</v>
      </c>
      <c r="J61" s="157">
        <f ca="1"/>
        <v>0</v>
      </c>
      <c r="K61" s="165">
        <f ca="1"/>
        <v>0</v>
      </c>
    </row>
    <row r="62" spans="1:11" ht="15" customHeight="1">
      <c r="A62" s="16"/>
      <c r="B62" s="22">
        <f>'Oil supply projection'!$B62</f>
        <v>2071</v>
      </c>
      <c r="C62" s="157">
        <f ca="1"/>
        <v>0</v>
      </c>
      <c r="D62" s="157">
        <f ca="1"/>
        <v>0</v>
      </c>
      <c r="E62" s="157">
        <f ca="1"/>
        <v>0</v>
      </c>
      <c r="F62" s="157">
        <f ca="1"/>
        <v>0</v>
      </c>
      <c r="G62" s="157">
        <f t="array" aca="1" ref="G62" ca="1">(b_gas_ala_off*sim_price_gas^e_sup_gas_ala_off+(1-g_sup_gas_ala_off)*OFFSET(sim_sup_gas_ala_off,-1,0))*display</f>
        <v>0</v>
      </c>
      <c r="H62" s="157">
        <f ca="1"/>
        <v>0</v>
      </c>
      <c r="I62" s="157">
        <f ca="1"/>
        <v>0</v>
      </c>
      <c r="J62" s="157">
        <f ca="1"/>
        <v>0</v>
      </c>
      <c r="K62" s="165">
        <f ca="1"/>
        <v>0</v>
      </c>
    </row>
    <row r="63" spans="1:11" ht="15" customHeight="1">
      <c r="A63" s="16"/>
      <c r="B63" s="22">
        <f>'Oil supply projection'!$B63</f>
        <v>2072</v>
      </c>
      <c r="C63" s="157">
        <f ca="1"/>
        <v>0</v>
      </c>
      <c r="D63" s="157">
        <f ca="1"/>
        <v>0</v>
      </c>
      <c r="E63" s="157">
        <f ca="1"/>
        <v>0</v>
      </c>
      <c r="F63" s="157">
        <f ca="1"/>
        <v>0</v>
      </c>
      <c r="G63" s="157">
        <f t="array" aca="1" ref="G63" ca="1">(b_gas_ala_off*sim_price_gas^e_sup_gas_ala_off+(1-g_sup_gas_ala_off)*OFFSET(sim_sup_gas_ala_off,-1,0))*display</f>
        <v>0</v>
      </c>
      <c r="H63" s="157">
        <f ca="1"/>
        <v>0</v>
      </c>
      <c r="I63" s="157">
        <f ca="1"/>
        <v>0</v>
      </c>
      <c r="J63" s="157">
        <f ca="1"/>
        <v>0</v>
      </c>
      <c r="K63" s="165">
        <f ca="1"/>
        <v>0</v>
      </c>
    </row>
    <row r="64" spans="1:11" ht="15" customHeight="1">
      <c r="A64" s="16"/>
      <c r="B64" s="22">
        <f>'Oil supply projection'!$B64</f>
        <v>2073</v>
      </c>
      <c r="C64" s="157">
        <f ca="1"/>
        <v>0</v>
      </c>
      <c r="D64" s="157">
        <f ca="1"/>
        <v>0</v>
      </c>
      <c r="E64" s="157">
        <f ca="1"/>
        <v>0</v>
      </c>
      <c r="F64" s="157">
        <f ca="1"/>
        <v>0</v>
      </c>
      <c r="G64" s="157">
        <f t="array" aca="1" ref="G64" ca="1">(b_gas_ala_off*sim_price_gas^e_sup_gas_ala_off+(1-g_sup_gas_ala_off)*OFFSET(sim_sup_gas_ala_off,-1,0))*display</f>
        <v>0</v>
      </c>
      <c r="H64" s="157">
        <f ca="1"/>
        <v>0</v>
      </c>
      <c r="I64" s="157">
        <f ca="1"/>
        <v>0</v>
      </c>
      <c r="J64" s="157">
        <f ca="1"/>
        <v>0</v>
      </c>
      <c r="K64" s="165">
        <f ca="1"/>
        <v>0</v>
      </c>
    </row>
    <row r="65" spans="1:11" ht="15" customHeight="1">
      <c r="A65" s="16"/>
      <c r="B65" s="22">
        <f>'Oil supply projection'!$B65</f>
        <v>2074</v>
      </c>
      <c r="C65" s="157">
        <f ca="1"/>
        <v>0</v>
      </c>
      <c r="D65" s="157">
        <f ca="1"/>
        <v>0</v>
      </c>
      <c r="E65" s="157">
        <f ca="1"/>
        <v>0</v>
      </c>
      <c r="F65" s="157">
        <f ca="1"/>
        <v>0</v>
      </c>
      <c r="G65" s="157">
        <f t="array" aca="1" ref="G65" ca="1">(b_gas_ala_off*sim_price_gas^e_sup_gas_ala_off+(1-g_sup_gas_ala_off)*OFFSET(sim_sup_gas_ala_off,-1,0))*display</f>
        <v>0</v>
      </c>
      <c r="H65" s="157">
        <f ca="1"/>
        <v>0</v>
      </c>
      <c r="I65" s="157">
        <f ca="1"/>
        <v>0</v>
      </c>
      <c r="J65" s="157">
        <f ca="1"/>
        <v>0</v>
      </c>
      <c r="K65" s="165">
        <f ca="1"/>
        <v>0</v>
      </c>
    </row>
    <row r="66" spans="1:11" ht="15" customHeight="1">
      <c r="A66" s="16"/>
      <c r="B66" s="22">
        <f>'Oil supply projection'!$B66</f>
        <v>2075</v>
      </c>
      <c r="C66" s="157">
        <f ca="1"/>
        <v>0</v>
      </c>
      <c r="D66" s="157">
        <f ca="1"/>
        <v>0</v>
      </c>
      <c r="E66" s="157">
        <f ca="1"/>
        <v>0</v>
      </c>
      <c r="F66" s="157">
        <f ca="1"/>
        <v>0</v>
      </c>
      <c r="G66" s="157">
        <f t="array" aca="1" ref="G66" ca="1">(b_gas_ala_off*sim_price_gas^e_sup_gas_ala_off+(1-g_sup_gas_ala_off)*OFFSET(sim_sup_gas_ala_off,-1,0))*display</f>
        <v>0</v>
      </c>
      <c r="H66" s="157">
        <f ca="1"/>
        <v>0</v>
      </c>
      <c r="I66" s="157">
        <f ca="1"/>
        <v>0</v>
      </c>
      <c r="J66" s="157">
        <f ca="1"/>
        <v>0</v>
      </c>
      <c r="K66" s="165">
        <f ca="1"/>
        <v>0</v>
      </c>
    </row>
    <row r="67" spans="1:11" ht="15" customHeight="1">
      <c r="A67" s="16"/>
      <c r="B67" s="22">
        <f>'Oil supply projection'!$B67</f>
        <v>2076</v>
      </c>
      <c r="C67" s="157">
        <f ca="1"/>
        <v>0</v>
      </c>
      <c r="D67" s="157">
        <f ca="1"/>
        <v>0</v>
      </c>
      <c r="E67" s="157">
        <f ca="1"/>
        <v>0</v>
      </c>
      <c r="F67" s="157">
        <f ca="1"/>
        <v>0</v>
      </c>
      <c r="G67" s="157">
        <f t="array" aca="1" ref="G67" ca="1">(b_gas_ala_off*sim_price_gas^e_sup_gas_ala_off+(1-g_sup_gas_ala_off)*OFFSET(sim_sup_gas_ala_off,-1,0))*display</f>
        <v>0</v>
      </c>
      <c r="H67" s="157">
        <f ca="1"/>
        <v>0</v>
      </c>
      <c r="I67" s="157">
        <f ca="1"/>
        <v>0</v>
      </c>
      <c r="J67" s="157">
        <f ca="1"/>
        <v>0</v>
      </c>
      <c r="K67" s="165">
        <f ca="1"/>
        <v>0</v>
      </c>
    </row>
    <row r="68" spans="1:11" ht="15" customHeight="1">
      <c r="A68" s="16"/>
      <c r="B68" s="22">
        <f>'Oil supply projection'!$B68</f>
        <v>2077</v>
      </c>
      <c r="C68" s="157">
        <f ca="1"/>
        <v>0</v>
      </c>
      <c r="D68" s="157">
        <f ca="1"/>
        <v>0</v>
      </c>
      <c r="E68" s="157">
        <f ca="1"/>
        <v>0</v>
      </c>
      <c r="F68" s="157">
        <f ca="1"/>
        <v>0</v>
      </c>
      <c r="G68" s="157">
        <f t="array" aca="1" ref="G68" ca="1">(b_gas_ala_off*sim_price_gas^e_sup_gas_ala_off+(1-g_sup_gas_ala_off)*OFFSET(sim_sup_gas_ala_off,-1,0))*display</f>
        <v>0</v>
      </c>
      <c r="H68" s="157">
        <f ca="1"/>
        <v>0</v>
      </c>
      <c r="I68" s="157">
        <f ca="1"/>
        <v>0</v>
      </c>
      <c r="J68" s="157">
        <f ca="1"/>
        <v>0</v>
      </c>
      <c r="K68" s="165">
        <f ca="1"/>
        <v>0</v>
      </c>
    </row>
    <row r="69" spans="1:11" ht="15" customHeight="1">
      <c r="A69" s="16"/>
      <c r="B69" s="22">
        <f>'Oil supply projection'!$B69</f>
        <v>2078</v>
      </c>
      <c r="C69" s="157">
        <f ca="1"/>
        <v>0</v>
      </c>
      <c r="D69" s="157">
        <f ca="1"/>
        <v>0</v>
      </c>
      <c r="E69" s="157">
        <f ca="1"/>
        <v>0</v>
      </c>
      <c r="F69" s="157">
        <f ca="1"/>
        <v>0</v>
      </c>
      <c r="G69" s="157">
        <f t="array" aca="1" ref="G69" ca="1">(b_gas_ala_off*sim_price_gas^e_sup_gas_ala_off+(1-g_sup_gas_ala_off)*OFFSET(sim_sup_gas_ala_off,-1,0))*display</f>
        <v>0</v>
      </c>
      <c r="H69" s="157">
        <f ca="1"/>
        <v>0</v>
      </c>
      <c r="I69" s="157">
        <f ca="1"/>
        <v>0</v>
      </c>
      <c r="J69" s="157">
        <f ca="1"/>
        <v>0</v>
      </c>
      <c r="K69" s="165">
        <f ca="1"/>
        <v>0</v>
      </c>
    </row>
    <row r="70" spans="1:11" ht="15" customHeight="1">
      <c r="A70" s="16"/>
      <c r="B70" s="22">
        <f>'Oil supply projection'!$B70</f>
        <v>2079</v>
      </c>
      <c r="C70" s="157">
        <f ca="1"/>
        <v>0</v>
      </c>
      <c r="D70" s="157">
        <f ca="1"/>
        <v>0</v>
      </c>
      <c r="E70" s="157">
        <f ca="1"/>
        <v>0</v>
      </c>
      <c r="F70" s="157">
        <f ca="1"/>
        <v>0</v>
      </c>
      <c r="G70" s="157">
        <f t="array" aca="1" ref="G70" ca="1">(b_gas_ala_off*sim_price_gas^e_sup_gas_ala_off+(1-g_sup_gas_ala_off)*OFFSET(sim_sup_gas_ala_off,-1,0))*display</f>
        <v>0</v>
      </c>
      <c r="H70" s="157">
        <f ca="1"/>
        <v>0</v>
      </c>
      <c r="I70" s="157">
        <f ca="1"/>
        <v>0</v>
      </c>
      <c r="J70" s="157">
        <f ca="1"/>
        <v>0</v>
      </c>
      <c r="K70" s="165">
        <f ca="1"/>
        <v>0</v>
      </c>
    </row>
    <row r="71" spans="1:11" ht="15" customHeight="1">
      <c r="A71" s="16"/>
      <c r="B71" s="22">
        <f>'Oil supply projection'!$B71</f>
        <v>2080</v>
      </c>
      <c r="C71" s="157">
        <f ca="1"/>
        <v>0</v>
      </c>
      <c r="D71" s="157">
        <f ca="1"/>
        <v>0</v>
      </c>
      <c r="E71" s="157">
        <f ca="1"/>
        <v>0</v>
      </c>
      <c r="F71" s="157">
        <f ca="1"/>
        <v>0</v>
      </c>
      <c r="G71" s="157">
        <f t="array" aca="1" ref="G71" ca="1">(b_gas_ala_off*sim_price_gas^e_sup_gas_ala_off+(1-g_sup_gas_ala_off)*OFFSET(sim_sup_gas_ala_off,-1,0))*display</f>
        <v>0</v>
      </c>
      <c r="H71" s="157">
        <f ca="1"/>
        <v>0</v>
      </c>
      <c r="I71" s="157">
        <f ca="1"/>
        <v>0</v>
      </c>
      <c r="J71" s="157">
        <f ca="1"/>
        <v>0</v>
      </c>
      <c r="K71" s="165">
        <f ca="1"/>
        <v>0</v>
      </c>
    </row>
    <row r="72" spans="1:11" ht="15" customHeight="1">
      <c r="A72" s="16"/>
      <c r="B72" s="22">
        <f>'Oil supply projection'!$B72</f>
        <v>2081</v>
      </c>
      <c r="C72" s="157">
        <f ca="1"/>
        <v>0</v>
      </c>
      <c r="D72" s="157">
        <f ca="1"/>
        <v>0</v>
      </c>
      <c r="E72" s="157">
        <f ca="1"/>
        <v>0</v>
      </c>
      <c r="F72" s="157">
        <f ca="1"/>
        <v>0</v>
      </c>
      <c r="G72" s="157">
        <f t="array" aca="1" ref="G72" ca="1">(b_gas_ala_off*sim_price_gas^e_sup_gas_ala_off+(1-g_sup_gas_ala_off)*OFFSET(sim_sup_gas_ala_off,-1,0))*display</f>
        <v>0</v>
      </c>
      <c r="H72" s="157">
        <f ca="1"/>
        <v>0</v>
      </c>
      <c r="I72" s="157">
        <f ca="1"/>
        <v>0</v>
      </c>
      <c r="J72" s="157">
        <f ca="1"/>
        <v>0</v>
      </c>
      <c r="K72" s="165">
        <f ca="1"/>
        <v>0</v>
      </c>
    </row>
    <row r="73" spans="1:11" ht="15" customHeight="1">
      <c r="A73" s="16"/>
      <c r="B73" s="22">
        <f>'Oil supply projection'!$B73</f>
        <v>2082</v>
      </c>
      <c r="C73" s="157">
        <f ca="1"/>
        <v>0</v>
      </c>
      <c r="D73" s="157">
        <f ca="1"/>
        <v>0</v>
      </c>
      <c r="E73" s="157">
        <f ca="1"/>
        <v>0</v>
      </c>
      <c r="F73" s="157">
        <f ca="1"/>
        <v>0</v>
      </c>
      <c r="G73" s="157">
        <f t="array" aca="1" ref="G73" ca="1">(b_gas_ala_off*sim_price_gas^e_sup_gas_ala_off+(1-g_sup_gas_ala_off)*OFFSET(sim_sup_gas_ala_off,-1,0))*display</f>
        <v>0</v>
      </c>
      <c r="H73" s="157">
        <f ca="1"/>
        <v>0</v>
      </c>
      <c r="I73" s="157">
        <f ca="1"/>
        <v>0</v>
      </c>
      <c r="J73" s="157">
        <f ca="1"/>
        <v>0</v>
      </c>
      <c r="K73" s="165">
        <f ca="1"/>
        <v>0</v>
      </c>
    </row>
    <row r="74" spans="1:11" ht="15" customHeight="1">
      <c r="A74" s="16"/>
      <c r="B74" s="22">
        <f>'Oil supply projection'!$B74</f>
        <v>2083</v>
      </c>
      <c r="C74" s="157">
        <f ca="1"/>
        <v>0</v>
      </c>
      <c r="D74" s="157">
        <f ca="1"/>
        <v>0</v>
      </c>
      <c r="E74" s="157">
        <f ca="1"/>
        <v>0</v>
      </c>
      <c r="F74" s="157">
        <f ca="1"/>
        <v>0</v>
      </c>
      <c r="G74" s="157">
        <f t="array" aca="1" ref="G74" ca="1">(b_gas_ala_off*sim_price_gas^e_sup_gas_ala_off+(1-g_sup_gas_ala_off)*OFFSET(sim_sup_gas_ala_off,-1,0))*display</f>
        <v>0</v>
      </c>
      <c r="H74" s="157">
        <f ca="1"/>
        <v>0</v>
      </c>
      <c r="I74" s="157">
        <f ca="1"/>
        <v>0</v>
      </c>
      <c r="J74" s="157">
        <f ca="1"/>
        <v>0</v>
      </c>
      <c r="K74" s="165">
        <f ca="1"/>
        <v>0</v>
      </c>
    </row>
    <row r="75" spans="1:11" ht="15" customHeight="1">
      <c r="A75" s="16"/>
      <c r="B75" s="22">
        <f>'Oil supply projection'!$B75</f>
        <v>2084</v>
      </c>
      <c r="C75" s="157">
        <f ca="1"/>
        <v>0</v>
      </c>
      <c r="D75" s="157">
        <f ca="1"/>
        <v>0</v>
      </c>
      <c r="E75" s="157">
        <f ca="1"/>
        <v>0</v>
      </c>
      <c r="F75" s="157">
        <f ca="1"/>
        <v>0</v>
      </c>
      <c r="G75" s="157">
        <f t="array" aca="1" ref="G75" ca="1">(b_gas_ala_off*sim_price_gas^e_sup_gas_ala_off+(1-g_sup_gas_ala_off)*OFFSET(sim_sup_gas_ala_off,-1,0))*display</f>
        <v>0</v>
      </c>
      <c r="H75" s="157">
        <f ca="1"/>
        <v>0</v>
      </c>
      <c r="I75" s="157">
        <f ca="1"/>
        <v>0</v>
      </c>
      <c r="J75" s="157">
        <f ca="1"/>
        <v>0</v>
      </c>
      <c r="K75" s="165">
        <f ca="1"/>
        <v>0</v>
      </c>
    </row>
    <row r="76" spans="1:11" ht="15" customHeight="1">
      <c r="A76" s="16"/>
      <c r="B76" s="22">
        <f>'Oil supply projection'!$B76</f>
        <v>2085</v>
      </c>
      <c r="C76" s="157">
        <f ca="1"/>
        <v>0</v>
      </c>
      <c r="D76" s="157">
        <f ca="1"/>
        <v>0</v>
      </c>
      <c r="E76" s="157">
        <f ca="1"/>
        <v>0</v>
      </c>
      <c r="F76" s="157">
        <f ca="1"/>
        <v>0</v>
      </c>
      <c r="G76" s="157">
        <f t="array" aca="1" ref="G76" ca="1">(b_gas_ala_off*sim_price_gas^e_sup_gas_ala_off+(1-g_sup_gas_ala_off)*OFFSET(sim_sup_gas_ala_off,-1,0))*display</f>
        <v>0</v>
      </c>
      <c r="H76" s="157">
        <f ca="1"/>
        <v>0</v>
      </c>
      <c r="I76" s="157">
        <f ca="1"/>
        <v>0</v>
      </c>
      <c r="J76" s="157">
        <f ca="1"/>
        <v>0</v>
      </c>
      <c r="K76" s="165">
        <f ca="1"/>
        <v>0</v>
      </c>
    </row>
    <row r="77" spans="1:11" ht="15" customHeight="1">
      <c r="A77" s="16"/>
      <c r="B77" s="22">
        <f>'Oil supply projection'!$B77</f>
        <v>2086</v>
      </c>
      <c r="C77" s="157">
        <f ca="1"/>
        <v>0</v>
      </c>
      <c r="D77" s="157">
        <f ca="1"/>
        <v>0</v>
      </c>
      <c r="E77" s="157">
        <f ca="1"/>
        <v>0</v>
      </c>
      <c r="F77" s="157">
        <f ca="1"/>
        <v>0</v>
      </c>
      <c r="G77" s="157">
        <f t="array" aca="1" ref="G77" ca="1">(b_gas_ala_off*sim_price_gas^e_sup_gas_ala_off+(1-g_sup_gas_ala_off)*OFFSET(sim_sup_gas_ala_off,-1,0))*display</f>
        <v>0</v>
      </c>
      <c r="H77" s="157">
        <f ca="1"/>
        <v>0</v>
      </c>
      <c r="I77" s="157">
        <f ca="1"/>
        <v>0</v>
      </c>
      <c r="J77" s="157">
        <f ca="1"/>
        <v>0</v>
      </c>
      <c r="K77" s="165">
        <f ca="1"/>
        <v>0</v>
      </c>
    </row>
    <row r="78" spans="1:11" ht="15" customHeight="1">
      <c r="A78" s="16"/>
      <c r="B78" s="22">
        <f>'Oil supply projection'!$B78</f>
        <v>2087</v>
      </c>
      <c r="C78" s="157">
        <f ca="1"/>
        <v>0</v>
      </c>
      <c r="D78" s="157">
        <f ca="1"/>
        <v>0</v>
      </c>
      <c r="E78" s="157">
        <f ca="1"/>
        <v>0</v>
      </c>
      <c r="F78" s="157">
        <f ca="1"/>
        <v>0</v>
      </c>
      <c r="G78" s="157">
        <f t="array" aca="1" ref="G78" ca="1">(b_gas_ala_off*sim_price_gas^e_sup_gas_ala_off+(1-g_sup_gas_ala_off)*OFFSET(sim_sup_gas_ala_off,-1,0))*display</f>
        <v>0</v>
      </c>
      <c r="H78" s="157">
        <f ca="1"/>
        <v>0</v>
      </c>
      <c r="I78" s="157">
        <f ca="1"/>
        <v>0</v>
      </c>
      <c r="J78" s="157">
        <f ca="1"/>
        <v>0</v>
      </c>
      <c r="K78" s="165">
        <f ca="1"/>
        <v>0</v>
      </c>
    </row>
    <row r="79" spans="1:11" ht="15" customHeight="1">
      <c r="A79" s="16"/>
      <c r="B79" s="22">
        <f>'Oil supply projection'!$B79</f>
        <v>2088</v>
      </c>
      <c r="C79" s="157">
        <f ca="1"/>
        <v>0</v>
      </c>
      <c r="D79" s="157">
        <f ca="1"/>
        <v>0</v>
      </c>
      <c r="E79" s="157">
        <f ca="1"/>
        <v>0</v>
      </c>
      <c r="F79" s="157">
        <f ca="1"/>
        <v>0</v>
      </c>
      <c r="G79" s="157">
        <f t="array" aca="1" ref="G79" ca="1">(b_gas_ala_off*sim_price_gas^e_sup_gas_ala_off+(1-g_sup_gas_ala_off)*OFFSET(sim_sup_gas_ala_off,-1,0))*display</f>
        <v>0</v>
      </c>
      <c r="H79" s="157">
        <f ca="1"/>
        <v>0</v>
      </c>
      <c r="I79" s="157">
        <f ca="1"/>
        <v>0</v>
      </c>
      <c r="J79" s="157">
        <f ca="1"/>
        <v>0</v>
      </c>
      <c r="K79" s="165">
        <f ca="1"/>
        <v>0</v>
      </c>
    </row>
    <row r="80" spans="1:11" ht="15" customHeight="1">
      <c r="A80" s="16"/>
      <c r="B80" s="22">
        <f>'Oil supply projection'!$B80</f>
        <v>2089</v>
      </c>
      <c r="C80" s="157">
        <f ca="1"/>
        <v>0</v>
      </c>
      <c r="D80" s="157">
        <f ca="1"/>
        <v>0</v>
      </c>
      <c r="E80" s="157">
        <f ca="1"/>
        <v>0</v>
      </c>
      <c r="F80" s="157">
        <f ca="1"/>
        <v>0</v>
      </c>
      <c r="G80" s="157">
        <f t="array" aca="1" ref="G80" ca="1">(b_gas_ala_off*sim_price_gas^e_sup_gas_ala_off+(1-g_sup_gas_ala_off)*OFFSET(sim_sup_gas_ala_off,-1,0))*display</f>
        <v>0</v>
      </c>
      <c r="H80" s="157">
        <f ca="1"/>
        <v>0</v>
      </c>
      <c r="I80" s="157">
        <f ca="1"/>
        <v>0</v>
      </c>
      <c r="J80" s="157">
        <f ca="1"/>
        <v>0</v>
      </c>
      <c r="K80" s="165">
        <f ca="1"/>
        <v>0</v>
      </c>
    </row>
    <row r="81" spans="1:12" ht="15" customHeight="1">
      <c r="A81" s="16"/>
      <c r="B81" s="22">
        <f>'Oil supply projection'!$B81</f>
        <v>2090</v>
      </c>
      <c r="C81" s="157">
        <f ca="1"/>
        <v>0</v>
      </c>
      <c r="D81" s="157">
        <f ca="1"/>
        <v>0</v>
      </c>
      <c r="E81" s="157">
        <f ca="1"/>
        <v>0</v>
      </c>
      <c r="F81" s="157">
        <f ca="1"/>
        <v>0</v>
      </c>
      <c r="G81" s="157">
        <f t="array" aca="1" ref="G81" ca="1">(b_gas_ala_off*sim_price_gas^e_sup_gas_ala_off+(1-g_sup_gas_ala_off)*OFFSET(sim_sup_gas_ala_off,-1,0))*display</f>
        <v>0</v>
      </c>
      <c r="H81" s="157">
        <f ca="1"/>
        <v>0</v>
      </c>
      <c r="I81" s="157">
        <f ca="1"/>
        <v>0</v>
      </c>
      <c r="J81" s="157">
        <f ca="1"/>
        <v>0</v>
      </c>
      <c r="K81" s="165">
        <f ca="1"/>
        <v>0</v>
      </c>
    </row>
    <row r="82" spans="1:12" ht="15" customHeight="1">
      <c r="A82" s="16"/>
      <c r="B82" s="22">
        <f>'Oil supply projection'!$B82</f>
        <v>2091</v>
      </c>
      <c r="C82" s="157">
        <f ca="1"/>
        <v>0</v>
      </c>
      <c r="D82" s="157">
        <f ca="1"/>
        <v>0</v>
      </c>
      <c r="E82" s="157">
        <f ca="1"/>
        <v>0</v>
      </c>
      <c r="F82" s="157">
        <f ca="1"/>
        <v>0</v>
      </c>
      <c r="G82" s="157">
        <f t="array" aca="1" ref="G82" ca="1">(b_gas_ala_off*sim_price_gas^e_sup_gas_ala_off+(1-g_sup_gas_ala_off)*OFFSET(sim_sup_gas_ala_off,-1,0))*display</f>
        <v>0</v>
      </c>
      <c r="H82" s="157">
        <f ca="1"/>
        <v>0</v>
      </c>
      <c r="I82" s="157">
        <f ca="1"/>
        <v>0</v>
      </c>
      <c r="J82" s="157">
        <f ca="1"/>
        <v>0</v>
      </c>
      <c r="K82" s="165">
        <f ca="1"/>
        <v>0</v>
      </c>
    </row>
    <row r="83" spans="1:12" s="21" customFormat="1" ht="15" customHeight="1">
      <c r="A83" s="16"/>
      <c r="B83" s="22">
        <f>'Oil supply projection'!$B83</f>
        <v>2092</v>
      </c>
      <c r="C83" s="157">
        <f ca="1"/>
        <v>0</v>
      </c>
      <c r="D83" s="157">
        <f ca="1"/>
        <v>0</v>
      </c>
      <c r="E83" s="157">
        <f ca="1"/>
        <v>0</v>
      </c>
      <c r="F83" s="157">
        <f ca="1"/>
        <v>0</v>
      </c>
      <c r="G83" s="157">
        <f t="array" aca="1" ref="G83" ca="1">(b_gas_ala_off*sim_price_gas^e_sup_gas_ala_off+(1-g_sup_gas_ala_off)*OFFSET(sim_sup_gas_ala_off,-1,0))*display</f>
        <v>0</v>
      </c>
      <c r="H83" s="157">
        <f ca="1"/>
        <v>0</v>
      </c>
      <c r="I83" s="157">
        <f ca="1"/>
        <v>0</v>
      </c>
      <c r="J83" s="157">
        <f ca="1"/>
        <v>0</v>
      </c>
      <c r="K83" s="165">
        <f ca="1"/>
        <v>0</v>
      </c>
      <c r="L83" s="1"/>
    </row>
    <row r="84" spans="1:12" ht="15" customHeight="1">
      <c r="A84" s="16"/>
      <c r="B84" s="22">
        <f>'Oil supply projection'!$B84</f>
        <v>2093</v>
      </c>
      <c r="C84" s="182">
        <f ca="1"/>
        <v>0</v>
      </c>
      <c r="D84" s="182">
        <f ca="1"/>
        <v>0</v>
      </c>
      <c r="E84" s="182">
        <f ca="1"/>
        <v>0</v>
      </c>
      <c r="F84" s="182">
        <f ca="1"/>
        <v>0</v>
      </c>
      <c r="G84" s="182">
        <f t="array" aca="1" ref="G84" ca="1">(b_gas_ala_off*sim_price_gas^e_sup_gas_ala_off+(1-g_sup_gas_ala_off)*OFFSET(sim_sup_gas_ala_off,-1,0))*display</f>
        <v>0</v>
      </c>
      <c r="H84" s="182">
        <f ca="1"/>
        <v>0</v>
      </c>
      <c r="I84" s="182">
        <f ca="1"/>
        <v>0</v>
      </c>
      <c r="J84" s="182">
        <f ca="1"/>
        <v>0</v>
      </c>
      <c r="K84" s="166">
        <f ca="1"/>
        <v>0</v>
      </c>
    </row>
    <row r="85" spans="1:12" ht="15" customHeight="1">
      <c r="A85" s="16"/>
      <c r="K85" s="1"/>
    </row>
    <row r="86" spans="1:12" ht="15" customHeight="1">
      <c r="A86" s="16"/>
      <c r="E86" s="21"/>
      <c r="H86" s="21"/>
      <c r="I86" s="21"/>
    </row>
    <row r="87" spans="1:12" ht="15" customHeight="1">
      <c r="E87" s="21"/>
      <c r="H87" s="21"/>
      <c r="I87" s="21"/>
    </row>
  </sheetData>
  <mergeCells count="1">
    <mergeCell ref="A1:B1"/>
  </mergeCells>
  <phoneticPr fontId="29" type="noConversion"/>
  <conditionalFormatting sqref="C10:K84">
    <cfRule type="expression" dxfId="119" priority="1" stopIfTrue="1">
      <formula>ISERROR(C10)</formula>
    </cfRule>
  </conditionalFormatting>
  <hyperlinks>
    <hyperlink ref="A1" location="'Table of Contents'!A1" tooltip="Click here to return to the Table of Contents tab" display="Return to Table of Contents" xr:uid="{00000000-0004-0000-0E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32">
    <tabColor indexed="46"/>
    <pageSetUpPr fitToPage="1"/>
  </sheetPr>
  <dimension ref="A1:N86"/>
  <sheetViews>
    <sheetView zoomScale="85" workbookViewId="0">
      <pane xSplit="2" ySplit="9" topLeftCell="C10" activePane="bottomRight" state="frozen"/>
      <selection pane="topRight" activeCell="A2" sqref="A2"/>
      <selection pane="bottomLeft" activeCell="A2" sqref="A2"/>
      <selection pane="bottomRight" activeCell="B6" sqref="B6"/>
    </sheetView>
  </sheetViews>
  <sheetFormatPr defaultColWidth="9.28515625" defaultRowHeight="15" customHeight="1"/>
  <cols>
    <col min="1" max="1" width="15.5703125" style="18" customWidth="1"/>
    <col min="2" max="2" width="10.28515625" style="1" customWidth="1"/>
    <col min="3" max="10" width="14.5703125" style="1" customWidth="1"/>
    <col min="11" max="11" width="11.42578125" style="1" customWidth="1"/>
    <col min="12" max="12" width="14.5703125" style="48" customWidth="1"/>
    <col min="13" max="15" width="14.5703125" style="1" customWidth="1"/>
    <col min="16" max="16" width="14" style="1" customWidth="1"/>
    <col min="17" max="16384" width="9.28515625" style="1"/>
  </cols>
  <sheetData>
    <row r="1" spans="1:13" ht="15.75" thickBot="1">
      <c r="A1" s="701" t="s">
        <v>27</v>
      </c>
      <c r="B1" s="702"/>
      <c r="C1" s="180"/>
      <c r="D1" s="180"/>
      <c r="E1" s="2"/>
      <c r="F1" s="2"/>
      <c r="G1" s="2"/>
      <c r="H1" s="2"/>
      <c r="I1" s="2"/>
      <c r="J1" s="2"/>
      <c r="L1" s="1"/>
    </row>
    <row r="2" spans="1:13" ht="16.5" customHeight="1">
      <c r="A2" s="1"/>
      <c r="B2" s="2"/>
      <c r="C2" s="2"/>
      <c r="D2" s="2"/>
      <c r="E2" s="2"/>
      <c r="F2" s="2"/>
      <c r="G2" s="2"/>
      <c r="H2" s="2"/>
      <c r="I2" s="2"/>
      <c r="J2" s="2"/>
      <c r="L2" s="1"/>
    </row>
    <row r="3" spans="1:13" ht="16.5" customHeight="1">
      <c r="A3" s="1"/>
      <c r="B3" s="2"/>
      <c r="C3" s="2"/>
      <c r="D3" s="2"/>
      <c r="E3" s="2"/>
      <c r="F3" s="2"/>
      <c r="G3" s="2"/>
      <c r="H3" s="2"/>
      <c r="I3" s="2"/>
      <c r="J3" s="2"/>
      <c r="L3" s="1"/>
    </row>
    <row r="4" spans="1:13" ht="16.5" customHeight="1">
      <c r="A4" s="1"/>
      <c r="B4" s="2"/>
      <c r="C4" s="2"/>
      <c r="D4" s="2"/>
      <c r="E4" s="2"/>
      <c r="F4" s="2"/>
      <c r="G4" s="2"/>
      <c r="H4" s="2"/>
      <c r="I4" s="2"/>
      <c r="J4" s="2"/>
      <c r="L4" s="1"/>
    </row>
    <row r="5" spans="1:13" ht="16.5" customHeight="1">
      <c r="A5" s="1"/>
      <c r="B5" s="2"/>
      <c r="C5" s="2"/>
      <c r="D5" s="2"/>
      <c r="E5" s="2"/>
      <c r="F5" s="2"/>
      <c r="G5" s="2"/>
      <c r="H5" s="2"/>
      <c r="I5" s="2"/>
      <c r="J5" s="2"/>
      <c r="K5" s="2"/>
      <c r="L5" s="2"/>
    </row>
    <row r="6" spans="1:13" ht="19.5" customHeight="1">
      <c r="A6" s="16"/>
      <c r="B6" s="11" t="s">
        <v>462</v>
      </c>
      <c r="C6" s="12"/>
      <c r="D6" s="12"/>
      <c r="E6" s="12"/>
      <c r="F6" s="59"/>
      <c r="G6" s="59"/>
      <c r="H6" s="59"/>
      <c r="I6" s="59"/>
      <c r="J6" s="59"/>
      <c r="K6" s="60"/>
      <c r="L6" s="60"/>
      <c r="M6" s="60"/>
    </row>
    <row r="7" spans="1:13" ht="19.5" customHeight="1">
      <c r="A7" s="16"/>
      <c r="B7" s="14"/>
      <c r="C7" s="58"/>
      <c r="D7" s="58"/>
      <c r="E7" s="58"/>
      <c r="F7" s="10"/>
      <c r="G7" s="10"/>
      <c r="H7" s="10"/>
      <c r="I7" s="10"/>
      <c r="J7" s="10"/>
      <c r="K7" s="10"/>
      <c r="L7" s="62"/>
      <c r="M7" s="63"/>
    </row>
    <row r="8" spans="1:13" ht="29.25" customHeight="1">
      <c r="A8" s="16"/>
      <c r="B8" s="650"/>
      <c r="C8" s="653" t="s">
        <v>11</v>
      </c>
      <c r="D8" s="650" t="s">
        <v>256</v>
      </c>
      <c r="E8" s="650" t="s">
        <v>15</v>
      </c>
      <c r="F8" s="650" t="s">
        <v>260</v>
      </c>
      <c r="G8" s="650" t="s">
        <v>261</v>
      </c>
      <c r="H8" s="653" t="s">
        <v>262</v>
      </c>
      <c r="I8" s="653" t="s">
        <v>371</v>
      </c>
      <c r="J8" s="653" t="s">
        <v>372</v>
      </c>
      <c r="K8" s="653" t="s">
        <v>265</v>
      </c>
      <c r="L8" s="653" t="s">
        <v>373</v>
      </c>
      <c r="M8" s="650" t="s">
        <v>307</v>
      </c>
    </row>
    <row r="9" spans="1:13" ht="29.25" customHeight="1" thickBot="1">
      <c r="A9" s="16"/>
      <c r="B9" s="66" t="s">
        <v>268</v>
      </c>
      <c r="C9" s="67" t="s">
        <v>439</v>
      </c>
      <c r="D9" s="67" t="s">
        <v>439</v>
      </c>
      <c r="E9" s="67" t="s">
        <v>439</v>
      </c>
      <c r="F9" s="67" t="s">
        <v>439</v>
      </c>
      <c r="G9" s="67" t="s">
        <v>439</v>
      </c>
      <c r="H9" s="67" t="s">
        <v>439</v>
      </c>
      <c r="I9" s="67" t="s">
        <v>439</v>
      </c>
      <c r="J9" s="67" t="s">
        <v>439</v>
      </c>
      <c r="K9" s="67" t="s">
        <v>439</v>
      </c>
      <c r="L9" s="67" t="s">
        <v>439</v>
      </c>
      <c r="M9" s="67" t="s">
        <v>439</v>
      </c>
    </row>
    <row r="10" spans="1:13" ht="15" customHeight="1" thickTop="1">
      <c r="A10" s="16"/>
      <c r="B10" s="22">
        <f>'Oil supply projection'!$B10</f>
        <v>2019</v>
      </c>
      <c r="C10" s="64">
        <f t="array" ref="C10:M10">aeo_sup_ele_2010</f>
        <v>15.373374</v>
      </c>
      <c r="D10" s="30">
        <v>1360.8629149999999</v>
      </c>
      <c r="E10" s="30">
        <v>947.890625</v>
      </c>
      <c r="F10" s="30">
        <v>809.40924099999995</v>
      </c>
      <c r="G10" s="30">
        <v>286.407104</v>
      </c>
      <c r="H10" s="64">
        <v>68.046822000000006</v>
      </c>
      <c r="I10" s="64">
        <v>295.60403400000001</v>
      </c>
      <c r="J10" s="64">
        <v>0</v>
      </c>
      <c r="K10" s="64">
        <v>19.57921</v>
      </c>
      <c r="L10" s="64">
        <v>39.044429999999998</v>
      </c>
      <c r="M10" s="65">
        <v>3842.2177549999992</v>
      </c>
    </row>
    <row r="11" spans="1:13" ht="15" customHeight="1">
      <c r="A11" s="17"/>
      <c r="B11" s="22">
        <f>'Oil supply projection'!$B11</f>
        <v>2020</v>
      </c>
      <c r="C11" s="157">
        <f t="array" ref="C11:C84" ca="1">(c_ele_oil*(sim_price_ele/sim_price_oil)^e_sup_ele_oil+(1-g_sup_ele_oil)*OFFSET(sim_sup_ele_oil,-1,0))*display</f>
        <v>13.665286</v>
      </c>
      <c r="D11" s="157">
        <f t="array" ref="D11:D84" ca="1">(c_ele_gas*(sim_price_ele/sim_price_gas)^e_sup_ele_gas+(1-g_sup_ele_gas)*OFFSET(sim_sup_ele_gas,-1,0))*display</f>
        <v>1405.1779790000001</v>
      </c>
      <c r="E11" s="157">
        <f t="array" ref="E11:E84" ca="1">(c_ele_coa*(sim_price_ele/sim_price_coa)^e_sup_ele_coa+(1-g_sup_ele_coa)*OFFSET(sim_sup_ele_coa,-1,0))*display</f>
        <v>757.76324499999998</v>
      </c>
      <c r="F11" s="157">
        <f t="array" ref="F11:F84" ca="1">(c_ele_nuc*sim_price_ele^e_sup_ele_nuc+(1-g_sup_ele_nuc)*OFFSET(sim_sup_ele_nuc,-1,0))*display</f>
        <v>789.87884499999996</v>
      </c>
      <c r="G11" s="157">
        <f t="array" ref="G11:G84" ca="1">(c_ele_hyd*sim_price_ele^e_sup_ele_hyd+(1-g_sup_ele_hyd)*OFFSET(sim_sup_ele_hyd,-1,0))*display</f>
        <v>284.059326</v>
      </c>
      <c r="H11" s="157">
        <f t="array" ref="H11:H84" ca="1">(c_ele_sol*sim_price_ele^e_sup_ele_sol+(1-g_sup_ele_sol)*OFFSET(sim_sup_ele_sol,-1,0))*display</f>
        <v>85.378699999999995</v>
      </c>
      <c r="I11" s="157">
        <f t="array" ref="I11:I84" ca="1">(c_ele_won*sim_price_ele^e_sup_ele_won+(1-g_sup_ele_won)*OFFSET(sim_sup_ele_won,-1,0))*display</f>
        <v>337.15289300000001</v>
      </c>
      <c r="J11" s="157">
        <f t="array" ref="J11:J84" ca="1">(c_ele_wof*sim_price_ele^e_sup_ele_wof+(1-g_sup_ele_wof)*OFFSET(sim_sup_ele_wof,-1,0))*display</f>
        <v>0</v>
      </c>
      <c r="K11" s="157">
        <f t="array" ref="K11:K84" ca="1">(c_ele_oth*sim_price_ele^e_sup_ele_rnh+(1-g_sup_ele_oth)*OFFSET(sim_sup_ele_oth,-1,0))*display</f>
        <v>18.539802999999999</v>
      </c>
      <c r="L11" s="157">
        <f t="array" ref="L11:L84" ca="1">(c_ele_imp*sim_price_ele^e_sup_ele_imp+(1-g_sup_ele_imp)*OFFSET(sim_sup_ele_imp,-1,0))*display</f>
        <v>48.077648000000003</v>
      </c>
      <c r="M11" s="165">
        <f t="array" ref="M11:M84" ca="1">(sim_sup_ele_oil+sim_sup_ele_gas+sim_sup_ele_coa+sim_sup_ele_nuc+sim_sup_ele_hyd+sim_sup_ele_sol+sim_sup_ele_won+sim_sup_ele_wof+sim_sup_ele_oth+sim_sup_ele_imp)*display</f>
        <v>3739.6937250000001</v>
      </c>
    </row>
    <row r="12" spans="1:13" ht="15" customHeight="1">
      <c r="B12" s="22">
        <f>'Oil supply projection'!$B12</f>
        <v>2021</v>
      </c>
      <c r="C12" s="157">
        <f ca="1"/>
        <v>15.614943</v>
      </c>
      <c r="D12" s="157">
        <f ca="1"/>
        <v>1363.643677</v>
      </c>
      <c r="E12" s="157">
        <f ca="1"/>
        <v>882.30535899999995</v>
      </c>
      <c r="F12" s="157">
        <f ca="1"/>
        <v>778.18798800000002</v>
      </c>
      <c r="G12" s="157">
        <f ca="1"/>
        <v>250.39097599999999</v>
      </c>
      <c r="H12" s="157">
        <f ca="1"/>
        <v>111.601555</v>
      </c>
      <c r="I12" s="157">
        <f ca="1"/>
        <v>377.917328</v>
      </c>
      <c r="J12" s="157">
        <f ca="1"/>
        <v>0</v>
      </c>
      <c r="K12" s="157">
        <f ca="1"/>
        <v>17.285990000000002</v>
      </c>
      <c r="L12" s="157">
        <f ca="1"/>
        <v>37.968921999999999</v>
      </c>
      <c r="M12" s="165">
        <f ca="1"/>
        <v>3834.9167380000004</v>
      </c>
    </row>
    <row r="13" spans="1:13" ht="15" customHeight="1">
      <c r="B13" s="22">
        <f>'Oil supply projection'!$B13</f>
        <v>2022</v>
      </c>
      <c r="C13" s="157">
        <f ca="1"/>
        <v>10.011640999999999</v>
      </c>
      <c r="D13" s="157">
        <f ca="1"/>
        <v>1451.549072</v>
      </c>
      <c r="E13" s="157">
        <f ca="1"/>
        <v>832.22631799999999</v>
      </c>
      <c r="F13" s="157">
        <f ca="1"/>
        <v>771.984375</v>
      </c>
      <c r="G13" s="157">
        <f ca="1"/>
        <v>275.04476899999997</v>
      </c>
      <c r="H13" s="157">
        <f ca="1"/>
        <v>131.15711999999999</v>
      </c>
      <c r="I13" s="157">
        <f ca="1"/>
        <v>437.395264</v>
      </c>
      <c r="J13" s="157">
        <f ca="1"/>
        <v>1.4493499999999999</v>
      </c>
      <c r="K13" s="157">
        <f ca="1"/>
        <v>13.175932</v>
      </c>
      <c r="L13" s="157">
        <f ca="1"/>
        <v>42.686222000000001</v>
      </c>
      <c r="M13" s="165">
        <f ca="1"/>
        <v>3966.6800629999993</v>
      </c>
    </row>
    <row r="14" spans="1:13" ht="15" customHeight="1">
      <c r="B14" s="22">
        <f>'Oil supply projection'!$B14</f>
        <v>2023</v>
      </c>
      <c r="C14" s="157">
        <f ca="1"/>
        <v>9.5074550000000002</v>
      </c>
      <c r="D14" s="157">
        <f ca="1"/>
        <v>1354.007568</v>
      </c>
      <c r="E14" s="157">
        <f ca="1"/>
        <v>783.51873799999998</v>
      </c>
      <c r="F14" s="157">
        <f ca="1"/>
        <v>783.71594200000004</v>
      </c>
      <c r="G14" s="157">
        <f ca="1"/>
        <v>281.19339000000002</v>
      </c>
      <c r="H14" s="157">
        <f ca="1"/>
        <v>172.775757</v>
      </c>
      <c r="I14" s="157">
        <f ca="1"/>
        <v>462.89889499999998</v>
      </c>
      <c r="J14" s="157">
        <f ca="1"/>
        <v>3.1028720000000001</v>
      </c>
      <c r="K14" s="157">
        <f ca="1"/>
        <v>12.663155</v>
      </c>
      <c r="L14" s="157">
        <f ca="1"/>
        <v>50.749699</v>
      </c>
      <c r="M14" s="165">
        <f ca="1"/>
        <v>3914.1334709999992</v>
      </c>
    </row>
    <row r="15" spans="1:13" ht="15" customHeight="1">
      <c r="B15" s="22">
        <f>'Oil supply projection'!$B15</f>
        <v>2024</v>
      </c>
      <c r="C15" s="157">
        <f ca="1"/>
        <v>9.5801850000000002</v>
      </c>
      <c r="D15" s="157">
        <f ca="1"/>
        <v>1260.2685550000001</v>
      </c>
      <c r="E15" s="157">
        <f ca="1"/>
        <v>822.87207000000001</v>
      </c>
      <c r="F15" s="157">
        <f ca="1"/>
        <v>789.40368699999999</v>
      </c>
      <c r="G15" s="157">
        <f ca="1"/>
        <v>290.520172</v>
      </c>
      <c r="H15" s="157">
        <f ca="1"/>
        <v>247.21266199999999</v>
      </c>
      <c r="I15" s="157">
        <f ca="1"/>
        <v>466.08728000000002</v>
      </c>
      <c r="J15" s="157">
        <f ca="1"/>
        <v>5.5697780000000003</v>
      </c>
      <c r="K15" s="157">
        <f ca="1"/>
        <v>13.129585000000001</v>
      </c>
      <c r="L15" s="157">
        <f ca="1"/>
        <v>43.728789999999996</v>
      </c>
      <c r="M15" s="165">
        <f ca="1"/>
        <v>3948.3727640000006</v>
      </c>
    </row>
    <row r="16" spans="1:13" ht="15" customHeight="1">
      <c r="B16" s="22">
        <f>'Oil supply projection'!$B16</f>
        <v>2025</v>
      </c>
      <c r="C16" s="157">
        <f ca="1"/>
        <v>9.2644540000000006</v>
      </c>
      <c r="D16" s="157">
        <f ca="1"/>
        <v>1193.9293210000001</v>
      </c>
      <c r="E16" s="157">
        <f ca="1"/>
        <v>754.82116699999995</v>
      </c>
      <c r="F16" s="157">
        <f ca="1"/>
        <v>782.25647000000004</v>
      </c>
      <c r="G16" s="157">
        <f ca="1"/>
        <v>298.564911</v>
      </c>
      <c r="H16" s="157">
        <f ca="1"/>
        <v>365.23226899999997</v>
      </c>
      <c r="I16" s="157">
        <f ca="1"/>
        <v>505.680969</v>
      </c>
      <c r="J16" s="157">
        <f ca="1"/>
        <v>6.0719719999999997</v>
      </c>
      <c r="K16" s="157">
        <f ca="1"/>
        <v>12.511452</v>
      </c>
      <c r="L16" s="157">
        <f ca="1"/>
        <v>38.605705</v>
      </c>
      <c r="M16" s="165">
        <f ca="1"/>
        <v>3966.9386900000004</v>
      </c>
    </row>
    <row r="17" spans="1:13" ht="15" customHeight="1">
      <c r="B17" s="22">
        <f>'Oil supply projection'!$B17</f>
        <v>2026</v>
      </c>
      <c r="C17" s="157">
        <f ca="1"/>
        <v>8.5667869999999997</v>
      </c>
      <c r="D17" s="157">
        <f ca="1"/>
        <v>1133.4957280000001</v>
      </c>
      <c r="E17" s="157">
        <f ca="1"/>
        <v>650.24542199999996</v>
      </c>
      <c r="F17" s="157">
        <f ca="1"/>
        <v>774.68359399999997</v>
      </c>
      <c r="G17" s="157">
        <f ca="1"/>
        <v>299.28417999999999</v>
      </c>
      <c r="H17" s="157">
        <f ca="1"/>
        <v>500.200714</v>
      </c>
      <c r="I17" s="157">
        <f ca="1"/>
        <v>574.66332999999997</v>
      </c>
      <c r="J17" s="157">
        <f ca="1"/>
        <v>6.8837390000000003</v>
      </c>
      <c r="K17" s="157">
        <f ca="1"/>
        <v>12.187555</v>
      </c>
      <c r="L17" s="157">
        <f ca="1"/>
        <v>39.763869999999997</v>
      </c>
      <c r="M17" s="165">
        <f ca="1"/>
        <v>3999.9749190000002</v>
      </c>
    </row>
    <row r="18" spans="1:13" ht="15" customHeight="1">
      <c r="B18" s="22">
        <f>'Oil supply projection'!$B18</f>
        <v>2027</v>
      </c>
      <c r="C18" s="157">
        <f ca="1"/>
        <v>7.882752</v>
      </c>
      <c r="D18" s="157">
        <f ca="1"/>
        <v>1045.3156739999999</v>
      </c>
      <c r="E18" s="157">
        <f ca="1"/>
        <v>554.14318800000001</v>
      </c>
      <c r="F18" s="157">
        <f ca="1"/>
        <v>774.66992200000004</v>
      </c>
      <c r="G18" s="157">
        <f ca="1"/>
        <v>299.32052599999997</v>
      </c>
      <c r="H18" s="157">
        <f ca="1"/>
        <v>621.42309599999999</v>
      </c>
      <c r="I18" s="157">
        <f ca="1"/>
        <v>662.603027</v>
      </c>
      <c r="J18" s="157">
        <f ca="1"/>
        <v>6.8813440000000003</v>
      </c>
      <c r="K18" s="157">
        <f ca="1"/>
        <v>11.813079999999999</v>
      </c>
      <c r="L18" s="157">
        <f ca="1"/>
        <v>43.742728999999997</v>
      </c>
      <c r="M18" s="165">
        <f ca="1"/>
        <v>4027.7953379999999</v>
      </c>
    </row>
    <row r="19" spans="1:13" ht="15" customHeight="1">
      <c r="B19" s="22">
        <f>'Oil supply projection'!$B19</f>
        <v>2028</v>
      </c>
      <c r="C19" s="157">
        <f ca="1"/>
        <v>7.1739449999999998</v>
      </c>
      <c r="D19" s="157">
        <f ca="1"/>
        <v>995.14343299999996</v>
      </c>
      <c r="E19" s="157">
        <f ca="1"/>
        <v>455.10488900000001</v>
      </c>
      <c r="F19" s="157">
        <f ca="1"/>
        <v>765.54077099999995</v>
      </c>
      <c r="G19" s="157">
        <f ca="1"/>
        <v>297.98275799999999</v>
      </c>
      <c r="H19" s="157">
        <f ca="1"/>
        <v>703.25769000000003</v>
      </c>
      <c r="I19" s="157">
        <f ca="1"/>
        <v>769.13452099999995</v>
      </c>
      <c r="J19" s="157">
        <f ca="1"/>
        <v>10.333074999999999</v>
      </c>
      <c r="K19" s="157">
        <f ca="1"/>
        <v>10.422988999999999</v>
      </c>
      <c r="L19" s="157">
        <f ca="1"/>
        <v>46.183383999999997</v>
      </c>
      <c r="M19" s="165">
        <f ca="1"/>
        <v>4060.2774549999999</v>
      </c>
    </row>
    <row r="20" spans="1:13" ht="15" customHeight="1">
      <c r="B20" s="22">
        <f>'Oil supply projection'!$B20</f>
        <v>2029</v>
      </c>
      <c r="C20" s="157">
        <f ca="1"/>
        <v>6.7830450000000004</v>
      </c>
      <c r="D20" s="157">
        <f ca="1"/>
        <v>927.64160200000003</v>
      </c>
      <c r="E20" s="157">
        <f ca="1"/>
        <v>389.37210099999999</v>
      </c>
      <c r="F20" s="157">
        <f ca="1"/>
        <v>765.54077099999995</v>
      </c>
      <c r="G20" s="157">
        <f ca="1"/>
        <v>295.70837399999999</v>
      </c>
      <c r="H20" s="157">
        <f ca="1"/>
        <v>750.57293700000002</v>
      </c>
      <c r="I20" s="157">
        <f ca="1"/>
        <v>890.17480499999999</v>
      </c>
      <c r="J20" s="157">
        <f ca="1"/>
        <v>11.199923999999999</v>
      </c>
      <c r="K20" s="157">
        <f ca="1"/>
        <v>9.4465020000000006</v>
      </c>
      <c r="L20" s="157">
        <f ca="1"/>
        <v>43.442635000000003</v>
      </c>
      <c r="M20" s="165">
        <f ca="1"/>
        <v>4089.8826959999992</v>
      </c>
    </row>
    <row r="21" spans="1:13" ht="15" customHeight="1">
      <c r="A21" s="17"/>
      <c r="B21" s="22">
        <f>'Oil supply projection'!$B21</f>
        <v>2030</v>
      </c>
      <c r="C21" s="157">
        <f ca="1"/>
        <v>6.4519194739532866</v>
      </c>
      <c r="D21" s="157">
        <f ca="1"/>
        <v>880.16877731128591</v>
      </c>
      <c r="E21" s="157">
        <f ca="1"/>
        <v>340.84867597503478</v>
      </c>
      <c r="F21" s="157">
        <f ca="1"/>
        <v>765.54083556605474</v>
      </c>
      <c r="G21" s="157">
        <f ca="1"/>
        <v>292.43407749025664</v>
      </c>
      <c r="H21" s="157">
        <f ca="1"/>
        <v>772.63978383134713</v>
      </c>
      <c r="I21" s="157">
        <f ca="1"/>
        <v>971.26651124298894</v>
      </c>
      <c r="J21" s="157">
        <f ca="1"/>
        <v>31.590269732840333</v>
      </c>
      <c r="K21" s="157">
        <f ca="1"/>
        <v>9.1349693434998116</v>
      </c>
      <c r="L21" s="157">
        <f ca="1"/>
        <v>46.495947823663073</v>
      </c>
      <c r="M21" s="165">
        <f ca="1"/>
        <v>4116.5717677909252</v>
      </c>
    </row>
    <row r="22" spans="1:13" ht="15" customHeight="1">
      <c r="A22" s="17"/>
      <c r="B22" s="22">
        <f>'Oil supply projection'!$B22</f>
        <v>2031</v>
      </c>
      <c r="C22" s="157">
        <f ca="1"/>
        <v>6.1715407312989337</v>
      </c>
      <c r="D22" s="157">
        <f ca="1"/>
        <v>848.71934117930232</v>
      </c>
      <c r="E22" s="157">
        <f ca="1"/>
        <v>333.40223008902268</v>
      </c>
      <c r="F22" s="157">
        <f ca="1"/>
        <v>760.27478144453676</v>
      </c>
      <c r="G22" s="157">
        <f ca="1"/>
        <v>292.51760062274923</v>
      </c>
      <c r="H22" s="157">
        <f ca="1"/>
        <v>806.35486918429649</v>
      </c>
      <c r="I22" s="157">
        <f ca="1"/>
        <v>1008.9374654621345</v>
      </c>
      <c r="J22" s="157">
        <f ca="1"/>
        <v>36.692751828257578</v>
      </c>
      <c r="K22" s="157">
        <f ca="1"/>
        <v>7.6867878739976856</v>
      </c>
      <c r="L22" s="157">
        <f ca="1"/>
        <v>43.695457407497656</v>
      </c>
      <c r="M22" s="165">
        <f ca="1"/>
        <v>4144.4528258230948</v>
      </c>
    </row>
    <row r="23" spans="1:13" ht="15" customHeight="1">
      <c r="A23" s="17"/>
      <c r="B23" s="22">
        <f>'Oil supply projection'!$B23</f>
        <v>2032</v>
      </c>
      <c r="C23" s="157">
        <f ca="1"/>
        <v>6.1717695744339824</v>
      </c>
      <c r="D23" s="157">
        <f ca="1"/>
        <v>835.04113779115949</v>
      </c>
      <c r="E23" s="157">
        <f ca="1"/>
        <v>342.1848611501992</v>
      </c>
      <c r="F23" s="157">
        <f ca="1"/>
        <v>760.27964537072512</v>
      </c>
      <c r="G23" s="157">
        <f ca="1"/>
        <v>291.10400865316529</v>
      </c>
      <c r="H23" s="157">
        <f ca="1"/>
        <v>839.67554337747686</v>
      </c>
      <c r="I23" s="157">
        <f ca="1"/>
        <v>1017.7510882055427</v>
      </c>
      <c r="J23" s="157">
        <f ca="1"/>
        <v>36.695595131058973</v>
      </c>
      <c r="K23" s="157">
        <f ca="1"/>
        <v>6.9182849227419787</v>
      </c>
      <c r="L23" s="157">
        <f ca="1"/>
        <v>44.675487640518938</v>
      </c>
      <c r="M23" s="165">
        <f ca="1"/>
        <v>4180.4974218170228</v>
      </c>
    </row>
    <row r="24" spans="1:13" ht="15" customHeight="1">
      <c r="A24" s="17"/>
      <c r="B24" s="22">
        <f>'Oil supply projection'!$B24</f>
        <v>2033</v>
      </c>
      <c r="C24" s="157">
        <f ca="1"/>
        <v>6.1633369225135475</v>
      </c>
      <c r="D24" s="157">
        <f ca="1"/>
        <v>801.41530251590939</v>
      </c>
      <c r="E24" s="157">
        <f ca="1"/>
        <v>349.84401780443301</v>
      </c>
      <c r="F24" s="157">
        <f ca="1"/>
        <v>723.33403948978184</v>
      </c>
      <c r="G24" s="157">
        <f ca="1"/>
        <v>289.68276944005527</v>
      </c>
      <c r="H24" s="157">
        <f ca="1"/>
        <v>882.31177759389777</v>
      </c>
      <c r="I24" s="157">
        <f ca="1"/>
        <v>1066.0090228514209</v>
      </c>
      <c r="J24" s="157">
        <f ca="1"/>
        <v>37.142842717994078</v>
      </c>
      <c r="K24" s="157">
        <f ca="1"/>
        <v>5.6217126356480103</v>
      </c>
      <c r="L24" s="157">
        <f ca="1"/>
        <v>42.695473312649455</v>
      </c>
      <c r="M24" s="165">
        <f ca="1"/>
        <v>4204.2202952843036</v>
      </c>
    </row>
    <row r="25" spans="1:13" ht="15" customHeight="1">
      <c r="A25" s="17"/>
      <c r="B25" s="22">
        <f>'Oil supply projection'!$B25</f>
        <v>2034</v>
      </c>
      <c r="C25" s="157">
        <f ca="1"/>
        <v>6.113140908572074</v>
      </c>
      <c r="D25" s="157">
        <f ca="1"/>
        <v>773.24548733089853</v>
      </c>
      <c r="E25" s="157">
        <f ca="1"/>
        <v>340.11187885859874</v>
      </c>
      <c r="F25" s="157">
        <f ca="1"/>
        <v>713.4769695461149</v>
      </c>
      <c r="G25" s="157">
        <f ca="1"/>
        <v>289.37862281678946</v>
      </c>
      <c r="H25" s="157">
        <f ca="1"/>
        <v>921.42748722086412</v>
      </c>
      <c r="I25" s="157">
        <f ca="1"/>
        <v>1085.9275605200683</v>
      </c>
      <c r="J25" s="157">
        <f ca="1"/>
        <v>52.592252195433801</v>
      </c>
      <c r="K25" s="157">
        <f ca="1"/>
        <v>4.3023530479057142</v>
      </c>
      <c r="L25" s="157">
        <f ca="1"/>
        <v>44.018203514225398</v>
      </c>
      <c r="M25" s="165">
        <f ca="1"/>
        <v>4230.5939559594708</v>
      </c>
    </row>
    <row r="26" spans="1:13" ht="15" customHeight="1">
      <c r="A26" s="17"/>
      <c r="B26" s="22">
        <f>'Oil supply projection'!$B26</f>
        <v>2035</v>
      </c>
      <c r="C26" s="157">
        <f ca="1"/>
        <v>6.0860305583841718</v>
      </c>
      <c r="D26" s="157">
        <f ca="1"/>
        <v>766.52476283132887</v>
      </c>
      <c r="E26" s="157">
        <f ca="1"/>
        <v>337.73280061463549</v>
      </c>
      <c r="F26" s="157">
        <f ca="1"/>
        <v>697.5423975969527</v>
      </c>
      <c r="G26" s="157">
        <f ca="1"/>
        <v>290.44037549492811</v>
      </c>
      <c r="H26" s="157">
        <f ca="1"/>
        <v>948.86540741372994</v>
      </c>
      <c r="I26" s="157">
        <f ca="1"/>
        <v>1091.8941030718195</v>
      </c>
      <c r="J26" s="157">
        <f ca="1"/>
        <v>77.986622854866368</v>
      </c>
      <c r="K26" s="157">
        <f ca="1"/>
        <v>2.8163450706489965</v>
      </c>
      <c r="L26" s="157">
        <f ca="1"/>
        <v>43.268623293740269</v>
      </c>
      <c r="M26" s="165">
        <f ca="1"/>
        <v>4263.1574688010342</v>
      </c>
    </row>
    <row r="27" spans="1:13" ht="15" customHeight="1">
      <c r="A27" s="17"/>
      <c r="B27" s="22">
        <f>'Oil supply projection'!$B27</f>
        <v>2036</v>
      </c>
      <c r="C27" s="157">
        <f ca="1"/>
        <v>5.9661909221296803</v>
      </c>
      <c r="D27" s="157">
        <f ca="1"/>
        <v>764.89650291642749</v>
      </c>
      <c r="E27" s="157">
        <f ca="1"/>
        <v>329.04233296643332</v>
      </c>
      <c r="F27" s="157">
        <f ca="1"/>
        <v>692.59390301278472</v>
      </c>
      <c r="G27" s="157">
        <f ca="1"/>
        <v>289.89855648276642</v>
      </c>
      <c r="H27" s="157">
        <f ca="1"/>
        <v>979.91980697467977</v>
      </c>
      <c r="I27" s="157">
        <f ca="1"/>
        <v>1095.6523364273426</v>
      </c>
      <c r="J27" s="157">
        <f ca="1"/>
        <v>89.196042556523537</v>
      </c>
      <c r="K27" s="157">
        <f ca="1"/>
        <v>0.76533681205568427</v>
      </c>
      <c r="L27" s="157">
        <f ca="1"/>
        <v>42.771229680256546</v>
      </c>
      <c r="M27" s="165">
        <f ca="1"/>
        <v>4290.7022387513998</v>
      </c>
    </row>
    <row r="28" spans="1:13" ht="15" customHeight="1">
      <c r="A28" s="19"/>
      <c r="B28" s="22">
        <f>'Oil supply projection'!$B28</f>
        <v>2037</v>
      </c>
      <c r="C28" s="157">
        <f ca="1"/>
        <v>5.7850051111057788</v>
      </c>
      <c r="D28" s="157">
        <f ca="1"/>
        <v>777.93606791709465</v>
      </c>
      <c r="E28" s="157">
        <f ca="1"/>
        <v>317.14297059771371</v>
      </c>
      <c r="F28" s="157">
        <f ca="1"/>
        <v>690.27443413402182</v>
      </c>
      <c r="G28" s="157">
        <f ca="1"/>
        <v>289.65602350874889</v>
      </c>
      <c r="H28" s="157">
        <f ca="1"/>
        <v>1009.8448675161605</v>
      </c>
      <c r="I28" s="157">
        <f ca="1"/>
        <v>1098.3167261010649</v>
      </c>
      <c r="J28" s="157">
        <f ca="1"/>
        <v>88.550787362917617</v>
      </c>
      <c r="K28" s="157">
        <f ca="1"/>
        <v>-1.3922462644862081</v>
      </c>
      <c r="L28" s="157">
        <f ca="1"/>
        <v>42.353784737786384</v>
      </c>
      <c r="M28" s="165">
        <f ca="1"/>
        <v>4318.4684207221289</v>
      </c>
    </row>
    <row r="29" spans="1:13" ht="15" customHeight="1">
      <c r="A29" s="17"/>
      <c r="B29" s="22">
        <f>'Oil supply projection'!$B29</f>
        <v>2038</v>
      </c>
      <c r="C29" s="157">
        <f ca="1"/>
        <v>5.5027005577000239</v>
      </c>
      <c r="D29" s="157">
        <f ca="1"/>
        <v>795.73506814292534</v>
      </c>
      <c r="E29" s="157">
        <f ca="1"/>
        <v>303.00784480210422</v>
      </c>
      <c r="F29" s="157">
        <f ca="1"/>
        <v>678.76594183373038</v>
      </c>
      <c r="G29" s="157">
        <f ca="1"/>
        <v>289.10526311747486</v>
      </c>
      <c r="H29" s="157">
        <f ca="1"/>
        <v>1048.8283404946205</v>
      </c>
      <c r="I29" s="157">
        <f ca="1"/>
        <v>1099.3158198106844</v>
      </c>
      <c r="J29" s="157">
        <f ca="1"/>
        <v>86.671767834741701</v>
      </c>
      <c r="K29" s="157">
        <f ca="1"/>
        <v>-3.883506515498004</v>
      </c>
      <c r="L29" s="157">
        <f ca="1"/>
        <v>43.742010004622507</v>
      </c>
      <c r="M29" s="165">
        <f ca="1"/>
        <v>4346.7912500831053</v>
      </c>
    </row>
    <row r="30" spans="1:13" ht="15" customHeight="1">
      <c r="A30" s="17"/>
      <c r="B30" s="22">
        <f>'Oil supply projection'!$B30</f>
        <v>2039</v>
      </c>
      <c r="C30" s="157">
        <f ca="1"/>
        <v>5.3731133533461106</v>
      </c>
      <c r="D30" s="157">
        <f ca="1"/>
        <v>799.2862650666201</v>
      </c>
      <c r="E30" s="157">
        <f ca="1"/>
        <v>291.60762699863199</v>
      </c>
      <c r="F30" s="157">
        <f ca="1"/>
        <v>678.30594312663493</v>
      </c>
      <c r="G30" s="157">
        <f ca="1"/>
        <v>288.3551036387197</v>
      </c>
      <c r="H30" s="157">
        <f ca="1"/>
        <v>1080.69316660446</v>
      </c>
      <c r="I30" s="157">
        <f ca="1"/>
        <v>1101.0439432171124</v>
      </c>
      <c r="J30" s="157">
        <f ca="1"/>
        <v>87.305145014115112</v>
      </c>
      <c r="K30" s="157">
        <f ca="1"/>
        <v>-6.3132355803418321</v>
      </c>
      <c r="L30" s="157">
        <f ca="1"/>
        <v>44.083255985213476</v>
      </c>
      <c r="M30" s="165">
        <f ca="1"/>
        <v>4369.7403274245116</v>
      </c>
    </row>
    <row r="31" spans="1:13" ht="15" customHeight="1">
      <c r="A31" s="17"/>
      <c r="B31" s="22">
        <f>'Oil supply projection'!$B31</f>
        <v>2040</v>
      </c>
      <c r="C31" s="157">
        <f ca="1"/>
        <v>5.2796541075971826</v>
      </c>
      <c r="D31" s="157">
        <f ca="1"/>
        <v>815.80467096525263</v>
      </c>
      <c r="E31" s="157">
        <f ca="1"/>
        <v>286.91449414388649</v>
      </c>
      <c r="F31" s="157">
        <f ca="1"/>
        <v>658.95884906433639</v>
      </c>
      <c r="G31" s="157">
        <f ca="1"/>
        <v>287.27077678727449</v>
      </c>
      <c r="H31" s="157">
        <f ca="1"/>
        <v>1116.9668737596096</v>
      </c>
      <c r="I31" s="157">
        <f ca="1"/>
        <v>1102.6519742008438</v>
      </c>
      <c r="J31" s="157">
        <f ca="1"/>
        <v>85.858079272668789</v>
      </c>
      <c r="K31" s="157">
        <f ca="1"/>
        <v>-8.832858438530101</v>
      </c>
      <c r="L31" s="157">
        <f ca="1"/>
        <v>44.559541417172227</v>
      </c>
      <c r="M31" s="165">
        <f ca="1"/>
        <v>4395.4320552801119</v>
      </c>
    </row>
    <row r="32" spans="1:13" ht="15" customHeight="1">
      <c r="A32" s="17"/>
      <c r="B32" s="22">
        <f>'Oil supply projection'!$B32</f>
        <v>2041</v>
      </c>
      <c r="C32" s="157">
        <f ca="1"/>
        <v>5.0097613927601872</v>
      </c>
      <c r="D32" s="157">
        <f ca="1"/>
        <v>820.83110826940106</v>
      </c>
      <c r="E32" s="157">
        <f ca="1"/>
        <v>289.4581759323284</v>
      </c>
      <c r="F32" s="157">
        <f ca="1"/>
        <v>658.99616170485228</v>
      </c>
      <c r="G32" s="157">
        <f ca="1"/>
        <v>286.36308507923758</v>
      </c>
      <c r="H32" s="157">
        <f ca="1"/>
        <v>1141.8925978840493</v>
      </c>
      <c r="I32" s="157">
        <f ca="1"/>
        <v>1105.7418048273946</v>
      </c>
      <c r="J32" s="157">
        <f ca="1"/>
        <v>86.556222384026754</v>
      </c>
      <c r="K32" s="157">
        <f ca="1"/>
        <v>-11.16957927042651</v>
      </c>
      <c r="L32" s="157">
        <f ca="1"/>
        <v>43.143217597925094</v>
      </c>
      <c r="M32" s="165">
        <f ca="1"/>
        <v>4426.8225558015492</v>
      </c>
    </row>
    <row r="33" spans="1:13" ht="15" customHeight="1">
      <c r="A33" s="17"/>
      <c r="B33" s="22">
        <f>'Oil supply projection'!$B33</f>
        <v>2042</v>
      </c>
      <c r="C33" s="157">
        <f ca="1"/>
        <v>4.7057884884406711</v>
      </c>
      <c r="D33" s="157">
        <f ca="1"/>
        <v>825.60472067070452</v>
      </c>
      <c r="E33" s="157">
        <f ca="1"/>
        <v>288.8600239113951</v>
      </c>
      <c r="F33" s="157">
        <f ca="1"/>
        <v>658.994164071814</v>
      </c>
      <c r="G33" s="157">
        <f ca="1"/>
        <v>286.65512771483338</v>
      </c>
      <c r="H33" s="157">
        <f ca="1"/>
        <v>1173.2928133943847</v>
      </c>
      <c r="I33" s="157">
        <f ca="1"/>
        <v>1106.992676434304</v>
      </c>
      <c r="J33" s="157">
        <f ca="1"/>
        <v>86.190355019915586</v>
      </c>
      <c r="K33" s="157">
        <f ca="1"/>
        <v>-12.583696984878513</v>
      </c>
      <c r="L33" s="157">
        <f ca="1"/>
        <v>42.631381913420149</v>
      </c>
      <c r="M33" s="165">
        <f ca="1"/>
        <v>4461.3433546343331</v>
      </c>
    </row>
    <row r="34" spans="1:13" ht="15" customHeight="1">
      <c r="A34" s="17"/>
      <c r="B34" s="22">
        <f>'Oil supply projection'!$B34</f>
        <v>2043</v>
      </c>
      <c r="C34" s="157">
        <f ca="1"/>
        <v>4.3581786068030244</v>
      </c>
      <c r="D34" s="157">
        <f ca="1"/>
        <v>839.04735751419025</v>
      </c>
      <c r="E34" s="157">
        <f ca="1"/>
        <v>284.04337173400228</v>
      </c>
      <c r="F34" s="157">
        <f ca="1"/>
        <v>658.99265557828198</v>
      </c>
      <c r="G34" s="157">
        <f ca="1"/>
        <v>286.80526477226073</v>
      </c>
      <c r="H34" s="157">
        <f ca="1"/>
        <v>1201.7362937725504</v>
      </c>
      <c r="I34" s="157">
        <f ca="1"/>
        <v>1110.6924248780958</v>
      </c>
      <c r="J34" s="157">
        <f ca="1"/>
        <v>86.359217290217245</v>
      </c>
      <c r="K34" s="157">
        <f ca="1"/>
        <v>-13.955696305310164</v>
      </c>
      <c r="L34" s="157">
        <f ca="1"/>
        <v>42.804510593786404</v>
      </c>
      <c r="M34" s="165">
        <f ca="1"/>
        <v>4500.8835784348785</v>
      </c>
    </row>
    <row r="35" spans="1:13" ht="15" customHeight="1">
      <c r="A35" s="17"/>
      <c r="B35" s="22">
        <f>'Oil supply projection'!$B35</f>
        <v>2044</v>
      </c>
      <c r="C35" s="157">
        <f ca="1"/>
        <v>4.0199974648977577</v>
      </c>
      <c r="D35" s="157">
        <f ca="1"/>
        <v>840.50665959499577</v>
      </c>
      <c r="E35" s="157">
        <f ca="1"/>
        <v>279.06031738208156</v>
      </c>
      <c r="F35" s="157">
        <f ca="1"/>
        <v>658.10210707061549</v>
      </c>
      <c r="G35" s="157">
        <f ca="1"/>
        <v>286.49565618563571</v>
      </c>
      <c r="H35" s="157">
        <f ca="1"/>
        <v>1238.0771470901657</v>
      </c>
      <c r="I35" s="157">
        <f ca="1"/>
        <v>1115.9007508847174</v>
      </c>
      <c r="J35" s="157">
        <f ca="1"/>
        <v>86.801973609601731</v>
      </c>
      <c r="K35" s="157">
        <f ca="1"/>
        <v>-15.435964248352111</v>
      </c>
      <c r="L35" s="157">
        <f ca="1"/>
        <v>43.311657166827331</v>
      </c>
      <c r="M35" s="165">
        <f ca="1"/>
        <v>4536.8403022011862</v>
      </c>
    </row>
    <row r="36" spans="1:13" ht="15" customHeight="1">
      <c r="A36" s="17"/>
      <c r="B36" s="22">
        <f>'Oil supply projection'!$B36</f>
        <v>2045</v>
      </c>
      <c r="C36" s="157" t="e">
        <f ca="1"/>
        <v>#DIV/0!</v>
      </c>
      <c r="D36" s="157" t="e">
        <f ca="1"/>
        <v>#DIV/0!</v>
      </c>
      <c r="E36" s="157" t="e">
        <f ca="1"/>
        <v>#DIV/0!</v>
      </c>
      <c r="F36" s="157">
        <f ca="1"/>
        <v>0</v>
      </c>
      <c r="G36" s="157">
        <f ca="1"/>
        <v>0</v>
      </c>
      <c r="H36" s="157">
        <f ca="1"/>
        <v>0</v>
      </c>
      <c r="I36" s="157">
        <f ca="1"/>
        <v>0</v>
      </c>
      <c r="J36" s="157">
        <f ca="1"/>
        <v>0</v>
      </c>
      <c r="K36" s="157">
        <f ca="1"/>
        <v>0</v>
      </c>
      <c r="L36" s="157">
        <f ca="1"/>
        <v>0</v>
      </c>
      <c r="M36" s="165" t="e">
        <f ca="1"/>
        <v>#DIV/0!</v>
      </c>
    </row>
    <row r="37" spans="1:13" ht="15" customHeight="1">
      <c r="A37" s="17"/>
      <c r="B37" s="22">
        <f>'Oil supply projection'!$B37</f>
        <v>2046</v>
      </c>
      <c r="C37" s="157" t="e">
        <f ca="1"/>
        <v>#DIV/0!</v>
      </c>
      <c r="D37" s="157" t="e">
        <f ca="1"/>
        <v>#DIV/0!</v>
      </c>
      <c r="E37" s="157" t="e">
        <f ca="1"/>
        <v>#DIV/0!</v>
      </c>
      <c r="F37" s="157">
        <f ca="1"/>
        <v>0</v>
      </c>
      <c r="G37" s="157">
        <f ca="1"/>
        <v>0</v>
      </c>
      <c r="H37" s="157">
        <f ca="1"/>
        <v>0</v>
      </c>
      <c r="I37" s="157">
        <f ca="1"/>
        <v>0</v>
      </c>
      <c r="J37" s="157">
        <f ca="1"/>
        <v>0</v>
      </c>
      <c r="K37" s="157">
        <f ca="1"/>
        <v>0</v>
      </c>
      <c r="L37" s="157">
        <f ca="1"/>
        <v>0</v>
      </c>
      <c r="M37" s="165" t="e">
        <f ca="1"/>
        <v>#DIV/0!</v>
      </c>
    </row>
    <row r="38" spans="1:13" ht="15" customHeight="1">
      <c r="A38" s="17"/>
      <c r="B38" s="22">
        <f>'Oil supply projection'!$B38</f>
        <v>2047</v>
      </c>
      <c r="C38" s="157" t="e">
        <f ca="1"/>
        <v>#DIV/0!</v>
      </c>
      <c r="D38" s="157" t="e">
        <f ca="1"/>
        <v>#DIV/0!</v>
      </c>
      <c r="E38" s="157" t="e">
        <f ca="1"/>
        <v>#DIV/0!</v>
      </c>
      <c r="F38" s="157">
        <f ca="1"/>
        <v>0</v>
      </c>
      <c r="G38" s="157">
        <f ca="1"/>
        <v>0</v>
      </c>
      <c r="H38" s="157">
        <f ca="1"/>
        <v>0</v>
      </c>
      <c r="I38" s="157">
        <f ca="1"/>
        <v>0</v>
      </c>
      <c r="J38" s="157">
        <f ca="1"/>
        <v>0</v>
      </c>
      <c r="K38" s="157">
        <f ca="1"/>
        <v>0</v>
      </c>
      <c r="L38" s="157">
        <f ca="1"/>
        <v>0</v>
      </c>
      <c r="M38" s="165" t="e">
        <f ca="1"/>
        <v>#DIV/0!</v>
      </c>
    </row>
    <row r="39" spans="1:13" ht="15" customHeight="1">
      <c r="A39" s="19"/>
      <c r="B39" s="22">
        <f>'Oil supply projection'!$B39</f>
        <v>2048</v>
      </c>
      <c r="C39" s="157" t="e">
        <f ca="1"/>
        <v>#DIV/0!</v>
      </c>
      <c r="D39" s="157" t="e">
        <f ca="1"/>
        <v>#DIV/0!</v>
      </c>
      <c r="E39" s="157" t="e">
        <f ca="1"/>
        <v>#DIV/0!</v>
      </c>
      <c r="F39" s="157">
        <f ca="1"/>
        <v>0</v>
      </c>
      <c r="G39" s="157">
        <f ca="1"/>
        <v>0</v>
      </c>
      <c r="H39" s="157">
        <f ca="1"/>
        <v>0</v>
      </c>
      <c r="I39" s="157">
        <f ca="1"/>
        <v>0</v>
      </c>
      <c r="J39" s="157">
        <f ca="1"/>
        <v>0</v>
      </c>
      <c r="K39" s="157">
        <f ca="1"/>
        <v>0</v>
      </c>
      <c r="L39" s="157">
        <f ca="1"/>
        <v>0</v>
      </c>
      <c r="M39" s="165" t="e">
        <f ca="1"/>
        <v>#DIV/0!</v>
      </c>
    </row>
    <row r="40" spans="1:13" ht="15" customHeight="1">
      <c r="A40" s="17"/>
      <c r="B40" s="22">
        <f>'Oil supply projection'!$B40</f>
        <v>2049</v>
      </c>
      <c r="C40" s="157" t="e">
        <f ca="1"/>
        <v>#DIV/0!</v>
      </c>
      <c r="D40" s="157" t="e">
        <f ca="1"/>
        <v>#DIV/0!</v>
      </c>
      <c r="E40" s="157" t="e">
        <f ca="1"/>
        <v>#DIV/0!</v>
      </c>
      <c r="F40" s="157">
        <f ca="1"/>
        <v>0</v>
      </c>
      <c r="G40" s="157">
        <f ca="1"/>
        <v>0</v>
      </c>
      <c r="H40" s="157">
        <f ca="1"/>
        <v>0</v>
      </c>
      <c r="I40" s="157">
        <f ca="1"/>
        <v>0</v>
      </c>
      <c r="J40" s="157">
        <f ca="1"/>
        <v>0</v>
      </c>
      <c r="K40" s="157">
        <f ca="1"/>
        <v>0</v>
      </c>
      <c r="L40" s="157">
        <f ca="1"/>
        <v>0</v>
      </c>
      <c r="M40" s="165" t="e">
        <f ca="1"/>
        <v>#DIV/0!</v>
      </c>
    </row>
    <row r="41" spans="1:13" ht="15" customHeight="1">
      <c r="A41" s="17"/>
      <c r="B41" s="22">
        <f>'Oil supply projection'!$B41</f>
        <v>2050</v>
      </c>
      <c r="C41" s="157" t="e">
        <f ca="1"/>
        <v>#DIV/0!</v>
      </c>
      <c r="D41" s="157" t="e">
        <f ca="1"/>
        <v>#DIV/0!</v>
      </c>
      <c r="E41" s="157" t="e">
        <f ca="1"/>
        <v>#DIV/0!</v>
      </c>
      <c r="F41" s="157">
        <f ca="1"/>
        <v>0</v>
      </c>
      <c r="G41" s="157">
        <f ca="1"/>
        <v>0</v>
      </c>
      <c r="H41" s="157">
        <f ca="1"/>
        <v>0</v>
      </c>
      <c r="I41" s="157">
        <f ca="1"/>
        <v>0</v>
      </c>
      <c r="J41" s="157">
        <f ca="1"/>
        <v>0</v>
      </c>
      <c r="K41" s="157">
        <f ca="1"/>
        <v>0</v>
      </c>
      <c r="L41" s="157">
        <f ca="1"/>
        <v>0</v>
      </c>
      <c r="M41" s="165" t="e">
        <f ca="1"/>
        <v>#DIV/0!</v>
      </c>
    </row>
    <row r="42" spans="1:13" ht="15" customHeight="1">
      <c r="A42" s="17"/>
      <c r="B42" s="22">
        <f>'Oil supply projection'!$B42</f>
        <v>2051</v>
      </c>
      <c r="C42" s="157" t="e">
        <f ca="1"/>
        <v>#DIV/0!</v>
      </c>
      <c r="D42" s="157" t="e">
        <f ca="1"/>
        <v>#DIV/0!</v>
      </c>
      <c r="E42" s="157" t="e">
        <f ca="1"/>
        <v>#DIV/0!</v>
      </c>
      <c r="F42" s="157">
        <f ca="1"/>
        <v>0</v>
      </c>
      <c r="G42" s="157">
        <f ca="1"/>
        <v>0</v>
      </c>
      <c r="H42" s="157">
        <f ca="1"/>
        <v>0</v>
      </c>
      <c r="I42" s="157">
        <f ca="1"/>
        <v>0</v>
      </c>
      <c r="J42" s="157">
        <f ca="1"/>
        <v>0</v>
      </c>
      <c r="K42" s="157">
        <f ca="1"/>
        <v>0</v>
      </c>
      <c r="L42" s="157">
        <f ca="1"/>
        <v>0</v>
      </c>
      <c r="M42" s="165" t="e">
        <f ca="1"/>
        <v>#DIV/0!</v>
      </c>
    </row>
    <row r="43" spans="1:13" ht="15" customHeight="1">
      <c r="A43" s="17"/>
      <c r="B43" s="22">
        <f>'Oil supply projection'!$B43</f>
        <v>2052</v>
      </c>
      <c r="C43" s="157" t="e">
        <f ca="1"/>
        <v>#DIV/0!</v>
      </c>
      <c r="D43" s="157" t="e">
        <f ca="1"/>
        <v>#DIV/0!</v>
      </c>
      <c r="E43" s="157" t="e">
        <f ca="1"/>
        <v>#DIV/0!</v>
      </c>
      <c r="F43" s="157">
        <f ca="1"/>
        <v>0</v>
      </c>
      <c r="G43" s="157">
        <f ca="1"/>
        <v>0</v>
      </c>
      <c r="H43" s="157">
        <f ca="1"/>
        <v>0</v>
      </c>
      <c r="I43" s="157">
        <f ca="1"/>
        <v>0</v>
      </c>
      <c r="J43" s="157">
        <f ca="1"/>
        <v>0</v>
      </c>
      <c r="K43" s="157">
        <f ca="1"/>
        <v>0</v>
      </c>
      <c r="L43" s="157">
        <f ca="1"/>
        <v>0</v>
      </c>
      <c r="M43" s="165" t="e">
        <f ca="1"/>
        <v>#DIV/0!</v>
      </c>
    </row>
    <row r="44" spans="1:13" ht="15" customHeight="1">
      <c r="A44" s="17"/>
      <c r="B44" s="22">
        <f>'Oil supply projection'!$B44</f>
        <v>2053</v>
      </c>
      <c r="C44" s="157" t="e">
        <f ca="1"/>
        <v>#DIV/0!</v>
      </c>
      <c r="D44" s="157" t="e">
        <f ca="1"/>
        <v>#DIV/0!</v>
      </c>
      <c r="E44" s="157" t="e">
        <f ca="1"/>
        <v>#DIV/0!</v>
      </c>
      <c r="F44" s="157">
        <f ca="1"/>
        <v>0</v>
      </c>
      <c r="G44" s="157">
        <f ca="1"/>
        <v>0</v>
      </c>
      <c r="H44" s="157">
        <f ca="1"/>
        <v>0</v>
      </c>
      <c r="I44" s="157">
        <f ca="1"/>
        <v>0</v>
      </c>
      <c r="J44" s="157">
        <f ca="1"/>
        <v>0</v>
      </c>
      <c r="K44" s="157">
        <f ca="1"/>
        <v>0</v>
      </c>
      <c r="L44" s="157">
        <f ca="1"/>
        <v>0</v>
      </c>
      <c r="M44" s="165" t="e">
        <f ca="1"/>
        <v>#DIV/0!</v>
      </c>
    </row>
    <row r="45" spans="1:13" ht="15" customHeight="1">
      <c r="A45" s="17"/>
      <c r="B45" s="22">
        <f>'Oil supply projection'!$B45</f>
        <v>2054</v>
      </c>
      <c r="C45" s="157" t="e">
        <f ca="1"/>
        <v>#DIV/0!</v>
      </c>
      <c r="D45" s="157" t="e">
        <f ca="1"/>
        <v>#DIV/0!</v>
      </c>
      <c r="E45" s="157" t="e">
        <f ca="1"/>
        <v>#DIV/0!</v>
      </c>
      <c r="F45" s="157">
        <f ca="1"/>
        <v>0</v>
      </c>
      <c r="G45" s="157">
        <f ca="1"/>
        <v>0</v>
      </c>
      <c r="H45" s="157">
        <f ca="1"/>
        <v>0</v>
      </c>
      <c r="I45" s="157">
        <f ca="1"/>
        <v>0</v>
      </c>
      <c r="J45" s="157">
        <f ca="1"/>
        <v>0</v>
      </c>
      <c r="K45" s="157">
        <f ca="1"/>
        <v>0</v>
      </c>
      <c r="L45" s="157">
        <f ca="1"/>
        <v>0</v>
      </c>
      <c r="M45" s="165" t="e">
        <f ca="1"/>
        <v>#DIV/0!</v>
      </c>
    </row>
    <row r="46" spans="1:13" ht="15" customHeight="1">
      <c r="A46" s="17"/>
      <c r="B46" s="22">
        <f>'Oil supply projection'!$B46</f>
        <v>2055</v>
      </c>
      <c r="C46" s="157" t="e">
        <f ca="1"/>
        <v>#DIV/0!</v>
      </c>
      <c r="D46" s="157" t="e">
        <f ca="1"/>
        <v>#DIV/0!</v>
      </c>
      <c r="E46" s="157" t="e">
        <f ca="1"/>
        <v>#DIV/0!</v>
      </c>
      <c r="F46" s="157">
        <f ca="1"/>
        <v>0</v>
      </c>
      <c r="G46" s="157">
        <f ca="1"/>
        <v>0</v>
      </c>
      <c r="H46" s="157">
        <f ca="1"/>
        <v>0</v>
      </c>
      <c r="I46" s="157">
        <f ca="1"/>
        <v>0</v>
      </c>
      <c r="J46" s="157">
        <f ca="1"/>
        <v>0</v>
      </c>
      <c r="K46" s="157">
        <f ca="1"/>
        <v>0</v>
      </c>
      <c r="L46" s="157">
        <f ca="1"/>
        <v>0</v>
      </c>
      <c r="M46" s="165" t="e">
        <f ca="1"/>
        <v>#DIV/0!</v>
      </c>
    </row>
    <row r="47" spans="1:13" ht="15" customHeight="1">
      <c r="A47" s="17"/>
      <c r="B47" s="22">
        <f>'Oil supply projection'!$B47</f>
        <v>2056</v>
      </c>
      <c r="C47" s="157" t="e">
        <f ca="1"/>
        <v>#DIV/0!</v>
      </c>
      <c r="D47" s="157" t="e">
        <f ca="1"/>
        <v>#DIV/0!</v>
      </c>
      <c r="E47" s="157" t="e">
        <f ca="1"/>
        <v>#DIV/0!</v>
      </c>
      <c r="F47" s="157">
        <f ca="1"/>
        <v>0</v>
      </c>
      <c r="G47" s="157">
        <f ca="1"/>
        <v>0</v>
      </c>
      <c r="H47" s="157">
        <f ca="1"/>
        <v>0</v>
      </c>
      <c r="I47" s="157">
        <f ca="1"/>
        <v>0</v>
      </c>
      <c r="J47" s="157">
        <f ca="1"/>
        <v>0</v>
      </c>
      <c r="K47" s="157">
        <f ca="1"/>
        <v>0</v>
      </c>
      <c r="L47" s="157">
        <f ca="1"/>
        <v>0</v>
      </c>
      <c r="M47" s="165" t="e">
        <f ca="1"/>
        <v>#DIV/0!</v>
      </c>
    </row>
    <row r="48" spans="1:13" ht="15" customHeight="1">
      <c r="A48" s="17"/>
      <c r="B48" s="22">
        <f>'Oil supply projection'!$B48</f>
        <v>2057</v>
      </c>
      <c r="C48" s="157" t="e">
        <f ca="1"/>
        <v>#DIV/0!</v>
      </c>
      <c r="D48" s="157" t="e">
        <f ca="1"/>
        <v>#DIV/0!</v>
      </c>
      <c r="E48" s="157" t="e">
        <f ca="1"/>
        <v>#DIV/0!</v>
      </c>
      <c r="F48" s="157">
        <f ca="1"/>
        <v>0</v>
      </c>
      <c r="G48" s="157">
        <f ca="1"/>
        <v>0</v>
      </c>
      <c r="H48" s="157">
        <f ca="1"/>
        <v>0</v>
      </c>
      <c r="I48" s="157">
        <f ca="1"/>
        <v>0</v>
      </c>
      <c r="J48" s="157">
        <f ca="1"/>
        <v>0</v>
      </c>
      <c r="K48" s="157">
        <f ca="1"/>
        <v>0</v>
      </c>
      <c r="L48" s="157">
        <f ca="1"/>
        <v>0</v>
      </c>
      <c r="M48" s="165" t="e">
        <f ca="1"/>
        <v>#DIV/0!</v>
      </c>
    </row>
    <row r="49" spans="1:13" ht="15" customHeight="1">
      <c r="A49" s="17"/>
      <c r="B49" s="22">
        <f>'Oil supply projection'!$B49</f>
        <v>2058</v>
      </c>
      <c r="C49" s="157" t="e">
        <f ca="1"/>
        <v>#DIV/0!</v>
      </c>
      <c r="D49" s="157" t="e">
        <f ca="1"/>
        <v>#DIV/0!</v>
      </c>
      <c r="E49" s="157" t="e">
        <f ca="1"/>
        <v>#DIV/0!</v>
      </c>
      <c r="F49" s="157">
        <f ca="1"/>
        <v>0</v>
      </c>
      <c r="G49" s="157">
        <f ca="1"/>
        <v>0</v>
      </c>
      <c r="H49" s="157">
        <f ca="1"/>
        <v>0</v>
      </c>
      <c r="I49" s="157">
        <f ca="1"/>
        <v>0</v>
      </c>
      <c r="J49" s="157">
        <f ca="1"/>
        <v>0</v>
      </c>
      <c r="K49" s="157">
        <f ca="1"/>
        <v>0</v>
      </c>
      <c r="L49" s="157">
        <f ca="1"/>
        <v>0</v>
      </c>
      <c r="M49" s="165" t="e">
        <f ca="1"/>
        <v>#DIV/0!</v>
      </c>
    </row>
    <row r="50" spans="1:13" ht="15" customHeight="1">
      <c r="A50" s="17"/>
      <c r="B50" s="22">
        <f>'Oil supply projection'!$B50</f>
        <v>2059</v>
      </c>
      <c r="C50" s="157" t="e">
        <f ca="1"/>
        <v>#DIV/0!</v>
      </c>
      <c r="D50" s="157" t="e">
        <f ca="1"/>
        <v>#DIV/0!</v>
      </c>
      <c r="E50" s="157" t="e">
        <f ca="1"/>
        <v>#DIV/0!</v>
      </c>
      <c r="F50" s="157">
        <f ca="1"/>
        <v>0</v>
      </c>
      <c r="G50" s="157">
        <f ca="1"/>
        <v>0</v>
      </c>
      <c r="H50" s="157">
        <f ca="1"/>
        <v>0</v>
      </c>
      <c r="I50" s="157">
        <f ca="1"/>
        <v>0</v>
      </c>
      <c r="J50" s="157">
        <f ca="1"/>
        <v>0</v>
      </c>
      <c r="K50" s="157">
        <f ca="1"/>
        <v>0</v>
      </c>
      <c r="L50" s="157">
        <f ca="1"/>
        <v>0</v>
      </c>
      <c r="M50" s="165" t="e">
        <f ca="1"/>
        <v>#DIV/0!</v>
      </c>
    </row>
    <row r="51" spans="1:13" ht="15" customHeight="1">
      <c r="A51" s="17"/>
      <c r="B51" s="22">
        <f>'Oil supply projection'!$B51</f>
        <v>2060</v>
      </c>
      <c r="C51" s="157" t="e">
        <f ca="1"/>
        <v>#DIV/0!</v>
      </c>
      <c r="D51" s="157" t="e">
        <f ca="1"/>
        <v>#DIV/0!</v>
      </c>
      <c r="E51" s="157" t="e">
        <f ca="1"/>
        <v>#DIV/0!</v>
      </c>
      <c r="F51" s="157">
        <f ca="1"/>
        <v>0</v>
      </c>
      <c r="G51" s="157">
        <f ca="1"/>
        <v>0</v>
      </c>
      <c r="H51" s="157">
        <f ca="1"/>
        <v>0</v>
      </c>
      <c r="I51" s="157">
        <f ca="1"/>
        <v>0</v>
      </c>
      <c r="J51" s="157">
        <f ca="1"/>
        <v>0</v>
      </c>
      <c r="K51" s="157">
        <f ca="1"/>
        <v>0</v>
      </c>
      <c r="L51" s="157">
        <f ca="1"/>
        <v>0</v>
      </c>
      <c r="M51" s="165" t="e">
        <f ca="1"/>
        <v>#DIV/0!</v>
      </c>
    </row>
    <row r="52" spans="1:13" ht="15" customHeight="1">
      <c r="A52" s="17"/>
      <c r="B52" s="22">
        <f>'Oil supply projection'!$B52</f>
        <v>2061</v>
      </c>
      <c r="C52" s="157" t="e">
        <f ca="1"/>
        <v>#DIV/0!</v>
      </c>
      <c r="D52" s="157" t="e">
        <f ca="1"/>
        <v>#DIV/0!</v>
      </c>
      <c r="E52" s="157" t="e">
        <f ca="1"/>
        <v>#DIV/0!</v>
      </c>
      <c r="F52" s="157">
        <f ca="1"/>
        <v>0</v>
      </c>
      <c r="G52" s="157">
        <f ca="1"/>
        <v>0</v>
      </c>
      <c r="H52" s="157">
        <f ca="1"/>
        <v>0</v>
      </c>
      <c r="I52" s="157">
        <f ca="1"/>
        <v>0</v>
      </c>
      <c r="J52" s="157">
        <f ca="1"/>
        <v>0</v>
      </c>
      <c r="K52" s="157">
        <f ca="1"/>
        <v>0</v>
      </c>
      <c r="L52" s="157">
        <f ca="1"/>
        <v>0</v>
      </c>
      <c r="M52" s="165" t="e">
        <f ca="1"/>
        <v>#DIV/0!</v>
      </c>
    </row>
    <row r="53" spans="1:13" ht="15" customHeight="1">
      <c r="A53" s="16"/>
      <c r="B53" s="22">
        <f>'Oil supply projection'!$B53</f>
        <v>2062</v>
      </c>
      <c r="C53" s="157" t="e">
        <f ca="1"/>
        <v>#DIV/0!</v>
      </c>
      <c r="D53" s="157" t="e">
        <f ca="1"/>
        <v>#DIV/0!</v>
      </c>
      <c r="E53" s="157" t="e">
        <f ca="1"/>
        <v>#DIV/0!</v>
      </c>
      <c r="F53" s="157">
        <f ca="1"/>
        <v>0</v>
      </c>
      <c r="G53" s="157">
        <f ca="1"/>
        <v>0</v>
      </c>
      <c r="H53" s="157">
        <f ca="1"/>
        <v>0</v>
      </c>
      <c r="I53" s="157">
        <f ca="1"/>
        <v>0</v>
      </c>
      <c r="J53" s="157">
        <f ca="1"/>
        <v>0</v>
      </c>
      <c r="K53" s="157">
        <f ca="1"/>
        <v>0</v>
      </c>
      <c r="L53" s="157">
        <f ca="1"/>
        <v>0</v>
      </c>
      <c r="M53" s="165" t="e">
        <f ca="1"/>
        <v>#DIV/0!</v>
      </c>
    </row>
    <row r="54" spans="1:13" ht="15" customHeight="1">
      <c r="A54" s="16"/>
      <c r="B54" s="22">
        <f>'Oil supply projection'!$B54</f>
        <v>2063</v>
      </c>
      <c r="C54" s="157" t="e">
        <f ca="1"/>
        <v>#DIV/0!</v>
      </c>
      <c r="D54" s="157" t="e">
        <f ca="1"/>
        <v>#DIV/0!</v>
      </c>
      <c r="E54" s="157" t="e">
        <f ca="1"/>
        <v>#DIV/0!</v>
      </c>
      <c r="F54" s="157">
        <f ca="1"/>
        <v>0</v>
      </c>
      <c r="G54" s="157">
        <f ca="1"/>
        <v>0</v>
      </c>
      <c r="H54" s="157">
        <f ca="1"/>
        <v>0</v>
      </c>
      <c r="I54" s="157">
        <f ca="1"/>
        <v>0</v>
      </c>
      <c r="J54" s="157">
        <f ca="1"/>
        <v>0</v>
      </c>
      <c r="K54" s="157">
        <f ca="1"/>
        <v>0</v>
      </c>
      <c r="L54" s="157">
        <f ca="1"/>
        <v>0</v>
      </c>
      <c r="M54" s="165" t="e">
        <f ca="1"/>
        <v>#DIV/0!</v>
      </c>
    </row>
    <row r="55" spans="1:13" ht="15" customHeight="1">
      <c r="A55" s="16"/>
      <c r="B55" s="22">
        <f>'Oil supply projection'!$B55</f>
        <v>2064</v>
      </c>
      <c r="C55" s="157" t="e">
        <f ca="1"/>
        <v>#DIV/0!</v>
      </c>
      <c r="D55" s="157" t="e">
        <f ca="1"/>
        <v>#DIV/0!</v>
      </c>
      <c r="E55" s="157" t="e">
        <f ca="1"/>
        <v>#DIV/0!</v>
      </c>
      <c r="F55" s="157">
        <f ca="1"/>
        <v>0</v>
      </c>
      <c r="G55" s="157">
        <f ca="1"/>
        <v>0</v>
      </c>
      <c r="H55" s="157">
        <f ca="1"/>
        <v>0</v>
      </c>
      <c r="I55" s="157">
        <f ca="1"/>
        <v>0</v>
      </c>
      <c r="J55" s="157">
        <f ca="1"/>
        <v>0</v>
      </c>
      <c r="K55" s="157">
        <f ca="1"/>
        <v>0</v>
      </c>
      <c r="L55" s="157">
        <f ca="1"/>
        <v>0</v>
      </c>
      <c r="M55" s="165" t="e">
        <f ca="1"/>
        <v>#DIV/0!</v>
      </c>
    </row>
    <row r="56" spans="1:13" ht="15" customHeight="1">
      <c r="A56" s="16"/>
      <c r="B56" s="22">
        <f>'Oil supply projection'!$B56</f>
        <v>2065</v>
      </c>
      <c r="C56" s="157" t="e">
        <f ca="1"/>
        <v>#DIV/0!</v>
      </c>
      <c r="D56" s="157" t="e">
        <f ca="1"/>
        <v>#DIV/0!</v>
      </c>
      <c r="E56" s="157" t="e">
        <f ca="1"/>
        <v>#DIV/0!</v>
      </c>
      <c r="F56" s="157">
        <f ca="1"/>
        <v>0</v>
      </c>
      <c r="G56" s="157">
        <f ca="1"/>
        <v>0</v>
      </c>
      <c r="H56" s="157">
        <f ca="1"/>
        <v>0</v>
      </c>
      <c r="I56" s="157">
        <f ca="1"/>
        <v>0</v>
      </c>
      <c r="J56" s="157">
        <f ca="1"/>
        <v>0</v>
      </c>
      <c r="K56" s="157">
        <f ca="1"/>
        <v>0</v>
      </c>
      <c r="L56" s="157">
        <f ca="1"/>
        <v>0</v>
      </c>
      <c r="M56" s="165" t="e">
        <f ca="1"/>
        <v>#DIV/0!</v>
      </c>
    </row>
    <row r="57" spans="1:13" ht="15" customHeight="1">
      <c r="A57" s="16"/>
      <c r="B57" s="22">
        <f>'Oil supply projection'!$B57</f>
        <v>2066</v>
      </c>
      <c r="C57" s="157" t="e">
        <f ca="1"/>
        <v>#DIV/0!</v>
      </c>
      <c r="D57" s="157" t="e">
        <f ca="1"/>
        <v>#DIV/0!</v>
      </c>
      <c r="E57" s="157" t="e">
        <f ca="1"/>
        <v>#DIV/0!</v>
      </c>
      <c r="F57" s="157">
        <f ca="1"/>
        <v>0</v>
      </c>
      <c r="G57" s="157">
        <f ca="1"/>
        <v>0</v>
      </c>
      <c r="H57" s="157">
        <f ca="1"/>
        <v>0</v>
      </c>
      <c r="I57" s="157">
        <f ca="1"/>
        <v>0</v>
      </c>
      <c r="J57" s="157">
        <f ca="1"/>
        <v>0</v>
      </c>
      <c r="K57" s="157">
        <f ca="1"/>
        <v>0</v>
      </c>
      <c r="L57" s="157">
        <f ca="1"/>
        <v>0</v>
      </c>
      <c r="M57" s="165" t="e">
        <f ca="1"/>
        <v>#DIV/0!</v>
      </c>
    </row>
    <row r="58" spans="1:13" ht="15" customHeight="1">
      <c r="A58" s="16"/>
      <c r="B58" s="22">
        <f>'Oil supply projection'!$B58</f>
        <v>2067</v>
      </c>
      <c r="C58" s="157" t="e">
        <f ca="1"/>
        <v>#DIV/0!</v>
      </c>
      <c r="D58" s="157" t="e">
        <f ca="1"/>
        <v>#DIV/0!</v>
      </c>
      <c r="E58" s="157" t="e">
        <f ca="1"/>
        <v>#DIV/0!</v>
      </c>
      <c r="F58" s="157">
        <f ca="1"/>
        <v>0</v>
      </c>
      <c r="G58" s="157">
        <f ca="1"/>
        <v>0</v>
      </c>
      <c r="H58" s="157">
        <f ca="1"/>
        <v>0</v>
      </c>
      <c r="I58" s="157">
        <f ca="1"/>
        <v>0</v>
      </c>
      <c r="J58" s="157">
        <f ca="1"/>
        <v>0</v>
      </c>
      <c r="K58" s="157">
        <f ca="1"/>
        <v>0</v>
      </c>
      <c r="L58" s="157">
        <f ca="1"/>
        <v>0</v>
      </c>
      <c r="M58" s="165" t="e">
        <f ca="1"/>
        <v>#DIV/0!</v>
      </c>
    </row>
    <row r="59" spans="1:13" ht="15" customHeight="1">
      <c r="A59" s="16"/>
      <c r="B59" s="22">
        <f>'Oil supply projection'!$B59</f>
        <v>2068</v>
      </c>
      <c r="C59" s="157" t="e">
        <f ca="1"/>
        <v>#DIV/0!</v>
      </c>
      <c r="D59" s="157" t="e">
        <f ca="1"/>
        <v>#DIV/0!</v>
      </c>
      <c r="E59" s="157" t="e">
        <f ca="1"/>
        <v>#DIV/0!</v>
      </c>
      <c r="F59" s="157">
        <f ca="1"/>
        <v>0</v>
      </c>
      <c r="G59" s="157">
        <f ca="1"/>
        <v>0</v>
      </c>
      <c r="H59" s="157">
        <f ca="1"/>
        <v>0</v>
      </c>
      <c r="I59" s="157">
        <f ca="1"/>
        <v>0</v>
      </c>
      <c r="J59" s="157">
        <f ca="1"/>
        <v>0</v>
      </c>
      <c r="K59" s="157">
        <f ca="1"/>
        <v>0</v>
      </c>
      <c r="L59" s="157">
        <f ca="1"/>
        <v>0</v>
      </c>
      <c r="M59" s="165" t="e">
        <f ca="1"/>
        <v>#DIV/0!</v>
      </c>
    </row>
    <row r="60" spans="1:13" ht="15" customHeight="1">
      <c r="A60" s="16"/>
      <c r="B60" s="22">
        <f>'Oil supply projection'!$B60</f>
        <v>2069</v>
      </c>
      <c r="C60" s="157" t="e">
        <f ca="1"/>
        <v>#DIV/0!</v>
      </c>
      <c r="D60" s="157" t="e">
        <f ca="1"/>
        <v>#DIV/0!</v>
      </c>
      <c r="E60" s="157" t="e">
        <f ca="1"/>
        <v>#DIV/0!</v>
      </c>
      <c r="F60" s="157">
        <f ca="1"/>
        <v>0</v>
      </c>
      <c r="G60" s="157">
        <f ca="1"/>
        <v>0</v>
      </c>
      <c r="H60" s="157">
        <f ca="1"/>
        <v>0</v>
      </c>
      <c r="I60" s="157">
        <f ca="1"/>
        <v>0</v>
      </c>
      <c r="J60" s="157">
        <f ca="1"/>
        <v>0</v>
      </c>
      <c r="K60" s="157">
        <f ca="1"/>
        <v>0</v>
      </c>
      <c r="L60" s="157">
        <f ca="1"/>
        <v>0</v>
      </c>
      <c r="M60" s="165" t="e">
        <f ca="1"/>
        <v>#DIV/0!</v>
      </c>
    </row>
    <row r="61" spans="1:13" ht="15" customHeight="1">
      <c r="A61" s="16"/>
      <c r="B61" s="22">
        <f>'Oil supply projection'!$B61</f>
        <v>2070</v>
      </c>
      <c r="C61" s="157" t="e">
        <f ca="1"/>
        <v>#DIV/0!</v>
      </c>
      <c r="D61" s="157" t="e">
        <f ca="1"/>
        <v>#DIV/0!</v>
      </c>
      <c r="E61" s="157" t="e">
        <f ca="1"/>
        <v>#DIV/0!</v>
      </c>
      <c r="F61" s="157">
        <f ca="1"/>
        <v>0</v>
      </c>
      <c r="G61" s="157">
        <f ca="1"/>
        <v>0</v>
      </c>
      <c r="H61" s="157">
        <f ca="1"/>
        <v>0</v>
      </c>
      <c r="I61" s="157">
        <f ca="1"/>
        <v>0</v>
      </c>
      <c r="J61" s="157">
        <f ca="1"/>
        <v>0</v>
      </c>
      <c r="K61" s="157">
        <f ca="1"/>
        <v>0</v>
      </c>
      <c r="L61" s="157">
        <f ca="1"/>
        <v>0</v>
      </c>
      <c r="M61" s="165" t="e">
        <f ca="1"/>
        <v>#DIV/0!</v>
      </c>
    </row>
    <row r="62" spans="1:13" ht="15" customHeight="1">
      <c r="A62" s="16"/>
      <c r="B62" s="22">
        <f>'Oil supply projection'!$B62</f>
        <v>2071</v>
      </c>
      <c r="C62" s="157" t="e">
        <f ca="1"/>
        <v>#DIV/0!</v>
      </c>
      <c r="D62" s="157" t="e">
        <f ca="1"/>
        <v>#DIV/0!</v>
      </c>
      <c r="E62" s="157" t="e">
        <f ca="1"/>
        <v>#DIV/0!</v>
      </c>
      <c r="F62" s="157">
        <f ca="1"/>
        <v>0</v>
      </c>
      <c r="G62" s="157">
        <f ca="1"/>
        <v>0</v>
      </c>
      <c r="H62" s="157">
        <f ca="1"/>
        <v>0</v>
      </c>
      <c r="I62" s="157">
        <f ca="1"/>
        <v>0</v>
      </c>
      <c r="J62" s="157">
        <f ca="1"/>
        <v>0</v>
      </c>
      <c r="K62" s="157">
        <f ca="1"/>
        <v>0</v>
      </c>
      <c r="L62" s="157">
        <f ca="1"/>
        <v>0</v>
      </c>
      <c r="M62" s="165" t="e">
        <f ca="1"/>
        <v>#DIV/0!</v>
      </c>
    </row>
    <row r="63" spans="1:13" ht="15" customHeight="1">
      <c r="A63" s="16"/>
      <c r="B63" s="22">
        <f>'Oil supply projection'!$B63</f>
        <v>2072</v>
      </c>
      <c r="C63" s="157" t="e">
        <f ca="1"/>
        <v>#DIV/0!</v>
      </c>
      <c r="D63" s="157" t="e">
        <f ca="1"/>
        <v>#DIV/0!</v>
      </c>
      <c r="E63" s="157" t="e">
        <f ca="1"/>
        <v>#DIV/0!</v>
      </c>
      <c r="F63" s="157">
        <f ca="1"/>
        <v>0</v>
      </c>
      <c r="G63" s="157">
        <f ca="1"/>
        <v>0</v>
      </c>
      <c r="H63" s="157">
        <f ca="1"/>
        <v>0</v>
      </c>
      <c r="I63" s="157">
        <f ca="1"/>
        <v>0</v>
      </c>
      <c r="J63" s="157">
        <f ca="1"/>
        <v>0</v>
      </c>
      <c r="K63" s="157">
        <f ca="1"/>
        <v>0</v>
      </c>
      <c r="L63" s="157">
        <f ca="1"/>
        <v>0</v>
      </c>
      <c r="M63" s="165" t="e">
        <f ca="1"/>
        <v>#DIV/0!</v>
      </c>
    </row>
    <row r="64" spans="1:13" ht="15" customHeight="1">
      <c r="A64" s="16"/>
      <c r="B64" s="22">
        <f>'Oil supply projection'!$B64</f>
        <v>2073</v>
      </c>
      <c r="C64" s="157" t="e">
        <f ca="1"/>
        <v>#DIV/0!</v>
      </c>
      <c r="D64" s="157" t="e">
        <f ca="1"/>
        <v>#DIV/0!</v>
      </c>
      <c r="E64" s="157" t="e">
        <f ca="1"/>
        <v>#DIV/0!</v>
      </c>
      <c r="F64" s="157">
        <f ca="1"/>
        <v>0</v>
      </c>
      <c r="G64" s="157">
        <f ca="1"/>
        <v>0</v>
      </c>
      <c r="H64" s="157">
        <f ca="1"/>
        <v>0</v>
      </c>
      <c r="I64" s="157">
        <f ca="1"/>
        <v>0</v>
      </c>
      <c r="J64" s="157">
        <f ca="1"/>
        <v>0</v>
      </c>
      <c r="K64" s="157">
        <f ca="1"/>
        <v>0</v>
      </c>
      <c r="L64" s="157">
        <f ca="1"/>
        <v>0</v>
      </c>
      <c r="M64" s="165" t="e">
        <f ca="1"/>
        <v>#DIV/0!</v>
      </c>
    </row>
    <row r="65" spans="1:13" ht="15" customHeight="1">
      <c r="A65" s="16"/>
      <c r="B65" s="22">
        <f>'Oil supply projection'!$B65</f>
        <v>2074</v>
      </c>
      <c r="C65" s="157" t="e">
        <f ca="1"/>
        <v>#DIV/0!</v>
      </c>
      <c r="D65" s="157" t="e">
        <f ca="1"/>
        <v>#DIV/0!</v>
      </c>
      <c r="E65" s="157" t="e">
        <f ca="1"/>
        <v>#DIV/0!</v>
      </c>
      <c r="F65" s="157">
        <f ca="1"/>
        <v>0</v>
      </c>
      <c r="G65" s="157">
        <f ca="1"/>
        <v>0</v>
      </c>
      <c r="H65" s="157">
        <f ca="1"/>
        <v>0</v>
      </c>
      <c r="I65" s="157">
        <f ca="1"/>
        <v>0</v>
      </c>
      <c r="J65" s="157">
        <f ca="1"/>
        <v>0</v>
      </c>
      <c r="K65" s="157">
        <f ca="1"/>
        <v>0</v>
      </c>
      <c r="L65" s="157">
        <f ca="1"/>
        <v>0</v>
      </c>
      <c r="M65" s="165" t="e">
        <f ca="1"/>
        <v>#DIV/0!</v>
      </c>
    </row>
    <row r="66" spans="1:13" ht="15" customHeight="1">
      <c r="A66" s="16"/>
      <c r="B66" s="22">
        <f>'Oil supply projection'!$B66</f>
        <v>2075</v>
      </c>
      <c r="C66" s="157" t="e">
        <f ca="1"/>
        <v>#DIV/0!</v>
      </c>
      <c r="D66" s="157" t="e">
        <f ca="1"/>
        <v>#DIV/0!</v>
      </c>
      <c r="E66" s="157" t="e">
        <f ca="1"/>
        <v>#DIV/0!</v>
      </c>
      <c r="F66" s="157">
        <f ca="1"/>
        <v>0</v>
      </c>
      <c r="G66" s="157">
        <f ca="1"/>
        <v>0</v>
      </c>
      <c r="H66" s="157">
        <f ca="1"/>
        <v>0</v>
      </c>
      <c r="I66" s="157">
        <f ca="1"/>
        <v>0</v>
      </c>
      <c r="J66" s="157">
        <f ca="1"/>
        <v>0</v>
      </c>
      <c r="K66" s="157">
        <f ca="1"/>
        <v>0</v>
      </c>
      <c r="L66" s="157">
        <f ca="1"/>
        <v>0</v>
      </c>
      <c r="M66" s="165" t="e">
        <f ca="1"/>
        <v>#DIV/0!</v>
      </c>
    </row>
    <row r="67" spans="1:13" ht="15" customHeight="1">
      <c r="A67" s="16"/>
      <c r="B67" s="22">
        <f>'Oil supply projection'!$B67</f>
        <v>2076</v>
      </c>
      <c r="C67" s="157" t="e">
        <f ca="1"/>
        <v>#DIV/0!</v>
      </c>
      <c r="D67" s="157" t="e">
        <f ca="1"/>
        <v>#DIV/0!</v>
      </c>
      <c r="E67" s="157" t="e">
        <f ca="1"/>
        <v>#DIV/0!</v>
      </c>
      <c r="F67" s="157">
        <f ca="1"/>
        <v>0</v>
      </c>
      <c r="G67" s="157">
        <f ca="1"/>
        <v>0</v>
      </c>
      <c r="H67" s="157">
        <f ca="1"/>
        <v>0</v>
      </c>
      <c r="I67" s="157">
        <f ca="1"/>
        <v>0</v>
      </c>
      <c r="J67" s="157">
        <f ca="1"/>
        <v>0</v>
      </c>
      <c r="K67" s="157">
        <f ca="1"/>
        <v>0</v>
      </c>
      <c r="L67" s="157">
        <f ca="1"/>
        <v>0</v>
      </c>
      <c r="M67" s="165" t="e">
        <f ca="1"/>
        <v>#DIV/0!</v>
      </c>
    </row>
    <row r="68" spans="1:13" ht="15" customHeight="1">
      <c r="A68" s="16"/>
      <c r="B68" s="22">
        <f>'Oil supply projection'!$B68</f>
        <v>2077</v>
      </c>
      <c r="C68" s="157" t="e">
        <f ca="1"/>
        <v>#DIV/0!</v>
      </c>
      <c r="D68" s="157" t="e">
        <f ca="1"/>
        <v>#DIV/0!</v>
      </c>
      <c r="E68" s="157" t="e">
        <f ca="1"/>
        <v>#DIV/0!</v>
      </c>
      <c r="F68" s="157">
        <f ca="1"/>
        <v>0</v>
      </c>
      <c r="G68" s="157">
        <f ca="1"/>
        <v>0</v>
      </c>
      <c r="H68" s="157">
        <f ca="1"/>
        <v>0</v>
      </c>
      <c r="I68" s="157">
        <f ca="1"/>
        <v>0</v>
      </c>
      <c r="J68" s="157">
        <f ca="1"/>
        <v>0</v>
      </c>
      <c r="K68" s="157">
        <f ca="1"/>
        <v>0</v>
      </c>
      <c r="L68" s="157">
        <f ca="1"/>
        <v>0</v>
      </c>
      <c r="M68" s="165" t="e">
        <f ca="1"/>
        <v>#DIV/0!</v>
      </c>
    </row>
    <row r="69" spans="1:13" ht="15" customHeight="1">
      <c r="A69" s="16"/>
      <c r="B69" s="22">
        <f>'Oil supply projection'!$B69</f>
        <v>2078</v>
      </c>
      <c r="C69" s="157" t="e">
        <f ca="1"/>
        <v>#DIV/0!</v>
      </c>
      <c r="D69" s="157" t="e">
        <f ca="1"/>
        <v>#DIV/0!</v>
      </c>
      <c r="E69" s="157" t="e">
        <f ca="1"/>
        <v>#DIV/0!</v>
      </c>
      <c r="F69" s="157">
        <f ca="1"/>
        <v>0</v>
      </c>
      <c r="G69" s="157">
        <f ca="1"/>
        <v>0</v>
      </c>
      <c r="H69" s="157">
        <f ca="1"/>
        <v>0</v>
      </c>
      <c r="I69" s="157">
        <f ca="1"/>
        <v>0</v>
      </c>
      <c r="J69" s="157">
        <f ca="1"/>
        <v>0</v>
      </c>
      <c r="K69" s="157">
        <f ca="1"/>
        <v>0</v>
      </c>
      <c r="L69" s="157">
        <f ca="1"/>
        <v>0</v>
      </c>
      <c r="M69" s="165" t="e">
        <f ca="1"/>
        <v>#DIV/0!</v>
      </c>
    </row>
    <row r="70" spans="1:13" ht="15" customHeight="1">
      <c r="A70" s="16"/>
      <c r="B70" s="22">
        <f>'Oil supply projection'!$B70</f>
        <v>2079</v>
      </c>
      <c r="C70" s="157" t="e">
        <f ca="1"/>
        <v>#DIV/0!</v>
      </c>
      <c r="D70" s="157" t="e">
        <f ca="1"/>
        <v>#DIV/0!</v>
      </c>
      <c r="E70" s="157" t="e">
        <f ca="1"/>
        <v>#DIV/0!</v>
      </c>
      <c r="F70" s="157">
        <f ca="1"/>
        <v>0</v>
      </c>
      <c r="G70" s="157">
        <f ca="1"/>
        <v>0</v>
      </c>
      <c r="H70" s="157">
        <f ca="1"/>
        <v>0</v>
      </c>
      <c r="I70" s="157">
        <f ca="1"/>
        <v>0</v>
      </c>
      <c r="J70" s="157">
        <f ca="1"/>
        <v>0</v>
      </c>
      <c r="K70" s="157">
        <f ca="1"/>
        <v>0</v>
      </c>
      <c r="L70" s="157">
        <f ca="1"/>
        <v>0</v>
      </c>
      <c r="M70" s="165" t="e">
        <f ca="1"/>
        <v>#DIV/0!</v>
      </c>
    </row>
    <row r="71" spans="1:13" ht="15" customHeight="1">
      <c r="A71" s="16"/>
      <c r="B71" s="22">
        <f>'Oil supply projection'!$B71</f>
        <v>2080</v>
      </c>
      <c r="C71" s="157" t="e">
        <f ca="1"/>
        <v>#DIV/0!</v>
      </c>
      <c r="D71" s="157" t="e">
        <f ca="1"/>
        <v>#DIV/0!</v>
      </c>
      <c r="E71" s="157" t="e">
        <f ca="1"/>
        <v>#DIV/0!</v>
      </c>
      <c r="F71" s="157">
        <f ca="1"/>
        <v>0</v>
      </c>
      <c r="G71" s="157">
        <f ca="1"/>
        <v>0</v>
      </c>
      <c r="H71" s="157">
        <f ca="1"/>
        <v>0</v>
      </c>
      <c r="I71" s="157">
        <f ca="1"/>
        <v>0</v>
      </c>
      <c r="J71" s="157">
        <f ca="1"/>
        <v>0</v>
      </c>
      <c r="K71" s="157">
        <f ca="1"/>
        <v>0</v>
      </c>
      <c r="L71" s="157">
        <f ca="1"/>
        <v>0</v>
      </c>
      <c r="M71" s="165" t="e">
        <f ca="1"/>
        <v>#DIV/0!</v>
      </c>
    </row>
    <row r="72" spans="1:13" ht="15" customHeight="1">
      <c r="A72" s="16"/>
      <c r="B72" s="22">
        <f>'Oil supply projection'!$B72</f>
        <v>2081</v>
      </c>
      <c r="C72" s="157" t="e">
        <f ca="1"/>
        <v>#DIV/0!</v>
      </c>
      <c r="D72" s="157" t="e">
        <f ca="1"/>
        <v>#DIV/0!</v>
      </c>
      <c r="E72" s="157" t="e">
        <f ca="1"/>
        <v>#DIV/0!</v>
      </c>
      <c r="F72" s="157">
        <f ca="1"/>
        <v>0</v>
      </c>
      <c r="G72" s="157">
        <f ca="1"/>
        <v>0</v>
      </c>
      <c r="H72" s="157">
        <f ca="1"/>
        <v>0</v>
      </c>
      <c r="I72" s="157">
        <f ca="1"/>
        <v>0</v>
      </c>
      <c r="J72" s="157">
        <f ca="1"/>
        <v>0</v>
      </c>
      <c r="K72" s="157">
        <f ca="1"/>
        <v>0</v>
      </c>
      <c r="L72" s="157">
        <f ca="1"/>
        <v>0</v>
      </c>
      <c r="M72" s="165" t="e">
        <f ca="1"/>
        <v>#DIV/0!</v>
      </c>
    </row>
    <row r="73" spans="1:13" ht="15" customHeight="1">
      <c r="A73" s="16"/>
      <c r="B73" s="22">
        <f>'Oil supply projection'!$B73</f>
        <v>2082</v>
      </c>
      <c r="C73" s="157" t="e">
        <f ca="1"/>
        <v>#DIV/0!</v>
      </c>
      <c r="D73" s="157" t="e">
        <f ca="1"/>
        <v>#DIV/0!</v>
      </c>
      <c r="E73" s="157" t="e">
        <f ca="1"/>
        <v>#DIV/0!</v>
      </c>
      <c r="F73" s="157">
        <f ca="1"/>
        <v>0</v>
      </c>
      <c r="G73" s="157">
        <f ca="1"/>
        <v>0</v>
      </c>
      <c r="H73" s="157">
        <f ca="1"/>
        <v>0</v>
      </c>
      <c r="I73" s="157">
        <f ca="1"/>
        <v>0</v>
      </c>
      <c r="J73" s="157">
        <f ca="1"/>
        <v>0</v>
      </c>
      <c r="K73" s="157">
        <f ca="1"/>
        <v>0</v>
      </c>
      <c r="L73" s="157">
        <f ca="1"/>
        <v>0</v>
      </c>
      <c r="M73" s="165" t="e">
        <f ca="1"/>
        <v>#DIV/0!</v>
      </c>
    </row>
    <row r="74" spans="1:13" ht="15" customHeight="1">
      <c r="A74" s="16"/>
      <c r="B74" s="22">
        <f>'Oil supply projection'!$B74</f>
        <v>2083</v>
      </c>
      <c r="C74" s="157" t="e">
        <f ca="1"/>
        <v>#DIV/0!</v>
      </c>
      <c r="D74" s="157" t="e">
        <f ca="1"/>
        <v>#DIV/0!</v>
      </c>
      <c r="E74" s="157" t="e">
        <f ca="1"/>
        <v>#DIV/0!</v>
      </c>
      <c r="F74" s="157">
        <f ca="1"/>
        <v>0</v>
      </c>
      <c r="G74" s="157">
        <f ca="1"/>
        <v>0</v>
      </c>
      <c r="H74" s="157">
        <f ca="1"/>
        <v>0</v>
      </c>
      <c r="I74" s="157">
        <f ca="1"/>
        <v>0</v>
      </c>
      <c r="J74" s="157">
        <f ca="1"/>
        <v>0</v>
      </c>
      <c r="K74" s="157">
        <f ca="1"/>
        <v>0</v>
      </c>
      <c r="L74" s="157">
        <f ca="1"/>
        <v>0</v>
      </c>
      <c r="M74" s="165" t="e">
        <f ca="1"/>
        <v>#DIV/0!</v>
      </c>
    </row>
    <row r="75" spans="1:13" ht="15" customHeight="1">
      <c r="A75" s="16"/>
      <c r="B75" s="22">
        <f>'Oil supply projection'!$B75</f>
        <v>2084</v>
      </c>
      <c r="C75" s="157" t="e">
        <f ca="1"/>
        <v>#DIV/0!</v>
      </c>
      <c r="D75" s="157" t="e">
        <f ca="1"/>
        <v>#DIV/0!</v>
      </c>
      <c r="E75" s="157" t="e">
        <f ca="1"/>
        <v>#DIV/0!</v>
      </c>
      <c r="F75" s="157">
        <f ca="1"/>
        <v>0</v>
      </c>
      <c r="G75" s="157">
        <f ca="1"/>
        <v>0</v>
      </c>
      <c r="H75" s="157">
        <f ca="1"/>
        <v>0</v>
      </c>
      <c r="I75" s="157">
        <f ca="1"/>
        <v>0</v>
      </c>
      <c r="J75" s="157">
        <f ca="1"/>
        <v>0</v>
      </c>
      <c r="K75" s="157">
        <f ca="1"/>
        <v>0</v>
      </c>
      <c r="L75" s="157">
        <f ca="1"/>
        <v>0</v>
      </c>
      <c r="M75" s="165" t="e">
        <f ca="1"/>
        <v>#DIV/0!</v>
      </c>
    </row>
    <row r="76" spans="1:13" ht="15" customHeight="1">
      <c r="A76" s="16"/>
      <c r="B76" s="22">
        <f>'Oil supply projection'!$B76</f>
        <v>2085</v>
      </c>
      <c r="C76" s="157" t="e">
        <f ca="1"/>
        <v>#DIV/0!</v>
      </c>
      <c r="D76" s="157" t="e">
        <f ca="1"/>
        <v>#DIV/0!</v>
      </c>
      <c r="E76" s="157" t="e">
        <f ca="1"/>
        <v>#DIV/0!</v>
      </c>
      <c r="F76" s="157">
        <f ca="1"/>
        <v>0</v>
      </c>
      <c r="G76" s="157">
        <f ca="1"/>
        <v>0</v>
      </c>
      <c r="H76" s="157">
        <f ca="1"/>
        <v>0</v>
      </c>
      <c r="I76" s="157">
        <f ca="1"/>
        <v>0</v>
      </c>
      <c r="J76" s="157">
        <f ca="1"/>
        <v>0</v>
      </c>
      <c r="K76" s="157">
        <f ca="1"/>
        <v>0</v>
      </c>
      <c r="L76" s="157">
        <f ca="1"/>
        <v>0</v>
      </c>
      <c r="M76" s="165" t="e">
        <f ca="1"/>
        <v>#DIV/0!</v>
      </c>
    </row>
    <row r="77" spans="1:13" ht="15" customHeight="1">
      <c r="A77" s="16"/>
      <c r="B77" s="22">
        <f>'Oil supply projection'!$B77</f>
        <v>2086</v>
      </c>
      <c r="C77" s="157" t="e">
        <f ca="1"/>
        <v>#DIV/0!</v>
      </c>
      <c r="D77" s="157" t="e">
        <f ca="1"/>
        <v>#DIV/0!</v>
      </c>
      <c r="E77" s="157" t="e">
        <f ca="1"/>
        <v>#DIV/0!</v>
      </c>
      <c r="F77" s="157">
        <f ca="1"/>
        <v>0</v>
      </c>
      <c r="G77" s="157">
        <f ca="1"/>
        <v>0</v>
      </c>
      <c r="H77" s="157">
        <f ca="1"/>
        <v>0</v>
      </c>
      <c r="I77" s="157">
        <f ca="1"/>
        <v>0</v>
      </c>
      <c r="J77" s="157">
        <f ca="1"/>
        <v>0</v>
      </c>
      <c r="K77" s="157">
        <f ca="1"/>
        <v>0</v>
      </c>
      <c r="L77" s="157">
        <f ca="1"/>
        <v>0</v>
      </c>
      <c r="M77" s="165" t="e">
        <f ca="1"/>
        <v>#DIV/0!</v>
      </c>
    </row>
    <row r="78" spans="1:13" ht="15" customHeight="1">
      <c r="A78" s="16"/>
      <c r="B78" s="22">
        <f>'Oil supply projection'!$B78</f>
        <v>2087</v>
      </c>
      <c r="C78" s="157" t="e">
        <f ca="1"/>
        <v>#DIV/0!</v>
      </c>
      <c r="D78" s="157" t="e">
        <f ca="1"/>
        <v>#DIV/0!</v>
      </c>
      <c r="E78" s="157" t="e">
        <f ca="1"/>
        <v>#DIV/0!</v>
      </c>
      <c r="F78" s="157">
        <f ca="1"/>
        <v>0</v>
      </c>
      <c r="G78" s="157">
        <f ca="1"/>
        <v>0</v>
      </c>
      <c r="H78" s="157">
        <f ca="1"/>
        <v>0</v>
      </c>
      <c r="I78" s="157">
        <f ca="1"/>
        <v>0</v>
      </c>
      <c r="J78" s="157">
        <f ca="1"/>
        <v>0</v>
      </c>
      <c r="K78" s="157">
        <f ca="1"/>
        <v>0</v>
      </c>
      <c r="L78" s="157">
        <f ca="1"/>
        <v>0</v>
      </c>
      <c r="M78" s="165" t="e">
        <f ca="1"/>
        <v>#DIV/0!</v>
      </c>
    </row>
    <row r="79" spans="1:13" ht="15" customHeight="1">
      <c r="A79" s="16"/>
      <c r="B79" s="22">
        <f>'Oil supply projection'!$B79</f>
        <v>2088</v>
      </c>
      <c r="C79" s="157" t="e">
        <f ca="1"/>
        <v>#DIV/0!</v>
      </c>
      <c r="D79" s="157" t="e">
        <f ca="1"/>
        <v>#DIV/0!</v>
      </c>
      <c r="E79" s="157" t="e">
        <f ca="1"/>
        <v>#DIV/0!</v>
      </c>
      <c r="F79" s="157">
        <f ca="1"/>
        <v>0</v>
      </c>
      <c r="G79" s="157">
        <f ca="1"/>
        <v>0</v>
      </c>
      <c r="H79" s="157">
        <f ca="1"/>
        <v>0</v>
      </c>
      <c r="I79" s="157">
        <f ca="1"/>
        <v>0</v>
      </c>
      <c r="J79" s="157">
        <f ca="1"/>
        <v>0</v>
      </c>
      <c r="K79" s="157">
        <f ca="1"/>
        <v>0</v>
      </c>
      <c r="L79" s="157">
        <f ca="1"/>
        <v>0</v>
      </c>
      <c r="M79" s="165" t="e">
        <f ca="1"/>
        <v>#DIV/0!</v>
      </c>
    </row>
    <row r="80" spans="1:13" ht="15" customHeight="1">
      <c r="A80" s="16"/>
      <c r="B80" s="22">
        <f>'Oil supply projection'!$B80</f>
        <v>2089</v>
      </c>
      <c r="C80" s="157" t="e">
        <f ca="1"/>
        <v>#DIV/0!</v>
      </c>
      <c r="D80" s="157" t="e">
        <f ca="1"/>
        <v>#DIV/0!</v>
      </c>
      <c r="E80" s="157" t="e">
        <f ca="1"/>
        <v>#DIV/0!</v>
      </c>
      <c r="F80" s="157">
        <f ca="1"/>
        <v>0</v>
      </c>
      <c r="G80" s="157">
        <f ca="1"/>
        <v>0</v>
      </c>
      <c r="H80" s="157">
        <f ca="1"/>
        <v>0</v>
      </c>
      <c r="I80" s="157">
        <f ca="1"/>
        <v>0</v>
      </c>
      <c r="J80" s="157">
        <f ca="1"/>
        <v>0</v>
      </c>
      <c r="K80" s="157">
        <f ca="1"/>
        <v>0</v>
      </c>
      <c r="L80" s="157">
        <f ca="1"/>
        <v>0</v>
      </c>
      <c r="M80" s="165" t="e">
        <f ca="1"/>
        <v>#DIV/0!</v>
      </c>
    </row>
    <row r="81" spans="1:14" ht="15" customHeight="1">
      <c r="A81" s="16"/>
      <c r="B81" s="22">
        <f>'Oil supply projection'!$B81</f>
        <v>2090</v>
      </c>
      <c r="C81" s="157" t="e">
        <f ca="1"/>
        <v>#DIV/0!</v>
      </c>
      <c r="D81" s="157" t="e">
        <f ca="1"/>
        <v>#DIV/0!</v>
      </c>
      <c r="E81" s="157" t="e">
        <f ca="1"/>
        <v>#DIV/0!</v>
      </c>
      <c r="F81" s="157">
        <f ca="1"/>
        <v>0</v>
      </c>
      <c r="G81" s="157">
        <f ca="1"/>
        <v>0</v>
      </c>
      <c r="H81" s="157">
        <f ca="1"/>
        <v>0</v>
      </c>
      <c r="I81" s="157">
        <f ca="1"/>
        <v>0</v>
      </c>
      <c r="J81" s="157">
        <f ca="1"/>
        <v>0</v>
      </c>
      <c r="K81" s="157">
        <f ca="1"/>
        <v>0</v>
      </c>
      <c r="L81" s="157">
        <f ca="1"/>
        <v>0</v>
      </c>
      <c r="M81" s="165" t="e">
        <f ca="1"/>
        <v>#DIV/0!</v>
      </c>
    </row>
    <row r="82" spans="1:14" ht="15" customHeight="1">
      <c r="A82" s="16"/>
      <c r="B82" s="22">
        <f>'Oil supply projection'!$B82</f>
        <v>2091</v>
      </c>
      <c r="C82" s="157" t="e">
        <f ca="1"/>
        <v>#DIV/0!</v>
      </c>
      <c r="D82" s="157" t="e">
        <f ca="1"/>
        <v>#DIV/0!</v>
      </c>
      <c r="E82" s="157" t="e">
        <f ca="1"/>
        <v>#DIV/0!</v>
      </c>
      <c r="F82" s="157">
        <f ca="1"/>
        <v>0</v>
      </c>
      <c r="G82" s="157">
        <f ca="1"/>
        <v>0</v>
      </c>
      <c r="H82" s="157">
        <f ca="1"/>
        <v>0</v>
      </c>
      <c r="I82" s="157">
        <f ca="1"/>
        <v>0</v>
      </c>
      <c r="J82" s="157">
        <f ca="1"/>
        <v>0</v>
      </c>
      <c r="K82" s="157">
        <f ca="1"/>
        <v>0</v>
      </c>
      <c r="L82" s="157">
        <f ca="1"/>
        <v>0</v>
      </c>
      <c r="M82" s="165" t="e">
        <f ca="1"/>
        <v>#DIV/0!</v>
      </c>
    </row>
    <row r="83" spans="1:14" s="21" customFormat="1" ht="15" customHeight="1">
      <c r="A83" s="16"/>
      <c r="B83" s="22">
        <f>'Oil supply projection'!$B83</f>
        <v>2092</v>
      </c>
      <c r="C83" s="157" t="e">
        <f ca="1"/>
        <v>#DIV/0!</v>
      </c>
      <c r="D83" s="157" t="e">
        <f ca="1"/>
        <v>#DIV/0!</v>
      </c>
      <c r="E83" s="157" t="e">
        <f ca="1"/>
        <v>#DIV/0!</v>
      </c>
      <c r="F83" s="157">
        <f ca="1"/>
        <v>0</v>
      </c>
      <c r="G83" s="157">
        <f ca="1"/>
        <v>0</v>
      </c>
      <c r="H83" s="157">
        <f ca="1"/>
        <v>0</v>
      </c>
      <c r="I83" s="157">
        <f ca="1"/>
        <v>0</v>
      </c>
      <c r="J83" s="157">
        <f ca="1"/>
        <v>0</v>
      </c>
      <c r="K83" s="157">
        <f ca="1"/>
        <v>0</v>
      </c>
      <c r="L83" s="157">
        <f ca="1"/>
        <v>0</v>
      </c>
      <c r="M83" s="165" t="e">
        <f ca="1"/>
        <v>#DIV/0!</v>
      </c>
      <c r="N83" s="1"/>
    </row>
    <row r="84" spans="1:14" ht="15" customHeight="1">
      <c r="A84" s="16"/>
      <c r="B84" s="22">
        <f>'Oil supply projection'!$B84</f>
        <v>2093</v>
      </c>
      <c r="C84" s="182" t="e">
        <f ca="1"/>
        <v>#DIV/0!</v>
      </c>
      <c r="D84" s="182" t="e">
        <f ca="1"/>
        <v>#DIV/0!</v>
      </c>
      <c r="E84" s="182" t="e">
        <f ca="1"/>
        <v>#DIV/0!</v>
      </c>
      <c r="F84" s="182">
        <f ca="1"/>
        <v>0</v>
      </c>
      <c r="G84" s="182">
        <f ca="1"/>
        <v>0</v>
      </c>
      <c r="H84" s="182">
        <f ca="1"/>
        <v>0</v>
      </c>
      <c r="I84" s="182">
        <f ca="1"/>
        <v>0</v>
      </c>
      <c r="J84" s="182">
        <f ca="1"/>
        <v>0</v>
      </c>
      <c r="K84" s="182">
        <f ca="1"/>
        <v>0</v>
      </c>
      <c r="L84" s="182">
        <f ca="1"/>
        <v>0</v>
      </c>
      <c r="M84" s="166" t="e">
        <f ca="1"/>
        <v>#DIV/0!</v>
      </c>
    </row>
    <row r="85" spans="1:14" ht="15" customHeight="1">
      <c r="A85" s="16"/>
      <c r="F85" s="21"/>
      <c r="G85" s="21"/>
      <c r="H85" s="21"/>
      <c r="I85" s="21"/>
      <c r="J85" s="21"/>
    </row>
    <row r="86" spans="1:14" ht="15" customHeight="1">
      <c r="F86" s="21"/>
      <c r="G86" s="21"/>
      <c r="H86" s="21"/>
      <c r="I86" s="21"/>
      <c r="J86" s="21"/>
    </row>
  </sheetData>
  <mergeCells count="1">
    <mergeCell ref="A1:B1"/>
  </mergeCells>
  <phoneticPr fontId="29" type="noConversion"/>
  <conditionalFormatting sqref="C10:M84">
    <cfRule type="expression" dxfId="118" priority="1" stopIfTrue="1">
      <formula>ISERROR(C10)</formula>
    </cfRule>
  </conditionalFormatting>
  <hyperlinks>
    <hyperlink ref="A1" location="'Table of Contents'!A1" tooltip="Click here to return to the Table of Contents tab" display="Return to Table of Contents" xr:uid="{00000000-0004-0000-0F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3">
    <tabColor indexed="46"/>
    <pageSetUpPr fitToPage="1"/>
  </sheetPr>
  <dimension ref="A1:E84"/>
  <sheetViews>
    <sheetView workbookViewId="0">
      <pane xSplit="2" ySplit="9" topLeftCell="C10" activePane="bottomRight" state="frozen"/>
      <selection pane="topRight" activeCell="A2" sqref="A2"/>
      <selection pane="bottomLeft" activeCell="A2" sqref="A2"/>
      <selection pane="bottomRight" activeCell="H33" sqref="H33"/>
    </sheetView>
  </sheetViews>
  <sheetFormatPr defaultColWidth="9.28515625" defaultRowHeight="15" customHeight="1"/>
  <cols>
    <col min="1" max="1" width="15.5703125" style="18" customWidth="1"/>
    <col min="2" max="2" width="10.28515625" style="1" customWidth="1"/>
    <col min="3" max="5" width="14.5703125" style="1" customWidth="1"/>
    <col min="6" max="16384" width="9.28515625" style="1"/>
  </cols>
  <sheetData>
    <row r="1" spans="1:5" ht="15.75" thickBot="1">
      <c r="A1" s="701" t="s">
        <v>27</v>
      </c>
      <c r="B1" s="702"/>
      <c r="C1" s="180"/>
      <c r="D1" s="180"/>
      <c r="E1" s="21"/>
    </row>
    <row r="2" spans="1:5" ht="16.5" customHeight="1">
      <c r="A2" s="1"/>
      <c r="B2" s="2"/>
      <c r="C2" s="2"/>
      <c r="D2" s="2"/>
    </row>
    <row r="3" spans="1:5" ht="16.5" customHeight="1">
      <c r="A3" s="1"/>
      <c r="B3" s="2"/>
      <c r="C3" s="2"/>
      <c r="D3" s="2"/>
    </row>
    <row r="4" spans="1:5" ht="16.5" customHeight="1">
      <c r="A4" s="1"/>
      <c r="B4" s="2"/>
      <c r="C4" s="2"/>
      <c r="D4" s="2"/>
    </row>
    <row r="5" spans="1:5" ht="16.5" customHeight="1">
      <c r="A5" s="1"/>
      <c r="B5" s="2"/>
      <c r="C5" s="2"/>
      <c r="D5" s="2"/>
    </row>
    <row r="6" spans="1:5" ht="19.5" customHeight="1">
      <c r="A6" s="16"/>
      <c r="B6" s="514" t="s">
        <v>463</v>
      </c>
      <c r="C6" s="119"/>
      <c r="D6" s="119"/>
      <c r="E6" s="120"/>
    </row>
    <row r="7" spans="1:5" ht="19.5" customHeight="1">
      <c r="A7" s="16"/>
      <c r="B7" s="116"/>
      <c r="C7" s="118"/>
      <c r="D7" s="118"/>
      <c r="E7" s="117"/>
    </row>
    <row r="8" spans="1:5" ht="29.25" customHeight="1">
      <c r="A8" s="16"/>
      <c r="B8" s="650"/>
      <c r="C8" s="650" t="s">
        <v>393</v>
      </c>
      <c r="D8" s="650" t="s">
        <v>394</v>
      </c>
      <c r="E8" s="650" t="s">
        <v>307</v>
      </c>
    </row>
    <row r="9" spans="1:5" ht="29.25" customHeight="1" thickBot="1">
      <c r="A9" s="16"/>
      <c r="B9" s="66" t="s">
        <v>268</v>
      </c>
      <c r="C9" s="67" t="s">
        <v>395</v>
      </c>
      <c r="D9" s="67" t="s">
        <v>395</v>
      </c>
      <c r="E9" s="67" t="s">
        <v>395</v>
      </c>
    </row>
    <row r="10" spans="1:5" ht="15" customHeight="1" thickTop="1">
      <c r="A10" s="16"/>
      <c r="B10" s="22">
        <f>'Oil supply projection'!$B10</f>
        <v>2019</v>
      </c>
      <c r="C10" s="30">
        <f t="array" ref="C10:E10">aeo_sup_coa_2010</f>
        <v>694.22805000000005</v>
      </c>
      <c r="D10" s="30">
        <v>6.6970000000000001</v>
      </c>
      <c r="E10" s="65">
        <v>700.92505000000006</v>
      </c>
    </row>
    <row r="11" spans="1:5" ht="15" customHeight="1">
      <c r="A11" s="17"/>
      <c r="B11" s="22">
        <f>'Oil supply projection'!$B11</f>
        <v>2020</v>
      </c>
      <c r="C11" s="156">
        <f t="array" ref="C11:C84" ca="1">(b_coa_dom*sim_price_coa^e_sup_coa_dom+(1-g_sup_coa_dom)*OFFSET(sim_sup_coa_dom,-1,0))*display</f>
        <v>544.06999799999994</v>
      </c>
      <c r="D11" s="156">
        <f t="array" ref="D11:D84" ca="1">(b_coa_imp*sim_price_coa^e_sup_coa_imp+(1-g_sup_coa_imp)*OFFSET(sim_sup_coa_imp,-1,0))*display</f>
        <v>4.79</v>
      </c>
      <c r="E11" s="165">
        <f t="array" aca="1" ref="E11:E84" ca="1">(sim_sup_coa_dom+sim_sup_coa_imp)*display</f>
        <v>548.85999799999991</v>
      </c>
    </row>
    <row r="12" spans="1:5" ht="15" customHeight="1">
      <c r="B12" s="22">
        <f>'Oil supply projection'!$B12</f>
        <v>2021</v>
      </c>
      <c r="C12" s="156">
        <f ca="1"/>
        <v>585.34999000000005</v>
      </c>
      <c r="D12" s="156">
        <f ca="1"/>
        <v>5.39</v>
      </c>
      <c r="E12" s="165">
        <f ca="1"/>
        <v>590.73999000000003</v>
      </c>
    </row>
    <row r="13" spans="1:5" ht="15" customHeight="1">
      <c r="B13" s="22">
        <f>'Oil supply projection'!$B13</f>
        <v>2022</v>
      </c>
      <c r="C13" s="156">
        <f ca="1"/>
        <v>590.77045999999996</v>
      </c>
      <c r="D13" s="156">
        <f ca="1"/>
        <v>7.2735599999999998</v>
      </c>
      <c r="E13" s="165">
        <f ca="1"/>
        <v>598.04401999999993</v>
      </c>
    </row>
    <row r="14" spans="1:5" ht="15" customHeight="1">
      <c r="B14" s="22">
        <f>'Oil supply projection'!$B14</f>
        <v>2023</v>
      </c>
      <c r="C14" s="156">
        <f ca="1"/>
        <v>568.82525299999998</v>
      </c>
      <c r="D14" s="156">
        <f ca="1"/>
        <v>9.0405010000000008</v>
      </c>
      <c r="E14" s="165">
        <f ca="1"/>
        <v>577.86575399999992</v>
      </c>
    </row>
    <row r="15" spans="1:5" ht="15" customHeight="1">
      <c r="B15" s="22">
        <f>'Oil supply projection'!$B15</f>
        <v>2024</v>
      </c>
      <c r="C15" s="156">
        <f ca="1"/>
        <v>588.20207399999993</v>
      </c>
      <c r="D15" s="156">
        <f ca="1"/>
        <v>1.0371300000000003</v>
      </c>
      <c r="E15" s="165">
        <f ca="1"/>
        <v>589.23920399999997</v>
      </c>
    </row>
    <row r="16" spans="1:5" ht="15" customHeight="1">
      <c r="B16" s="22">
        <f>'Oil supply projection'!$B16</f>
        <v>2025</v>
      </c>
      <c r="C16" s="156">
        <f ca="1"/>
        <v>549.86666000000002</v>
      </c>
      <c r="D16" s="156">
        <f ca="1"/>
        <v>1.1193320000000002</v>
      </c>
      <c r="E16" s="165">
        <f ca="1"/>
        <v>550.98599200000001</v>
      </c>
    </row>
    <row r="17" spans="1:5" ht="15" customHeight="1">
      <c r="B17" s="22">
        <f>'Oil supply projection'!$B17</f>
        <v>2026</v>
      </c>
      <c r="C17" s="156">
        <f ca="1"/>
        <v>497.98120799999998</v>
      </c>
      <c r="D17" s="156">
        <f ca="1"/>
        <v>1.3566500000000001</v>
      </c>
      <c r="E17" s="165">
        <f ca="1"/>
        <v>499.33785799999998</v>
      </c>
    </row>
    <row r="18" spans="1:5" ht="15" customHeight="1">
      <c r="B18" s="22">
        <f>'Oil supply projection'!$B18</f>
        <v>2027</v>
      </c>
      <c r="C18" s="156">
        <f ca="1"/>
        <v>438.63530400000002</v>
      </c>
      <c r="D18" s="156">
        <f ca="1"/>
        <v>1.3600780000000001</v>
      </c>
      <c r="E18" s="165">
        <f ca="1"/>
        <v>439.99538200000001</v>
      </c>
    </row>
    <row r="19" spans="1:5" ht="15" customHeight="1">
      <c r="B19" s="22">
        <f>'Oil supply projection'!$B19</f>
        <v>2028</v>
      </c>
      <c r="C19" s="156">
        <f ca="1"/>
        <v>389.905486</v>
      </c>
      <c r="D19" s="156">
        <f ca="1"/>
        <v>1.8992190000000002</v>
      </c>
      <c r="E19" s="165">
        <f ca="1"/>
        <v>391.80470500000001</v>
      </c>
    </row>
    <row r="20" spans="1:5" ht="15" customHeight="1">
      <c r="B20" s="22">
        <f>'Oil supply projection'!$B20</f>
        <v>2029</v>
      </c>
      <c r="C20" s="156">
        <f ca="1"/>
        <v>356.36827800000003</v>
      </c>
      <c r="D20" s="156">
        <f ca="1"/>
        <v>1.866627</v>
      </c>
      <c r="E20" s="165">
        <f ca="1"/>
        <v>358.23490500000003</v>
      </c>
    </row>
    <row r="21" spans="1:5" ht="15" customHeight="1">
      <c r="A21" s="17"/>
      <c r="B21" s="22">
        <f>'Oil supply projection'!$B21</f>
        <v>2030</v>
      </c>
      <c r="C21" s="156">
        <f ca="1"/>
        <v>333.5742826214983</v>
      </c>
      <c r="D21" s="156">
        <f ca="1"/>
        <v>1.8441029843416192</v>
      </c>
      <c r="E21" s="165">
        <f ca="1"/>
        <v>335.41838560583994</v>
      </c>
    </row>
    <row r="22" spans="1:5" ht="15" customHeight="1">
      <c r="A22" s="17"/>
      <c r="B22" s="22">
        <f>'Oil supply projection'!$B22</f>
        <v>2031</v>
      </c>
      <c r="C22" s="156">
        <f ca="1"/>
        <v>331.99846740934697</v>
      </c>
      <c r="D22" s="156">
        <f ca="1"/>
        <v>1.8120551161330811</v>
      </c>
      <c r="E22" s="165">
        <f ca="1"/>
        <v>333.81052252548005</v>
      </c>
    </row>
    <row r="23" spans="1:5" ht="15" customHeight="1">
      <c r="A23" s="17"/>
      <c r="B23" s="22">
        <f>'Oil supply projection'!$B23</f>
        <v>2032</v>
      </c>
      <c r="C23" s="156">
        <f ca="1"/>
        <v>337.28767063337318</v>
      </c>
      <c r="D23" s="156">
        <f ca="1"/>
        <v>1.7910226737077217</v>
      </c>
      <c r="E23" s="165">
        <f ca="1"/>
        <v>339.07869330708093</v>
      </c>
    </row>
    <row r="24" spans="1:5" ht="15" customHeight="1">
      <c r="A24" s="17"/>
      <c r="B24" s="22">
        <f>'Oil supply projection'!$B24</f>
        <v>2033</v>
      </c>
      <c r="C24" s="156">
        <f ca="1"/>
        <v>336.85699814156249</v>
      </c>
      <c r="D24" s="156">
        <f ca="1"/>
        <v>1.6810896869569045</v>
      </c>
      <c r="E24" s="165">
        <f ca="1"/>
        <v>338.53808782851939</v>
      </c>
    </row>
    <row r="25" spans="1:5" ht="15" customHeight="1">
      <c r="A25" s="17"/>
      <c r="B25" s="22">
        <f>'Oil supply projection'!$B25</f>
        <v>2034</v>
      </c>
      <c r="C25" s="156">
        <f ca="1"/>
        <v>329.72754498064478</v>
      </c>
      <c r="D25" s="156">
        <f ca="1"/>
        <v>1.6596013836993164</v>
      </c>
      <c r="E25" s="165">
        <f ca="1"/>
        <v>331.38714636434412</v>
      </c>
    </row>
    <row r="26" spans="1:5" ht="15" customHeight="1">
      <c r="A26" s="17"/>
      <c r="B26" s="22">
        <f>'Oil supply projection'!$B26</f>
        <v>2035</v>
      </c>
      <c r="C26" s="156">
        <f ca="1"/>
        <v>332.02584794022761</v>
      </c>
      <c r="D26" s="156">
        <f ca="1"/>
        <v>1.6269703020692661</v>
      </c>
      <c r="E26" s="165">
        <f ca="1"/>
        <v>333.65281824229686</v>
      </c>
    </row>
    <row r="27" spans="1:5" ht="15" customHeight="1">
      <c r="A27" s="17"/>
      <c r="B27" s="22">
        <f>'Oil supply projection'!$B27</f>
        <v>2036</v>
      </c>
      <c r="C27" s="156">
        <f ca="1"/>
        <v>325.37384640734871</v>
      </c>
      <c r="D27" s="156">
        <f ca="1"/>
        <v>1.5929512929521776</v>
      </c>
      <c r="E27" s="165">
        <f ca="1"/>
        <v>326.9667977003009</v>
      </c>
    </row>
    <row r="28" spans="1:5" ht="15" customHeight="1">
      <c r="A28" s="19"/>
      <c r="B28" s="22">
        <f>'Oil supply projection'!$B28</f>
        <v>2037</v>
      </c>
      <c r="C28" s="156">
        <f ca="1"/>
        <v>313.33176909342876</v>
      </c>
      <c r="D28" s="156">
        <f ca="1"/>
        <v>1.5736147669597584</v>
      </c>
      <c r="E28" s="165">
        <f ca="1"/>
        <v>314.9053838603885</v>
      </c>
    </row>
    <row r="29" spans="1:5" ht="15" customHeight="1">
      <c r="A29" s="17"/>
      <c r="B29" s="22">
        <f>'Oil supply projection'!$B29</f>
        <v>2038</v>
      </c>
      <c r="C29" s="156">
        <f ca="1"/>
        <v>303.11696277244351</v>
      </c>
      <c r="D29" s="156">
        <f ca="1"/>
        <v>1.585200876483696</v>
      </c>
      <c r="E29" s="165">
        <f ca="1"/>
        <v>304.70216364892718</v>
      </c>
    </row>
    <row r="30" spans="1:5" ht="15" customHeight="1">
      <c r="A30" s="17"/>
      <c r="B30" s="22">
        <f>'Oil supply projection'!$B30</f>
        <v>2039</v>
      </c>
      <c r="C30" s="156">
        <f ca="1"/>
        <v>296.7548708142163</v>
      </c>
      <c r="D30" s="156">
        <f ca="1"/>
        <v>1.5697465147597338</v>
      </c>
      <c r="E30" s="165">
        <f ca="1"/>
        <v>298.32461732897605</v>
      </c>
    </row>
    <row r="31" spans="1:5" ht="15" customHeight="1">
      <c r="A31" s="17"/>
      <c r="B31" s="22">
        <f>'Oil supply projection'!$B31</f>
        <v>2040</v>
      </c>
      <c r="C31" s="156">
        <f ca="1"/>
        <v>293.65798376990864</v>
      </c>
      <c r="D31" s="156">
        <f ca="1"/>
        <v>1.5544603791768072</v>
      </c>
      <c r="E31" s="165">
        <f ca="1"/>
        <v>295.21244414908546</v>
      </c>
    </row>
    <row r="32" spans="1:5" ht="15" customHeight="1">
      <c r="A32" s="17"/>
      <c r="B32" s="22">
        <f>'Oil supply projection'!$B32</f>
        <v>2041</v>
      </c>
      <c r="C32" s="156">
        <f ca="1"/>
        <v>294.02122489401461</v>
      </c>
      <c r="D32" s="156">
        <f ca="1"/>
        <v>1.5423881403514319</v>
      </c>
      <c r="E32" s="165">
        <f ca="1"/>
        <v>295.56361303436603</v>
      </c>
    </row>
    <row r="33" spans="1:5" ht="15" customHeight="1">
      <c r="A33" s="17"/>
      <c r="B33" s="22">
        <f>'Oil supply projection'!$B33</f>
        <v>2042</v>
      </c>
      <c r="C33" s="156">
        <f ca="1"/>
        <v>294.55232589848936</v>
      </c>
      <c r="D33" s="156">
        <f ca="1"/>
        <v>1.5193700713580947</v>
      </c>
      <c r="E33" s="165">
        <f ca="1"/>
        <v>296.07169596984744</v>
      </c>
    </row>
    <row r="34" spans="1:5" ht="15" customHeight="1">
      <c r="A34" s="17"/>
      <c r="B34" s="22">
        <f>'Oil supply projection'!$B34</f>
        <v>2043</v>
      </c>
      <c r="C34" s="156">
        <f ca="1"/>
        <v>290.2644639160373</v>
      </c>
      <c r="D34" s="156">
        <f ca="1"/>
        <v>1.5054149225972246</v>
      </c>
      <c r="E34" s="165">
        <f ca="1"/>
        <v>291.7698788386345</v>
      </c>
    </row>
    <row r="35" spans="1:5" ht="15" customHeight="1">
      <c r="A35" s="17"/>
      <c r="B35" s="22">
        <f>'Oil supply projection'!$B35</f>
        <v>2044</v>
      </c>
      <c r="C35" s="156">
        <f ca="1"/>
        <v>288.11986235911922</v>
      </c>
      <c r="D35" s="156">
        <f ca="1"/>
        <v>1.5338457857927483</v>
      </c>
      <c r="E35" s="165">
        <f ca="1"/>
        <v>289.65370814491195</v>
      </c>
    </row>
    <row r="36" spans="1:5" ht="15" customHeight="1">
      <c r="A36" s="17"/>
      <c r="B36" s="22">
        <f>'Oil supply projection'!$B36</f>
        <v>2045</v>
      </c>
      <c r="C36" s="156">
        <f ca="1"/>
        <v>0</v>
      </c>
      <c r="D36" s="156">
        <f ca="1"/>
        <v>0</v>
      </c>
      <c r="E36" s="165">
        <f ca="1"/>
        <v>0</v>
      </c>
    </row>
    <row r="37" spans="1:5" ht="15" customHeight="1">
      <c r="A37" s="17"/>
      <c r="B37" s="22">
        <f>'Oil supply projection'!$B37</f>
        <v>2046</v>
      </c>
      <c r="C37" s="156">
        <f ca="1"/>
        <v>0</v>
      </c>
      <c r="D37" s="156">
        <f ca="1"/>
        <v>0</v>
      </c>
      <c r="E37" s="165">
        <f ca="1"/>
        <v>0</v>
      </c>
    </row>
    <row r="38" spans="1:5" ht="15" customHeight="1">
      <c r="A38" s="17"/>
      <c r="B38" s="22">
        <f>'Oil supply projection'!$B38</f>
        <v>2047</v>
      </c>
      <c r="C38" s="156">
        <f ca="1"/>
        <v>0</v>
      </c>
      <c r="D38" s="156">
        <f ca="1"/>
        <v>0</v>
      </c>
      <c r="E38" s="165">
        <f ca="1"/>
        <v>0</v>
      </c>
    </row>
    <row r="39" spans="1:5" ht="15" customHeight="1">
      <c r="A39" s="19"/>
      <c r="B39" s="22">
        <f>'Oil supply projection'!$B39</f>
        <v>2048</v>
      </c>
      <c r="C39" s="156">
        <f ca="1"/>
        <v>0</v>
      </c>
      <c r="D39" s="156">
        <f ca="1"/>
        <v>0</v>
      </c>
      <c r="E39" s="165">
        <f ca="1"/>
        <v>0</v>
      </c>
    </row>
    <row r="40" spans="1:5" ht="15" customHeight="1">
      <c r="A40" s="17"/>
      <c r="B40" s="22">
        <f>'Oil supply projection'!$B40</f>
        <v>2049</v>
      </c>
      <c r="C40" s="156">
        <f ca="1"/>
        <v>0</v>
      </c>
      <c r="D40" s="156">
        <f ca="1"/>
        <v>0</v>
      </c>
      <c r="E40" s="165">
        <f ca="1"/>
        <v>0</v>
      </c>
    </row>
    <row r="41" spans="1:5" ht="15" customHeight="1">
      <c r="A41" s="17"/>
      <c r="B41" s="22">
        <f>'Oil supply projection'!$B41</f>
        <v>2050</v>
      </c>
      <c r="C41" s="156">
        <f ca="1"/>
        <v>0</v>
      </c>
      <c r="D41" s="156">
        <f ca="1"/>
        <v>0</v>
      </c>
      <c r="E41" s="165">
        <f ca="1"/>
        <v>0</v>
      </c>
    </row>
    <row r="42" spans="1:5" ht="15" customHeight="1">
      <c r="A42" s="17"/>
      <c r="B42" s="22">
        <f>'Oil supply projection'!$B42</f>
        <v>2051</v>
      </c>
      <c r="C42" s="156">
        <f ca="1"/>
        <v>0</v>
      </c>
      <c r="D42" s="156">
        <f ca="1"/>
        <v>0</v>
      </c>
      <c r="E42" s="165">
        <f ca="1"/>
        <v>0</v>
      </c>
    </row>
    <row r="43" spans="1:5" ht="15" customHeight="1">
      <c r="A43" s="17"/>
      <c r="B43" s="22">
        <f>'Oil supply projection'!$B43</f>
        <v>2052</v>
      </c>
      <c r="C43" s="156">
        <f ca="1"/>
        <v>0</v>
      </c>
      <c r="D43" s="156">
        <f ca="1"/>
        <v>0</v>
      </c>
      <c r="E43" s="165">
        <f ca="1"/>
        <v>0</v>
      </c>
    </row>
    <row r="44" spans="1:5" ht="15" customHeight="1">
      <c r="A44" s="17"/>
      <c r="B44" s="22">
        <f>'Oil supply projection'!$B44</f>
        <v>2053</v>
      </c>
      <c r="C44" s="156">
        <f ca="1"/>
        <v>0</v>
      </c>
      <c r="D44" s="156">
        <f ca="1"/>
        <v>0</v>
      </c>
      <c r="E44" s="165">
        <f ca="1"/>
        <v>0</v>
      </c>
    </row>
    <row r="45" spans="1:5" ht="15" customHeight="1">
      <c r="A45" s="17"/>
      <c r="B45" s="22">
        <f>'Oil supply projection'!$B45</f>
        <v>2054</v>
      </c>
      <c r="C45" s="156">
        <f ca="1"/>
        <v>0</v>
      </c>
      <c r="D45" s="156">
        <f ca="1"/>
        <v>0</v>
      </c>
      <c r="E45" s="165">
        <f ca="1"/>
        <v>0</v>
      </c>
    </row>
    <row r="46" spans="1:5" ht="15" customHeight="1">
      <c r="A46" s="17"/>
      <c r="B46" s="22">
        <f>'Oil supply projection'!$B46</f>
        <v>2055</v>
      </c>
      <c r="C46" s="156">
        <f ca="1"/>
        <v>0</v>
      </c>
      <c r="D46" s="156">
        <f ca="1"/>
        <v>0</v>
      </c>
      <c r="E46" s="165">
        <f ca="1"/>
        <v>0</v>
      </c>
    </row>
    <row r="47" spans="1:5" ht="15" customHeight="1">
      <c r="A47" s="17"/>
      <c r="B47" s="22">
        <f>'Oil supply projection'!$B47</f>
        <v>2056</v>
      </c>
      <c r="C47" s="156">
        <f ca="1"/>
        <v>0</v>
      </c>
      <c r="D47" s="156">
        <f ca="1"/>
        <v>0</v>
      </c>
      <c r="E47" s="165">
        <f ca="1"/>
        <v>0</v>
      </c>
    </row>
    <row r="48" spans="1:5" ht="15" customHeight="1">
      <c r="A48" s="17"/>
      <c r="B48" s="22">
        <f>'Oil supply projection'!$B48</f>
        <v>2057</v>
      </c>
      <c r="C48" s="156">
        <f ca="1"/>
        <v>0</v>
      </c>
      <c r="D48" s="156">
        <f ca="1"/>
        <v>0</v>
      </c>
      <c r="E48" s="165">
        <f ca="1"/>
        <v>0</v>
      </c>
    </row>
    <row r="49" spans="1:5" ht="15" customHeight="1">
      <c r="A49" s="17"/>
      <c r="B49" s="22">
        <f>'Oil supply projection'!$B49</f>
        <v>2058</v>
      </c>
      <c r="C49" s="156">
        <f ca="1"/>
        <v>0</v>
      </c>
      <c r="D49" s="156">
        <f ca="1"/>
        <v>0</v>
      </c>
      <c r="E49" s="165">
        <f ca="1"/>
        <v>0</v>
      </c>
    </row>
    <row r="50" spans="1:5" ht="15" customHeight="1">
      <c r="A50" s="17"/>
      <c r="B50" s="22">
        <f>'Oil supply projection'!$B50</f>
        <v>2059</v>
      </c>
      <c r="C50" s="156">
        <f ca="1"/>
        <v>0</v>
      </c>
      <c r="D50" s="156">
        <f ca="1"/>
        <v>0</v>
      </c>
      <c r="E50" s="165">
        <f ca="1"/>
        <v>0</v>
      </c>
    </row>
    <row r="51" spans="1:5" ht="15" customHeight="1">
      <c r="A51" s="17"/>
      <c r="B51" s="22">
        <f>'Oil supply projection'!$B51</f>
        <v>2060</v>
      </c>
      <c r="C51" s="156">
        <f ca="1"/>
        <v>0</v>
      </c>
      <c r="D51" s="156">
        <f ca="1"/>
        <v>0</v>
      </c>
      <c r="E51" s="165">
        <f ca="1"/>
        <v>0</v>
      </c>
    </row>
    <row r="52" spans="1:5" ht="15" customHeight="1">
      <c r="A52" s="17"/>
      <c r="B52" s="22">
        <f>'Oil supply projection'!$B52</f>
        <v>2061</v>
      </c>
      <c r="C52" s="156">
        <f ca="1"/>
        <v>0</v>
      </c>
      <c r="D52" s="156">
        <f ca="1"/>
        <v>0</v>
      </c>
      <c r="E52" s="165">
        <f ca="1"/>
        <v>0</v>
      </c>
    </row>
    <row r="53" spans="1:5" ht="15" customHeight="1">
      <c r="A53" s="16"/>
      <c r="B53" s="22">
        <f>'Oil supply projection'!$B53</f>
        <v>2062</v>
      </c>
      <c r="C53" s="156">
        <f ca="1"/>
        <v>0</v>
      </c>
      <c r="D53" s="156">
        <f ca="1"/>
        <v>0</v>
      </c>
      <c r="E53" s="165">
        <f ca="1"/>
        <v>0</v>
      </c>
    </row>
    <row r="54" spans="1:5" ht="15" customHeight="1">
      <c r="A54" s="16"/>
      <c r="B54" s="22">
        <f>'Oil supply projection'!$B54</f>
        <v>2063</v>
      </c>
      <c r="C54" s="156">
        <f ca="1"/>
        <v>0</v>
      </c>
      <c r="D54" s="156">
        <f ca="1"/>
        <v>0</v>
      </c>
      <c r="E54" s="165">
        <f ca="1"/>
        <v>0</v>
      </c>
    </row>
    <row r="55" spans="1:5" ht="15" customHeight="1">
      <c r="A55" s="16"/>
      <c r="B55" s="22">
        <f>'Oil supply projection'!$B55</f>
        <v>2064</v>
      </c>
      <c r="C55" s="156">
        <f ca="1"/>
        <v>0</v>
      </c>
      <c r="D55" s="156">
        <f ca="1"/>
        <v>0</v>
      </c>
      <c r="E55" s="165">
        <f ca="1"/>
        <v>0</v>
      </c>
    </row>
    <row r="56" spans="1:5" ht="15" customHeight="1">
      <c r="A56" s="16"/>
      <c r="B56" s="22">
        <f>'Oil supply projection'!$B56</f>
        <v>2065</v>
      </c>
      <c r="C56" s="156">
        <f ca="1"/>
        <v>0</v>
      </c>
      <c r="D56" s="156">
        <f ca="1"/>
        <v>0</v>
      </c>
      <c r="E56" s="165">
        <f ca="1"/>
        <v>0</v>
      </c>
    </row>
    <row r="57" spans="1:5" ht="15" customHeight="1">
      <c r="A57" s="16"/>
      <c r="B57" s="22">
        <f>'Oil supply projection'!$B57</f>
        <v>2066</v>
      </c>
      <c r="C57" s="156">
        <f ca="1"/>
        <v>0</v>
      </c>
      <c r="D57" s="156">
        <f ca="1"/>
        <v>0</v>
      </c>
      <c r="E57" s="165">
        <f ca="1"/>
        <v>0</v>
      </c>
    </row>
    <row r="58" spans="1:5" ht="15" customHeight="1">
      <c r="A58" s="16"/>
      <c r="B58" s="22">
        <f>'Oil supply projection'!$B58</f>
        <v>2067</v>
      </c>
      <c r="C58" s="156">
        <f ca="1"/>
        <v>0</v>
      </c>
      <c r="D58" s="156">
        <f ca="1"/>
        <v>0</v>
      </c>
      <c r="E58" s="165">
        <f ca="1"/>
        <v>0</v>
      </c>
    </row>
    <row r="59" spans="1:5" ht="15" customHeight="1">
      <c r="A59" s="16"/>
      <c r="B59" s="22">
        <f>'Oil supply projection'!$B59</f>
        <v>2068</v>
      </c>
      <c r="C59" s="156">
        <f ca="1"/>
        <v>0</v>
      </c>
      <c r="D59" s="156">
        <f ca="1"/>
        <v>0</v>
      </c>
      <c r="E59" s="165">
        <f ca="1"/>
        <v>0</v>
      </c>
    </row>
    <row r="60" spans="1:5" ht="15" customHeight="1">
      <c r="A60" s="16"/>
      <c r="B60" s="22">
        <f>'Oil supply projection'!$B60</f>
        <v>2069</v>
      </c>
      <c r="C60" s="156">
        <f ca="1"/>
        <v>0</v>
      </c>
      <c r="D60" s="156">
        <f ca="1"/>
        <v>0</v>
      </c>
      <c r="E60" s="165">
        <f ca="1"/>
        <v>0</v>
      </c>
    </row>
    <row r="61" spans="1:5" ht="15" customHeight="1">
      <c r="A61" s="16"/>
      <c r="B61" s="22">
        <f>'Oil supply projection'!$B61</f>
        <v>2070</v>
      </c>
      <c r="C61" s="156">
        <f ca="1"/>
        <v>0</v>
      </c>
      <c r="D61" s="156">
        <f ca="1"/>
        <v>0</v>
      </c>
      <c r="E61" s="165">
        <f ca="1"/>
        <v>0</v>
      </c>
    </row>
    <row r="62" spans="1:5" ht="15" customHeight="1">
      <c r="A62" s="16"/>
      <c r="B62" s="22">
        <f>'Oil supply projection'!$B62</f>
        <v>2071</v>
      </c>
      <c r="C62" s="156">
        <f ca="1"/>
        <v>0</v>
      </c>
      <c r="D62" s="156">
        <f ca="1"/>
        <v>0</v>
      </c>
      <c r="E62" s="165">
        <f ca="1"/>
        <v>0</v>
      </c>
    </row>
    <row r="63" spans="1:5" ht="15" customHeight="1">
      <c r="A63" s="16"/>
      <c r="B63" s="22">
        <f>'Oil supply projection'!$B63</f>
        <v>2072</v>
      </c>
      <c r="C63" s="156">
        <f ca="1"/>
        <v>0</v>
      </c>
      <c r="D63" s="156">
        <f ca="1"/>
        <v>0</v>
      </c>
      <c r="E63" s="165">
        <f ca="1"/>
        <v>0</v>
      </c>
    </row>
    <row r="64" spans="1:5" ht="15" customHeight="1">
      <c r="A64" s="16"/>
      <c r="B64" s="22">
        <f>'Oil supply projection'!$B64</f>
        <v>2073</v>
      </c>
      <c r="C64" s="156">
        <f ca="1"/>
        <v>0</v>
      </c>
      <c r="D64" s="156">
        <f ca="1"/>
        <v>0</v>
      </c>
      <c r="E64" s="165">
        <f ca="1"/>
        <v>0</v>
      </c>
    </row>
    <row r="65" spans="1:5" ht="15" customHeight="1">
      <c r="A65" s="16"/>
      <c r="B65" s="22">
        <f>'Oil supply projection'!$B65</f>
        <v>2074</v>
      </c>
      <c r="C65" s="156">
        <f ca="1"/>
        <v>0</v>
      </c>
      <c r="D65" s="156">
        <f ca="1"/>
        <v>0</v>
      </c>
      <c r="E65" s="165">
        <f ca="1"/>
        <v>0</v>
      </c>
    </row>
    <row r="66" spans="1:5" ht="15" customHeight="1">
      <c r="A66" s="16"/>
      <c r="B66" s="22">
        <f>'Oil supply projection'!$B66</f>
        <v>2075</v>
      </c>
      <c r="C66" s="156">
        <f ca="1"/>
        <v>0</v>
      </c>
      <c r="D66" s="156">
        <f ca="1"/>
        <v>0</v>
      </c>
      <c r="E66" s="165">
        <f ca="1"/>
        <v>0</v>
      </c>
    </row>
    <row r="67" spans="1:5" ht="15" customHeight="1">
      <c r="A67" s="16"/>
      <c r="B67" s="22">
        <f>'Oil supply projection'!$B67</f>
        <v>2076</v>
      </c>
      <c r="C67" s="156">
        <f ca="1"/>
        <v>0</v>
      </c>
      <c r="D67" s="156">
        <f ca="1"/>
        <v>0</v>
      </c>
      <c r="E67" s="165">
        <f ca="1"/>
        <v>0</v>
      </c>
    </row>
    <row r="68" spans="1:5" ht="15" customHeight="1">
      <c r="A68" s="16"/>
      <c r="B68" s="22">
        <f>'Oil supply projection'!$B68</f>
        <v>2077</v>
      </c>
      <c r="C68" s="156">
        <f ca="1"/>
        <v>0</v>
      </c>
      <c r="D68" s="156">
        <f ca="1"/>
        <v>0</v>
      </c>
      <c r="E68" s="165">
        <f ca="1"/>
        <v>0</v>
      </c>
    </row>
    <row r="69" spans="1:5" ht="15" customHeight="1">
      <c r="A69" s="16"/>
      <c r="B69" s="22">
        <f>'Oil supply projection'!$B69</f>
        <v>2078</v>
      </c>
      <c r="C69" s="156">
        <f ca="1"/>
        <v>0</v>
      </c>
      <c r="D69" s="156">
        <f ca="1"/>
        <v>0</v>
      </c>
      <c r="E69" s="165">
        <f ca="1"/>
        <v>0</v>
      </c>
    </row>
    <row r="70" spans="1:5" ht="15" customHeight="1">
      <c r="A70" s="16"/>
      <c r="B70" s="22">
        <f>'Oil supply projection'!$B70</f>
        <v>2079</v>
      </c>
      <c r="C70" s="156">
        <f ca="1"/>
        <v>0</v>
      </c>
      <c r="D70" s="156">
        <f ca="1"/>
        <v>0</v>
      </c>
      <c r="E70" s="165">
        <f ca="1"/>
        <v>0</v>
      </c>
    </row>
    <row r="71" spans="1:5" ht="15" customHeight="1">
      <c r="A71" s="16"/>
      <c r="B71" s="22">
        <f>'Oil supply projection'!$B71</f>
        <v>2080</v>
      </c>
      <c r="C71" s="156">
        <f ca="1"/>
        <v>0</v>
      </c>
      <c r="D71" s="156">
        <f ca="1"/>
        <v>0</v>
      </c>
      <c r="E71" s="165">
        <f ca="1"/>
        <v>0</v>
      </c>
    </row>
    <row r="72" spans="1:5" ht="15" customHeight="1">
      <c r="A72" s="16"/>
      <c r="B72" s="22">
        <f>'Oil supply projection'!$B72</f>
        <v>2081</v>
      </c>
      <c r="C72" s="156">
        <f ca="1"/>
        <v>0</v>
      </c>
      <c r="D72" s="156">
        <f ca="1"/>
        <v>0</v>
      </c>
      <c r="E72" s="165">
        <f ca="1"/>
        <v>0</v>
      </c>
    </row>
    <row r="73" spans="1:5" ht="15" customHeight="1">
      <c r="A73" s="16"/>
      <c r="B73" s="22">
        <f>'Oil supply projection'!$B73</f>
        <v>2082</v>
      </c>
      <c r="C73" s="156">
        <f ca="1"/>
        <v>0</v>
      </c>
      <c r="D73" s="156">
        <f ca="1"/>
        <v>0</v>
      </c>
      <c r="E73" s="165">
        <f ca="1"/>
        <v>0</v>
      </c>
    </row>
    <row r="74" spans="1:5" ht="15" customHeight="1">
      <c r="A74" s="16"/>
      <c r="B74" s="22">
        <f>'Oil supply projection'!$B74</f>
        <v>2083</v>
      </c>
      <c r="C74" s="156">
        <f ca="1"/>
        <v>0</v>
      </c>
      <c r="D74" s="156">
        <f ca="1"/>
        <v>0</v>
      </c>
      <c r="E74" s="165">
        <f ca="1"/>
        <v>0</v>
      </c>
    </row>
    <row r="75" spans="1:5" ht="15" customHeight="1">
      <c r="A75" s="16"/>
      <c r="B75" s="22">
        <f>'Oil supply projection'!$B75</f>
        <v>2084</v>
      </c>
      <c r="C75" s="156">
        <f ca="1"/>
        <v>0</v>
      </c>
      <c r="D75" s="156">
        <f ca="1"/>
        <v>0</v>
      </c>
      <c r="E75" s="165">
        <f ca="1"/>
        <v>0</v>
      </c>
    </row>
    <row r="76" spans="1:5" ht="15" customHeight="1">
      <c r="A76" s="16"/>
      <c r="B76" s="22">
        <f>'Oil supply projection'!$B76</f>
        <v>2085</v>
      </c>
      <c r="C76" s="156">
        <f ca="1"/>
        <v>0</v>
      </c>
      <c r="D76" s="156">
        <f ca="1"/>
        <v>0</v>
      </c>
      <c r="E76" s="165">
        <f ca="1"/>
        <v>0</v>
      </c>
    </row>
    <row r="77" spans="1:5" ht="15" customHeight="1">
      <c r="A77" s="16"/>
      <c r="B77" s="22">
        <f>'Oil supply projection'!$B77</f>
        <v>2086</v>
      </c>
      <c r="C77" s="156">
        <f ca="1"/>
        <v>0</v>
      </c>
      <c r="D77" s="156">
        <f ca="1"/>
        <v>0</v>
      </c>
      <c r="E77" s="165">
        <f ca="1"/>
        <v>0</v>
      </c>
    </row>
    <row r="78" spans="1:5" ht="15" customHeight="1">
      <c r="A78" s="16"/>
      <c r="B78" s="22">
        <f>'Oil supply projection'!$B78</f>
        <v>2087</v>
      </c>
      <c r="C78" s="156">
        <f ca="1"/>
        <v>0</v>
      </c>
      <c r="D78" s="156">
        <f ca="1"/>
        <v>0</v>
      </c>
      <c r="E78" s="165">
        <f ca="1"/>
        <v>0</v>
      </c>
    </row>
    <row r="79" spans="1:5" ht="15" customHeight="1">
      <c r="A79" s="16"/>
      <c r="B79" s="22">
        <f>'Oil supply projection'!$B79</f>
        <v>2088</v>
      </c>
      <c r="C79" s="156">
        <f ca="1"/>
        <v>0</v>
      </c>
      <c r="D79" s="156">
        <f ca="1"/>
        <v>0</v>
      </c>
      <c r="E79" s="165">
        <f ca="1"/>
        <v>0</v>
      </c>
    </row>
    <row r="80" spans="1:5" ht="15" customHeight="1">
      <c r="A80" s="16"/>
      <c r="B80" s="22">
        <f>'Oil supply projection'!$B80</f>
        <v>2089</v>
      </c>
      <c r="C80" s="156">
        <f ca="1"/>
        <v>0</v>
      </c>
      <c r="D80" s="156">
        <f ca="1"/>
        <v>0</v>
      </c>
      <c r="E80" s="165">
        <f ca="1"/>
        <v>0</v>
      </c>
    </row>
    <row r="81" spans="1:5" ht="15" customHeight="1">
      <c r="A81" s="16"/>
      <c r="B81" s="22">
        <f>'Oil supply projection'!$B81</f>
        <v>2090</v>
      </c>
      <c r="C81" s="156">
        <f ca="1"/>
        <v>0</v>
      </c>
      <c r="D81" s="156">
        <f ca="1"/>
        <v>0</v>
      </c>
      <c r="E81" s="165">
        <f ca="1"/>
        <v>0</v>
      </c>
    </row>
    <row r="82" spans="1:5" ht="15" customHeight="1">
      <c r="A82" s="16"/>
      <c r="B82" s="22">
        <f>'Oil supply projection'!$B82</f>
        <v>2091</v>
      </c>
      <c r="C82" s="156">
        <f ca="1"/>
        <v>0</v>
      </c>
      <c r="D82" s="156">
        <f ca="1"/>
        <v>0</v>
      </c>
      <c r="E82" s="165">
        <f ca="1"/>
        <v>0</v>
      </c>
    </row>
    <row r="83" spans="1:5" ht="15" customHeight="1">
      <c r="A83" s="16"/>
      <c r="B83" s="22">
        <f>'Oil supply projection'!$B83</f>
        <v>2092</v>
      </c>
      <c r="C83" s="156">
        <f ca="1"/>
        <v>0</v>
      </c>
      <c r="D83" s="156">
        <f ca="1"/>
        <v>0</v>
      </c>
      <c r="E83" s="165">
        <f ca="1"/>
        <v>0</v>
      </c>
    </row>
    <row r="84" spans="1:5" ht="15" customHeight="1">
      <c r="A84" s="16"/>
      <c r="B84" s="22">
        <f>'Oil supply projection'!$B84</f>
        <v>2093</v>
      </c>
      <c r="C84" s="182">
        <f ca="1"/>
        <v>0</v>
      </c>
      <c r="D84" s="182">
        <f ca="1"/>
        <v>0</v>
      </c>
      <c r="E84" s="166">
        <f ca="1"/>
        <v>0</v>
      </c>
    </row>
  </sheetData>
  <mergeCells count="1">
    <mergeCell ref="A1:B1"/>
  </mergeCells>
  <phoneticPr fontId="29" type="noConversion"/>
  <conditionalFormatting sqref="C10:E84">
    <cfRule type="expression" dxfId="117" priority="1" stopIfTrue="1">
      <formula>ISERROR(C10)</formula>
    </cfRule>
  </conditionalFormatting>
  <hyperlinks>
    <hyperlink ref="A1" location="'Table of Contents'!A1" tooltip="Click here to return to the Table of Contents tab" display="Return to Table of Contents" xr:uid="{00000000-0004-0000-10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0">
    <tabColor theme="8" tint="-0.249977111117893"/>
  </sheetPr>
  <dimension ref="A1:C15"/>
  <sheetViews>
    <sheetView workbookViewId="0">
      <selection activeCell="C11" sqref="C11"/>
    </sheetView>
  </sheetViews>
  <sheetFormatPr defaultRowHeight="12.75"/>
  <cols>
    <col min="1" max="1" width="4.7109375" customWidth="1"/>
    <col min="2" max="2" width="53.28515625" customWidth="1"/>
    <col min="3" max="3" width="25" customWidth="1"/>
  </cols>
  <sheetData>
    <row r="1" spans="1:3" ht="15.75" thickBot="1">
      <c r="A1" s="701" t="s">
        <v>27</v>
      </c>
      <c r="B1" s="702"/>
    </row>
    <row r="5" spans="1:3" ht="34.5" customHeight="1">
      <c r="B5" s="241" t="s">
        <v>464</v>
      </c>
      <c r="C5" s="241"/>
    </row>
    <row r="6" spans="1:3" ht="15">
      <c r="B6" s="241" t="s">
        <v>465</v>
      </c>
      <c r="C6" s="241" t="s">
        <v>466</v>
      </c>
    </row>
    <row r="7" spans="1:3" ht="15">
      <c r="B7" s="549" t="s">
        <v>467</v>
      </c>
      <c r="C7" s="550">
        <f ca="1">'Detailed Results'!M16</f>
        <v>11200.666065259968</v>
      </c>
    </row>
    <row r="8" spans="1:3" ht="15">
      <c r="B8" s="549" t="s">
        <v>468</v>
      </c>
      <c r="C8" s="550">
        <f ca="1">'Detailed Results'!M12</f>
        <v>77515.150863894232</v>
      </c>
    </row>
    <row r="9" spans="1:3" ht="15">
      <c r="B9" s="549" t="s">
        <v>469</v>
      </c>
      <c r="C9" s="550">
        <f ca="1">'Detailed Results'!M22</f>
        <v>-15497.301364521729</v>
      </c>
    </row>
    <row r="10" spans="1:3">
      <c r="B10" s="784"/>
      <c r="C10" s="784"/>
    </row>
    <row r="11" spans="1:3" ht="15">
      <c r="B11" s="549" t="s">
        <v>470</v>
      </c>
      <c r="C11" s="557">
        <f ca="1">C7/SUM(C7,C8,C9)</f>
        <v>0.1529758692713834</v>
      </c>
    </row>
    <row r="14" spans="1:3">
      <c r="B14" s="352"/>
    </row>
    <row r="15" spans="1:3" ht="15">
      <c r="B15" s="556"/>
    </row>
  </sheetData>
  <mergeCells count="2">
    <mergeCell ref="B10:C10"/>
    <mergeCell ref="A1:B1"/>
  </mergeCells>
  <hyperlinks>
    <hyperlink ref="A1" location="'Table of Contents'!A1" tooltip="Click here to return to the Table of Contents tab" display="Return to Table of Contents" xr:uid="{00000000-0004-0000-1100-00000000000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2">
    <tabColor theme="8" tint="-0.249977111117893"/>
  </sheetPr>
  <dimension ref="A1:Z41"/>
  <sheetViews>
    <sheetView workbookViewId="0">
      <selection activeCell="B9" sqref="B9:G9"/>
    </sheetView>
  </sheetViews>
  <sheetFormatPr defaultRowHeight="12.75"/>
  <cols>
    <col min="2" max="2" width="21" customWidth="1"/>
    <col min="3" max="3" width="21.5703125" customWidth="1"/>
    <col min="4" max="4" width="21.28515625" customWidth="1"/>
    <col min="5" max="5" width="18.28515625" customWidth="1"/>
    <col min="6" max="6" width="14.28515625" customWidth="1"/>
    <col min="7" max="7" width="13.7109375" customWidth="1"/>
    <col min="8" max="9" width="17" customWidth="1"/>
    <col min="13" max="13" width="0" hidden="1" customWidth="1"/>
  </cols>
  <sheetData>
    <row r="1" spans="1:26" ht="15.75" thickBot="1">
      <c r="A1" s="701" t="s">
        <v>27</v>
      </c>
      <c r="B1" s="702"/>
      <c r="C1" s="339"/>
      <c r="D1" s="339"/>
      <c r="E1" s="339"/>
      <c r="F1" s="339"/>
      <c r="G1" s="339"/>
      <c r="H1" s="339"/>
      <c r="I1" s="339"/>
      <c r="J1" s="339"/>
      <c r="K1" s="339"/>
      <c r="L1" s="339"/>
      <c r="M1" s="339" t="s">
        <v>471</v>
      </c>
      <c r="N1" s="339"/>
      <c r="O1" s="339"/>
      <c r="P1" s="339"/>
      <c r="Q1" s="339"/>
      <c r="R1" s="339"/>
      <c r="S1" s="339"/>
      <c r="T1" s="339"/>
      <c r="U1" s="339"/>
      <c r="V1" s="339"/>
      <c r="W1" s="339"/>
      <c r="X1" s="339"/>
      <c r="Y1" s="339"/>
      <c r="Z1" s="339"/>
    </row>
    <row r="2" spans="1:26">
      <c r="A2" s="339"/>
      <c r="C2" s="339"/>
      <c r="D2" s="339"/>
      <c r="E2" s="339"/>
      <c r="F2" s="339"/>
      <c r="G2" s="339"/>
      <c r="H2" s="339"/>
      <c r="I2" s="339"/>
      <c r="J2" s="339"/>
      <c r="K2" s="339"/>
      <c r="L2" s="339"/>
      <c r="M2" s="339" t="s">
        <v>472</v>
      </c>
      <c r="N2" s="339"/>
      <c r="O2" s="339"/>
      <c r="P2" s="339"/>
      <c r="Q2" s="339"/>
      <c r="R2" s="339"/>
      <c r="S2" s="339"/>
      <c r="T2" s="339"/>
      <c r="U2" s="339"/>
      <c r="V2" s="339"/>
      <c r="W2" s="339"/>
      <c r="X2" s="339"/>
      <c r="Y2" s="339"/>
      <c r="Z2" s="339"/>
    </row>
    <row r="3" spans="1:26" ht="18">
      <c r="A3" s="339"/>
      <c r="B3" s="789" t="s">
        <v>473</v>
      </c>
      <c r="C3" s="789"/>
      <c r="D3" s="789"/>
      <c r="E3" s="789"/>
      <c r="F3" s="789"/>
      <c r="G3" s="789"/>
      <c r="H3" s="789"/>
      <c r="I3" s="789"/>
      <c r="J3" s="339"/>
      <c r="K3" s="339"/>
      <c r="L3" s="339"/>
      <c r="M3" s="339"/>
      <c r="N3" s="339"/>
      <c r="O3" s="339"/>
      <c r="P3" s="339"/>
      <c r="Q3" s="339"/>
      <c r="R3" s="339"/>
      <c r="S3" s="339"/>
      <c r="T3" s="339"/>
      <c r="U3" s="339"/>
      <c r="V3" s="339"/>
      <c r="W3" s="339"/>
      <c r="X3" s="339"/>
      <c r="Y3" s="339"/>
      <c r="Z3" s="339"/>
    </row>
    <row r="4" spans="1:26" ht="45">
      <c r="A4" s="339"/>
      <c r="B4" s="661" t="s">
        <v>474</v>
      </c>
      <c r="C4" s="661" t="s">
        <v>475</v>
      </c>
      <c r="D4" s="661" t="s">
        <v>476</v>
      </c>
      <c r="E4" s="661" t="s">
        <v>477</v>
      </c>
      <c r="F4" s="661" t="s">
        <v>478</v>
      </c>
      <c r="G4" s="661" t="s">
        <v>479</v>
      </c>
      <c r="H4" s="661" t="s">
        <v>480</v>
      </c>
      <c r="I4" s="661" t="s">
        <v>481</v>
      </c>
      <c r="J4" s="339"/>
      <c r="K4" s="339"/>
      <c r="L4" s="339"/>
      <c r="M4" s="339"/>
      <c r="N4" s="339"/>
      <c r="O4" s="339"/>
      <c r="P4" s="339"/>
      <c r="Q4" s="339"/>
      <c r="R4" s="339"/>
      <c r="S4" s="339"/>
      <c r="T4" s="339"/>
      <c r="U4" s="339"/>
      <c r="V4" s="339"/>
      <c r="W4" s="339"/>
      <c r="X4" s="339"/>
      <c r="Y4" s="339"/>
      <c r="Z4" s="339"/>
    </row>
    <row r="5" spans="1:26" ht="15">
      <c r="A5" s="339"/>
      <c r="B5" s="549" t="s">
        <v>482</v>
      </c>
      <c r="C5" s="550">
        <v>1530662</v>
      </c>
      <c r="D5" s="550">
        <v>261927</v>
      </c>
      <c r="E5" s="550">
        <v>1869103</v>
      </c>
      <c r="F5" s="568">
        <f>C5/E5</f>
        <v>0.81892865187204766</v>
      </c>
      <c r="G5" s="569" t="s">
        <v>472</v>
      </c>
      <c r="H5" s="788">
        <v>0.25</v>
      </c>
      <c r="I5" s="788">
        <v>0.75</v>
      </c>
      <c r="J5" s="339"/>
      <c r="K5" s="339"/>
      <c r="L5" s="339"/>
      <c r="M5" s="339"/>
      <c r="N5" s="339"/>
      <c r="O5" s="339"/>
      <c r="P5" s="339"/>
      <c r="Q5" s="339"/>
      <c r="R5" s="339"/>
      <c r="S5" s="339"/>
      <c r="T5" s="339"/>
      <c r="U5" s="339"/>
      <c r="V5" s="339"/>
      <c r="W5" s="339"/>
      <c r="X5" s="339"/>
      <c r="Y5" s="339"/>
      <c r="Z5" s="339"/>
    </row>
    <row r="6" spans="1:26" ht="15">
      <c r="A6" s="339"/>
      <c r="B6" s="549" t="s">
        <v>483</v>
      </c>
      <c r="C6" s="550">
        <v>676036</v>
      </c>
      <c r="D6" s="550">
        <v>960881</v>
      </c>
      <c r="E6" s="550">
        <v>1796941</v>
      </c>
      <c r="F6" s="568">
        <f>C6/E6</f>
        <v>0.3762149118974969</v>
      </c>
      <c r="G6" s="569" t="s">
        <v>472</v>
      </c>
      <c r="H6" s="788"/>
      <c r="I6" s="788"/>
      <c r="J6" s="339"/>
      <c r="K6" s="339"/>
      <c r="L6" s="339"/>
      <c r="M6" s="339"/>
      <c r="N6" s="339"/>
      <c r="O6" s="339"/>
      <c r="P6" s="339"/>
      <c r="Q6" s="339"/>
      <c r="R6" s="339"/>
      <c r="S6" s="339"/>
      <c r="T6" s="339"/>
      <c r="U6" s="339"/>
      <c r="V6" s="339"/>
      <c r="W6" s="339"/>
      <c r="X6" s="339"/>
      <c r="Y6" s="339"/>
      <c r="Z6" s="339"/>
    </row>
    <row r="7" spans="1:26" ht="15">
      <c r="A7" s="339"/>
      <c r="B7" s="549" t="s">
        <v>484</v>
      </c>
      <c r="C7" s="550">
        <v>261759</v>
      </c>
      <c r="D7" s="550">
        <v>2181004</v>
      </c>
      <c r="E7" s="550">
        <v>2425177</v>
      </c>
      <c r="F7" s="568">
        <f>C7/E7</f>
        <v>0.10793397760245953</v>
      </c>
      <c r="G7" s="569" t="s">
        <v>471</v>
      </c>
      <c r="H7" s="788"/>
      <c r="I7" s="788"/>
      <c r="J7" s="339"/>
      <c r="K7" s="339"/>
      <c r="L7" s="339"/>
      <c r="M7" s="339"/>
      <c r="N7" s="339"/>
      <c r="O7" s="339"/>
      <c r="P7" s="339"/>
      <c r="Q7" s="339"/>
      <c r="R7" s="339"/>
      <c r="S7" s="339"/>
      <c r="T7" s="339"/>
      <c r="U7" s="339"/>
      <c r="V7" s="339"/>
      <c r="W7" s="339"/>
      <c r="X7" s="339"/>
      <c r="Y7" s="339"/>
      <c r="Z7" s="339"/>
    </row>
    <row r="8" spans="1:26" ht="25.5" customHeight="1">
      <c r="A8" s="339"/>
      <c r="B8" s="549" t="s">
        <v>485</v>
      </c>
      <c r="C8" s="550">
        <v>2468457</v>
      </c>
      <c r="D8" s="550">
        <v>3403812</v>
      </c>
      <c r="E8" s="550">
        <v>6091221</v>
      </c>
      <c r="F8" s="568">
        <f>C8/E8</f>
        <v>0.40524830735906642</v>
      </c>
      <c r="G8" s="551" t="s">
        <v>486</v>
      </c>
      <c r="H8" s="551" t="s">
        <v>486</v>
      </c>
      <c r="I8" s="551" t="s">
        <v>486</v>
      </c>
      <c r="J8" s="339"/>
      <c r="K8" s="339"/>
      <c r="L8" s="339"/>
      <c r="M8" s="339"/>
      <c r="N8" s="339"/>
      <c r="O8" s="339"/>
      <c r="P8" s="339"/>
      <c r="Q8" s="339"/>
      <c r="R8" s="339"/>
      <c r="S8" s="339"/>
      <c r="T8" s="339"/>
      <c r="U8" s="339"/>
      <c r="V8" s="339"/>
      <c r="W8" s="339"/>
      <c r="X8" s="339"/>
      <c r="Y8" s="339"/>
      <c r="Z8" s="339"/>
    </row>
    <row r="9" spans="1:26" ht="62.25" customHeight="1">
      <c r="A9" s="339"/>
      <c r="B9" s="787" t="s">
        <v>487</v>
      </c>
      <c r="C9" s="787"/>
      <c r="D9" s="787"/>
      <c r="E9" s="787"/>
      <c r="F9" s="787"/>
      <c r="G9" s="787"/>
      <c r="H9" s="570"/>
      <c r="I9" s="563"/>
      <c r="J9" s="339"/>
      <c r="K9" s="339"/>
      <c r="L9" s="339"/>
      <c r="M9" s="339"/>
      <c r="N9" s="339"/>
      <c r="O9" s="339"/>
      <c r="P9" s="339"/>
      <c r="Q9" s="339"/>
      <c r="R9" s="339"/>
      <c r="S9" s="339"/>
      <c r="T9" s="339"/>
      <c r="U9" s="339"/>
      <c r="V9" s="339"/>
      <c r="W9" s="339"/>
      <c r="X9" s="339"/>
      <c r="Y9" s="339"/>
      <c r="Z9" s="339"/>
    </row>
    <row r="10" spans="1:26" ht="15">
      <c r="A10" s="339"/>
      <c r="B10" s="570"/>
      <c r="C10" s="570"/>
      <c r="D10" s="570"/>
      <c r="E10" s="570"/>
      <c r="F10" s="570"/>
      <c r="G10" s="570"/>
      <c r="H10" s="570"/>
      <c r="I10" s="570"/>
      <c r="J10" s="339"/>
      <c r="K10" s="339"/>
      <c r="L10" s="339"/>
      <c r="M10" s="339"/>
      <c r="N10" s="339"/>
      <c r="O10" s="339"/>
      <c r="P10" s="339"/>
      <c r="Q10" s="339"/>
      <c r="R10" s="339"/>
      <c r="S10" s="339"/>
      <c r="T10" s="339"/>
      <c r="U10" s="339"/>
      <c r="V10" s="339"/>
      <c r="W10" s="339"/>
      <c r="X10" s="339"/>
      <c r="Y10" s="339"/>
      <c r="Z10" s="339"/>
    </row>
    <row r="11" spans="1:26" ht="70.5" customHeight="1">
      <c r="A11" s="339"/>
      <c r="B11" s="785" t="s">
        <v>488</v>
      </c>
      <c r="C11" s="786"/>
      <c r="D11" s="786"/>
      <c r="E11" s="786"/>
      <c r="F11" s="786"/>
      <c r="G11" s="786"/>
      <c r="H11" s="786"/>
      <c r="I11" s="786"/>
      <c r="J11" s="339"/>
      <c r="K11" s="339"/>
      <c r="L11" s="339"/>
      <c r="M11" s="339"/>
      <c r="N11" s="339"/>
      <c r="O11" s="339"/>
      <c r="P11" s="339"/>
      <c r="Q11" s="339"/>
      <c r="R11" s="339"/>
      <c r="S11" s="339"/>
      <c r="T11" s="339"/>
      <c r="U11" s="339"/>
      <c r="V11" s="339"/>
      <c r="W11" s="339"/>
      <c r="X11" s="339"/>
      <c r="Y11" s="339"/>
      <c r="Z11" s="339"/>
    </row>
    <row r="12" spans="1:26">
      <c r="A12" s="339"/>
      <c r="B12" s="339"/>
      <c r="C12" s="339"/>
      <c r="D12" s="339"/>
      <c r="E12" s="339"/>
      <c r="F12" s="339"/>
      <c r="G12" s="339"/>
      <c r="H12" s="339"/>
      <c r="I12" s="339"/>
      <c r="J12" s="339"/>
      <c r="K12" s="339"/>
      <c r="L12" s="339"/>
      <c r="M12" s="339"/>
      <c r="N12" s="339"/>
      <c r="O12" s="339"/>
      <c r="P12" s="339"/>
      <c r="Q12" s="339"/>
      <c r="R12" s="339"/>
      <c r="S12" s="339"/>
      <c r="T12" s="339"/>
      <c r="U12" s="339"/>
      <c r="V12" s="339"/>
      <c r="W12" s="339"/>
      <c r="X12" s="339"/>
      <c r="Y12" s="339"/>
      <c r="Z12" s="339"/>
    </row>
    <row r="13" spans="1:26">
      <c r="A13" s="339"/>
      <c r="B13" s="339"/>
      <c r="C13" s="339"/>
      <c r="D13" s="339"/>
      <c r="E13" s="339"/>
      <c r="F13" s="339"/>
      <c r="G13" s="339"/>
      <c r="H13" s="339"/>
      <c r="I13" s="339"/>
      <c r="J13" s="339"/>
      <c r="K13" s="339"/>
      <c r="L13" s="339"/>
      <c r="M13" s="339"/>
      <c r="N13" s="339"/>
      <c r="O13" s="339"/>
      <c r="P13" s="339"/>
      <c r="Q13" s="339"/>
      <c r="R13" s="339"/>
      <c r="S13" s="339"/>
      <c r="T13" s="339"/>
      <c r="U13" s="339"/>
      <c r="V13" s="339"/>
      <c r="W13" s="339"/>
      <c r="X13" s="339"/>
      <c r="Y13" s="339"/>
      <c r="Z13" s="339"/>
    </row>
    <row r="14" spans="1:26">
      <c r="A14" s="339"/>
      <c r="B14" s="339"/>
      <c r="C14" s="339"/>
      <c r="D14" s="339"/>
      <c r="E14" s="339"/>
      <c r="F14" s="339"/>
      <c r="G14" s="339"/>
      <c r="H14" s="339"/>
      <c r="I14" s="339"/>
      <c r="J14" s="339"/>
      <c r="K14" s="339"/>
      <c r="L14" s="339"/>
      <c r="M14" s="339"/>
      <c r="N14" s="339"/>
      <c r="O14" s="339"/>
      <c r="P14" s="339"/>
      <c r="Q14" s="339"/>
      <c r="R14" s="339"/>
      <c r="S14" s="339"/>
      <c r="T14" s="339"/>
      <c r="U14" s="339"/>
      <c r="V14" s="339"/>
      <c r="W14" s="339"/>
      <c r="X14" s="339"/>
      <c r="Y14" s="339"/>
      <c r="Z14" s="339"/>
    </row>
    <row r="15" spans="1:26">
      <c r="A15" s="339"/>
      <c r="B15" s="339"/>
      <c r="C15" s="339"/>
      <c r="D15" s="339"/>
      <c r="E15" s="339"/>
      <c r="F15" s="339"/>
      <c r="G15" s="339"/>
      <c r="H15" s="339"/>
      <c r="I15" s="339"/>
      <c r="J15" s="339"/>
      <c r="K15" s="339"/>
      <c r="L15" s="339"/>
      <c r="M15" s="339"/>
      <c r="N15" s="339"/>
      <c r="O15" s="339"/>
      <c r="P15" s="339"/>
      <c r="Q15" s="339"/>
      <c r="R15" s="339"/>
      <c r="S15" s="339"/>
      <c r="T15" s="339"/>
      <c r="U15" s="339"/>
      <c r="V15" s="339"/>
      <c r="W15" s="339"/>
      <c r="X15" s="339"/>
      <c r="Y15" s="339"/>
      <c r="Z15" s="339"/>
    </row>
    <row r="16" spans="1:26">
      <c r="A16" s="339"/>
      <c r="B16" s="339"/>
      <c r="C16" s="339"/>
      <c r="D16" s="339"/>
      <c r="E16" s="339"/>
      <c r="F16" s="339"/>
      <c r="G16" s="339"/>
      <c r="H16" s="339"/>
      <c r="I16" s="339"/>
      <c r="J16" s="339"/>
      <c r="K16" s="339"/>
      <c r="L16" s="339"/>
      <c r="M16" s="339"/>
      <c r="N16" s="339"/>
      <c r="O16" s="339"/>
      <c r="P16" s="339"/>
      <c r="Q16" s="339"/>
      <c r="R16" s="339"/>
      <c r="S16" s="339"/>
      <c r="T16" s="339"/>
      <c r="U16" s="339"/>
      <c r="V16" s="339"/>
      <c r="W16" s="339"/>
      <c r="X16" s="339"/>
      <c r="Y16" s="339"/>
      <c r="Z16" s="339"/>
    </row>
    <row r="17" spans="1:26">
      <c r="A17" s="339"/>
      <c r="B17" s="339"/>
      <c r="C17" s="339"/>
      <c r="D17" s="339"/>
      <c r="E17" s="339"/>
      <c r="F17" s="339"/>
      <c r="G17" s="339"/>
      <c r="H17" s="339"/>
      <c r="I17" s="339"/>
      <c r="J17" s="339"/>
      <c r="K17" s="339"/>
      <c r="L17" s="339"/>
      <c r="M17" s="339"/>
      <c r="N17" s="339"/>
      <c r="O17" s="339"/>
      <c r="P17" s="339"/>
      <c r="Q17" s="339"/>
      <c r="R17" s="339"/>
      <c r="S17" s="339"/>
      <c r="T17" s="339"/>
      <c r="U17" s="339"/>
      <c r="V17" s="339"/>
      <c r="W17" s="339"/>
      <c r="X17" s="339"/>
      <c r="Y17" s="339"/>
      <c r="Z17" s="339"/>
    </row>
    <row r="18" spans="1:26">
      <c r="A18" s="339"/>
      <c r="B18" s="339"/>
      <c r="C18" s="339"/>
      <c r="D18" s="339"/>
      <c r="E18" s="339"/>
      <c r="F18" s="339"/>
      <c r="G18" s="339"/>
      <c r="H18" s="339"/>
      <c r="I18" s="339"/>
      <c r="J18" s="339"/>
      <c r="K18" s="339"/>
      <c r="L18" s="339"/>
      <c r="M18" s="339"/>
      <c r="N18" s="339"/>
      <c r="O18" s="339"/>
      <c r="P18" s="339"/>
      <c r="Q18" s="339"/>
      <c r="R18" s="339"/>
      <c r="S18" s="339"/>
      <c r="T18" s="339"/>
      <c r="U18" s="339"/>
      <c r="V18" s="339"/>
      <c r="W18" s="339"/>
      <c r="X18" s="339"/>
      <c r="Y18" s="339"/>
      <c r="Z18" s="339"/>
    </row>
    <row r="19" spans="1:26">
      <c r="A19" s="339"/>
      <c r="B19" s="339"/>
      <c r="C19" s="339"/>
      <c r="D19" s="339"/>
      <c r="E19" s="339"/>
      <c r="F19" s="339"/>
      <c r="G19" s="339"/>
      <c r="H19" s="339"/>
      <c r="I19" s="339"/>
      <c r="J19" s="339"/>
      <c r="K19" s="339"/>
      <c r="L19" s="339"/>
      <c r="M19" s="339"/>
      <c r="N19" s="339"/>
      <c r="O19" s="339"/>
      <c r="P19" s="339"/>
      <c r="Q19" s="339"/>
      <c r="R19" s="339"/>
      <c r="S19" s="339"/>
      <c r="T19" s="339"/>
      <c r="U19" s="339"/>
      <c r="V19" s="339"/>
      <c r="W19" s="339"/>
      <c r="X19" s="339"/>
      <c r="Y19" s="339"/>
      <c r="Z19" s="339"/>
    </row>
    <row r="20" spans="1:26">
      <c r="A20" s="339"/>
      <c r="B20" s="339"/>
      <c r="C20" s="339"/>
      <c r="D20" s="339"/>
      <c r="E20" s="339"/>
      <c r="F20" s="339"/>
      <c r="G20" s="339"/>
      <c r="H20" s="339"/>
      <c r="I20" s="339"/>
      <c r="J20" s="339"/>
      <c r="K20" s="339"/>
      <c r="L20" s="339"/>
      <c r="M20" s="339"/>
      <c r="N20" s="339"/>
      <c r="O20" s="339"/>
      <c r="P20" s="339"/>
      <c r="Q20" s="339"/>
      <c r="R20" s="339"/>
      <c r="S20" s="339"/>
      <c r="T20" s="339"/>
      <c r="U20" s="339"/>
      <c r="V20" s="339"/>
      <c r="W20" s="339"/>
      <c r="X20" s="339"/>
      <c r="Y20" s="339"/>
      <c r="Z20" s="339"/>
    </row>
    <row r="21" spans="1:26">
      <c r="A21" s="339"/>
      <c r="B21" s="339"/>
      <c r="C21" s="339"/>
      <c r="D21" s="339"/>
      <c r="E21" s="339"/>
      <c r="F21" s="339"/>
      <c r="G21" s="339"/>
      <c r="H21" s="339"/>
      <c r="I21" s="339"/>
      <c r="J21" s="339"/>
      <c r="K21" s="339"/>
      <c r="L21" s="339"/>
      <c r="M21" s="339"/>
      <c r="N21" s="339"/>
      <c r="O21" s="339"/>
      <c r="P21" s="339"/>
      <c r="Q21" s="339"/>
      <c r="R21" s="339"/>
      <c r="S21" s="339"/>
      <c r="T21" s="339"/>
      <c r="U21" s="339"/>
      <c r="V21" s="339"/>
      <c r="W21" s="339"/>
      <c r="X21" s="339"/>
      <c r="Y21" s="339"/>
      <c r="Z21" s="339"/>
    </row>
    <row r="22" spans="1:26">
      <c r="A22" s="339"/>
      <c r="B22" s="339"/>
      <c r="C22" s="339"/>
      <c r="D22" s="339"/>
      <c r="E22" s="339"/>
      <c r="F22" s="339"/>
      <c r="G22" s="339"/>
      <c r="H22" s="339"/>
      <c r="I22" s="339"/>
      <c r="J22" s="339"/>
      <c r="K22" s="339"/>
      <c r="L22" s="339"/>
      <c r="M22" s="339"/>
      <c r="N22" s="339"/>
      <c r="O22" s="339"/>
      <c r="P22" s="339"/>
      <c r="Q22" s="339"/>
      <c r="R22" s="339"/>
      <c r="S22" s="339"/>
      <c r="T22" s="339"/>
      <c r="U22" s="339"/>
      <c r="V22" s="339"/>
      <c r="W22" s="339"/>
      <c r="X22" s="339"/>
      <c r="Y22" s="339"/>
      <c r="Z22" s="339"/>
    </row>
    <row r="23" spans="1:26">
      <c r="A23" s="339"/>
      <c r="B23" s="339"/>
      <c r="C23" s="339"/>
      <c r="D23" s="339"/>
      <c r="E23" s="339"/>
      <c r="F23" s="339"/>
      <c r="G23" s="339"/>
      <c r="H23" s="339"/>
      <c r="I23" s="339"/>
      <c r="J23" s="339"/>
      <c r="K23" s="339"/>
      <c r="L23" s="339"/>
      <c r="M23" s="339"/>
      <c r="N23" s="339"/>
      <c r="O23" s="339"/>
      <c r="P23" s="339"/>
      <c r="Q23" s="339"/>
      <c r="R23" s="339"/>
      <c r="S23" s="339"/>
      <c r="T23" s="339"/>
      <c r="U23" s="339"/>
      <c r="V23" s="339"/>
      <c r="W23" s="339"/>
      <c r="X23" s="339"/>
      <c r="Y23" s="339"/>
      <c r="Z23" s="339"/>
    </row>
    <row r="24" spans="1:26">
      <c r="A24" s="339"/>
      <c r="B24" s="339"/>
      <c r="C24" s="339"/>
      <c r="D24" s="339"/>
      <c r="E24" s="339"/>
      <c r="F24" s="339"/>
      <c r="G24" s="339"/>
      <c r="H24" s="339"/>
      <c r="I24" s="339"/>
      <c r="J24" s="339"/>
      <c r="K24" s="339"/>
      <c r="L24" s="339"/>
      <c r="M24" s="339"/>
      <c r="N24" s="339"/>
      <c r="O24" s="339"/>
      <c r="P24" s="339"/>
      <c r="Q24" s="339"/>
      <c r="R24" s="339"/>
      <c r="S24" s="339"/>
      <c r="T24" s="339"/>
      <c r="U24" s="339"/>
      <c r="V24" s="339"/>
      <c r="W24" s="339"/>
      <c r="X24" s="339"/>
      <c r="Y24" s="339"/>
      <c r="Z24" s="339"/>
    </row>
    <row r="25" spans="1:26">
      <c r="A25" s="339"/>
      <c r="B25" s="339"/>
      <c r="C25" s="339"/>
      <c r="D25" s="339"/>
      <c r="E25" s="339"/>
      <c r="F25" s="339"/>
      <c r="G25" s="339"/>
      <c r="H25" s="339"/>
      <c r="I25" s="339"/>
      <c r="J25" s="339"/>
      <c r="K25" s="339"/>
      <c r="L25" s="339"/>
      <c r="M25" s="339"/>
      <c r="N25" s="339"/>
      <c r="O25" s="339"/>
      <c r="P25" s="339"/>
      <c r="Q25" s="339"/>
      <c r="R25" s="339"/>
      <c r="S25" s="339"/>
      <c r="T25" s="339"/>
      <c r="U25" s="339"/>
      <c r="V25" s="339"/>
      <c r="W25" s="339"/>
      <c r="X25" s="339"/>
      <c r="Y25" s="339"/>
      <c r="Z25" s="339"/>
    </row>
    <row r="26" spans="1:26">
      <c r="A26" s="339"/>
      <c r="B26" s="339"/>
      <c r="C26" s="339"/>
      <c r="D26" s="339"/>
      <c r="E26" s="339"/>
      <c r="F26" s="339"/>
      <c r="G26" s="339"/>
      <c r="H26" s="339"/>
      <c r="I26" s="339"/>
      <c r="J26" s="339"/>
      <c r="K26" s="339"/>
      <c r="L26" s="339"/>
      <c r="M26" s="339"/>
      <c r="N26" s="339"/>
      <c r="O26" s="339"/>
      <c r="P26" s="339"/>
      <c r="Q26" s="339"/>
      <c r="R26" s="339"/>
      <c r="S26" s="339"/>
      <c r="T26" s="339"/>
      <c r="U26" s="339"/>
      <c r="V26" s="339"/>
      <c r="W26" s="339"/>
      <c r="X26" s="339"/>
      <c r="Y26" s="339"/>
      <c r="Z26" s="339"/>
    </row>
    <row r="27" spans="1:26">
      <c r="A27" s="339"/>
      <c r="B27" s="339"/>
      <c r="C27" s="339"/>
      <c r="D27" s="339"/>
      <c r="E27" s="339"/>
      <c r="F27" s="339"/>
      <c r="G27" s="339"/>
      <c r="H27" s="339"/>
      <c r="I27" s="339"/>
      <c r="J27" s="339"/>
      <c r="K27" s="339"/>
      <c r="L27" s="339"/>
      <c r="M27" s="339"/>
      <c r="N27" s="339"/>
      <c r="O27" s="339"/>
      <c r="P27" s="339"/>
      <c r="Q27" s="339"/>
      <c r="R27" s="339"/>
      <c r="S27" s="339"/>
      <c r="T27" s="339"/>
      <c r="U27" s="339"/>
      <c r="V27" s="339"/>
      <c r="W27" s="339"/>
      <c r="X27" s="339"/>
      <c r="Y27" s="339"/>
      <c r="Z27" s="339"/>
    </row>
    <row r="28" spans="1:26">
      <c r="A28" s="339"/>
      <c r="B28" s="339"/>
      <c r="C28" s="339"/>
      <c r="D28" s="339"/>
      <c r="E28" s="339"/>
      <c r="F28" s="339"/>
      <c r="G28" s="339"/>
      <c r="H28" s="339"/>
      <c r="I28" s="339"/>
      <c r="J28" s="339"/>
      <c r="K28" s="339"/>
      <c r="L28" s="339"/>
      <c r="M28" s="339"/>
      <c r="N28" s="339"/>
      <c r="O28" s="339"/>
      <c r="P28" s="339"/>
      <c r="Q28" s="339"/>
      <c r="R28" s="339"/>
      <c r="S28" s="339"/>
      <c r="T28" s="339"/>
      <c r="U28" s="339"/>
      <c r="V28" s="339"/>
      <c r="W28" s="339"/>
      <c r="X28" s="339"/>
      <c r="Y28" s="339"/>
      <c r="Z28" s="339"/>
    </row>
    <row r="29" spans="1:26">
      <c r="A29" s="339"/>
      <c r="B29" s="339"/>
      <c r="C29" s="339"/>
      <c r="D29" s="339"/>
      <c r="E29" s="339"/>
      <c r="F29" s="339"/>
      <c r="G29" s="339"/>
      <c r="H29" s="339"/>
      <c r="I29" s="339"/>
      <c r="J29" s="339"/>
      <c r="K29" s="339"/>
      <c r="L29" s="339"/>
      <c r="M29" s="339"/>
      <c r="N29" s="339"/>
      <c r="O29" s="339"/>
      <c r="P29" s="339"/>
      <c r="Q29" s="339"/>
      <c r="R29" s="339"/>
      <c r="S29" s="339"/>
      <c r="T29" s="339"/>
      <c r="U29" s="339"/>
      <c r="V29" s="339"/>
      <c r="W29" s="339"/>
      <c r="X29" s="339"/>
      <c r="Y29" s="339"/>
      <c r="Z29" s="339"/>
    </row>
    <row r="30" spans="1:26">
      <c r="A30" s="339"/>
      <c r="B30" s="339"/>
      <c r="C30" s="339"/>
      <c r="D30" s="339"/>
      <c r="E30" s="339"/>
      <c r="F30" s="339"/>
      <c r="G30" s="339"/>
      <c r="H30" s="339"/>
      <c r="I30" s="339"/>
      <c r="J30" s="339"/>
      <c r="K30" s="339"/>
      <c r="L30" s="339"/>
      <c r="M30" s="339"/>
      <c r="N30" s="339"/>
      <c r="O30" s="339"/>
      <c r="P30" s="339"/>
      <c r="Q30" s="339"/>
      <c r="R30" s="339"/>
      <c r="S30" s="339"/>
      <c r="T30" s="339"/>
      <c r="U30" s="339"/>
      <c r="V30" s="339"/>
      <c r="W30" s="339"/>
      <c r="X30" s="339"/>
      <c r="Y30" s="339"/>
      <c r="Z30" s="339"/>
    </row>
    <row r="31" spans="1:26">
      <c r="A31" s="339"/>
      <c r="B31" s="339"/>
      <c r="C31" s="339"/>
      <c r="D31" s="339"/>
      <c r="E31" s="339"/>
      <c r="F31" s="339"/>
      <c r="G31" s="339"/>
      <c r="H31" s="339"/>
      <c r="I31" s="339"/>
      <c r="J31" s="339"/>
      <c r="K31" s="339"/>
      <c r="L31" s="339"/>
      <c r="M31" s="339"/>
      <c r="N31" s="339"/>
      <c r="O31" s="339"/>
      <c r="P31" s="339"/>
      <c r="Q31" s="339"/>
      <c r="R31" s="339"/>
      <c r="S31" s="339"/>
      <c r="T31" s="339"/>
      <c r="U31" s="339"/>
      <c r="V31" s="339"/>
      <c r="W31" s="339"/>
      <c r="X31" s="339"/>
      <c r="Y31" s="339"/>
      <c r="Z31" s="339"/>
    </row>
    <row r="32" spans="1:26">
      <c r="A32" s="339"/>
      <c r="B32" s="339"/>
      <c r="C32" s="339"/>
      <c r="D32" s="339"/>
      <c r="E32" s="339"/>
      <c r="F32" s="339"/>
      <c r="G32" s="339"/>
      <c r="H32" s="339"/>
      <c r="I32" s="339"/>
      <c r="J32" s="339"/>
      <c r="K32" s="339"/>
      <c r="L32" s="339"/>
      <c r="M32" s="339"/>
      <c r="N32" s="339"/>
      <c r="O32" s="339"/>
      <c r="P32" s="339"/>
      <c r="Q32" s="339"/>
      <c r="R32" s="339"/>
      <c r="S32" s="339"/>
      <c r="T32" s="339"/>
      <c r="U32" s="339"/>
      <c r="V32" s="339"/>
      <c r="W32" s="339"/>
      <c r="X32" s="339"/>
      <c r="Y32" s="339"/>
      <c r="Z32" s="339"/>
    </row>
    <row r="33" spans="1:26">
      <c r="A33" s="339"/>
      <c r="B33" s="339"/>
      <c r="C33" s="339"/>
      <c r="D33" s="339"/>
      <c r="E33" s="339"/>
      <c r="F33" s="339"/>
      <c r="G33" s="339"/>
      <c r="H33" s="339"/>
      <c r="I33" s="339"/>
      <c r="J33" s="339"/>
      <c r="K33" s="339"/>
      <c r="L33" s="339"/>
      <c r="M33" s="339"/>
      <c r="N33" s="339"/>
      <c r="O33" s="339"/>
      <c r="P33" s="339"/>
      <c r="Q33" s="339"/>
      <c r="R33" s="339"/>
      <c r="S33" s="339"/>
      <c r="T33" s="339"/>
      <c r="U33" s="339"/>
      <c r="V33" s="339"/>
      <c r="W33" s="339"/>
      <c r="X33" s="339"/>
      <c r="Y33" s="339"/>
      <c r="Z33" s="339"/>
    </row>
    <row r="34" spans="1:26">
      <c r="A34" s="339"/>
      <c r="B34" s="339"/>
      <c r="C34" s="339"/>
      <c r="D34" s="339"/>
      <c r="E34" s="339"/>
      <c r="F34" s="339"/>
      <c r="G34" s="339"/>
      <c r="H34" s="339"/>
      <c r="I34" s="339"/>
      <c r="J34" s="339"/>
      <c r="K34" s="339"/>
      <c r="L34" s="339"/>
      <c r="M34" s="339"/>
      <c r="N34" s="339"/>
      <c r="O34" s="339"/>
      <c r="P34" s="339"/>
      <c r="Q34" s="339"/>
      <c r="R34" s="339"/>
      <c r="S34" s="339"/>
      <c r="T34" s="339"/>
      <c r="U34" s="339"/>
      <c r="V34" s="339"/>
      <c r="W34" s="339"/>
      <c r="X34" s="339"/>
      <c r="Y34" s="339"/>
      <c r="Z34" s="339"/>
    </row>
    <row r="35" spans="1:26">
      <c r="A35" s="339"/>
      <c r="B35" s="339"/>
      <c r="C35" s="339"/>
      <c r="D35" s="339"/>
      <c r="E35" s="339"/>
      <c r="F35" s="339"/>
      <c r="G35" s="339"/>
      <c r="H35" s="339"/>
      <c r="I35" s="339"/>
      <c r="J35" s="339"/>
      <c r="K35" s="339"/>
      <c r="L35" s="339"/>
      <c r="M35" s="339"/>
      <c r="N35" s="339"/>
      <c r="O35" s="339"/>
      <c r="P35" s="339"/>
      <c r="Q35" s="339"/>
      <c r="R35" s="339"/>
      <c r="S35" s="339"/>
      <c r="T35" s="339"/>
      <c r="U35" s="339"/>
      <c r="V35" s="339"/>
      <c r="W35" s="339"/>
      <c r="X35" s="339"/>
      <c r="Y35" s="339"/>
      <c r="Z35" s="339"/>
    </row>
    <row r="36" spans="1:26">
      <c r="A36" s="339"/>
      <c r="B36" s="339"/>
      <c r="C36" s="339"/>
      <c r="D36" s="339"/>
      <c r="E36" s="339"/>
      <c r="F36" s="339"/>
      <c r="G36" s="339"/>
      <c r="H36" s="339"/>
      <c r="I36" s="339"/>
      <c r="J36" s="339"/>
      <c r="K36" s="339"/>
      <c r="L36" s="339"/>
      <c r="M36" s="339"/>
      <c r="N36" s="339"/>
      <c r="O36" s="339"/>
      <c r="P36" s="339"/>
      <c r="Q36" s="339"/>
      <c r="R36" s="339"/>
      <c r="S36" s="339"/>
      <c r="T36" s="339"/>
      <c r="U36" s="339"/>
      <c r="V36" s="339"/>
      <c r="W36" s="339"/>
      <c r="X36" s="339"/>
      <c r="Y36" s="339"/>
      <c r="Z36" s="339"/>
    </row>
    <row r="37" spans="1:26">
      <c r="A37" s="339"/>
      <c r="B37" s="339"/>
      <c r="C37" s="339"/>
      <c r="D37" s="339"/>
      <c r="E37" s="339"/>
      <c r="F37" s="339"/>
      <c r="G37" s="339"/>
      <c r="H37" s="339"/>
      <c r="I37" s="339"/>
      <c r="J37" s="339"/>
      <c r="K37" s="339"/>
      <c r="L37" s="339"/>
      <c r="M37" s="339"/>
      <c r="N37" s="339"/>
      <c r="O37" s="339"/>
      <c r="P37" s="339"/>
      <c r="Q37" s="339"/>
      <c r="R37" s="339"/>
      <c r="S37" s="339"/>
      <c r="T37" s="339"/>
      <c r="U37" s="339"/>
      <c r="V37" s="339"/>
      <c r="W37" s="339"/>
      <c r="X37" s="339"/>
      <c r="Y37" s="339"/>
      <c r="Z37" s="339"/>
    </row>
    <row r="38" spans="1:26">
      <c r="A38" s="339"/>
      <c r="B38" s="339"/>
      <c r="C38" s="339"/>
      <c r="D38" s="339"/>
      <c r="E38" s="339"/>
      <c r="F38" s="339"/>
      <c r="G38" s="339"/>
      <c r="H38" s="339"/>
      <c r="I38" s="339"/>
      <c r="J38" s="339"/>
      <c r="K38" s="339"/>
      <c r="L38" s="339"/>
      <c r="M38" s="339"/>
      <c r="N38" s="339"/>
      <c r="O38" s="339"/>
      <c r="P38" s="339"/>
      <c r="Q38" s="339"/>
      <c r="R38" s="339"/>
      <c r="S38" s="339"/>
      <c r="T38" s="339"/>
      <c r="U38" s="339"/>
      <c r="V38" s="339"/>
      <c r="W38" s="339"/>
      <c r="X38" s="339"/>
      <c r="Y38" s="339"/>
      <c r="Z38" s="339"/>
    </row>
    <row r="39" spans="1:26">
      <c r="A39" s="339"/>
      <c r="B39" s="339"/>
      <c r="C39" s="339"/>
      <c r="D39" s="339"/>
      <c r="E39" s="339"/>
      <c r="F39" s="339"/>
      <c r="G39" s="339"/>
      <c r="H39" s="339"/>
      <c r="I39" s="339"/>
      <c r="J39" s="339"/>
      <c r="K39" s="339"/>
      <c r="L39" s="339"/>
      <c r="M39" s="339"/>
      <c r="N39" s="339"/>
      <c r="O39" s="339"/>
      <c r="P39" s="339"/>
      <c r="Q39" s="339"/>
      <c r="R39" s="339"/>
      <c r="S39" s="339"/>
      <c r="T39" s="339"/>
      <c r="U39" s="339"/>
      <c r="V39" s="339"/>
      <c r="W39" s="339"/>
      <c r="X39" s="339"/>
      <c r="Y39" s="339"/>
      <c r="Z39" s="339"/>
    </row>
    <row r="40" spans="1:26">
      <c r="A40" s="339"/>
      <c r="B40" s="339"/>
      <c r="C40" s="339"/>
      <c r="D40" s="339"/>
      <c r="E40" s="339"/>
      <c r="F40" s="339"/>
      <c r="G40" s="339"/>
      <c r="H40" s="339"/>
      <c r="I40" s="339"/>
      <c r="J40" s="339"/>
      <c r="K40" s="339"/>
      <c r="L40" s="339"/>
      <c r="M40" s="339"/>
      <c r="N40" s="339"/>
      <c r="O40" s="339"/>
      <c r="P40" s="339"/>
      <c r="Q40" s="339"/>
      <c r="R40" s="339"/>
      <c r="S40" s="339"/>
      <c r="T40" s="339"/>
      <c r="U40" s="339"/>
      <c r="V40" s="339"/>
      <c r="W40" s="339"/>
      <c r="X40" s="339"/>
      <c r="Y40" s="339"/>
      <c r="Z40" s="339"/>
    </row>
    <row r="41" spans="1:26">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row>
  </sheetData>
  <mergeCells count="6">
    <mergeCell ref="A1:B1"/>
    <mergeCell ref="B11:I11"/>
    <mergeCell ref="B9:G9"/>
    <mergeCell ref="H5:H7"/>
    <mergeCell ref="I5:I7"/>
    <mergeCell ref="B3:I3"/>
  </mergeCells>
  <dataValidations count="1">
    <dataValidation type="list" allowBlank="1" showInputMessage="1" showErrorMessage="1" sqref="G5:G7" xr:uid="{00000000-0002-0000-1200-000000000000}">
      <formula1>$M$1:$M$2</formula1>
    </dataValidation>
  </dataValidations>
  <hyperlinks>
    <hyperlink ref="A1" location="'Table of Contents'!A1" tooltip="Click here to return to the Table of Contents tab" display="Return to Table of Contents"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43">
    <tabColor theme="8" tint="-0.249977111117893"/>
  </sheetPr>
  <dimension ref="A1:AB18"/>
  <sheetViews>
    <sheetView workbookViewId="0">
      <pane xSplit="2" ySplit="11" topLeftCell="C12" activePane="bottomRight" state="frozen"/>
      <selection pane="topRight" activeCell="E37" sqref="E37"/>
      <selection pane="bottomLeft" activeCell="E37" sqref="E37"/>
      <selection pane="bottomRight" activeCell="I4" sqref="I4"/>
    </sheetView>
  </sheetViews>
  <sheetFormatPr defaultRowHeight="12.75"/>
  <cols>
    <col min="1" max="1" width="18.42578125" customWidth="1"/>
    <col min="2" max="2" width="29.5703125" customWidth="1"/>
    <col min="10" max="13" width="11.7109375" customWidth="1"/>
    <col min="17" max="17" width="10.5703125" customWidth="1"/>
  </cols>
  <sheetData>
    <row r="1" spans="1:28" ht="15.75" thickBot="1">
      <c r="A1" s="701" t="s">
        <v>27</v>
      </c>
      <c r="B1" s="702"/>
    </row>
    <row r="7" spans="1:28" ht="18">
      <c r="B7" s="791" t="s">
        <v>489</v>
      </c>
      <c r="C7" s="792"/>
      <c r="D7" s="792"/>
      <c r="E7" s="792"/>
      <c r="F7" s="792"/>
      <c r="G7" s="792"/>
      <c r="H7" s="792"/>
      <c r="I7" s="792"/>
      <c r="J7" s="792"/>
      <c r="K7" s="792"/>
      <c r="L7" s="792"/>
      <c r="M7" s="792"/>
      <c r="N7" s="792"/>
      <c r="O7" s="792"/>
      <c r="P7" s="792"/>
      <c r="Q7" s="792"/>
      <c r="R7" s="792"/>
      <c r="S7" s="792"/>
      <c r="T7" s="792"/>
      <c r="U7" s="792"/>
      <c r="V7" s="792"/>
      <c r="W7" s="792"/>
      <c r="X7" s="792"/>
      <c r="Y7" s="792"/>
      <c r="Z7" s="792"/>
      <c r="AA7" s="792"/>
      <c r="AB7" s="793"/>
    </row>
    <row r="8" spans="1:28" ht="45" customHeight="1">
      <c r="B8" s="192"/>
      <c r="C8" s="191" t="s">
        <v>490</v>
      </c>
      <c r="D8" s="184"/>
      <c r="E8" s="184"/>
      <c r="F8" s="185"/>
      <c r="G8" s="794" t="s">
        <v>491</v>
      </c>
      <c r="H8" s="795"/>
      <c r="I8" s="796"/>
      <c r="J8" s="183" t="s">
        <v>492</v>
      </c>
      <c r="K8" s="184"/>
      <c r="L8" s="184"/>
      <c r="M8" s="189"/>
      <c r="N8" s="183" t="s">
        <v>493</v>
      </c>
      <c r="O8" s="184"/>
      <c r="P8" s="184"/>
      <c r="Q8" s="191"/>
      <c r="R8" s="191"/>
      <c r="S8" s="184"/>
      <c r="T8" s="184"/>
      <c r="U8" s="191"/>
      <c r="V8" s="191"/>
      <c r="W8" s="184"/>
      <c r="X8" s="184"/>
      <c r="Y8" s="191"/>
      <c r="Z8" s="191"/>
      <c r="AA8" s="184"/>
      <c r="AB8" s="545"/>
    </row>
    <row r="9" spans="1:28" ht="15">
      <c r="B9" s="193"/>
      <c r="C9" s="74"/>
      <c r="D9" s="187"/>
      <c r="E9" s="187"/>
      <c r="F9" s="188"/>
      <c r="G9" s="186"/>
      <c r="H9" s="187"/>
      <c r="I9" s="188"/>
      <c r="J9" s="186"/>
      <c r="K9" s="187"/>
      <c r="L9" s="187"/>
      <c r="M9" s="190"/>
      <c r="N9" s="186"/>
      <c r="O9" s="187"/>
      <c r="P9" s="187"/>
      <c r="Q9" s="74"/>
      <c r="R9" s="74"/>
      <c r="S9" s="187"/>
      <c r="T9" s="187"/>
      <c r="U9" s="74"/>
      <c r="V9" s="74"/>
      <c r="W9" s="187"/>
      <c r="X9" s="187"/>
      <c r="Y9" s="74"/>
      <c r="Z9" s="74"/>
      <c r="AA9" s="187"/>
      <c r="AB9" s="546"/>
    </row>
    <row r="10" spans="1:28" ht="45">
      <c r="B10" s="193"/>
      <c r="C10" s="654" t="s">
        <v>158</v>
      </c>
      <c r="D10" s="650" t="s">
        <v>166</v>
      </c>
      <c r="E10" s="650" t="s">
        <v>171</v>
      </c>
      <c r="F10" s="132" t="s">
        <v>173</v>
      </c>
      <c r="G10" s="654" t="s">
        <v>180</v>
      </c>
      <c r="H10" s="650" t="s">
        <v>186</v>
      </c>
      <c r="I10" s="132" t="s">
        <v>191</v>
      </c>
      <c r="J10" s="654" t="s">
        <v>197</v>
      </c>
      <c r="K10" s="650" t="s">
        <v>199</v>
      </c>
      <c r="L10" s="650" t="s">
        <v>201</v>
      </c>
      <c r="M10" s="132" t="s">
        <v>494</v>
      </c>
      <c r="N10" s="654" t="s">
        <v>208</v>
      </c>
      <c r="O10" s="650" t="s">
        <v>211</v>
      </c>
      <c r="P10" s="650" t="s">
        <v>213</v>
      </c>
      <c r="Q10" s="650" t="s">
        <v>215</v>
      </c>
      <c r="R10" s="650" t="s">
        <v>219</v>
      </c>
      <c r="S10" s="650" t="s">
        <v>222</v>
      </c>
      <c r="T10" s="650" t="s">
        <v>224</v>
      </c>
      <c r="U10" s="650" t="s">
        <v>228</v>
      </c>
      <c r="V10" s="650" t="s">
        <v>231</v>
      </c>
      <c r="W10" s="650" t="s">
        <v>232</v>
      </c>
      <c r="X10" s="650" t="s">
        <v>235</v>
      </c>
      <c r="Y10" s="650" t="s">
        <v>237</v>
      </c>
      <c r="Z10" s="650" t="s">
        <v>239</v>
      </c>
      <c r="AA10" s="650" t="s">
        <v>242</v>
      </c>
      <c r="AB10" s="650" t="s">
        <v>245</v>
      </c>
    </row>
    <row r="11" spans="1:28" ht="15.75" thickBot="1">
      <c r="B11" s="95" t="s">
        <v>495</v>
      </c>
      <c r="C11" s="143" t="s">
        <v>496</v>
      </c>
      <c r="D11" s="143" t="s">
        <v>496</v>
      </c>
      <c r="E11" s="143" t="s">
        <v>496</v>
      </c>
      <c r="F11" s="144" t="s">
        <v>496</v>
      </c>
      <c r="G11" s="143" t="s">
        <v>496</v>
      </c>
      <c r="H11" s="143" t="s">
        <v>496</v>
      </c>
      <c r="I11" s="144" t="s">
        <v>496</v>
      </c>
      <c r="J11" s="143" t="s">
        <v>496</v>
      </c>
      <c r="K11" s="143" t="s">
        <v>496</v>
      </c>
      <c r="L11" s="143" t="s">
        <v>496</v>
      </c>
      <c r="M11" s="144" t="s">
        <v>496</v>
      </c>
      <c r="N11" s="143" t="s">
        <v>496</v>
      </c>
      <c r="O11" s="143" t="s">
        <v>496</v>
      </c>
      <c r="P11" s="143" t="s">
        <v>496</v>
      </c>
      <c r="Q11" s="143" t="s">
        <v>496</v>
      </c>
      <c r="R11" s="143" t="s">
        <v>496</v>
      </c>
      <c r="S11" s="143" t="s">
        <v>496</v>
      </c>
      <c r="T11" s="143" t="s">
        <v>496</v>
      </c>
      <c r="U11" s="143" t="s">
        <v>496</v>
      </c>
      <c r="V11" s="143" t="s">
        <v>496</v>
      </c>
      <c r="W11" s="143" t="s">
        <v>496</v>
      </c>
      <c r="X11" s="143" t="s">
        <v>496</v>
      </c>
      <c r="Y11" s="143" t="s">
        <v>496</v>
      </c>
      <c r="Z11" s="143" t="s">
        <v>496</v>
      </c>
      <c r="AA11" s="143" t="s">
        <v>496</v>
      </c>
      <c r="AB11" s="96" t="s">
        <v>496</v>
      </c>
    </row>
    <row r="12" spans="1:28" ht="15.75" thickTop="1">
      <c r="B12" s="543" t="s">
        <v>497</v>
      </c>
      <c r="C12" s="544">
        <v>0.14000000000000001</v>
      </c>
      <c r="D12" s="544">
        <v>0.25</v>
      </c>
      <c r="E12" s="544">
        <v>0.22</v>
      </c>
      <c r="F12" s="544">
        <v>0.19</v>
      </c>
      <c r="G12" s="544">
        <v>0.39</v>
      </c>
      <c r="H12" s="544">
        <v>0.3</v>
      </c>
      <c r="I12" s="544">
        <v>0.28000000000000003</v>
      </c>
      <c r="J12" s="544">
        <v>0.15</v>
      </c>
      <c r="K12" s="544">
        <v>0.15</v>
      </c>
      <c r="L12" s="544">
        <v>0.15</v>
      </c>
      <c r="M12" s="544">
        <v>0.15</v>
      </c>
      <c r="N12" s="544">
        <v>0.15</v>
      </c>
      <c r="O12" s="544">
        <v>0.32</v>
      </c>
      <c r="P12" s="544">
        <v>0.25</v>
      </c>
      <c r="Q12" s="544">
        <v>0.25</v>
      </c>
      <c r="R12" s="544">
        <v>0.25</v>
      </c>
      <c r="S12" s="544">
        <v>0.25</v>
      </c>
      <c r="T12" s="544">
        <v>0.25</v>
      </c>
      <c r="U12" s="544">
        <v>0.25</v>
      </c>
      <c r="V12" s="544">
        <v>0.25</v>
      </c>
      <c r="W12" s="544">
        <v>0.25</v>
      </c>
      <c r="X12" s="544">
        <v>0.25</v>
      </c>
      <c r="Y12" s="544">
        <v>0.25</v>
      </c>
      <c r="Z12" s="544">
        <v>0.25</v>
      </c>
      <c r="AA12" s="544">
        <v>0.48</v>
      </c>
      <c r="AB12" s="544">
        <v>0.47</v>
      </c>
    </row>
    <row r="13" spans="1:28" ht="15">
      <c r="B13" s="543" t="s">
        <v>498</v>
      </c>
      <c r="C13" s="544">
        <v>0.55000000000000004</v>
      </c>
      <c r="D13" s="544">
        <v>0.6</v>
      </c>
      <c r="E13" s="544">
        <v>0.37</v>
      </c>
      <c r="F13" s="544">
        <v>0.76</v>
      </c>
      <c r="G13" s="544">
        <v>0.44</v>
      </c>
      <c r="H13" s="544">
        <v>0.65</v>
      </c>
      <c r="I13" s="544">
        <v>0.65</v>
      </c>
      <c r="J13" s="544">
        <v>0.65</v>
      </c>
      <c r="K13" s="544">
        <v>0.65</v>
      </c>
      <c r="L13" s="544">
        <v>0.65</v>
      </c>
      <c r="M13" s="544">
        <v>0.65</v>
      </c>
      <c r="N13" s="544">
        <v>0.5</v>
      </c>
      <c r="O13" s="544">
        <v>0.55000000000000004</v>
      </c>
      <c r="P13" s="544">
        <v>0.45</v>
      </c>
      <c r="Q13" s="544">
        <v>0.45</v>
      </c>
      <c r="R13" s="544">
        <v>0.45</v>
      </c>
      <c r="S13" s="544">
        <v>0.45</v>
      </c>
      <c r="T13" s="544">
        <v>0.45</v>
      </c>
      <c r="U13" s="544">
        <v>0.45</v>
      </c>
      <c r="V13" s="544">
        <v>0.45</v>
      </c>
      <c r="W13" s="544">
        <v>0.45</v>
      </c>
      <c r="X13" s="544">
        <v>0.45</v>
      </c>
      <c r="Y13" s="544">
        <v>0.45</v>
      </c>
      <c r="Z13" s="544">
        <v>0.45</v>
      </c>
      <c r="AA13" s="544">
        <v>0.45</v>
      </c>
      <c r="AB13" s="544">
        <v>0.45</v>
      </c>
    </row>
    <row r="14" spans="1:28" ht="15">
      <c r="B14" s="543" t="s">
        <v>499</v>
      </c>
      <c r="C14" s="544">
        <v>0.31</v>
      </c>
      <c r="D14" s="544">
        <v>0.15</v>
      </c>
      <c r="E14" s="544">
        <v>0.41</v>
      </c>
      <c r="F14" s="544">
        <v>0.05</v>
      </c>
      <c r="G14" s="544">
        <v>0.17</v>
      </c>
      <c r="H14" s="544">
        <v>0.05</v>
      </c>
      <c r="I14" s="544">
        <v>7.0000000000000007E-2</v>
      </c>
      <c r="J14" s="544">
        <v>0.2</v>
      </c>
      <c r="K14" s="544">
        <v>0.2</v>
      </c>
      <c r="L14" s="544">
        <v>0.2</v>
      </c>
      <c r="M14" s="544">
        <v>0.2</v>
      </c>
      <c r="N14" s="544">
        <v>0.35</v>
      </c>
      <c r="O14" s="544">
        <v>0.13</v>
      </c>
      <c r="P14" s="544">
        <v>0.3</v>
      </c>
      <c r="Q14" s="544">
        <v>0.3</v>
      </c>
      <c r="R14" s="544">
        <v>0.3</v>
      </c>
      <c r="S14" s="544">
        <v>0.3</v>
      </c>
      <c r="T14" s="544">
        <v>0.3</v>
      </c>
      <c r="U14" s="544">
        <v>0.3</v>
      </c>
      <c r="V14" s="544">
        <v>0.3</v>
      </c>
      <c r="W14" s="544">
        <v>0.3</v>
      </c>
      <c r="X14" s="544">
        <v>0.3</v>
      </c>
      <c r="Y14" s="544">
        <v>0.3</v>
      </c>
      <c r="Z14" s="544">
        <v>0.3</v>
      </c>
      <c r="AA14" s="544">
        <v>7.0000000000000007E-2</v>
      </c>
      <c r="AB14" s="544">
        <v>0.08</v>
      </c>
    </row>
    <row r="15" spans="1:28" ht="15">
      <c r="B15" s="547" t="s">
        <v>485</v>
      </c>
      <c r="C15" s="548">
        <f>SUM(C12:C14)</f>
        <v>1</v>
      </c>
      <c r="D15" s="548">
        <f t="shared" ref="D15:AB15" si="0">SUM(D12:D14)</f>
        <v>1</v>
      </c>
      <c r="E15" s="548">
        <f t="shared" si="0"/>
        <v>1</v>
      </c>
      <c r="F15" s="548">
        <f t="shared" si="0"/>
        <v>1</v>
      </c>
      <c r="G15" s="548">
        <f t="shared" si="0"/>
        <v>1</v>
      </c>
      <c r="H15" s="548">
        <f t="shared" si="0"/>
        <v>1</v>
      </c>
      <c r="I15" s="548">
        <f t="shared" si="0"/>
        <v>1</v>
      </c>
      <c r="J15" s="548">
        <f t="shared" si="0"/>
        <v>1</v>
      </c>
      <c r="K15" s="548">
        <f t="shared" si="0"/>
        <v>1</v>
      </c>
      <c r="L15" s="548">
        <f t="shared" si="0"/>
        <v>1</v>
      </c>
      <c r="M15" s="548">
        <f t="shared" si="0"/>
        <v>1</v>
      </c>
      <c r="N15" s="548">
        <f t="shared" si="0"/>
        <v>1</v>
      </c>
      <c r="O15" s="548">
        <f t="shared" si="0"/>
        <v>1</v>
      </c>
      <c r="P15" s="548">
        <f t="shared" si="0"/>
        <v>1</v>
      </c>
      <c r="Q15" s="548">
        <f t="shared" si="0"/>
        <v>1</v>
      </c>
      <c r="R15" s="548">
        <f t="shared" si="0"/>
        <v>1</v>
      </c>
      <c r="S15" s="548">
        <f t="shared" si="0"/>
        <v>1</v>
      </c>
      <c r="T15" s="548">
        <f t="shared" si="0"/>
        <v>1</v>
      </c>
      <c r="U15" s="548">
        <f t="shared" si="0"/>
        <v>1</v>
      </c>
      <c r="V15" s="548">
        <f t="shared" si="0"/>
        <v>1</v>
      </c>
      <c r="W15" s="548">
        <f t="shared" si="0"/>
        <v>1</v>
      </c>
      <c r="X15" s="548">
        <f t="shared" si="0"/>
        <v>1</v>
      </c>
      <c r="Y15" s="548">
        <f t="shared" si="0"/>
        <v>1</v>
      </c>
      <c r="Z15" s="548">
        <f t="shared" si="0"/>
        <v>1</v>
      </c>
      <c r="AA15" s="548">
        <f t="shared" si="0"/>
        <v>1</v>
      </c>
      <c r="AB15" s="548">
        <f t="shared" si="0"/>
        <v>0.99999999999999989</v>
      </c>
    </row>
    <row r="16" spans="1:28" ht="19.5" hidden="1" customHeight="1">
      <c r="B16" s="565"/>
      <c r="C16" s="566">
        <f>IF(C15=1,0,1)</f>
        <v>0</v>
      </c>
      <c r="D16" s="566">
        <f t="shared" ref="D16:AB16" si="1">IF(D15=1,0,1)</f>
        <v>0</v>
      </c>
      <c r="E16" s="566">
        <f t="shared" si="1"/>
        <v>0</v>
      </c>
      <c r="F16" s="566">
        <f t="shared" si="1"/>
        <v>0</v>
      </c>
      <c r="G16" s="566">
        <f t="shared" si="1"/>
        <v>0</v>
      </c>
      <c r="H16" s="566">
        <f t="shared" si="1"/>
        <v>0</v>
      </c>
      <c r="I16" s="566">
        <f t="shared" si="1"/>
        <v>0</v>
      </c>
      <c r="J16" s="566">
        <f t="shared" si="1"/>
        <v>0</v>
      </c>
      <c r="K16" s="566">
        <f t="shared" si="1"/>
        <v>0</v>
      </c>
      <c r="L16" s="566">
        <f t="shared" si="1"/>
        <v>0</v>
      </c>
      <c r="M16" s="566">
        <f t="shared" si="1"/>
        <v>0</v>
      </c>
      <c r="N16" s="566">
        <f t="shared" si="1"/>
        <v>0</v>
      </c>
      <c r="O16" s="566">
        <f t="shared" si="1"/>
        <v>0</v>
      </c>
      <c r="P16" s="566">
        <f t="shared" si="1"/>
        <v>0</v>
      </c>
      <c r="Q16" s="566">
        <f t="shared" si="1"/>
        <v>0</v>
      </c>
      <c r="R16" s="566">
        <f t="shared" si="1"/>
        <v>0</v>
      </c>
      <c r="S16" s="566">
        <f t="shared" si="1"/>
        <v>0</v>
      </c>
      <c r="T16" s="566">
        <f t="shared" si="1"/>
        <v>0</v>
      </c>
      <c r="U16" s="566">
        <f t="shared" si="1"/>
        <v>0</v>
      </c>
      <c r="V16" s="566">
        <f t="shared" si="1"/>
        <v>0</v>
      </c>
      <c r="W16" s="566">
        <f t="shared" si="1"/>
        <v>0</v>
      </c>
      <c r="X16" s="566">
        <f t="shared" si="1"/>
        <v>0</v>
      </c>
      <c r="Y16" s="566">
        <f t="shared" si="1"/>
        <v>0</v>
      </c>
      <c r="Z16" s="566">
        <f t="shared" si="1"/>
        <v>0</v>
      </c>
      <c r="AA16" s="566">
        <f t="shared" si="1"/>
        <v>0</v>
      </c>
      <c r="AB16" s="566">
        <f t="shared" si="1"/>
        <v>0</v>
      </c>
    </row>
    <row r="17" spans="2:28" ht="15">
      <c r="B17" s="564"/>
      <c r="C17" s="567" t="str">
        <f>IF(SUM(C16:AB16)=0,"","Edit the above percentages so that the total for each planning area is 100%.")</f>
        <v/>
      </c>
    </row>
    <row r="18" spans="2:28" ht="66" customHeight="1">
      <c r="B18" s="790" t="s">
        <v>500</v>
      </c>
      <c r="C18" s="790"/>
      <c r="D18" s="790"/>
      <c r="E18" s="790"/>
      <c r="F18" s="790"/>
      <c r="G18" s="790"/>
      <c r="H18" s="790"/>
      <c r="I18" s="790"/>
      <c r="J18" s="790"/>
      <c r="K18" s="790"/>
      <c r="L18" s="790"/>
      <c r="M18" s="790"/>
      <c r="N18" s="790"/>
      <c r="O18" s="790"/>
      <c r="P18" s="790"/>
      <c r="Q18" s="790"/>
      <c r="R18" s="790"/>
      <c r="S18" s="790"/>
      <c r="T18" s="790"/>
      <c r="U18" s="790"/>
      <c r="V18" s="790"/>
      <c r="W18" s="790"/>
      <c r="X18" s="790"/>
      <c r="Y18" s="790"/>
      <c r="Z18" s="790"/>
      <c r="AA18" s="790"/>
      <c r="AB18" s="790"/>
    </row>
  </sheetData>
  <mergeCells count="4">
    <mergeCell ref="B18:AB18"/>
    <mergeCell ref="A1:B1"/>
    <mergeCell ref="B7:AB7"/>
    <mergeCell ref="G8:I8"/>
  </mergeCells>
  <conditionalFormatting sqref="C15:AB15">
    <cfRule type="expression" dxfId="116" priority="3" stopIfTrue="1">
      <formula>ISERROR(C15)</formula>
    </cfRule>
  </conditionalFormatting>
  <conditionalFormatting sqref="B12:B15">
    <cfRule type="expression" dxfId="115" priority="2" stopIfTrue="1">
      <formula>ISERROR(B12)</formula>
    </cfRule>
  </conditionalFormatting>
  <conditionalFormatting sqref="C12:AB14">
    <cfRule type="expression" dxfId="114" priority="1" stopIfTrue="1">
      <formula>ISERROR(C12)</formula>
    </cfRule>
  </conditionalFormatting>
  <hyperlinks>
    <hyperlink ref="A1" location="'Table of Contents'!A1" tooltip="Click here to return to the Table of Contents tab" display="Return to Table of Contents"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4">
    <tabColor theme="8" tint="-0.249977111117893"/>
  </sheetPr>
  <dimension ref="A1:AC19"/>
  <sheetViews>
    <sheetView workbookViewId="0">
      <pane xSplit="2" ySplit="11" topLeftCell="C12" activePane="bottomRight" state="frozen"/>
      <selection pane="topRight" activeCell="E37" sqref="E37"/>
      <selection pane="bottomLeft" activeCell="E37" sqref="E37"/>
      <selection pane="bottomRight" activeCell="G21" sqref="G21"/>
    </sheetView>
  </sheetViews>
  <sheetFormatPr defaultRowHeight="12.75"/>
  <cols>
    <col min="1" max="1" width="14.42578125" customWidth="1"/>
    <col min="2" max="2" width="20.28515625" customWidth="1"/>
    <col min="10" max="13" width="11.7109375" customWidth="1"/>
    <col min="17" max="17" width="10.5703125" customWidth="1"/>
  </cols>
  <sheetData>
    <row r="1" spans="1:29" ht="15.75" thickBot="1">
      <c r="A1" s="701" t="s">
        <v>27</v>
      </c>
      <c r="B1" s="702"/>
    </row>
    <row r="3" spans="1:29">
      <c r="B3" s="553"/>
      <c r="C3" s="552"/>
    </row>
    <row r="4" spans="1:29">
      <c r="B4" s="553"/>
      <c r="C4" s="552"/>
    </row>
    <row r="7" spans="1:29" ht="18">
      <c r="B7" s="789" t="s">
        <v>501</v>
      </c>
      <c r="C7" s="789"/>
      <c r="D7" s="789"/>
      <c r="E7" s="789"/>
      <c r="F7" s="789"/>
      <c r="G7" s="789"/>
      <c r="H7" s="789"/>
      <c r="I7" s="789"/>
      <c r="J7" s="789"/>
      <c r="K7" s="789"/>
      <c r="L7" s="789"/>
      <c r="M7" s="789"/>
      <c r="N7" s="789"/>
      <c r="O7" s="789"/>
      <c r="P7" s="789"/>
      <c r="Q7" s="789"/>
      <c r="R7" s="789"/>
      <c r="S7" s="789"/>
      <c r="T7" s="789"/>
      <c r="U7" s="789"/>
      <c r="V7" s="789"/>
      <c r="W7" s="789"/>
      <c r="X7" s="789"/>
      <c r="Y7" s="789"/>
      <c r="Z7" s="789"/>
      <c r="AA7" s="789"/>
      <c r="AB7" s="789"/>
      <c r="AC7" s="789"/>
    </row>
    <row r="8" spans="1:29" ht="30" customHeight="1">
      <c r="B8" s="192"/>
      <c r="C8" s="694" t="s">
        <v>490</v>
      </c>
      <c r="D8" s="795"/>
      <c r="E8" s="795"/>
      <c r="F8" s="796"/>
      <c r="G8" s="794" t="s">
        <v>491</v>
      </c>
      <c r="H8" s="795"/>
      <c r="I8" s="796"/>
      <c r="J8" s="794" t="s">
        <v>492</v>
      </c>
      <c r="K8" s="795"/>
      <c r="L8" s="795"/>
      <c r="M8" s="796"/>
      <c r="N8" s="794" t="s">
        <v>493</v>
      </c>
      <c r="O8" s="795"/>
      <c r="P8" s="795"/>
      <c r="Q8" s="795"/>
      <c r="R8" s="795"/>
      <c r="S8" s="795"/>
      <c r="T8" s="795"/>
      <c r="U8" s="795"/>
      <c r="V8" s="795"/>
      <c r="W8" s="795"/>
      <c r="X8" s="795"/>
      <c r="Y8" s="795"/>
      <c r="Z8" s="795"/>
      <c r="AA8" s="795"/>
      <c r="AB8" s="795"/>
      <c r="AC8" s="695"/>
    </row>
    <row r="9" spans="1:29" ht="15">
      <c r="B9" s="193"/>
      <c r="C9" s="74"/>
      <c r="D9" s="187"/>
      <c r="E9" s="187"/>
      <c r="F9" s="188"/>
      <c r="G9" s="186"/>
      <c r="H9" s="187"/>
      <c r="I9" s="188"/>
      <c r="J9" s="186"/>
      <c r="K9" s="187"/>
      <c r="L9" s="187"/>
      <c r="M9" s="190"/>
      <c r="N9" s="186"/>
      <c r="O9" s="187"/>
      <c r="P9" s="187"/>
      <c r="Q9" s="74"/>
      <c r="R9" s="74"/>
      <c r="S9" s="187"/>
      <c r="T9" s="187"/>
      <c r="U9" s="74"/>
      <c r="V9" s="74"/>
      <c r="W9" s="187"/>
      <c r="X9" s="187"/>
      <c r="Y9" s="74"/>
      <c r="Z9" s="74"/>
      <c r="AA9" s="187"/>
      <c r="AB9" s="187"/>
      <c r="AC9" s="546"/>
    </row>
    <row r="10" spans="1:29" ht="45">
      <c r="B10" s="193"/>
      <c r="C10" s="654" t="s">
        <v>158</v>
      </c>
      <c r="D10" s="650" t="s">
        <v>166</v>
      </c>
      <c r="E10" s="650" t="s">
        <v>171</v>
      </c>
      <c r="F10" s="132" t="s">
        <v>173</v>
      </c>
      <c r="G10" s="654" t="s">
        <v>180</v>
      </c>
      <c r="H10" s="650" t="s">
        <v>186</v>
      </c>
      <c r="I10" s="132" t="s">
        <v>191</v>
      </c>
      <c r="J10" s="654" t="s">
        <v>197</v>
      </c>
      <c r="K10" s="650" t="s">
        <v>199</v>
      </c>
      <c r="L10" s="650" t="s">
        <v>201</v>
      </c>
      <c r="M10" s="132" t="s">
        <v>494</v>
      </c>
      <c r="N10" s="654" t="s">
        <v>208</v>
      </c>
      <c r="O10" s="650" t="s">
        <v>211</v>
      </c>
      <c r="P10" s="650" t="s">
        <v>213</v>
      </c>
      <c r="Q10" s="650" t="s">
        <v>215</v>
      </c>
      <c r="R10" s="650" t="s">
        <v>219</v>
      </c>
      <c r="S10" s="650" t="s">
        <v>222</v>
      </c>
      <c r="T10" s="650" t="s">
        <v>224</v>
      </c>
      <c r="U10" s="650" t="s">
        <v>228</v>
      </c>
      <c r="V10" s="650" t="s">
        <v>231</v>
      </c>
      <c r="W10" s="650" t="s">
        <v>232</v>
      </c>
      <c r="X10" s="650" t="s">
        <v>235</v>
      </c>
      <c r="Y10" s="650" t="s">
        <v>237</v>
      </c>
      <c r="Z10" s="650" t="s">
        <v>239</v>
      </c>
      <c r="AA10" s="650" t="s">
        <v>242</v>
      </c>
      <c r="AB10" s="650" t="s">
        <v>245</v>
      </c>
      <c r="AC10" s="651" t="s">
        <v>485</v>
      </c>
    </row>
    <row r="11" spans="1:29" ht="48" thickBot="1">
      <c r="B11" s="95" t="s">
        <v>495</v>
      </c>
      <c r="C11" s="96" t="s">
        <v>314</v>
      </c>
      <c r="D11" s="96" t="s">
        <v>314</v>
      </c>
      <c r="E11" s="96" t="s">
        <v>314</v>
      </c>
      <c r="F11" s="144" t="s">
        <v>314</v>
      </c>
      <c r="G11" s="96" t="s">
        <v>314</v>
      </c>
      <c r="H11" s="96" t="s">
        <v>314</v>
      </c>
      <c r="I11" s="144" t="s">
        <v>314</v>
      </c>
      <c r="J11" s="96" t="s">
        <v>314</v>
      </c>
      <c r="K11" s="96" t="s">
        <v>314</v>
      </c>
      <c r="L11" s="96" t="s">
        <v>314</v>
      </c>
      <c r="M11" s="144" t="s">
        <v>314</v>
      </c>
      <c r="N11" s="96" t="s">
        <v>314</v>
      </c>
      <c r="O11" s="96" t="s">
        <v>314</v>
      </c>
      <c r="P11" s="96" t="s">
        <v>314</v>
      </c>
      <c r="Q11" s="96" t="s">
        <v>314</v>
      </c>
      <c r="R11" s="96" t="s">
        <v>314</v>
      </c>
      <c r="S11" s="96" t="s">
        <v>314</v>
      </c>
      <c r="T11" s="96" t="s">
        <v>314</v>
      </c>
      <c r="U11" s="96" t="s">
        <v>314</v>
      </c>
      <c r="V11" s="96" t="s">
        <v>314</v>
      </c>
      <c r="W11" s="96" t="s">
        <v>314</v>
      </c>
      <c r="X11" s="96" t="s">
        <v>314</v>
      </c>
      <c r="Y11" s="96" t="s">
        <v>314</v>
      </c>
      <c r="Z11" s="96" t="s">
        <v>314</v>
      </c>
      <c r="AA11" s="96" t="s">
        <v>314</v>
      </c>
      <c r="AB11" s="96" t="s">
        <v>314</v>
      </c>
      <c r="AC11" s="96" t="s">
        <v>314</v>
      </c>
    </row>
    <row r="12" spans="1:29" ht="15.75" thickTop="1">
      <c r="A12" s="797" t="s">
        <v>502</v>
      </c>
      <c r="B12" s="543" t="s">
        <v>482</v>
      </c>
      <c r="C12" s="554">
        <f t="array" ref="C12">IF(ocs_oil_export_heavy="No",0,ocs_oil_percent_export_low*ocs_oil_percent_heavy*ocs_oil_sim_plan_area)</f>
        <v>0</v>
      </c>
      <c r="D12" s="554">
        <f t="array" ref="D12">IF(ocs_oil_export_heavy="No",0,ocs_oil_percent_export_low*ocs_oil_percent_heavy*ocs_oil_sim_plan_area)</f>
        <v>0</v>
      </c>
      <c r="E12" s="554">
        <f t="array" ref="E12">IF(ocs_oil_export_heavy="No",0,ocs_oil_percent_export_low*ocs_oil_percent_heavy*ocs_oil_sim_plan_area)</f>
        <v>0</v>
      </c>
      <c r="F12" s="554">
        <f t="array" ref="F12">IF(ocs_oil_export_heavy="No",0,ocs_oil_percent_export_low*ocs_oil_percent_heavy*ocs_oil_sim_plan_area)</f>
        <v>0</v>
      </c>
      <c r="G12" s="554">
        <f t="array" ref="G12">IF(ocs_oil_export_heavy="No",0,ocs_oil_percent_export_low*ocs_oil_percent_heavy*ocs_oil_sim_plan_area)</f>
        <v>0</v>
      </c>
      <c r="H12" s="554">
        <f t="array" ref="H12">IF(ocs_oil_export_heavy="No",0,ocs_oil_percent_export_low*ocs_oil_percent_heavy*ocs_oil_sim_plan_area)</f>
        <v>0</v>
      </c>
      <c r="I12" s="554">
        <f t="array" ref="I12">IF(ocs_oil_export_heavy="No",0,ocs_oil_percent_export_low*ocs_oil_percent_heavy*ocs_oil_sim_plan_area)</f>
        <v>0</v>
      </c>
      <c r="J12" s="554">
        <f t="array" ref="J12">IF(ocs_oil_export_heavy="No",0,ocs_oil_percent_export_low*ocs_oil_percent_heavy*ocs_oil_sim_plan_area)</f>
        <v>0</v>
      </c>
      <c r="K12" s="554">
        <f t="array" ref="K12">IF(ocs_oil_export_heavy="No",0,ocs_oil_percent_export_low*ocs_oil_percent_heavy*ocs_oil_sim_plan_area)</f>
        <v>0</v>
      </c>
      <c r="L12" s="554">
        <f t="array" ref="L12">IF(ocs_oil_export_heavy="No",0,ocs_oil_percent_export_low*ocs_oil_percent_heavy*ocs_oil_sim_plan_area)</f>
        <v>0</v>
      </c>
      <c r="M12" s="554">
        <f t="array" ref="M12">IF(ocs_oil_export_heavy="No",0,ocs_oil_percent_export_low*ocs_oil_percent_heavy*ocs_oil_sim_plan_area)</f>
        <v>0</v>
      </c>
      <c r="N12" s="554">
        <f t="array" ref="N12">IF(ocs_oil_export_heavy="No",0,ocs_oil_percent_export_low*ocs_oil_percent_heavy*ocs_oil_sim_plan_area)</f>
        <v>0</v>
      </c>
      <c r="O12" s="554">
        <f t="array" ref="O12">IF(ocs_oil_export_heavy="No",0,ocs_oil_percent_export_low*ocs_oil_percent_heavy*ocs_oil_sim_plan_area)</f>
        <v>0</v>
      </c>
      <c r="P12" s="554">
        <f t="array" ref="P12">IF(ocs_oil_export_heavy="No",0,ocs_oil_percent_export_low*ocs_oil_percent_heavy*ocs_oil_sim_plan_area)</f>
        <v>0</v>
      </c>
      <c r="Q12" s="554">
        <f t="array" ref="Q12">IF(ocs_oil_export_heavy="No",0,ocs_oil_percent_export_low*ocs_oil_percent_heavy*ocs_oil_sim_plan_area)</f>
        <v>0</v>
      </c>
      <c r="R12" s="554">
        <f t="array" ref="R12">IF(ocs_oil_export_heavy="No",0,ocs_oil_percent_export_low*ocs_oil_percent_heavy*ocs_oil_sim_plan_area)</f>
        <v>0</v>
      </c>
      <c r="S12" s="554">
        <f t="array" ref="S12">IF(ocs_oil_export_heavy="No",0,ocs_oil_percent_export_low*ocs_oil_percent_heavy*ocs_oil_sim_plan_area)</f>
        <v>0</v>
      </c>
      <c r="T12" s="554">
        <f t="array" ref="T12">IF(ocs_oil_export_heavy="No",0,ocs_oil_percent_export_low*ocs_oil_percent_heavy*ocs_oil_sim_plan_area)</f>
        <v>0</v>
      </c>
      <c r="U12" s="554">
        <f t="array" ref="U12">IF(ocs_oil_export_heavy="No",0,ocs_oil_percent_export_low*ocs_oil_percent_heavy*ocs_oil_sim_plan_area)</f>
        <v>0</v>
      </c>
      <c r="V12" s="554">
        <f t="array" ref="V12">IF(ocs_oil_export_heavy="No",0,ocs_oil_percent_export_low*ocs_oil_percent_heavy*ocs_oil_sim_plan_area)</f>
        <v>0</v>
      </c>
      <c r="W12" s="554">
        <f t="array" ref="W12">IF(ocs_oil_export_heavy="No",0,ocs_oil_percent_export_low*ocs_oil_percent_heavy*ocs_oil_sim_plan_area)</f>
        <v>0</v>
      </c>
      <c r="X12" s="554">
        <f t="array" ref="X12">IF(ocs_oil_export_heavy="No",0,ocs_oil_percent_export_low*ocs_oil_percent_heavy*ocs_oil_sim_plan_area)</f>
        <v>0</v>
      </c>
      <c r="Y12" s="554">
        <f t="array" ref="Y12">IF(ocs_oil_export_heavy="No",0,ocs_oil_percent_export_low*ocs_oil_percent_heavy*ocs_oil_sim_plan_area)</f>
        <v>0</v>
      </c>
      <c r="Z12" s="554">
        <f t="array" ref="Z12">IF(ocs_oil_export_heavy="No",0,ocs_oil_percent_export_low*ocs_oil_percent_heavy*ocs_oil_sim_plan_area)</f>
        <v>0</v>
      </c>
      <c r="AA12" s="554">
        <f t="array" ref="AA12">IF(ocs_oil_export_heavy="No",0,ocs_oil_percent_export_low*ocs_oil_percent_heavy*ocs_oil_sim_plan_area)</f>
        <v>0</v>
      </c>
      <c r="AB12" s="554">
        <f t="array" ref="AB12">IF(ocs_oil_export_heavy="No",0,ocs_oil_percent_export_low*ocs_oil_percent_heavy*ocs_oil_sim_plan_area)</f>
        <v>0</v>
      </c>
      <c r="AC12" s="554">
        <f>SUM(C12:AB12)</f>
        <v>0</v>
      </c>
    </row>
    <row r="13" spans="1:29" ht="15">
      <c r="A13" s="797"/>
      <c r="B13" s="543" t="s">
        <v>483</v>
      </c>
      <c r="C13" s="554">
        <f t="array" ref="C13:AB13">IF(ocs_oil_export_medium="No",0,ocs_oil_percent_export_low*ocs_oil_percent_medium*ocs_oil_sim_plan_area)</f>
        <v>0</v>
      </c>
      <c r="D13" s="554">
        <v>0</v>
      </c>
      <c r="E13" s="554">
        <v>0</v>
      </c>
      <c r="F13" s="554">
        <v>0</v>
      </c>
      <c r="G13" s="554">
        <v>0</v>
      </c>
      <c r="H13" s="554">
        <v>0</v>
      </c>
      <c r="I13" s="554">
        <v>0</v>
      </c>
      <c r="J13" s="554">
        <v>0</v>
      </c>
      <c r="K13" s="554">
        <v>0</v>
      </c>
      <c r="L13" s="554">
        <v>0</v>
      </c>
      <c r="M13" s="554">
        <v>0</v>
      </c>
      <c r="N13" s="554">
        <v>0</v>
      </c>
      <c r="O13" s="554">
        <v>0</v>
      </c>
      <c r="P13" s="554">
        <v>0</v>
      </c>
      <c r="Q13" s="554">
        <v>0</v>
      </c>
      <c r="R13" s="554">
        <v>0</v>
      </c>
      <c r="S13" s="554">
        <v>0</v>
      </c>
      <c r="T13" s="554">
        <v>0</v>
      </c>
      <c r="U13" s="554">
        <v>0</v>
      </c>
      <c r="V13" s="554">
        <v>0</v>
      </c>
      <c r="W13" s="554">
        <v>0</v>
      </c>
      <c r="X13" s="554">
        <v>0</v>
      </c>
      <c r="Y13" s="554">
        <v>0</v>
      </c>
      <c r="Z13" s="554">
        <v>0</v>
      </c>
      <c r="AA13" s="554">
        <v>0</v>
      </c>
      <c r="AB13" s="554">
        <v>0</v>
      </c>
      <c r="AC13" s="554">
        <f t="shared" ref="AC13:AC19" si="0">SUM(C13:AB13)</f>
        <v>0</v>
      </c>
    </row>
    <row r="14" spans="1:29" ht="15">
      <c r="A14" s="797"/>
      <c r="B14" s="543" t="s">
        <v>484</v>
      </c>
      <c r="C14" s="554">
        <f t="array" ref="C14:AB14">IF(ocs_oil_export_light="No",0,ocs_oil_percent_export_low*ocs_oil_percent_light*ocs_oil_sim_plan_area)</f>
        <v>0</v>
      </c>
      <c r="D14" s="554">
        <v>0</v>
      </c>
      <c r="E14" s="554">
        <v>0</v>
      </c>
      <c r="F14" s="554">
        <v>0</v>
      </c>
      <c r="G14" s="554">
        <v>0</v>
      </c>
      <c r="H14" s="554">
        <v>1.3356164383561641E-3</v>
      </c>
      <c r="I14" s="554">
        <v>0</v>
      </c>
      <c r="J14" s="554">
        <v>0</v>
      </c>
      <c r="K14" s="554">
        <v>0</v>
      </c>
      <c r="L14" s="554">
        <v>0</v>
      </c>
      <c r="M14" s="554">
        <v>0</v>
      </c>
      <c r="N14" s="554">
        <v>7.1917808219178082E-3</v>
      </c>
      <c r="O14" s="554">
        <v>2.3150684931506848E-3</v>
      </c>
      <c r="P14" s="554">
        <v>0</v>
      </c>
      <c r="Q14" s="554">
        <v>0</v>
      </c>
      <c r="R14" s="554">
        <v>0</v>
      </c>
      <c r="S14" s="554">
        <v>0</v>
      </c>
      <c r="T14" s="554">
        <v>0</v>
      </c>
      <c r="U14" s="554">
        <v>0</v>
      </c>
      <c r="V14" s="554">
        <v>0</v>
      </c>
      <c r="W14" s="554">
        <v>0</v>
      </c>
      <c r="X14" s="554">
        <v>0</v>
      </c>
      <c r="Y14" s="554">
        <v>0</v>
      </c>
      <c r="Z14" s="554">
        <v>0</v>
      </c>
      <c r="AA14" s="554">
        <v>0</v>
      </c>
      <c r="AB14" s="554">
        <v>0</v>
      </c>
      <c r="AC14" s="554">
        <f t="shared" si="0"/>
        <v>1.0842465753424657E-2</v>
      </c>
    </row>
    <row r="15" spans="1:29" ht="15">
      <c r="A15" s="797"/>
      <c r="B15" s="547" t="s">
        <v>485</v>
      </c>
      <c r="C15" s="467">
        <f>SUM(C12:C14)</f>
        <v>0</v>
      </c>
      <c r="D15" s="467">
        <f t="shared" ref="D15:AB15" si="1">SUM(D12:D14)</f>
        <v>0</v>
      </c>
      <c r="E15" s="467">
        <f t="shared" si="1"/>
        <v>0</v>
      </c>
      <c r="F15" s="467">
        <f t="shared" si="1"/>
        <v>0</v>
      </c>
      <c r="G15" s="467">
        <f t="shared" si="1"/>
        <v>0</v>
      </c>
      <c r="H15" s="467">
        <f t="shared" si="1"/>
        <v>1.3356164383561641E-3</v>
      </c>
      <c r="I15" s="467">
        <f t="shared" si="1"/>
        <v>0</v>
      </c>
      <c r="J15" s="467">
        <f t="shared" si="1"/>
        <v>0</v>
      </c>
      <c r="K15" s="467">
        <f t="shared" si="1"/>
        <v>0</v>
      </c>
      <c r="L15" s="467">
        <f t="shared" si="1"/>
        <v>0</v>
      </c>
      <c r="M15" s="467">
        <f t="shared" si="1"/>
        <v>0</v>
      </c>
      <c r="N15" s="467">
        <f t="shared" si="1"/>
        <v>7.1917808219178082E-3</v>
      </c>
      <c r="O15" s="467">
        <f t="shared" si="1"/>
        <v>2.3150684931506848E-3</v>
      </c>
      <c r="P15" s="467">
        <f t="shared" si="1"/>
        <v>0</v>
      </c>
      <c r="Q15" s="467">
        <f t="shared" si="1"/>
        <v>0</v>
      </c>
      <c r="R15" s="467">
        <f t="shared" si="1"/>
        <v>0</v>
      </c>
      <c r="S15" s="467">
        <f t="shared" si="1"/>
        <v>0</v>
      </c>
      <c r="T15" s="467">
        <f t="shared" si="1"/>
        <v>0</v>
      </c>
      <c r="U15" s="467">
        <f t="shared" si="1"/>
        <v>0</v>
      </c>
      <c r="V15" s="467">
        <f t="shared" si="1"/>
        <v>0</v>
      </c>
      <c r="W15" s="467">
        <f t="shared" si="1"/>
        <v>0</v>
      </c>
      <c r="X15" s="467">
        <f t="shared" si="1"/>
        <v>0</v>
      </c>
      <c r="Y15" s="467">
        <f t="shared" si="1"/>
        <v>0</v>
      </c>
      <c r="Z15" s="467">
        <f t="shared" si="1"/>
        <v>0</v>
      </c>
      <c r="AA15" s="467">
        <f t="shared" si="1"/>
        <v>0</v>
      </c>
      <c r="AB15" s="467">
        <f t="shared" si="1"/>
        <v>0</v>
      </c>
      <c r="AC15" s="467">
        <f t="shared" si="0"/>
        <v>1.0842465753424657E-2</v>
      </c>
    </row>
    <row r="16" spans="1:29" ht="15">
      <c r="A16" s="797" t="s">
        <v>503</v>
      </c>
      <c r="B16" s="543" t="s">
        <v>482</v>
      </c>
      <c r="C16" s="554">
        <f t="array" ref="C16:AB16">IF(ocs_oil_export_heavy="No",0,ocs_oil_percent_export_high*ocs_oil_percent_heavy*ocs_oil_sim_plan_area)</f>
        <v>0</v>
      </c>
      <c r="D16" s="554">
        <v>0</v>
      </c>
      <c r="E16" s="554">
        <v>0</v>
      </c>
      <c r="F16" s="554">
        <v>0</v>
      </c>
      <c r="G16" s="554">
        <v>0</v>
      </c>
      <c r="H16" s="554">
        <v>0</v>
      </c>
      <c r="I16" s="554">
        <v>0</v>
      </c>
      <c r="J16" s="554">
        <v>0</v>
      </c>
      <c r="K16" s="554">
        <v>0</v>
      </c>
      <c r="L16" s="554">
        <v>0</v>
      </c>
      <c r="M16" s="554">
        <v>0</v>
      </c>
      <c r="N16" s="554">
        <v>0</v>
      </c>
      <c r="O16" s="554">
        <v>0</v>
      </c>
      <c r="P16" s="554">
        <v>0</v>
      </c>
      <c r="Q16" s="554">
        <v>0</v>
      </c>
      <c r="R16" s="554">
        <v>0</v>
      </c>
      <c r="S16" s="554">
        <v>0</v>
      </c>
      <c r="T16" s="554">
        <v>0</v>
      </c>
      <c r="U16" s="554">
        <v>0</v>
      </c>
      <c r="V16" s="554">
        <v>0</v>
      </c>
      <c r="W16" s="554">
        <v>0</v>
      </c>
      <c r="X16" s="554">
        <v>0</v>
      </c>
      <c r="Y16" s="554">
        <v>0</v>
      </c>
      <c r="Z16" s="554">
        <v>0</v>
      </c>
      <c r="AA16" s="554">
        <v>0</v>
      </c>
      <c r="AB16" s="554">
        <v>0</v>
      </c>
      <c r="AC16" s="554">
        <f t="shared" si="0"/>
        <v>0</v>
      </c>
    </row>
    <row r="17" spans="1:29" ht="15">
      <c r="A17" s="797"/>
      <c r="B17" s="543" t="s">
        <v>483</v>
      </c>
      <c r="C17" s="554">
        <f t="array" ref="C17:AB17">IF(ocs_oil_export_medium="No",0,ocs_oil_percent_export_high*ocs_oil_percent_medium*ocs_oil_sim_plan_area)</f>
        <v>0</v>
      </c>
      <c r="D17" s="554">
        <v>0</v>
      </c>
      <c r="E17" s="554">
        <v>0</v>
      </c>
      <c r="F17" s="554">
        <v>0</v>
      </c>
      <c r="G17" s="554">
        <v>0</v>
      </c>
      <c r="H17" s="554">
        <v>0</v>
      </c>
      <c r="I17" s="554">
        <v>0</v>
      </c>
      <c r="J17" s="554">
        <v>0</v>
      </c>
      <c r="K17" s="554">
        <v>0</v>
      </c>
      <c r="L17" s="554">
        <v>0</v>
      </c>
      <c r="M17" s="554">
        <v>0</v>
      </c>
      <c r="N17" s="554">
        <v>0</v>
      </c>
      <c r="O17" s="554">
        <v>0</v>
      </c>
      <c r="P17" s="554">
        <v>0</v>
      </c>
      <c r="Q17" s="554">
        <v>0</v>
      </c>
      <c r="R17" s="554">
        <v>0</v>
      </c>
      <c r="S17" s="554">
        <v>0</v>
      </c>
      <c r="T17" s="554">
        <v>0</v>
      </c>
      <c r="U17" s="554">
        <v>0</v>
      </c>
      <c r="V17" s="554">
        <v>0</v>
      </c>
      <c r="W17" s="554">
        <v>0</v>
      </c>
      <c r="X17" s="554">
        <v>0</v>
      </c>
      <c r="Y17" s="554">
        <v>0</v>
      </c>
      <c r="Z17" s="554">
        <v>0</v>
      </c>
      <c r="AA17" s="554">
        <v>0</v>
      </c>
      <c r="AB17" s="554">
        <v>0</v>
      </c>
      <c r="AC17" s="554">
        <f t="shared" si="0"/>
        <v>0</v>
      </c>
    </row>
    <row r="18" spans="1:29" ht="15">
      <c r="A18" s="797"/>
      <c r="B18" s="543" t="s">
        <v>484</v>
      </c>
      <c r="C18" s="554">
        <f t="array" ref="C18:AB18">IF(ocs_oil_export_light="No",0,ocs_oil_percent_export_high*ocs_oil_percent_light*ocs_oil_sim_plan_area)</f>
        <v>0</v>
      </c>
      <c r="D18" s="554">
        <v>0</v>
      </c>
      <c r="E18" s="554">
        <v>0</v>
      </c>
      <c r="F18" s="554">
        <v>0</v>
      </c>
      <c r="G18" s="554">
        <v>0</v>
      </c>
      <c r="H18" s="554">
        <v>4.006849315068492E-3</v>
      </c>
      <c r="I18" s="554">
        <v>0</v>
      </c>
      <c r="J18" s="554">
        <v>0</v>
      </c>
      <c r="K18" s="554">
        <v>0</v>
      </c>
      <c r="L18" s="554">
        <v>0</v>
      </c>
      <c r="M18" s="554">
        <v>0</v>
      </c>
      <c r="N18" s="554">
        <v>2.1575342465753423E-2</v>
      </c>
      <c r="O18" s="554">
        <v>6.9452054794520547E-3</v>
      </c>
      <c r="P18" s="554">
        <v>0</v>
      </c>
      <c r="Q18" s="554">
        <v>0</v>
      </c>
      <c r="R18" s="554">
        <v>0</v>
      </c>
      <c r="S18" s="554">
        <v>0</v>
      </c>
      <c r="T18" s="554">
        <v>0</v>
      </c>
      <c r="U18" s="554">
        <v>0</v>
      </c>
      <c r="V18" s="554">
        <v>0</v>
      </c>
      <c r="W18" s="554">
        <v>0</v>
      </c>
      <c r="X18" s="554">
        <v>0</v>
      </c>
      <c r="Y18" s="554">
        <v>0</v>
      </c>
      <c r="Z18" s="554">
        <v>0</v>
      </c>
      <c r="AA18" s="554">
        <v>0</v>
      </c>
      <c r="AB18" s="554">
        <v>0</v>
      </c>
      <c r="AC18" s="554">
        <f t="shared" si="0"/>
        <v>3.2527397260273969E-2</v>
      </c>
    </row>
    <row r="19" spans="1:29" ht="15">
      <c r="A19" s="797"/>
      <c r="B19" s="547" t="s">
        <v>485</v>
      </c>
      <c r="C19" s="467">
        <f>SUM(C16:C18)</f>
        <v>0</v>
      </c>
      <c r="D19" s="467">
        <f t="shared" ref="D19:AB19" si="2">SUM(D16:D18)</f>
        <v>0</v>
      </c>
      <c r="E19" s="467">
        <f t="shared" si="2"/>
        <v>0</v>
      </c>
      <c r="F19" s="467">
        <f t="shared" si="2"/>
        <v>0</v>
      </c>
      <c r="G19" s="467">
        <f t="shared" si="2"/>
        <v>0</v>
      </c>
      <c r="H19" s="467">
        <f t="shared" si="2"/>
        <v>4.006849315068492E-3</v>
      </c>
      <c r="I19" s="467">
        <f t="shared" si="2"/>
        <v>0</v>
      </c>
      <c r="J19" s="467">
        <f t="shared" si="2"/>
        <v>0</v>
      </c>
      <c r="K19" s="467">
        <f t="shared" si="2"/>
        <v>0</v>
      </c>
      <c r="L19" s="467">
        <f t="shared" si="2"/>
        <v>0</v>
      </c>
      <c r="M19" s="467">
        <f t="shared" si="2"/>
        <v>0</v>
      </c>
      <c r="N19" s="467">
        <f t="shared" si="2"/>
        <v>2.1575342465753423E-2</v>
      </c>
      <c r="O19" s="467">
        <f t="shared" si="2"/>
        <v>6.9452054794520547E-3</v>
      </c>
      <c r="P19" s="467">
        <f t="shared" si="2"/>
        <v>0</v>
      </c>
      <c r="Q19" s="467">
        <f t="shared" si="2"/>
        <v>0</v>
      </c>
      <c r="R19" s="467">
        <f t="shared" si="2"/>
        <v>0</v>
      </c>
      <c r="S19" s="467">
        <f t="shared" si="2"/>
        <v>0</v>
      </c>
      <c r="T19" s="467">
        <f t="shared" si="2"/>
        <v>0</v>
      </c>
      <c r="U19" s="467">
        <f t="shared" si="2"/>
        <v>0</v>
      </c>
      <c r="V19" s="467">
        <f t="shared" si="2"/>
        <v>0</v>
      </c>
      <c r="W19" s="467">
        <f t="shared" si="2"/>
        <v>0</v>
      </c>
      <c r="X19" s="467">
        <f t="shared" si="2"/>
        <v>0</v>
      </c>
      <c r="Y19" s="467">
        <f t="shared" si="2"/>
        <v>0</v>
      </c>
      <c r="Z19" s="467">
        <f t="shared" si="2"/>
        <v>0</v>
      </c>
      <c r="AA19" s="467">
        <f t="shared" si="2"/>
        <v>0</v>
      </c>
      <c r="AB19" s="467">
        <f t="shared" si="2"/>
        <v>0</v>
      </c>
      <c r="AC19" s="467">
        <f t="shared" si="0"/>
        <v>3.2527397260273969E-2</v>
      </c>
    </row>
  </sheetData>
  <mergeCells count="8">
    <mergeCell ref="A1:B1"/>
    <mergeCell ref="A12:A15"/>
    <mergeCell ref="A16:A19"/>
    <mergeCell ref="B7:AC7"/>
    <mergeCell ref="J8:M8"/>
    <mergeCell ref="G8:I8"/>
    <mergeCell ref="N8:AC8"/>
    <mergeCell ref="C8:F8"/>
  </mergeCells>
  <conditionalFormatting sqref="B12:B15">
    <cfRule type="expression" dxfId="113" priority="11" stopIfTrue="1">
      <formula>ISERROR(B12)</formula>
    </cfRule>
  </conditionalFormatting>
  <conditionalFormatting sqref="C12:AB14">
    <cfRule type="expression" dxfId="112" priority="10" stopIfTrue="1">
      <formula>ISERROR(C12)</formula>
    </cfRule>
  </conditionalFormatting>
  <conditionalFormatting sqref="C15:AB15">
    <cfRule type="expression" dxfId="111" priority="9" stopIfTrue="1">
      <formula>ISERROR(C15)</formula>
    </cfRule>
  </conditionalFormatting>
  <conditionalFormatting sqref="C16:AB18">
    <cfRule type="expression" dxfId="110" priority="7" stopIfTrue="1">
      <formula>ISERROR(C16)</formula>
    </cfRule>
  </conditionalFormatting>
  <conditionalFormatting sqref="C19:AB19">
    <cfRule type="expression" dxfId="109" priority="6" stopIfTrue="1">
      <formula>ISERROR(C19)</formula>
    </cfRule>
  </conditionalFormatting>
  <conditionalFormatting sqref="B16:B19">
    <cfRule type="expression" dxfId="108" priority="5" stopIfTrue="1">
      <formula>ISERROR(B16)</formula>
    </cfRule>
  </conditionalFormatting>
  <conditionalFormatting sqref="AC12:AC14">
    <cfRule type="expression" dxfId="107" priority="4" stopIfTrue="1">
      <formula>ISERROR(AC12)</formula>
    </cfRule>
  </conditionalFormatting>
  <conditionalFormatting sqref="AC15">
    <cfRule type="expression" dxfId="106" priority="3" stopIfTrue="1">
      <formula>ISERROR(AC15)</formula>
    </cfRule>
  </conditionalFormatting>
  <conditionalFormatting sqref="AC16:AC18">
    <cfRule type="expression" dxfId="105" priority="2" stopIfTrue="1">
      <formula>ISERROR(AC16)</formula>
    </cfRule>
  </conditionalFormatting>
  <conditionalFormatting sqref="AC19">
    <cfRule type="expression" dxfId="104" priority="1" stopIfTrue="1">
      <formula>ISERROR(AC19)</formula>
    </cfRule>
  </conditionalFormatting>
  <hyperlinks>
    <hyperlink ref="A1" location="'Table of Contents'!A1" tooltip="Click here to return to the Table of Contents tab" display="Return to Table of Contents"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7">
    <tabColor indexed="22"/>
  </sheetPr>
  <dimension ref="A1:BC83"/>
  <sheetViews>
    <sheetView zoomScaleNormal="100" workbookViewId="0">
      <pane xSplit="3" topLeftCell="D1" activePane="topRight" state="frozen"/>
      <selection pane="topRight" activeCell="AD11" sqref="AD11:BC80"/>
    </sheetView>
  </sheetViews>
  <sheetFormatPr defaultRowHeight="12.75"/>
  <cols>
    <col min="2" max="2" width="14.42578125" customWidth="1"/>
    <col min="3" max="3" width="14.7109375" customWidth="1"/>
    <col min="4" max="9" width="13.28515625" customWidth="1"/>
  </cols>
  <sheetData>
    <row r="1" spans="1:55">
      <c r="B1" t="s">
        <v>103</v>
      </c>
      <c r="C1" t="str">
        <f>scenario_name</f>
        <v>GenericE&amp;DtemplateCIandGOA</v>
      </c>
    </row>
    <row r="2" spans="1:55">
      <c r="D2" t="s">
        <v>11</v>
      </c>
      <c r="E2" t="s">
        <v>11</v>
      </c>
      <c r="F2" t="s">
        <v>11</v>
      </c>
      <c r="G2" t="s">
        <v>11</v>
      </c>
      <c r="H2" t="s">
        <v>11</v>
      </c>
      <c r="I2" t="s">
        <v>11</v>
      </c>
      <c r="J2" t="s">
        <v>11</v>
      </c>
      <c r="K2" t="s">
        <v>11</v>
      </c>
      <c r="L2" t="s">
        <v>11</v>
      </c>
      <c r="M2" t="s">
        <v>11</v>
      </c>
      <c r="N2" t="s">
        <v>11</v>
      </c>
      <c r="O2" t="s">
        <v>11</v>
      </c>
      <c r="P2" t="s">
        <v>11</v>
      </c>
      <c r="Q2" t="s">
        <v>11</v>
      </c>
      <c r="R2" t="s">
        <v>11</v>
      </c>
      <c r="S2" t="s">
        <v>11</v>
      </c>
      <c r="T2" t="s">
        <v>11</v>
      </c>
      <c r="U2" t="s">
        <v>11</v>
      </c>
      <c r="V2" t="s">
        <v>11</v>
      </c>
      <c r="W2" t="s">
        <v>11</v>
      </c>
      <c r="X2" t="s">
        <v>11</v>
      </c>
      <c r="Y2" t="s">
        <v>11</v>
      </c>
      <c r="Z2" t="s">
        <v>11</v>
      </c>
      <c r="AA2" t="s">
        <v>11</v>
      </c>
      <c r="AB2" t="s">
        <v>11</v>
      </c>
      <c r="AC2" t="s">
        <v>11</v>
      </c>
      <c r="AD2" t="s">
        <v>12</v>
      </c>
      <c r="AE2" t="s">
        <v>12</v>
      </c>
      <c r="AF2" t="s">
        <v>12</v>
      </c>
      <c r="AG2" t="s">
        <v>12</v>
      </c>
      <c r="AH2" t="s">
        <v>12</v>
      </c>
      <c r="AI2" t="s">
        <v>12</v>
      </c>
      <c r="AJ2" t="s">
        <v>12</v>
      </c>
      <c r="AK2" t="s">
        <v>12</v>
      </c>
      <c r="AL2" t="s">
        <v>12</v>
      </c>
      <c r="AM2" t="s">
        <v>12</v>
      </c>
      <c r="AN2" t="s">
        <v>12</v>
      </c>
      <c r="AO2" t="s">
        <v>12</v>
      </c>
      <c r="AP2" t="s">
        <v>12</v>
      </c>
      <c r="AQ2" t="s">
        <v>12</v>
      </c>
      <c r="AR2" t="s">
        <v>12</v>
      </c>
      <c r="AS2" t="s">
        <v>12</v>
      </c>
      <c r="AT2" t="s">
        <v>12</v>
      </c>
      <c r="AU2" t="s">
        <v>12</v>
      </c>
      <c r="AV2" t="s">
        <v>12</v>
      </c>
      <c r="AW2" t="s">
        <v>12</v>
      </c>
      <c r="AX2" t="s">
        <v>12</v>
      </c>
      <c r="AY2" t="s">
        <v>12</v>
      </c>
      <c r="AZ2" t="s">
        <v>12</v>
      </c>
      <c r="BA2" t="s">
        <v>12</v>
      </c>
      <c r="BB2" t="s">
        <v>12</v>
      </c>
      <c r="BC2" t="s">
        <v>12</v>
      </c>
    </row>
    <row r="3" spans="1:55">
      <c r="A3" t="s">
        <v>504</v>
      </c>
      <c r="B3" t="s">
        <v>505</v>
      </c>
      <c r="C3" s="246" t="s">
        <v>506</v>
      </c>
      <c r="D3" t="s">
        <v>158</v>
      </c>
      <c r="E3" t="s">
        <v>166</v>
      </c>
      <c r="F3" t="s">
        <v>171</v>
      </c>
      <c r="G3" t="s">
        <v>173</v>
      </c>
      <c r="H3" t="s">
        <v>180</v>
      </c>
      <c r="I3" t="s">
        <v>186</v>
      </c>
      <c r="J3" t="s">
        <v>191</v>
      </c>
      <c r="K3" t="s">
        <v>197</v>
      </c>
      <c r="L3" t="s">
        <v>199</v>
      </c>
      <c r="M3" t="s">
        <v>201</v>
      </c>
      <c r="N3" t="s">
        <v>494</v>
      </c>
      <c r="O3" t="s">
        <v>208</v>
      </c>
      <c r="P3" t="s">
        <v>211</v>
      </c>
      <c r="Q3" t="s">
        <v>213</v>
      </c>
      <c r="R3" t="s">
        <v>215</v>
      </c>
      <c r="S3" t="s">
        <v>219</v>
      </c>
      <c r="T3" t="s">
        <v>222</v>
      </c>
      <c r="U3" t="s">
        <v>224</v>
      </c>
      <c r="V3" t="s">
        <v>228</v>
      </c>
      <c r="W3" t="s">
        <v>231</v>
      </c>
      <c r="X3" t="s">
        <v>232</v>
      </c>
      <c r="Y3" t="s">
        <v>235</v>
      </c>
      <c r="Z3" t="s">
        <v>237</v>
      </c>
      <c r="AA3" t="s">
        <v>239</v>
      </c>
      <c r="AB3" t="s">
        <v>242</v>
      </c>
      <c r="AC3" t="s">
        <v>245</v>
      </c>
      <c r="AD3" t="s">
        <v>158</v>
      </c>
      <c r="AE3" t="s">
        <v>166</v>
      </c>
      <c r="AF3" t="s">
        <v>171</v>
      </c>
      <c r="AG3" t="s">
        <v>173</v>
      </c>
      <c r="AH3" t="s">
        <v>180</v>
      </c>
      <c r="AI3" t="s">
        <v>186</v>
      </c>
      <c r="AJ3" t="s">
        <v>191</v>
      </c>
      <c r="AK3" t="s">
        <v>197</v>
      </c>
      <c r="AL3" t="s">
        <v>199</v>
      </c>
      <c r="AM3" t="s">
        <v>201</v>
      </c>
      <c r="AN3" t="s">
        <v>494</v>
      </c>
      <c r="AO3" t="s">
        <v>208</v>
      </c>
      <c r="AP3" t="s">
        <v>211</v>
      </c>
      <c r="AQ3" t="s">
        <v>213</v>
      </c>
      <c r="AR3" t="s">
        <v>215</v>
      </c>
      <c r="AS3" t="s">
        <v>219</v>
      </c>
      <c r="AT3" t="s">
        <v>222</v>
      </c>
      <c r="AU3" t="s">
        <v>224</v>
      </c>
      <c r="AV3" t="s">
        <v>228</v>
      </c>
      <c r="AW3" t="s">
        <v>231</v>
      </c>
      <c r="AX3" t="s">
        <v>232</v>
      </c>
      <c r="AY3" t="s">
        <v>235</v>
      </c>
      <c r="AZ3" t="s">
        <v>237</v>
      </c>
      <c r="BA3" t="s">
        <v>239</v>
      </c>
      <c r="BB3" t="s">
        <v>242</v>
      </c>
      <c r="BC3" t="s">
        <v>245</v>
      </c>
    </row>
    <row r="4" spans="1:55">
      <c r="A4">
        <f t="shared" ref="A4:A35" ca="1" si="0">(C4&lt;=end_year)*1</f>
        <v>1</v>
      </c>
      <c r="B4">
        <f t="shared" ref="B4:B35" si="1">C4-begin_year+1</f>
        <v>-6</v>
      </c>
      <c r="C4">
        <f>baseline_start_year</f>
        <v>2019</v>
      </c>
      <c r="D4" s="475">
        <v>0</v>
      </c>
      <c r="E4" s="475">
        <v>0</v>
      </c>
      <c r="F4" s="475">
        <v>0</v>
      </c>
      <c r="G4" s="475">
        <v>0</v>
      </c>
      <c r="H4" s="475">
        <v>0</v>
      </c>
      <c r="I4" s="475">
        <v>0</v>
      </c>
      <c r="J4" s="475">
        <v>0</v>
      </c>
      <c r="K4" s="475">
        <v>0</v>
      </c>
      <c r="L4" s="475">
        <v>0</v>
      </c>
      <c r="M4" s="475">
        <v>0</v>
      </c>
      <c r="N4" s="475">
        <v>0</v>
      </c>
      <c r="O4" s="475">
        <v>0</v>
      </c>
      <c r="P4" s="475">
        <v>0</v>
      </c>
      <c r="Q4" s="475">
        <v>0</v>
      </c>
      <c r="R4" s="475">
        <v>0</v>
      </c>
      <c r="S4" s="475">
        <v>0</v>
      </c>
      <c r="T4" s="475">
        <v>0</v>
      </c>
      <c r="U4" s="475">
        <v>0</v>
      </c>
      <c r="V4" s="475">
        <v>0</v>
      </c>
      <c r="W4" s="475">
        <v>0</v>
      </c>
      <c r="X4" s="475">
        <v>0</v>
      </c>
      <c r="Y4" s="475">
        <v>0</v>
      </c>
      <c r="Z4" s="475">
        <v>0</v>
      </c>
      <c r="AA4" s="475">
        <v>0</v>
      </c>
      <c r="AB4" s="475">
        <v>0</v>
      </c>
      <c r="AC4" s="475">
        <v>0</v>
      </c>
      <c r="AD4" s="475">
        <v>0</v>
      </c>
      <c r="AE4" s="475">
        <v>0</v>
      </c>
      <c r="AF4" s="475">
        <v>0</v>
      </c>
      <c r="AG4" s="475">
        <v>0</v>
      </c>
      <c r="AH4" s="475">
        <v>0</v>
      </c>
      <c r="AI4" s="475">
        <v>0</v>
      </c>
      <c r="AJ4" s="475">
        <v>0</v>
      </c>
      <c r="AK4" s="475">
        <v>0</v>
      </c>
      <c r="AL4" s="475">
        <v>0</v>
      </c>
      <c r="AM4" s="475">
        <v>0</v>
      </c>
      <c r="AN4" s="475">
        <v>0</v>
      </c>
      <c r="AO4" s="475">
        <v>0</v>
      </c>
      <c r="AP4" s="475">
        <v>0</v>
      </c>
      <c r="AQ4" s="475">
        <v>0</v>
      </c>
      <c r="AR4" s="475">
        <v>0</v>
      </c>
      <c r="AS4" s="475">
        <v>0</v>
      </c>
      <c r="AT4" s="475">
        <v>0</v>
      </c>
      <c r="AU4" s="475">
        <v>0</v>
      </c>
      <c r="AV4" s="475">
        <v>0</v>
      </c>
      <c r="AW4" s="475">
        <v>0</v>
      </c>
      <c r="AX4" s="475">
        <v>0</v>
      </c>
      <c r="AY4" s="475">
        <v>0</v>
      </c>
      <c r="AZ4" s="475">
        <v>0</v>
      </c>
      <c r="BA4" s="475">
        <v>0</v>
      </c>
      <c r="BB4" s="475">
        <v>0</v>
      </c>
      <c r="BC4" s="475">
        <v>0</v>
      </c>
    </row>
    <row r="5" spans="1:55">
      <c r="A5">
        <f t="shared" ca="1" si="0"/>
        <v>1</v>
      </c>
      <c r="B5">
        <f t="shared" si="1"/>
        <v>-5</v>
      </c>
      <c r="C5">
        <f>C4+1</f>
        <v>2020</v>
      </c>
      <c r="D5" s="475">
        <v>0</v>
      </c>
      <c r="E5" s="475">
        <v>0</v>
      </c>
      <c r="F5" s="475">
        <v>0</v>
      </c>
      <c r="G5" s="475">
        <v>0</v>
      </c>
      <c r="H5" s="475">
        <v>0</v>
      </c>
      <c r="I5" s="475">
        <v>0</v>
      </c>
      <c r="J5" s="475">
        <v>0</v>
      </c>
      <c r="K5" s="475">
        <v>0</v>
      </c>
      <c r="L5" s="475">
        <v>0</v>
      </c>
      <c r="M5" s="475">
        <v>0</v>
      </c>
      <c r="N5" s="475">
        <v>0</v>
      </c>
      <c r="O5" s="475">
        <v>0</v>
      </c>
      <c r="P5" s="475">
        <v>0</v>
      </c>
      <c r="Q5" s="475">
        <v>0</v>
      </c>
      <c r="R5" s="475">
        <v>0</v>
      </c>
      <c r="S5" s="475">
        <v>0</v>
      </c>
      <c r="T5" s="475">
        <v>0</v>
      </c>
      <c r="U5" s="475">
        <v>0</v>
      </c>
      <c r="V5" s="475">
        <v>0</v>
      </c>
      <c r="W5" s="475">
        <v>0</v>
      </c>
      <c r="X5" s="475">
        <v>0</v>
      </c>
      <c r="Y5" s="475">
        <v>0</v>
      </c>
      <c r="Z5" s="475">
        <v>0</v>
      </c>
      <c r="AA5" s="475">
        <v>0</v>
      </c>
      <c r="AB5" s="475">
        <v>0</v>
      </c>
      <c r="AC5" s="475">
        <v>0</v>
      </c>
      <c r="AD5" s="475">
        <v>0</v>
      </c>
      <c r="AE5" s="475">
        <v>0</v>
      </c>
      <c r="AF5" s="475">
        <v>0</v>
      </c>
      <c r="AG5" s="475">
        <v>0</v>
      </c>
      <c r="AH5" s="475">
        <v>0</v>
      </c>
      <c r="AI5" s="475">
        <v>0</v>
      </c>
      <c r="AJ5" s="475">
        <v>0</v>
      </c>
      <c r="AK5" s="475">
        <v>0</v>
      </c>
      <c r="AL5" s="475">
        <v>0</v>
      </c>
      <c r="AM5" s="475">
        <v>0</v>
      </c>
      <c r="AN5" s="475">
        <v>0</v>
      </c>
      <c r="AO5" s="475">
        <v>0</v>
      </c>
      <c r="AP5" s="475">
        <v>0</v>
      </c>
      <c r="AQ5" s="475">
        <v>0</v>
      </c>
      <c r="AR5" s="475">
        <v>0</v>
      </c>
      <c r="AS5" s="475">
        <v>0</v>
      </c>
      <c r="AT5" s="475">
        <v>0</v>
      </c>
      <c r="AU5" s="475">
        <v>0</v>
      </c>
      <c r="AV5" s="475">
        <v>0</v>
      </c>
      <c r="AW5" s="475">
        <v>0</v>
      </c>
      <c r="AX5" s="475">
        <v>0</v>
      </c>
      <c r="AY5" s="475">
        <v>0</v>
      </c>
      <c r="AZ5" s="475">
        <v>0</v>
      </c>
      <c r="BA5" s="475">
        <v>0</v>
      </c>
      <c r="BB5" s="475">
        <v>0</v>
      </c>
      <c r="BC5" s="475">
        <v>0</v>
      </c>
    </row>
    <row r="6" spans="1:55">
      <c r="A6">
        <f t="shared" ca="1" si="0"/>
        <v>1</v>
      </c>
      <c r="B6">
        <f t="shared" si="1"/>
        <v>-4</v>
      </c>
      <c r="C6">
        <f t="shared" ref="C6:C69" si="2">C5+1</f>
        <v>2021</v>
      </c>
      <c r="D6" s="475">
        <v>0</v>
      </c>
      <c r="E6" s="475">
        <v>0</v>
      </c>
      <c r="F6" s="475">
        <v>0</v>
      </c>
      <c r="G6" s="475">
        <v>0</v>
      </c>
      <c r="H6" s="475">
        <v>0</v>
      </c>
      <c r="I6" s="475">
        <v>0</v>
      </c>
      <c r="J6" s="475">
        <v>0</v>
      </c>
      <c r="K6" s="475">
        <v>0</v>
      </c>
      <c r="L6" s="475">
        <v>0</v>
      </c>
      <c r="M6" s="475">
        <v>0</v>
      </c>
      <c r="N6" s="475">
        <v>0</v>
      </c>
      <c r="O6" s="475">
        <v>0</v>
      </c>
      <c r="P6" s="475">
        <v>0</v>
      </c>
      <c r="Q6" s="475">
        <v>0</v>
      </c>
      <c r="R6" s="475">
        <v>0</v>
      </c>
      <c r="S6" s="475">
        <v>0</v>
      </c>
      <c r="T6" s="475">
        <v>0</v>
      </c>
      <c r="U6" s="475">
        <v>0</v>
      </c>
      <c r="V6" s="475">
        <v>0</v>
      </c>
      <c r="W6" s="475">
        <v>0</v>
      </c>
      <c r="X6" s="475">
        <v>0</v>
      </c>
      <c r="Y6" s="475">
        <v>0</v>
      </c>
      <c r="Z6" s="475">
        <v>0</v>
      </c>
      <c r="AA6" s="475">
        <v>0</v>
      </c>
      <c r="AB6" s="475">
        <v>0</v>
      </c>
      <c r="AC6" s="475">
        <v>0</v>
      </c>
      <c r="AD6" s="475">
        <v>0</v>
      </c>
      <c r="AE6" s="475">
        <v>0</v>
      </c>
      <c r="AF6" s="475">
        <v>0</v>
      </c>
      <c r="AG6" s="475">
        <v>0</v>
      </c>
      <c r="AH6" s="475">
        <v>0</v>
      </c>
      <c r="AI6" s="475">
        <v>0</v>
      </c>
      <c r="AJ6" s="475">
        <v>0</v>
      </c>
      <c r="AK6" s="475">
        <v>0</v>
      </c>
      <c r="AL6" s="475">
        <v>0</v>
      </c>
      <c r="AM6" s="475">
        <v>0</v>
      </c>
      <c r="AN6" s="475">
        <v>0</v>
      </c>
      <c r="AO6" s="475">
        <v>0</v>
      </c>
      <c r="AP6" s="475">
        <v>0</v>
      </c>
      <c r="AQ6" s="475">
        <v>0</v>
      </c>
      <c r="AR6" s="475">
        <v>0</v>
      </c>
      <c r="AS6" s="475">
        <v>0</v>
      </c>
      <c r="AT6" s="475">
        <v>0</v>
      </c>
      <c r="AU6" s="475">
        <v>0</v>
      </c>
      <c r="AV6" s="475">
        <v>0</v>
      </c>
      <c r="AW6" s="475">
        <v>0</v>
      </c>
      <c r="AX6" s="475">
        <v>0</v>
      </c>
      <c r="AY6" s="475">
        <v>0</v>
      </c>
      <c r="AZ6" s="475">
        <v>0</v>
      </c>
      <c r="BA6" s="475">
        <v>0</v>
      </c>
      <c r="BB6" s="475">
        <v>0</v>
      </c>
      <c r="BC6" s="475">
        <v>0</v>
      </c>
    </row>
    <row r="7" spans="1:55">
      <c r="A7">
        <f t="shared" ca="1" si="0"/>
        <v>1</v>
      </c>
      <c r="B7">
        <f t="shared" si="1"/>
        <v>-3</v>
      </c>
      <c r="C7">
        <f t="shared" si="2"/>
        <v>2022</v>
      </c>
      <c r="D7" s="475">
        <v>0</v>
      </c>
      <c r="E7" s="475">
        <v>0</v>
      </c>
      <c r="F7" s="475">
        <v>0</v>
      </c>
      <c r="G7" s="475">
        <v>0</v>
      </c>
      <c r="H7" s="475">
        <v>0</v>
      </c>
      <c r="I7" s="475">
        <v>0</v>
      </c>
      <c r="J7" s="475">
        <v>0</v>
      </c>
      <c r="K7" s="475">
        <v>0</v>
      </c>
      <c r="L7" s="475">
        <v>0</v>
      </c>
      <c r="M7" s="475">
        <v>0</v>
      </c>
      <c r="N7" s="475">
        <v>0</v>
      </c>
      <c r="O7" s="475">
        <v>0</v>
      </c>
      <c r="P7" s="475">
        <v>0</v>
      </c>
      <c r="Q7" s="475">
        <v>0</v>
      </c>
      <c r="R7" s="475">
        <v>0</v>
      </c>
      <c r="S7" s="475">
        <v>0</v>
      </c>
      <c r="T7" s="475">
        <v>0</v>
      </c>
      <c r="U7" s="475">
        <v>0</v>
      </c>
      <c r="V7" s="475">
        <v>0</v>
      </c>
      <c r="W7" s="475">
        <v>0</v>
      </c>
      <c r="X7" s="475">
        <v>0</v>
      </c>
      <c r="Y7" s="475">
        <v>0</v>
      </c>
      <c r="Z7" s="475">
        <v>0</v>
      </c>
      <c r="AA7" s="475">
        <v>0</v>
      </c>
      <c r="AB7" s="475">
        <v>0</v>
      </c>
      <c r="AC7" s="475">
        <v>0</v>
      </c>
      <c r="AD7" s="475">
        <v>0</v>
      </c>
      <c r="AE7" s="475">
        <v>0</v>
      </c>
      <c r="AF7" s="475">
        <v>0</v>
      </c>
      <c r="AG7" s="475">
        <v>0</v>
      </c>
      <c r="AH7" s="475">
        <v>0</v>
      </c>
      <c r="AI7" s="475">
        <v>0</v>
      </c>
      <c r="AJ7" s="475">
        <v>0</v>
      </c>
      <c r="AK7" s="475">
        <v>0</v>
      </c>
      <c r="AL7" s="475">
        <v>0</v>
      </c>
      <c r="AM7" s="475">
        <v>0</v>
      </c>
      <c r="AN7" s="475">
        <v>0</v>
      </c>
      <c r="AO7" s="475">
        <v>0</v>
      </c>
      <c r="AP7" s="475">
        <v>0</v>
      </c>
      <c r="AQ7" s="475">
        <v>0</v>
      </c>
      <c r="AR7" s="475">
        <v>0</v>
      </c>
      <c r="AS7" s="475">
        <v>0</v>
      </c>
      <c r="AT7" s="475">
        <v>0</v>
      </c>
      <c r="AU7" s="475">
        <v>0</v>
      </c>
      <c r="AV7" s="475">
        <v>0</v>
      </c>
      <c r="AW7" s="475">
        <v>0</v>
      </c>
      <c r="AX7" s="475">
        <v>0</v>
      </c>
      <c r="AY7" s="475">
        <v>0</v>
      </c>
      <c r="AZ7" s="475">
        <v>0</v>
      </c>
      <c r="BA7" s="475">
        <v>0</v>
      </c>
      <c r="BB7" s="475">
        <v>0</v>
      </c>
      <c r="BC7" s="475">
        <v>0</v>
      </c>
    </row>
    <row r="8" spans="1:55">
      <c r="A8">
        <f t="shared" ca="1" si="0"/>
        <v>1</v>
      </c>
      <c r="B8">
        <f t="shared" si="1"/>
        <v>-2</v>
      </c>
      <c r="C8">
        <f t="shared" si="2"/>
        <v>2023</v>
      </c>
      <c r="D8" s="475">
        <v>0</v>
      </c>
      <c r="E8" s="475">
        <v>0</v>
      </c>
      <c r="F8" s="475">
        <v>0</v>
      </c>
      <c r="G8" s="475">
        <v>0</v>
      </c>
      <c r="H8" s="475">
        <v>0</v>
      </c>
      <c r="I8" s="475">
        <v>0</v>
      </c>
      <c r="J8" s="475">
        <v>0</v>
      </c>
      <c r="K8" s="475">
        <v>0</v>
      </c>
      <c r="L8" s="475">
        <v>0</v>
      </c>
      <c r="M8" s="475">
        <v>0</v>
      </c>
      <c r="N8" s="475">
        <v>0</v>
      </c>
      <c r="O8" s="475">
        <v>0</v>
      </c>
      <c r="P8" s="475">
        <v>0</v>
      </c>
      <c r="Q8" s="475">
        <v>0</v>
      </c>
      <c r="R8" s="475">
        <v>0</v>
      </c>
      <c r="S8" s="475">
        <v>0</v>
      </c>
      <c r="T8" s="475">
        <v>0</v>
      </c>
      <c r="U8" s="475">
        <v>0</v>
      </c>
      <c r="V8" s="475">
        <v>0</v>
      </c>
      <c r="W8" s="475">
        <v>0</v>
      </c>
      <c r="X8" s="475">
        <v>0</v>
      </c>
      <c r="Y8" s="475">
        <v>0</v>
      </c>
      <c r="Z8" s="475">
        <v>0</v>
      </c>
      <c r="AA8" s="475">
        <v>0</v>
      </c>
      <c r="AB8" s="475">
        <v>0</v>
      </c>
      <c r="AC8" s="475">
        <v>0</v>
      </c>
      <c r="AD8" s="475">
        <v>0</v>
      </c>
      <c r="AE8" s="475">
        <v>0</v>
      </c>
      <c r="AF8" s="475">
        <v>0</v>
      </c>
      <c r="AG8" s="475">
        <v>0</v>
      </c>
      <c r="AH8" s="475">
        <v>0</v>
      </c>
      <c r="AI8" s="475">
        <v>0</v>
      </c>
      <c r="AJ8" s="475">
        <v>0</v>
      </c>
      <c r="AK8" s="475">
        <v>0</v>
      </c>
      <c r="AL8" s="475">
        <v>0</v>
      </c>
      <c r="AM8" s="475">
        <v>0</v>
      </c>
      <c r="AN8" s="475">
        <v>0</v>
      </c>
      <c r="AO8" s="475">
        <v>0</v>
      </c>
      <c r="AP8" s="475">
        <v>0</v>
      </c>
      <c r="AQ8" s="475">
        <v>0</v>
      </c>
      <c r="AR8" s="475">
        <v>0</v>
      </c>
      <c r="AS8" s="475">
        <v>0</v>
      </c>
      <c r="AT8" s="475">
        <v>0</v>
      </c>
      <c r="AU8" s="475">
        <v>0</v>
      </c>
      <c r="AV8" s="475">
        <v>0</v>
      </c>
      <c r="AW8" s="475">
        <v>0</v>
      </c>
      <c r="AX8" s="475">
        <v>0</v>
      </c>
      <c r="AY8" s="475">
        <v>0</v>
      </c>
      <c r="AZ8" s="475">
        <v>0</v>
      </c>
      <c r="BA8" s="475">
        <v>0</v>
      </c>
      <c r="BB8" s="475">
        <v>0</v>
      </c>
      <c r="BC8" s="475">
        <v>0</v>
      </c>
    </row>
    <row r="9" spans="1:55">
      <c r="A9">
        <f t="shared" ca="1" si="0"/>
        <v>1</v>
      </c>
      <c r="B9">
        <f t="shared" si="1"/>
        <v>-1</v>
      </c>
      <c r="C9">
        <f t="shared" si="2"/>
        <v>2024</v>
      </c>
      <c r="D9" s="475">
        <v>0</v>
      </c>
      <c r="E9" s="475">
        <v>0</v>
      </c>
      <c r="F9" s="475">
        <v>0</v>
      </c>
      <c r="G9" s="475">
        <v>0</v>
      </c>
      <c r="H9" s="475">
        <v>0</v>
      </c>
      <c r="I9" s="475">
        <v>0</v>
      </c>
      <c r="J9" s="475">
        <v>0</v>
      </c>
      <c r="K9" s="475">
        <v>0</v>
      </c>
      <c r="L9" s="475">
        <v>0</v>
      </c>
      <c r="M9" s="475">
        <v>0</v>
      </c>
      <c r="N9" s="475">
        <v>0</v>
      </c>
      <c r="O9" s="475">
        <v>0</v>
      </c>
      <c r="P9" s="475">
        <v>0</v>
      </c>
      <c r="Q9" s="475">
        <v>0</v>
      </c>
      <c r="R9" s="475">
        <v>0</v>
      </c>
      <c r="S9" s="475">
        <v>0</v>
      </c>
      <c r="T9" s="475">
        <v>0</v>
      </c>
      <c r="U9" s="475">
        <v>0</v>
      </c>
      <c r="V9" s="475">
        <v>0</v>
      </c>
      <c r="W9" s="475">
        <v>0</v>
      </c>
      <c r="X9" s="475">
        <v>0</v>
      </c>
      <c r="Y9" s="475">
        <v>0</v>
      </c>
      <c r="Z9" s="475">
        <v>0</v>
      </c>
      <c r="AA9" s="475">
        <v>0</v>
      </c>
      <c r="AB9" s="475">
        <v>0</v>
      </c>
      <c r="AC9" s="475">
        <v>0</v>
      </c>
      <c r="AD9" s="475">
        <v>0</v>
      </c>
      <c r="AE9" s="475">
        <v>0</v>
      </c>
      <c r="AF9" s="475">
        <v>0</v>
      </c>
      <c r="AG9" s="475">
        <v>0</v>
      </c>
      <c r="AH9" s="475">
        <v>0</v>
      </c>
      <c r="AI9" s="475">
        <v>0</v>
      </c>
      <c r="AJ9" s="475">
        <v>0</v>
      </c>
      <c r="AK9" s="475">
        <v>0</v>
      </c>
      <c r="AL9" s="475">
        <v>0</v>
      </c>
      <c r="AM9" s="475">
        <v>0</v>
      </c>
      <c r="AN9" s="475">
        <v>0</v>
      </c>
      <c r="AO9" s="475">
        <v>0</v>
      </c>
      <c r="AP9" s="475">
        <v>0</v>
      </c>
      <c r="AQ9" s="475">
        <v>0</v>
      </c>
      <c r="AR9" s="475">
        <v>0</v>
      </c>
      <c r="AS9" s="475">
        <v>0</v>
      </c>
      <c r="AT9" s="475">
        <v>0</v>
      </c>
      <c r="AU9" s="475">
        <v>0</v>
      </c>
      <c r="AV9" s="475">
        <v>0</v>
      </c>
      <c r="AW9" s="475">
        <v>0</v>
      </c>
      <c r="AX9" s="475">
        <v>0</v>
      </c>
      <c r="AY9" s="475">
        <v>0</v>
      </c>
      <c r="AZ9" s="475">
        <v>0</v>
      </c>
      <c r="BA9" s="475">
        <v>0</v>
      </c>
      <c r="BB9" s="475">
        <v>0</v>
      </c>
      <c r="BC9" s="475">
        <v>0</v>
      </c>
    </row>
    <row r="10" spans="1:55">
      <c r="A10">
        <f t="shared" ca="1" si="0"/>
        <v>1</v>
      </c>
      <c r="B10">
        <f t="shared" si="1"/>
        <v>0</v>
      </c>
      <c r="C10">
        <f t="shared" si="2"/>
        <v>2025</v>
      </c>
      <c r="D10" s="475">
        <v>0</v>
      </c>
      <c r="E10" s="475">
        <v>0</v>
      </c>
      <c r="F10" s="475">
        <v>0</v>
      </c>
      <c r="G10" s="475">
        <v>0</v>
      </c>
      <c r="H10" s="475">
        <v>0</v>
      </c>
      <c r="I10" s="475">
        <v>0</v>
      </c>
      <c r="J10" s="475">
        <v>0</v>
      </c>
      <c r="K10" s="475">
        <v>0</v>
      </c>
      <c r="L10" s="475">
        <v>0</v>
      </c>
      <c r="M10" s="475">
        <v>0</v>
      </c>
      <c r="N10" s="475">
        <v>0</v>
      </c>
      <c r="O10" s="475">
        <v>0</v>
      </c>
      <c r="P10" s="475">
        <v>0</v>
      </c>
      <c r="Q10" s="475">
        <v>0</v>
      </c>
      <c r="R10" s="475">
        <v>0</v>
      </c>
      <c r="S10" s="475">
        <v>0</v>
      </c>
      <c r="T10" s="475">
        <v>0</v>
      </c>
      <c r="U10" s="475">
        <v>0</v>
      </c>
      <c r="V10" s="475">
        <v>0</v>
      </c>
      <c r="W10" s="475">
        <v>0</v>
      </c>
      <c r="X10" s="475">
        <v>0</v>
      </c>
      <c r="Y10" s="475">
        <v>0</v>
      </c>
      <c r="Z10" s="475">
        <v>0</v>
      </c>
      <c r="AA10" s="475">
        <v>0</v>
      </c>
      <c r="AB10" s="475">
        <v>0</v>
      </c>
      <c r="AC10" s="475">
        <v>0</v>
      </c>
      <c r="AD10" s="475">
        <v>0</v>
      </c>
      <c r="AE10" s="475">
        <v>0</v>
      </c>
      <c r="AF10" s="475">
        <v>0</v>
      </c>
      <c r="AG10" s="475">
        <v>0</v>
      </c>
      <c r="AH10" s="475">
        <v>0</v>
      </c>
      <c r="AI10" s="475">
        <v>0</v>
      </c>
      <c r="AJ10" s="475">
        <v>0</v>
      </c>
      <c r="AK10" s="475">
        <v>0</v>
      </c>
      <c r="AL10" s="475">
        <v>0</v>
      </c>
      <c r="AM10" s="475">
        <v>0</v>
      </c>
      <c r="AN10" s="475">
        <v>0</v>
      </c>
      <c r="AO10" s="475">
        <v>0</v>
      </c>
      <c r="AP10" s="475">
        <v>0</v>
      </c>
      <c r="AQ10" s="475">
        <v>0</v>
      </c>
      <c r="AR10" s="475">
        <v>0</v>
      </c>
      <c r="AS10" s="475">
        <v>0</v>
      </c>
      <c r="AT10" s="475">
        <v>0</v>
      </c>
      <c r="AU10" s="475">
        <v>0</v>
      </c>
      <c r="AV10" s="475">
        <v>0</v>
      </c>
      <c r="AW10" s="475">
        <v>0</v>
      </c>
      <c r="AX10" s="475">
        <v>0</v>
      </c>
      <c r="AY10" s="475">
        <v>0</v>
      </c>
      <c r="AZ10" s="475">
        <v>0</v>
      </c>
      <c r="BA10" s="475">
        <v>0</v>
      </c>
      <c r="BB10" s="475">
        <v>0</v>
      </c>
      <c r="BC10" s="475">
        <v>0</v>
      </c>
    </row>
    <row r="11" spans="1:55">
      <c r="A11">
        <f t="shared" ca="1" si="0"/>
        <v>1</v>
      </c>
      <c r="B11">
        <f t="shared" si="1"/>
        <v>1</v>
      </c>
      <c r="C11">
        <f t="shared" si="2"/>
        <v>2026</v>
      </c>
      <c r="D11" s="475">
        <v>0</v>
      </c>
      <c r="E11" s="475">
        <v>0</v>
      </c>
      <c r="F11" s="475">
        <v>0</v>
      </c>
      <c r="G11" s="475">
        <v>0</v>
      </c>
      <c r="H11" s="475">
        <v>0</v>
      </c>
      <c r="I11" s="475">
        <v>0</v>
      </c>
      <c r="J11" s="475">
        <v>0</v>
      </c>
      <c r="K11" s="475">
        <v>0</v>
      </c>
      <c r="L11" s="475">
        <v>0</v>
      </c>
      <c r="M11" s="475">
        <v>0</v>
      </c>
      <c r="N11" s="475">
        <v>0</v>
      </c>
      <c r="O11" s="475">
        <v>0</v>
      </c>
      <c r="P11" s="475">
        <v>0</v>
      </c>
      <c r="Q11" s="475">
        <v>0</v>
      </c>
      <c r="R11" s="475">
        <v>0</v>
      </c>
      <c r="S11" s="475">
        <v>0</v>
      </c>
      <c r="T11" s="475">
        <v>0</v>
      </c>
      <c r="U11" s="475">
        <v>0</v>
      </c>
      <c r="V11" s="475">
        <v>0</v>
      </c>
      <c r="W11" s="475">
        <v>0</v>
      </c>
      <c r="X11" s="475">
        <v>0</v>
      </c>
      <c r="Y11" s="475">
        <v>0</v>
      </c>
      <c r="Z11" s="475">
        <v>0</v>
      </c>
      <c r="AA11" s="475">
        <v>0</v>
      </c>
      <c r="AB11" s="475">
        <v>0</v>
      </c>
      <c r="AC11" s="475">
        <v>0</v>
      </c>
      <c r="AD11" s="475">
        <v>0</v>
      </c>
      <c r="AE11" s="475">
        <v>0</v>
      </c>
      <c r="AF11" s="475">
        <v>0</v>
      </c>
      <c r="AG11" s="475">
        <v>0</v>
      </c>
      <c r="AH11" s="475">
        <v>0</v>
      </c>
      <c r="AI11" s="475">
        <v>0</v>
      </c>
      <c r="AJ11" s="475">
        <v>0</v>
      </c>
      <c r="AK11" s="475">
        <v>0</v>
      </c>
      <c r="AL11" s="475">
        <v>0</v>
      </c>
      <c r="AM11" s="475">
        <v>0</v>
      </c>
      <c r="AN11" s="475">
        <v>0</v>
      </c>
      <c r="AO11" s="475">
        <v>0</v>
      </c>
      <c r="AP11" s="475">
        <v>0</v>
      </c>
      <c r="AQ11" s="475">
        <v>0</v>
      </c>
      <c r="AR11" s="475">
        <v>0</v>
      </c>
      <c r="AS11" s="475">
        <v>0</v>
      </c>
      <c r="AT11" s="475">
        <v>0</v>
      </c>
      <c r="AU11" s="475">
        <v>0</v>
      </c>
      <c r="AV11" s="475">
        <v>0</v>
      </c>
      <c r="AW11" s="475">
        <v>0</v>
      </c>
      <c r="AX11" s="475">
        <v>0</v>
      </c>
      <c r="AY11" s="475">
        <v>0</v>
      </c>
      <c r="AZ11" s="475">
        <v>0</v>
      </c>
      <c r="BA11" s="475">
        <v>0</v>
      </c>
      <c r="BB11" s="475">
        <v>0</v>
      </c>
      <c r="BC11" s="475">
        <v>0</v>
      </c>
    </row>
    <row r="12" spans="1:55">
      <c r="A12">
        <f t="shared" ca="1" si="0"/>
        <v>1</v>
      </c>
      <c r="B12">
        <f t="shared" si="1"/>
        <v>2</v>
      </c>
      <c r="C12">
        <f t="shared" si="2"/>
        <v>2027</v>
      </c>
      <c r="D12" s="475">
        <v>0</v>
      </c>
      <c r="E12" s="475">
        <v>0</v>
      </c>
      <c r="F12" s="475">
        <v>0</v>
      </c>
      <c r="G12" s="475">
        <v>0</v>
      </c>
      <c r="H12" s="475">
        <v>0</v>
      </c>
      <c r="I12" s="475">
        <v>0</v>
      </c>
      <c r="J12" s="475">
        <v>0</v>
      </c>
      <c r="K12" s="475">
        <v>0</v>
      </c>
      <c r="L12" s="475">
        <v>0</v>
      </c>
      <c r="M12" s="475">
        <v>0</v>
      </c>
      <c r="N12" s="475">
        <v>0</v>
      </c>
      <c r="O12" s="475">
        <v>0</v>
      </c>
      <c r="P12" s="475">
        <v>0</v>
      </c>
      <c r="Q12" s="475">
        <v>0</v>
      </c>
      <c r="R12" s="475">
        <v>0</v>
      </c>
      <c r="S12" s="475">
        <v>0</v>
      </c>
      <c r="T12" s="475">
        <v>0</v>
      </c>
      <c r="U12" s="475">
        <v>0</v>
      </c>
      <c r="V12" s="475">
        <v>0</v>
      </c>
      <c r="W12" s="475">
        <v>0</v>
      </c>
      <c r="X12" s="475">
        <v>0</v>
      </c>
      <c r="Y12" s="475">
        <v>0</v>
      </c>
      <c r="Z12" s="475">
        <v>0</v>
      </c>
      <c r="AA12" s="475">
        <v>0</v>
      </c>
      <c r="AB12" s="475">
        <v>0</v>
      </c>
      <c r="AC12" s="475">
        <v>0</v>
      </c>
      <c r="AD12" s="475">
        <v>0</v>
      </c>
      <c r="AE12" s="475">
        <v>0</v>
      </c>
      <c r="AF12" s="475">
        <v>0</v>
      </c>
      <c r="AG12" s="475">
        <v>0</v>
      </c>
      <c r="AH12" s="475">
        <v>0</v>
      </c>
      <c r="AI12" s="475">
        <v>0</v>
      </c>
      <c r="AJ12" s="475">
        <v>0</v>
      </c>
      <c r="AK12" s="475">
        <v>0</v>
      </c>
      <c r="AL12" s="475">
        <v>0</v>
      </c>
      <c r="AM12" s="475">
        <v>0</v>
      </c>
      <c r="AN12" s="475">
        <v>0</v>
      </c>
      <c r="AO12" s="475">
        <v>0</v>
      </c>
      <c r="AP12" s="475">
        <v>0</v>
      </c>
      <c r="AQ12" s="475">
        <v>0</v>
      </c>
      <c r="AR12" s="475">
        <v>0</v>
      </c>
      <c r="AS12" s="475">
        <v>0</v>
      </c>
      <c r="AT12" s="475">
        <v>0</v>
      </c>
      <c r="AU12" s="475">
        <v>0</v>
      </c>
      <c r="AV12" s="475">
        <v>0</v>
      </c>
      <c r="AW12" s="475">
        <v>0</v>
      </c>
      <c r="AX12" s="475">
        <v>0</v>
      </c>
      <c r="AY12" s="475">
        <v>0</v>
      </c>
      <c r="AZ12" s="475">
        <v>0</v>
      </c>
      <c r="BA12" s="475">
        <v>0</v>
      </c>
      <c r="BB12" s="475">
        <v>0</v>
      </c>
      <c r="BC12" s="475">
        <v>0</v>
      </c>
    </row>
    <row r="13" spans="1:55">
      <c r="A13">
        <f t="shared" ca="1" si="0"/>
        <v>1</v>
      </c>
      <c r="B13">
        <f t="shared" si="1"/>
        <v>3</v>
      </c>
      <c r="C13">
        <f t="shared" si="2"/>
        <v>2028</v>
      </c>
      <c r="D13" s="475">
        <v>0</v>
      </c>
      <c r="E13" s="475">
        <v>0</v>
      </c>
      <c r="F13" s="475">
        <v>0</v>
      </c>
      <c r="G13" s="475">
        <v>0</v>
      </c>
      <c r="H13" s="475">
        <v>0</v>
      </c>
      <c r="I13" s="475">
        <v>0</v>
      </c>
      <c r="J13" s="475">
        <v>0</v>
      </c>
      <c r="K13" s="475">
        <v>0</v>
      </c>
      <c r="L13" s="475">
        <v>0</v>
      </c>
      <c r="M13" s="475">
        <v>0</v>
      </c>
      <c r="N13" s="475">
        <v>0</v>
      </c>
      <c r="O13" s="475">
        <v>0</v>
      </c>
      <c r="P13" s="475">
        <v>0</v>
      </c>
      <c r="Q13" s="475">
        <v>0</v>
      </c>
      <c r="R13" s="475">
        <v>0</v>
      </c>
      <c r="S13" s="475">
        <v>0</v>
      </c>
      <c r="T13" s="475">
        <v>0</v>
      </c>
      <c r="U13" s="475">
        <v>0</v>
      </c>
      <c r="V13" s="475">
        <v>0</v>
      </c>
      <c r="W13" s="475">
        <v>0</v>
      </c>
      <c r="X13" s="475">
        <v>0</v>
      </c>
      <c r="Y13" s="475">
        <v>0</v>
      </c>
      <c r="Z13" s="475">
        <v>0</v>
      </c>
      <c r="AA13" s="475">
        <v>0</v>
      </c>
      <c r="AB13" s="475">
        <v>0</v>
      </c>
      <c r="AC13" s="475">
        <v>0</v>
      </c>
      <c r="AD13" s="475">
        <v>0</v>
      </c>
      <c r="AE13" s="475">
        <v>0</v>
      </c>
      <c r="AF13" s="475">
        <v>0</v>
      </c>
      <c r="AG13" s="475">
        <v>0</v>
      </c>
      <c r="AH13" s="475">
        <v>0</v>
      </c>
      <c r="AI13" s="475">
        <v>0</v>
      </c>
      <c r="AJ13" s="475">
        <v>0</v>
      </c>
      <c r="AK13" s="475">
        <v>0</v>
      </c>
      <c r="AL13" s="475">
        <v>0</v>
      </c>
      <c r="AM13" s="475">
        <v>0</v>
      </c>
      <c r="AN13" s="475">
        <v>0</v>
      </c>
      <c r="AO13" s="475">
        <v>0</v>
      </c>
      <c r="AP13" s="475">
        <v>0</v>
      </c>
      <c r="AQ13" s="475">
        <v>0</v>
      </c>
      <c r="AR13" s="475">
        <v>0</v>
      </c>
      <c r="AS13" s="475">
        <v>0</v>
      </c>
      <c r="AT13" s="475">
        <v>0</v>
      </c>
      <c r="AU13" s="475">
        <v>0</v>
      </c>
      <c r="AV13" s="475">
        <v>0</v>
      </c>
      <c r="AW13" s="475">
        <v>0</v>
      </c>
      <c r="AX13" s="475">
        <v>0</v>
      </c>
      <c r="AY13" s="475">
        <v>0</v>
      </c>
      <c r="AZ13" s="475">
        <v>0</v>
      </c>
      <c r="BA13" s="475">
        <v>0</v>
      </c>
      <c r="BB13" s="475">
        <v>0</v>
      </c>
      <c r="BC13" s="475">
        <v>0</v>
      </c>
    </row>
    <row r="14" spans="1:55">
      <c r="A14">
        <f t="shared" ca="1" si="0"/>
        <v>1</v>
      </c>
      <c r="B14">
        <f t="shared" si="1"/>
        <v>4</v>
      </c>
      <c r="C14">
        <f t="shared" si="2"/>
        <v>2029</v>
      </c>
      <c r="D14" s="475">
        <v>0</v>
      </c>
      <c r="E14" s="475">
        <v>0</v>
      </c>
      <c r="F14" s="475">
        <v>0</v>
      </c>
      <c r="G14" s="475">
        <v>0</v>
      </c>
      <c r="H14" s="475">
        <v>0</v>
      </c>
      <c r="I14" s="475">
        <v>0</v>
      </c>
      <c r="J14" s="475">
        <v>0</v>
      </c>
      <c r="K14" s="475">
        <v>0</v>
      </c>
      <c r="L14" s="475">
        <v>0</v>
      </c>
      <c r="M14" s="475">
        <v>0</v>
      </c>
      <c r="N14" s="475">
        <v>0</v>
      </c>
      <c r="O14" s="475">
        <v>0</v>
      </c>
      <c r="P14" s="475">
        <v>0</v>
      </c>
      <c r="Q14" s="475">
        <v>0</v>
      </c>
      <c r="R14" s="475">
        <v>0</v>
      </c>
      <c r="S14" s="475">
        <v>0</v>
      </c>
      <c r="T14" s="475">
        <v>0</v>
      </c>
      <c r="U14" s="475">
        <v>0</v>
      </c>
      <c r="V14" s="475">
        <v>0</v>
      </c>
      <c r="W14" s="475">
        <v>0</v>
      </c>
      <c r="X14" s="475">
        <v>0</v>
      </c>
      <c r="Y14" s="475">
        <v>0</v>
      </c>
      <c r="Z14" s="475">
        <v>0</v>
      </c>
      <c r="AA14" s="475">
        <v>0</v>
      </c>
      <c r="AB14" s="475">
        <v>0</v>
      </c>
      <c r="AC14" s="475">
        <v>0</v>
      </c>
      <c r="AD14" s="475">
        <v>0</v>
      </c>
      <c r="AE14" s="475">
        <v>0</v>
      </c>
      <c r="AF14" s="475">
        <v>0</v>
      </c>
      <c r="AG14" s="475">
        <v>0</v>
      </c>
      <c r="AH14" s="475">
        <v>0</v>
      </c>
      <c r="AI14" s="475">
        <v>0</v>
      </c>
      <c r="AJ14" s="475">
        <v>0</v>
      </c>
      <c r="AK14" s="475">
        <v>0</v>
      </c>
      <c r="AL14" s="475">
        <v>0</v>
      </c>
      <c r="AM14" s="475">
        <v>0</v>
      </c>
      <c r="AN14" s="475">
        <v>0</v>
      </c>
      <c r="AO14" s="475">
        <v>0</v>
      </c>
      <c r="AP14" s="475">
        <v>0</v>
      </c>
      <c r="AQ14" s="475">
        <v>0</v>
      </c>
      <c r="AR14" s="475">
        <v>0</v>
      </c>
      <c r="AS14" s="475">
        <v>0</v>
      </c>
      <c r="AT14" s="475">
        <v>0</v>
      </c>
      <c r="AU14" s="475">
        <v>0</v>
      </c>
      <c r="AV14" s="475">
        <v>0</v>
      </c>
      <c r="AW14" s="475">
        <v>0</v>
      </c>
      <c r="AX14" s="475">
        <v>0</v>
      </c>
      <c r="AY14" s="475">
        <v>0</v>
      </c>
      <c r="AZ14" s="475">
        <v>0</v>
      </c>
      <c r="BA14" s="475">
        <v>0</v>
      </c>
      <c r="BB14" s="475">
        <v>0</v>
      </c>
      <c r="BC14" s="475">
        <v>0</v>
      </c>
    </row>
    <row r="15" spans="1:55">
      <c r="A15">
        <f t="shared" ca="1" si="0"/>
        <v>1</v>
      </c>
      <c r="B15">
        <f t="shared" si="1"/>
        <v>5</v>
      </c>
      <c r="C15">
        <f t="shared" si="2"/>
        <v>2030</v>
      </c>
      <c r="D15" s="475">
        <v>0</v>
      </c>
      <c r="E15" s="475">
        <v>0</v>
      </c>
      <c r="F15" s="475">
        <v>0</v>
      </c>
      <c r="G15" s="475">
        <v>0</v>
      </c>
      <c r="H15" s="475">
        <v>0</v>
      </c>
      <c r="I15" s="475">
        <v>0</v>
      </c>
      <c r="J15" s="475">
        <v>0</v>
      </c>
      <c r="K15" s="475">
        <v>0</v>
      </c>
      <c r="L15" s="475">
        <v>0</v>
      </c>
      <c r="M15" s="475">
        <v>0</v>
      </c>
      <c r="N15" s="475">
        <v>0</v>
      </c>
      <c r="O15" s="475">
        <v>2</v>
      </c>
      <c r="P15" s="475">
        <v>0</v>
      </c>
      <c r="Q15" s="475">
        <v>0</v>
      </c>
      <c r="R15" s="475">
        <v>0</v>
      </c>
      <c r="S15" s="475">
        <v>0</v>
      </c>
      <c r="T15" s="475">
        <v>0</v>
      </c>
      <c r="U15" s="475">
        <v>0</v>
      </c>
      <c r="V15" s="475">
        <v>0</v>
      </c>
      <c r="W15" s="475">
        <v>0</v>
      </c>
      <c r="X15" s="475">
        <v>0</v>
      </c>
      <c r="Y15" s="475">
        <v>0</v>
      </c>
      <c r="Z15" s="475">
        <v>0</v>
      </c>
      <c r="AA15" s="475">
        <v>0</v>
      </c>
      <c r="AB15" s="475">
        <v>0</v>
      </c>
      <c r="AC15" s="475">
        <v>0</v>
      </c>
      <c r="AD15" s="475">
        <v>0</v>
      </c>
      <c r="AE15" s="475">
        <v>0</v>
      </c>
      <c r="AF15" s="475">
        <v>0</v>
      </c>
      <c r="AG15" s="475">
        <v>0</v>
      </c>
      <c r="AH15" s="475">
        <v>0</v>
      </c>
      <c r="AI15" s="475">
        <v>0</v>
      </c>
      <c r="AJ15" s="475">
        <v>0</v>
      </c>
      <c r="AK15" s="475">
        <v>0</v>
      </c>
      <c r="AL15" s="475">
        <v>0</v>
      </c>
      <c r="AM15" s="475">
        <v>0</v>
      </c>
      <c r="AN15" s="475">
        <v>0</v>
      </c>
      <c r="AO15" s="475">
        <v>2</v>
      </c>
      <c r="AP15" s="475">
        <v>0</v>
      </c>
      <c r="AQ15" s="475">
        <v>0</v>
      </c>
      <c r="AR15" s="475">
        <v>0</v>
      </c>
      <c r="AS15" s="475">
        <v>0</v>
      </c>
      <c r="AT15" s="475">
        <v>0</v>
      </c>
      <c r="AU15" s="475">
        <v>0</v>
      </c>
      <c r="AV15" s="475">
        <v>0</v>
      </c>
      <c r="AW15" s="475">
        <v>0</v>
      </c>
      <c r="AX15" s="475">
        <v>0</v>
      </c>
      <c r="AY15" s="475">
        <v>0</v>
      </c>
      <c r="AZ15" s="475">
        <v>0</v>
      </c>
      <c r="BA15" s="475">
        <v>0</v>
      </c>
      <c r="BB15" s="475">
        <v>0</v>
      </c>
      <c r="BC15" s="475">
        <v>0</v>
      </c>
    </row>
    <row r="16" spans="1:55">
      <c r="A16">
        <f t="shared" ca="1" si="0"/>
        <v>1</v>
      </c>
      <c r="B16">
        <f t="shared" si="1"/>
        <v>6</v>
      </c>
      <c r="C16">
        <f t="shared" si="2"/>
        <v>2031</v>
      </c>
      <c r="D16" s="475">
        <v>0</v>
      </c>
      <c r="E16" s="475">
        <v>0</v>
      </c>
      <c r="F16" s="475">
        <v>0</v>
      </c>
      <c r="G16" s="475">
        <v>0</v>
      </c>
      <c r="H16" s="475">
        <v>0</v>
      </c>
      <c r="I16" s="475">
        <v>0</v>
      </c>
      <c r="J16" s="475">
        <v>0</v>
      </c>
      <c r="K16" s="475">
        <v>0</v>
      </c>
      <c r="L16" s="475">
        <v>0</v>
      </c>
      <c r="M16" s="475">
        <v>0</v>
      </c>
      <c r="N16" s="475">
        <v>0</v>
      </c>
      <c r="O16" s="475">
        <v>2</v>
      </c>
      <c r="P16" s="475">
        <v>0</v>
      </c>
      <c r="Q16" s="475">
        <v>0</v>
      </c>
      <c r="R16" s="475">
        <v>0</v>
      </c>
      <c r="S16" s="475">
        <v>0</v>
      </c>
      <c r="T16" s="475">
        <v>0</v>
      </c>
      <c r="U16" s="475">
        <v>0</v>
      </c>
      <c r="V16" s="475">
        <v>0</v>
      </c>
      <c r="W16" s="475">
        <v>0</v>
      </c>
      <c r="X16" s="475">
        <v>0</v>
      </c>
      <c r="Y16" s="475">
        <v>0</v>
      </c>
      <c r="Z16" s="475">
        <v>0</v>
      </c>
      <c r="AA16" s="475">
        <v>0</v>
      </c>
      <c r="AB16" s="475">
        <v>0</v>
      </c>
      <c r="AC16" s="475">
        <v>0</v>
      </c>
      <c r="AD16" s="475">
        <v>0</v>
      </c>
      <c r="AE16" s="475">
        <v>0</v>
      </c>
      <c r="AF16" s="475">
        <v>0</v>
      </c>
      <c r="AG16" s="475">
        <v>0</v>
      </c>
      <c r="AH16" s="475">
        <v>0</v>
      </c>
      <c r="AI16" s="475">
        <v>0</v>
      </c>
      <c r="AJ16" s="475">
        <v>0</v>
      </c>
      <c r="AK16" s="475">
        <v>0</v>
      </c>
      <c r="AL16" s="475">
        <v>0</v>
      </c>
      <c r="AM16" s="475">
        <v>0</v>
      </c>
      <c r="AN16" s="475">
        <v>0</v>
      </c>
      <c r="AO16" s="475">
        <v>2</v>
      </c>
      <c r="AP16" s="475">
        <v>0</v>
      </c>
      <c r="AQ16" s="475">
        <v>0</v>
      </c>
      <c r="AR16" s="475">
        <v>0</v>
      </c>
      <c r="AS16" s="475">
        <v>0</v>
      </c>
      <c r="AT16" s="475">
        <v>0</v>
      </c>
      <c r="AU16" s="475">
        <v>0</v>
      </c>
      <c r="AV16" s="475">
        <v>0</v>
      </c>
      <c r="AW16" s="475">
        <v>0</v>
      </c>
      <c r="AX16" s="475">
        <v>0</v>
      </c>
      <c r="AY16" s="475">
        <v>0</v>
      </c>
      <c r="AZ16" s="475">
        <v>0</v>
      </c>
      <c r="BA16" s="475">
        <v>0</v>
      </c>
      <c r="BB16" s="475">
        <v>0</v>
      </c>
      <c r="BC16" s="475">
        <v>0</v>
      </c>
    </row>
    <row r="17" spans="1:55">
      <c r="A17">
        <f t="shared" ca="1" si="0"/>
        <v>1</v>
      </c>
      <c r="B17">
        <f t="shared" si="1"/>
        <v>7</v>
      </c>
      <c r="C17">
        <f t="shared" si="2"/>
        <v>2032</v>
      </c>
      <c r="D17" s="475">
        <v>0</v>
      </c>
      <c r="E17" s="475">
        <v>0</v>
      </c>
      <c r="F17" s="475">
        <v>0</v>
      </c>
      <c r="G17" s="475">
        <v>0</v>
      </c>
      <c r="H17" s="475">
        <v>0</v>
      </c>
      <c r="I17" s="475">
        <v>3</v>
      </c>
      <c r="J17" s="475">
        <v>0</v>
      </c>
      <c r="K17" s="475">
        <v>0</v>
      </c>
      <c r="L17" s="475">
        <v>0</v>
      </c>
      <c r="M17" s="475">
        <v>0</v>
      </c>
      <c r="N17" s="475">
        <v>0</v>
      </c>
      <c r="O17" s="475">
        <v>2</v>
      </c>
      <c r="P17" s="475">
        <v>2</v>
      </c>
      <c r="Q17" s="475">
        <v>0</v>
      </c>
      <c r="R17" s="475">
        <v>0</v>
      </c>
      <c r="S17" s="475">
        <v>0</v>
      </c>
      <c r="T17" s="475">
        <v>0</v>
      </c>
      <c r="U17" s="475">
        <v>0</v>
      </c>
      <c r="V17" s="475">
        <v>0</v>
      </c>
      <c r="W17" s="475">
        <v>0</v>
      </c>
      <c r="X17" s="475">
        <v>0</v>
      </c>
      <c r="Y17" s="475">
        <v>0</v>
      </c>
      <c r="Z17" s="475">
        <v>0</v>
      </c>
      <c r="AA17" s="475">
        <v>0</v>
      </c>
      <c r="AB17" s="475">
        <v>0</v>
      </c>
      <c r="AC17" s="475">
        <v>0</v>
      </c>
      <c r="AD17" s="475">
        <v>0</v>
      </c>
      <c r="AE17" s="475">
        <v>0</v>
      </c>
      <c r="AF17" s="475">
        <v>0</v>
      </c>
      <c r="AG17" s="475">
        <v>0</v>
      </c>
      <c r="AH17" s="475">
        <v>0</v>
      </c>
      <c r="AI17" s="475">
        <v>2</v>
      </c>
      <c r="AJ17" s="475">
        <v>0</v>
      </c>
      <c r="AK17" s="475">
        <v>0</v>
      </c>
      <c r="AL17" s="475">
        <v>0</v>
      </c>
      <c r="AM17" s="475">
        <v>0</v>
      </c>
      <c r="AN17" s="475">
        <v>0</v>
      </c>
      <c r="AO17" s="475">
        <v>2</v>
      </c>
      <c r="AP17" s="475">
        <v>2</v>
      </c>
      <c r="AQ17" s="475">
        <v>0</v>
      </c>
      <c r="AR17" s="475">
        <v>0</v>
      </c>
      <c r="AS17" s="475">
        <v>0</v>
      </c>
      <c r="AT17" s="475">
        <v>0</v>
      </c>
      <c r="AU17" s="475">
        <v>0</v>
      </c>
      <c r="AV17" s="475">
        <v>0</v>
      </c>
      <c r="AW17" s="475">
        <v>0</v>
      </c>
      <c r="AX17" s="475">
        <v>0</v>
      </c>
      <c r="AY17" s="475">
        <v>0</v>
      </c>
      <c r="AZ17" s="475">
        <v>0</v>
      </c>
      <c r="BA17" s="475">
        <v>0</v>
      </c>
      <c r="BB17" s="475">
        <v>0</v>
      </c>
      <c r="BC17" s="475">
        <v>0</v>
      </c>
    </row>
    <row r="18" spans="1:55">
      <c r="A18">
        <f t="shared" ca="1" si="0"/>
        <v>1</v>
      </c>
      <c r="B18">
        <f t="shared" si="1"/>
        <v>8</v>
      </c>
      <c r="C18">
        <f t="shared" si="2"/>
        <v>2033</v>
      </c>
      <c r="D18" s="475">
        <v>0</v>
      </c>
      <c r="E18" s="475">
        <v>0</v>
      </c>
      <c r="F18" s="475">
        <v>0</v>
      </c>
      <c r="G18" s="475">
        <v>0</v>
      </c>
      <c r="H18" s="475">
        <v>0</v>
      </c>
      <c r="I18" s="475">
        <v>3</v>
      </c>
      <c r="J18" s="475">
        <v>0</v>
      </c>
      <c r="K18" s="475">
        <v>0</v>
      </c>
      <c r="L18" s="475">
        <v>0</v>
      </c>
      <c r="M18" s="475">
        <v>0</v>
      </c>
      <c r="N18" s="475">
        <v>0</v>
      </c>
      <c r="O18" s="475">
        <v>2</v>
      </c>
      <c r="P18" s="475">
        <v>2</v>
      </c>
      <c r="Q18" s="475">
        <v>0</v>
      </c>
      <c r="R18" s="475">
        <v>0</v>
      </c>
      <c r="S18" s="475">
        <v>0</v>
      </c>
      <c r="T18" s="475">
        <v>0</v>
      </c>
      <c r="U18" s="475">
        <v>0</v>
      </c>
      <c r="V18" s="475">
        <v>0</v>
      </c>
      <c r="W18" s="475">
        <v>0</v>
      </c>
      <c r="X18" s="475">
        <v>0</v>
      </c>
      <c r="Y18" s="475">
        <v>0</v>
      </c>
      <c r="Z18" s="475">
        <v>0</v>
      </c>
      <c r="AA18" s="475">
        <v>0</v>
      </c>
      <c r="AB18" s="475">
        <v>0</v>
      </c>
      <c r="AC18" s="475">
        <v>0</v>
      </c>
      <c r="AD18" s="475">
        <v>0</v>
      </c>
      <c r="AE18" s="475">
        <v>0</v>
      </c>
      <c r="AF18" s="475">
        <v>0</v>
      </c>
      <c r="AG18" s="475">
        <v>0</v>
      </c>
      <c r="AH18" s="475">
        <v>0</v>
      </c>
      <c r="AI18" s="475">
        <v>2</v>
      </c>
      <c r="AJ18" s="475">
        <v>0</v>
      </c>
      <c r="AK18" s="475">
        <v>0</v>
      </c>
      <c r="AL18" s="475">
        <v>0</v>
      </c>
      <c r="AM18" s="475">
        <v>0</v>
      </c>
      <c r="AN18" s="475">
        <v>0</v>
      </c>
      <c r="AO18" s="475">
        <v>2</v>
      </c>
      <c r="AP18" s="475">
        <v>2</v>
      </c>
      <c r="AQ18" s="475">
        <v>0</v>
      </c>
      <c r="AR18" s="475">
        <v>0</v>
      </c>
      <c r="AS18" s="475">
        <v>0</v>
      </c>
      <c r="AT18" s="475">
        <v>0</v>
      </c>
      <c r="AU18" s="475">
        <v>0</v>
      </c>
      <c r="AV18" s="475">
        <v>0</v>
      </c>
      <c r="AW18" s="475">
        <v>0</v>
      </c>
      <c r="AX18" s="475">
        <v>0</v>
      </c>
      <c r="AY18" s="475">
        <v>0</v>
      </c>
      <c r="AZ18" s="475">
        <v>0</v>
      </c>
      <c r="BA18" s="475">
        <v>0</v>
      </c>
      <c r="BB18" s="475">
        <v>0</v>
      </c>
      <c r="BC18" s="475">
        <v>0</v>
      </c>
    </row>
    <row r="19" spans="1:55">
      <c r="A19">
        <f t="shared" ca="1" si="0"/>
        <v>1</v>
      </c>
      <c r="B19">
        <f t="shared" si="1"/>
        <v>9</v>
      </c>
      <c r="C19">
        <f t="shared" si="2"/>
        <v>2034</v>
      </c>
      <c r="D19" s="475">
        <v>0</v>
      </c>
      <c r="E19" s="475">
        <v>0</v>
      </c>
      <c r="F19" s="475">
        <v>0</v>
      </c>
      <c r="G19" s="475">
        <v>0</v>
      </c>
      <c r="H19" s="475">
        <v>0</v>
      </c>
      <c r="I19" s="475">
        <v>3</v>
      </c>
      <c r="J19" s="475">
        <v>0</v>
      </c>
      <c r="K19" s="475">
        <v>0</v>
      </c>
      <c r="L19" s="475">
        <v>0</v>
      </c>
      <c r="M19" s="475">
        <v>0</v>
      </c>
      <c r="N19" s="475">
        <v>0</v>
      </c>
      <c r="O19" s="475">
        <v>2</v>
      </c>
      <c r="P19" s="475">
        <v>2</v>
      </c>
      <c r="Q19" s="475">
        <v>0</v>
      </c>
      <c r="R19" s="475">
        <v>0</v>
      </c>
      <c r="S19" s="475">
        <v>0</v>
      </c>
      <c r="T19" s="475">
        <v>0</v>
      </c>
      <c r="U19" s="475">
        <v>0</v>
      </c>
      <c r="V19" s="475">
        <v>0</v>
      </c>
      <c r="W19" s="475">
        <v>0</v>
      </c>
      <c r="X19" s="475">
        <v>0</v>
      </c>
      <c r="Y19" s="475">
        <v>0</v>
      </c>
      <c r="Z19" s="475">
        <v>0</v>
      </c>
      <c r="AA19" s="475">
        <v>0</v>
      </c>
      <c r="AB19" s="475">
        <v>0</v>
      </c>
      <c r="AC19" s="475">
        <v>0</v>
      </c>
      <c r="AD19" s="475">
        <v>0</v>
      </c>
      <c r="AE19" s="475">
        <v>0</v>
      </c>
      <c r="AF19" s="475">
        <v>0</v>
      </c>
      <c r="AG19" s="475">
        <v>0</v>
      </c>
      <c r="AH19" s="475">
        <v>0</v>
      </c>
      <c r="AI19" s="475">
        <v>2</v>
      </c>
      <c r="AJ19" s="475">
        <v>0</v>
      </c>
      <c r="AK19" s="475">
        <v>0</v>
      </c>
      <c r="AL19" s="475">
        <v>0</v>
      </c>
      <c r="AM19" s="475">
        <v>0</v>
      </c>
      <c r="AN19" s="475">
        <v>0</v>
      </c>
      <c r="AO19" s="475">
        <v>2</v>
      </c>
      <c r="AP19" s="475">
        <v>2</v>
      </c>
      <c r="AQ19" s="475">
        <v>0</v>
      </c>
      <c r="AR19" s="475">
        <v>0</v>
      </c>
      <c r="AS19" s="475">
        <v>0</v>
      </c>
      <c r="AT19" s="475">
        <v>0</v>
      </c>
      <c r="AU19" s="475">
        <v>0</v>
      </c>
      <c r="AV19" s="475">
        <v>0</v>
      </c>
      <c r="AW19" s="475">
        <v>0</v>
      </c>
      <c r="AX19" s="475">
        <v>0</v>
      </c>
      <c r="AY19" s="475">
        <v>0</v>
      </c>
      <c r="AZ19" s="475">
        <v>0</v>
      </c>
      <c r="BA19" s="475">
        <v>0</v>
      </c>
      <c r="BB19" s="475">
        <v>0</v>
      </c>
      <c r="BC19" s="475">
        <v>0</v>
      </c>
    </row>
    <row r="20" spans="1:55">
      <c r="A20">
        <f t="shared" ca="1" si="0"/>
        <v>1</v>
      </c>
      <c r="B20">
        <f t="shared" si="1"/>
        <v>10</v>
      </c>
      <c r="C20">
        <f t="shared" si="2"/>
        <v>2035</v>
      </c>
      <c r="D20" s="475">
        <v>0</v>
      </c>
      <c r="E20" s="475">
        <v>0</v>
      </c>
      <c r="F20" s="475">
        <v>0</v>
      </c>
      <c r="G20" s="475">
        <v>0</v>
      </c>
      <c r="H20" s="475">
        <v>0</v>
      </c>
      <c r="I20" s="475">
        <v>3</v>
      </c>
      <c r="J20" s="475">
        <v>0</v>
      </c>
      <c r="K20" s="475">
        <v>0</v>
      </c>
      <c r="L20" s="475">
        <v>0</v>
      </c>
      <c r="M20" s="475">
        <v>0</v>
      </c>
      <c r="N20" s="475">
        <v>0</v>
      </c>
      <c r="O20" s="475">
        <v>2</v>
      </c>
      <c r="P20" s="475">
        <v>2</v>
      </c>
      <c r="Q20" s="475">
        <v>0</v>
      </c>
      <c r="R20" s="475">
        <v>0</v>
      </c>
      <c r="S20" s="475">
        <v>0</v>
      </c>
      <c r="T20" s="475">
        <v>0</v>
      </c>
      <c r="U20" s="475">
        <v>0</v>
      </c>
      <c r="V20" s="475">
        <v>0</v>
      </c>
      <c r="W20" s="475">
        <v>0</v>
      </c>
      <c r="X20" s="475">
        <v>0</v>
      </c>
      <c r="Y20" s="475">
        <v>0</v>
      </c>
      <c r="Z20" s="475">
        <v>0</v>
      </c>
      <c r="AA20" s="475">
        <v>0</v>
      </c>
      <c r="AB20" s="475">
        <v>0</v>
      </c>
      <c r="AC20" s="475">
        <v>0</v>
      </c>
      <c r="AD20" s="475">
        <v>0</v>
      </c>
      <c r="AE20" s="475">
        <v>0</v>
      </c>
      <c r="AF20" s="475">
        <v>0</v>
      </c>
      <c r="AG20" s="475">
        <v>0</v>
      </c>
      <c r="AH20" s="475">
        <v>0</v>
      </c>
      <c r="AI20" s="475">
        <v>2</v>
      </c>
      <c r="AJ20" s="475">
        <v>0</v>
      </c>
      <c r="AK20" s="475">
        <v>0</v>
      </c>
      <c r="AL20" s="475">
        <v>0</v>
      </c>
      <c r="AM20" s="475">
        <v>0</v>
      </c>
      <c r="AN20" s="475">
        <v>0</v>
      </c>
      <c r="AO20" s="475">
        <v>2</v>
      </c>
      <c r="AP20" s="475">
        <v>2</v>
      </c>
      <c r="AQ20" s="475">
        <v>0</v>
      </c>
      <c r="AR20" s="475">
        <v>0</v>
      </c>
      <c r="AS20" s="475">
        <v>0</v>
      </c>
      <c r="AT20" s="475">
        <v>0</v>
      </c>
      <c r="AU20" s="475">
        <v>0</v>
      </c>
      <c r="AV20" s="475">
        <v>0</v>
      </c>
      <c r="AW20" s="475">
        <v>0</v>
      </c>
      <c r="AX20" s="475">
        <v>0</v>
      </c>
      <c r="AY20" s="475">
        <v>0</v>
      </c>
      <c r="AZ20" s="475">
        <v>0</v>
      </c>
      <c r="BA20" s="475">
        <v>0</v>
      </c>
      <c r="BB20" s="475">
        <v>0</v>
      </c>
      <c r="BC20" s="475">
        <v>0</v>
      </c>
    </row>
    <row r="21" spans="1:55">
      <c r="A21">
        <f t="shared" ca="1" si="0"/>
        <v>1</v>
      </c>
      <c r="B21">
        <f t="shared" si="1"/>
        <v>11</v>
      </c>
      <c r="C21">
        <f t="shared" si="2"/>
        <v>2036</v>
      </c>
      <c r="D21" s="475">
        <v>0</v>
      </c>
      <c r="E21" s="475">
        <v>0</v>
      </c>
      <c r="F21" s="475">
        <v>0</v>
      </c>
      <c r="G21" s="475">
        <v>0</v>
      </c>
      <c r="H21" s="475">
        <v>0</v>
      </c>
      <c r="I21" s="475">
        <v>3</v>
      </c>
      <c r="J21" s="475">
        <v>0</v>
      </c>
      <c r="K21" s="475">
        <v>0</v>
      </c>
      <c r="L21" s="475">
        <v>0</v>
      </c>
      <c r="M21" s="475">
        <v>0</v>
      </c>
      <c r="N21" s="475">
        <v>0</v>
      </c>
      <c r="O21" s="475">
        <v>2</v>
      </c>
      <c r="P21" s="475">
        <v>2</v>
      </c>
      <c r="Q21" s="475">
        <v>0</v>
      </c>
      <c r="R21" s="475">
        <v>0</v>
      </c>
      <c r="S21" s="475">
        <v>0</v>
      </c>
      <c r="T21" s="475">
        <v>0</v>
      </c>
      <c r="U21" s="475">
        <v>0</v>
      </c>
      <c r="V21" s="475">
        <v>0</v>
      </c>
      <c r="W21" s="475">
        <v>0</v>
      </c>
      <c r="X21" s="475">
        <v>0</v>
      </c>
      <c r="Y21" s="475">
        <v>0</v>
      </c>
      <c r="Z21" s="475">
        <v>0</v>
      </c>
      <c r="AA21" s="475">
        <v>0</v>
      </c>
      <c r="AB21" s="475">
        <v>0</v>
      </c>
      <c r="AC21" s="475">
        <v>0</v>
      </c>
      <c r="AD21" s="475">
        <v>0</v>
      </c>
      <c r="AE21" s="475">
        <v>0</v>
      </c>
      <c r="AF21" s="475">
        <v>0</v>
      </c>
      <c r="AG21" s="475">
        <v>0</v>
      </c>
      <c r="AH21" s="475">
        <v>0</v>
      </c>
      <c r="AI21" s="475">
        <v>2</v>
      </c>
      <c r="AJ21" s="475">
        <v>0</v>
      </c>
      <c r="AK21" s="475">
        <v>0</v>
      </c>
      <c r="AL21" s="475">
        <v>0</v>
      </c>
      <c r="AM21" s="475">
        <v>0</v>
      </c>
      <c r="AN21" s="475">
        <v>0</v>
      </c>
      <c r="AO21" s="475">
        <v>2</v>
      </c>
      <c r="AP21" s="475">
        <v>2</v>
      </c>
      <c r="AQ21" s="475">
        <v>0</v>
      </c>
      <c r="AR21" s="475">
        <v>0</v>
      </c>
      <c r="AS21" s="475">
        <v>0</v>
      </c>
      <c r="AT21" s="475">
        <v>0</v>
      </c>
      <c r="AU21" s="475">
        <v>0</v>
      </c>
      <c r="AV21" s="475">
        <v>0</v>
      </c>
      <c r="AW21" s="475">
        <v>0</v>
      </c>
      <c r="AX21" s="475">
        <v>0</v>
      </c>
      <c r="AY21" s="475">
        <v>0</v>
      </c>
      <c r="AZ21" s="475">
        <v>0</v>
      </c>
      <c r="BA21" s="475">
        <v>0</v>
      </c>
      <c r="BB21" s="475">
        <v>0</v>
      </c>
      <c r="BC21" s="475">
        <v>0</v>
      </c>
    </row>
    <row r="22" spans="1:55">
      <c r="A22">
        <f t="shared" ca="1" si="0"/>
        <v>1</v>
      </c>
      <c r="B22">
        <f t="shared" si="1"/>
        <v>12</v>
      </c>
      <c r="C22">
        <f t="shared" si="2"/>
        <v>2037</v>
      </c>
      <c r="D22" s="475">
        <v>0</v>
      </c>
      <c r="E22" s="475">
        <v>0</v>
      </c>
      <c r="F22" s="475">
        <v>0</v>
      </c>
      <c r="G22" s="475">
        <v>0</v>
      </c>
      <c r="H22" s="475">
        <v>0</v>
      </c>
      <c r="I22" s="475">
        <v>3</v>
      </c>
      <c r="J22" s="475">
        <v>0</v>
      </c>
      <c r="K22" s="475">
        <v>0</v>
      </c>
      <c r="L22" s="475">
        <v>0</v>
      </c>
      <c r="M22" s="475">
        <v>0</v>
      </c>
      <c r="N22" s="475">
        <v>0</v>
      </c>
      <c r="O22" s="475">
        <v>2</v>
      </c>
      <c r="P22" s="475">
        <v>2</v>
      </c>
      <c r="Q22" s="475">
        <v>0</v>
      </c>
      <c r="R22" s="475">
        <v>0</v>
      </c>
      <c r="S22" s="475">
        <v>0</v>
      </c>
      <c r="T22" s="475">
        <v>0</v>
      </c>
      <c r="U22" s="475">
        <v>0</v>
      </c>
      <c r="V22" s="475">
        <v>0</v>
      </c>
      <c r="W22" s="475">
        <v>0</v>
      </c>
      <c r="X22" s="475">
        <v>0</v>
      </c>
      <c r="Y22" s="475">
        <v>0</v>
      </c>
      <c r="Z22" s="475">
        <v>0</v>
      </c>
      <c r="AA22" s="475">
        <v>0</v>
      </c>
      <c r="AB22" s="475">
        <v>0</v>
      </c>
      <c r="AC22" s="475">
        <v>0</v>
      </c>
      <c r="AD22" s="475">
        <v>0</v>
      </c>
      <c r="AE22" s="475">
        <v>0</v>
      </c>
      <c r="AF22" s="475">
        <v>0</v>
      </c>
      <c r="AG22" s="475">
        <v>0</v>
      </c>
      <c r="AH22" s="475">
        <v>0</v>
      </c>
      <c r="AI22" s="475">
        <v>2</v>
      </c>
      <c r="AJ22" s="475">
        <v>0</v>
      </c>
      <c r="AK22" s="475">
        <v>0</v>
      </c>
      <c r="AL22" s="475">
        <v>0</v>
      </c>
      <c r="AM22" s="475">
        <v>0</v>
      </c>
      <c r="AN22" s="475">
        <v>0</v>
      </c>
      <c r="AO22" s="475">
        <v>2</v>
      </c>
      <c r="AP22" s="475">
        <v>2</v>
      </c>
      <c r="AQ22" s="475">
        <v>0</v>
      </c>
      <c r="AR22" s="475">
        <v>0</v>
      </c>
      <c r="AS22" s="475">
        <v>0</v>
      </c>
      <c r="AT22" s="475">
        <v>0</v>
      </c>
      <c r="AU22" s="475">
        <v>0</v>
      </c>
      <c r="AV22" s="475">
        <v>0</v>
      </c>
      <c r="AW22" s="475">
        <v>0</v>
      </c>
      <c r="AX22" s="475">
        <v>0</v>
      </c>
      <c r="AY22" s="475">
        <v>0</v>
      </c>
      <c r="AZ22" s="475">
        <v>0</v>
      </c>
      <c r="BA22" s="475">
        <v>0</v>
      </c>
      <c r="BB22" s="475">
        <v>0</v>
      </c>
      <c r="BC22" s="475">
        <v>0</v>
      </c>
    </row>
    <row r="23" spans="1:55">
      <c r="A23">
        <f t="shared" ca="1" si="0"/>
        <v>1</v>
      </c>
      <c r="B23">
        <f t="shared" si="1"/>
        <v>13</v>
      </c>
      <c r="C23">
        <f t="shared" si="2"/>
        <v>2038</v>
      </c>
      <c r="D23" s="475">
        <v>0</v>
      </c>
      <c r="E23" s="475">
        <v>0</v>
      </c>
      <c r="F23" s="475">
        <v>0</v>
      </c>
      <c r="G23" s="475">
        <v>0</v>
      </c>
      <c r="H23" s="475">
        <v>0</v>
      </c>
      <c r="I23" s="475">
        <v>3</v>
      </c>
      <c r="J23" s="475">
        <v>0</v>
      </c>
      <c r="K23" s="475">
        <v>0</v>
      </c>
      <c r="L23" s="475">
        <v>0</v>
      </c>
      <c r="M23" s="475">
        <v>0</v>
      </c>
      <c r="N23" s="475">
        <v>0</v>
      </c>
      <c r="O23" s="475">
        <v>2</v>
      </c>
      <c r="P23" s="475">
        <v>2</v>
      </c>
      <c r="Q23" s="475">
        <v>0</v>
      </c>
      <c r="R23" s="475">
        <v>0</v>
      </c>
      <c r="S23" s="475">
        <v>0</v>
      </c>
      <c r="T23" s="475">
        <v>0</v>
      </c>
      <c r="U23" s="475">
        <v>0</v>
      </c>
      <c r="V23" s="475">
        <v>0</v>
      </c>
      <c r="W23" s="475">
        <v>0</v>
      </c>
      <c r="X23" s="475">
        <v>0</v>
      </c>
      <c r="Y23" s="475">
        <v>0</v>
      </c>
      <c r="Z23" s="475">
        <v>0</v>
      </c>
      <c r="AA23" s="475">
        <v>0</v>
      </c>
      <c r="AB23" s="475">
        <v>0</v>
      </c>
      <c r="AC23" s="475">
        <v>0</v>
      </c>
      <c r="AD23" s="475">
        <v>0</v>
      </c>
      <c r="AE23" s="475">
        <v>0</v>
      </c>
      <c r="AF23" s="475">
        <v>0</v>
      </c>
      <c r="AG23" s="475">
        <v>0</v>
      </c>
      <c r="AH23" s="475">
        <v>0</v>
      </c>
      <c r="AI23" s="475">
        <v>2</v>
      </c>
      <c r="AJ23" s="475">
        <v>0</v>
      </c>
      <c r="AK23" s="475">
        <v>0</v>
      </c>
      <c r="AL23" s="475">
        <v>0</v>
      </c>
      <c r="AM23" s="475">
        <v>0</v>
      </c>
      <c r="AN23" s="475">
        <v>0</v>
      </c>
      <c r="AO23" s="475">
        <v>2</v>
      </c>
      <c r="AP23" s="475">
        <v>2</v>
      </c>
      <c r="AQ23" s="475">
        <v>0</v>
      </c>
      <c r="AR23" s="475">
        <v>0</v>
      </c>
      <c r="AS23" s="475">
        <v>0</v>
      </c>
      <c r="AT23" s="475">
        <v>0</v>
      </c>
      <c r="AU23" s="475">
        <v>0</v>
      </c>
      <c r="AV23" s="475">
        <v>0</v>
      </c>
      <c r="AW23" s="475">
        <v>0</v>
      </c>
      <c r="AX23" s="475">
        <v>0</v>
      </c>
      <c r="AY23" s="475">
        <v>0</v>
      </c>
      <c r="AZ23" s="475">
        <v>0</v>
      </c>
      <c r="BA23" s="475">
        <v>0</v>
      </c>
      <c r="BB23" s="475">
        <v>0</v>
      </c>
      <c r="BC23" s="475">
        <v>0</v>
      </c>
    </row>
    <row r="24" spans="1:55">
      <c r="A24">
        <f t="shared" ca="1" si="0"/>
        <v>1</v>
      </c>
      <c r="B24">
        <f t="shared" si="1"/>
        <v>14</v>
      </c>
      <c r="C24">
        <f t="shared" si="2"/>
        <v>2039</v>
      </c>
      <c r="D24" s="475">
        <v>0</v>
      </c>
      <c r="E24" s="475">
        <v>0</v>
      </c>
      <c r="F24" s="475">
        <v>0</v>
      </c>
      <c r="G24" s="475">
        <v>0</v>
      </c>
      <c r="H24" s="475">
        <v>0</v>
      </c>
      <c r="I24" s="475">
        <v>3</v>
      </c>
      <c r="J24" s="475">
        <v>0</v>
      </c>
      <c r="K24" s="475">
        <v>0</v>
      </c>
      <c r="L24" s="475">
        <v>0</v>
      </c>
      <c r="M24" s="475">
        <v>0</v>
      </c>
      <c r="N24" s="475">
        <v>0</v>
      </c>
      <c r="O24" s="475">
        <v>2</v>
      </c>
      <c r="P24" s="475">
        <v>2</v>
      </c>
      <c r="Q24" s="475">
        <v>0</v>
      </c>
      <c r="R24" s="475">
        <v>0</v>
      </c>
      <c r="S24" s="475">
        <v>0</v>
      </c>
      <c r="T24" s="475">
        <v>0</v>
      </c>
      <c r="U24" s="475">
        <v>0</v>
      </c>
      <c r="V24" s="475">
        <v>0</v>
      </c>
      <c r="W24" s="475">
        <v>0</v>
      </c>
      <c r="X24" s="475">
        <v>0</v>
      </c>
      <c r="Y24" s="475">
        <v>0</v>
      </c>
      <c r="Z24" s="475">
        <v>0</v>
      </c>
      <c r="AA24" s="475">
        <v>0</v>
      </c>
      <c r="AB24" s="475">
        <v>0</v>
      </c>
      <c r="AC24" s="475">
        <v>0</v>
      </c>
      <c r="AD24" s="475">
        <v>0</v>
      </c>
      <c r="AE24" s="475">
        <v>0</v>
      </c>
      <c r="AF24" s="475">
        <v>0</v>
      </c>
      <c r="AG24" s="475">
        <v>0</v>
      </c>
      <c r="AH24" s="475">
        <v>0</v>
      </c>
      <c r="AI24" s="475">
        <v>2</v>
      </c>
      <c r="AJ24" s="475">
        <v>0</v>
      </c>
      <c r="AK24" s="475">
        <v>0</v>
      </c>
      <c r="AL24" s="475">
        <v>0</v>
      </c>
      <c r="AM24" s="475">
        <v>0</v>
      </c>
      <c r="AN24" s="475">
        <v>0</v>
      </c>
      <c r="AO24" s="475">
        <v>2</v>
      </c>
      <c r="AP24" s="475">
        <v>2</v>
      </c>
      <c r="AQ24" s="475">
        <v>0</v>
      </c>
      <c r="AR24" s="475">
        <v>0</v>
      </c>
      <c r="AS24" s="475">
        <v>0</v>
      </c>
      <c r="AT24" s="475">
        <v>0</v>
      </c>
      <c r="AU24" s="475">
        <v>0</v>
      </c>
      <c r="AV24" s="475">
        <v>0</v>
      </c>
      <c r="AW24" s="475">
        <v>0</v>
      </c>
      <c r="AX24" s="475">
        <v>0</v>
      </c>
      <c r="AY24" s="475">
        <v>0</v>
      </c>
      <c r="AZ24" s="475">
        <v>0</v>
      </c>
      <c r="BA24" s="475">
        <v>0</v>
      </c>
      <c r="BB24" s="475">
        <v>0</v>
      </c>
      <c r="BC24" s="475">
        <v>0</v>
      </c>
    </row>
    <row r="25" spans="1:55">
      <c r="A25">
        <f t="shared" ca="1" si="0"/>
        <v>1</v>
      </c>
      <c r="B25">
        <f t="shared" si="1"/>
        <v>15</v>
      </c>
      <c r="C25">
        <f t="shared" si="2"/>
        <v>2040</v>
      </c>
      <c r="D25" s="475">
        <v>0</v>
      </c>
      <c r="E25" s="475">
        <v>0</v>
      </c>
      <c r="F25" s="475">
        <v>0</v>
      </c>
      <c r="G25" s="475">
        <v>0</v>
      </c>
      <c r="H25" s="475">
        <v>0</v>
      </c>
      <c r="I25" s="475">
        <v>3</v>
      </c>
      <c r="J25" s="475">
        <v>0</v>
      </c>
      <c r="K25" s="475">
        <v>0</v>
      </c>
      <c r="L25" s="475">
        <v>0</v>
      </c>
      <c r="M25" s="475">
        <v>0</v>
      </c>
      <c r="N25" s="475">
        <v>0</v>
      </c>
      <c r="O25" s="475">
        <v>2</v>
      </c>
      <c r="P25" s="475">
        <v>2</v>
      </c>
      <c r="Q25" s="475">
        <v>0</v>
      </c>
      <c r="R25" s="475">
        <v>0</v>
      </c>
      <c r="S25" s="475">
        <v>0</v>
      </c>
      <c r="T25" s="475">
        <v>0</v>
      </c>
      <c r="U25" s="475">
        <v>0</v>
      </c>
      <c r="V25" s="475">
        <v>0</v>
      </c>
      <c r="W25" s="475">
        <v>0</v>
      </c>
      <c r="X25" s="475">
        <v>0</v>
      </c>
      <c r="Y25" s="475">
        <v>0</v>
      </c>
      <c r="Z25" s="475">
        <v>0</v>
      </c>
      <c r="AA25" s="475">
        <v>0</v>
      </c>
      <c r="AB25" s="475">
        <v>0</v>
      </c>
      <c r="AC25" s="475">
        <v>0</v>
      </c>
      <c r="AD25" s="475">
        <v>0</v>
      </c>
      <c r="AE25" s="475">
        <v>0</v>
      </c>
      <c r="AF25" s="475">
        <v>0</v>
      </c>
      <c r="AG25" s="475">
        <v>0</v>
      </c>
      <c r="AH25" s="475">
        <v>0</v>
      </c>
      <c r="AI25" s="475">
        <v>2</v>
      </c>
      <c r="AJ25" s="475">
        <v>0</v>
      </c>
      <c r="AK25" s="475">
        <v>0</v>
      </c>
      <c r="AL25" s="475">
        <v>0</v>
      </c>
      <c r="AM25" s="475">
        <v>0</v>
      </c>
      <c r="AN25" s="475">
        <v>0</v>
      </c>
      <c r="AO25" s="475">
        <v>2</v>
      </c>
      <c r="AP25" s="475">
        <v>2</v>
      </c>
      <c r="AQ25" s="475">
        <v>0</v>
      </c>
      <c r="AR25" s="475">
        <v>0</v>
      </c>
      <c r="AS25" s="475">
        <v>0</v>
      </c>
      <c r="AT25" s="475">
        <v>0</v>
      </c>
      <c r="AU25" s="475">
        <v>0</v>
      </c>
      <c r="AV25" s="475">
        <v>0</v>
      </c>
      <c r="AW25" s="475">
        <v>0</v>
      </c>
      <c r="AX25" s="475">
        <v>0</v>
      </c>
      <c r="AY25" s="475">
        <v>0</v>
      </c>
      <c r="AZ25" s="475">
        <v>0</v>
      </c>
      <c r="BA25" s="475">
        <v>0</v>
      </c>
      <c r="BB25" s="475">
        <v>0</v>
      </c>
      <c r="BC25" s="475">
        <v>0</v>
      </c>
    </row>
    <row r="26" spans="1:55">
      <c r="A26">
        <f t="shared" ca="1" si="0"/>
        <v>1</v>
      </c>
      <c r="B26">
        <f t="shared" si="1"/>
        <v>16</v>
      </c>
      <c r="C26">
        <f t="shared" si="2"/>
        <v>2041</v>
      </c>
      <c r="D26" s="475">
        <v>0</v>
      </c>
      <c r="E26" s="475">
        <v>0</v>
      </c>
      <c r="F26" s="475">
        <v>0</v>
      </c>
      <c r="G26" s="475">
        <v>0</v>
      </c>
      <c r="H26" s="475">
        <v>0</v>
      </c>
      <c r="I26" s="475">
        <v>3</v>
      </c>
      <c r="J26" s="475">
        <v>0</v>
      </c>
      <c r="K26" s="475">
        <v>0</v>
      </c>
      <c r="L26" s="475">
        <v>0</v>
      </c>
      <c r="M26" s="475">
        <v>0</v>
      </c>
      <c r="N26" s="475">
        <v>0</v>
      </c>
      <c r="O26" s="475">
        <v>2</v>
      </c>
      <c r="P26" s="475">
        <v>2</v>
      </c>
      <c r="Q26" s="475">
        <v>0</v>
      </c>
      <c r="R26" s="475">
        <v>0</v>
      </c>
      <c r="S26" s="475">
        <v>0</v>
      </c>
      <c r="T26" s="475">
        <v>0</v>
      </c>
      <c r="U26" s="475">
        <v>0</v>
      </c>
      <c r="V26" s="475">
        <v>0</v>
      </c>
      <c r="W26" s="475">
        <v>0</v>
      </c>
      <c r="X26" s="475">
        <v>0</v>
      </c>
      <c r="Y26" s="475">
        <v>0</v>
      </c>
      <c r="Z26" s="475">
        <v>0</v>
      </c>
      <c r="AA26" s="475">
        <v>0</v>
      </c>
      <c r="AB26" s="475">
        <v>0</v>
      </c>
      <c r="AC26" s="475">
        <v>0</v>
      </c>
      <c r="AD26" s="475">
        <v>0</v>
      </c>
      <c r="AE26" s="475">
        <v>0</v>
      </c>
      <c r="AF26" s="475">
        <v>0</v>
      </c>
      <c r="AG26" s="475">
        <v>0</v>
      </c>
      <c r="AH26" s="475">
        <v>0</v>
      </c>
      <c r="AI26" s="475">
        <v>2</v>
      </c>
      <c r="AJ26" s="475">
        <v>0</v>
      </c>
      <c r="AK26" s="475">
        <v>0</v>
      </c>
      <c r="AL26" s="475">
        <v>0</v>
      </c>
      <c r="AM26" s="475">
        <v>0</v>
      </c>
      <c r="AN26" s="475">
        <v>0</v>
      </c>
      <c r="AO26" s="475">
        <v>2</v>
      </c>
      <c r="AP26" s="475">
        <v>2</v>
      </c>
      <c r="AQ26" s="475">
        <v>0</v>
      </c>
      <c r="AR26" s="475">
        <v>0</v>
      </c>
      <c r="AS26" s="475">
        <v>0</v>
      </c>
      <c r="AT26" s="475">
        <v>0</v>
      </c>
      <c r="AU26" s="475">
        <v>0</v>
      </c>
      <c r="AV26" s="475">
        <v>0</v>
      </c>
      <c r="AW26" s="475">
        <v>0</v>
      </c>
      <c r="AX26" s="475">
        <v>0</v>
      </c>
      <c r="AY26" s="475">
        <v>0</v>
      </c>
      <c r="AZ26" s="475">
        <v>0</v>
      </c>
      <c r="BA26" s="475">
        <v>0</v>
      </c>
      <c r="BB26" s="475">
        <v>0</v>
      </c>
      <c r="BC26" s="475">
        <v>0</v>
      </c>
    </row>
    <row r="27" spans="1:55">
      <c r="A27">
        <f t="shared" ca="1" si="0"/>
        <v>1</v>
      </c>
      <c r="B27">
        <f t="shared" si="1"/>
        <v>17</v>
      </c>
      <c r="C27">
        <f t="shared" si="2"/>
        <v>2042</v>
      </c>
      <c r="D27" s="475">
        <v>0</v>
      </c>
      <c r="E27" s="475">
        <v>0</v>
      </c>
      <c r="F27" s="475">
        <v>0</v>
      </c>
      <c r="G27" s="475">
        <v>0</v>
      </c>
      <c r="H27" s="475">
        <v>0</v>
      </c>
      <c r="I27" s="475">
        <v>3</v>
      </c>
      <c r="J27" s="475">
        <v>0</v>
      </c>
      <c r="K27" s="475">
        <v>0</v>
      </c>
      <c r="L27" s="475">
        <v>0</v>
      </c>
      <c r="M27" s="475">
        <v>0</v>
      </c>
      <c r="N27" s="475">
        <v>0</v>
      </c>
      <c r="O27" s="475">
        <v>2</v>
      </c>
      <c r="P27" s="475">
        <v>2</v>
      </c>
      <c r="Q27" s="475">
        <v>0</v>
      </c>
      <c r="R27" s="475">
        <v>0</v>
      </c>
      <c r="S27" s="475">
        <v>0</v>
      </c>
      <c r="T27" s="475">
        <v>0</v>
      </c>
      <c r="U27" s="475">
        <v>0</v>
      </c>
      <c r="V27" s="475">
        <v>0</v>
      </c>
      <c r="W27" s="475">
        <v>0</v>
      </c>
      <c r="X27" s="475">
        <v>0</v>
      </c>
      <c r="Y27" s="475">
        <v>0</v>
      </c>
      <c r="Z27" s="475">
        <v>0</v>
      </c>
      <c r="AA27" s="475">
        <v>0</v>
      </c>
      <c r="AB27" s="475">
        <v>0</v>
      </c>
      <c r="AC27" s="475">
        <v>0</v>
      </c>
      <c r="AD27" s="475">
        <v>0</v>
      </c>
      <c r="AE27" s="475">
        <v>0</v>
      </c>
      <c r="AF27" s="475">
        <v>0</v>
      </c>
      <c r="AG27" s="475">
        <v>0</v>
      </c>
      <c r="AH27" s="475">
        <v>0</v>
      </c>
      <c r="AI27" s="475">
        <v>2</v>
      </c>
      <c r="AJ27" s="475">
        <v>0</v>
      </c>
      <c r="AK27" s="475">
        <v>0</v>
      </c>
      <c r="AL27" s="475">
        <v>0</v>
      </c>
      <c r="AM27" s="475">
        <v>0</v>
      </c>
      <c r="AN27" s="475">
        <v>0</v>
      </c>
      <c r="AO27" s="475">
        <v>2</v>
      </c>
      <c r="AP27" s="475">
        <v>2</v>
      </c>
      <c r="AQ27" s="475">
        <v>0</v>
      </c>
      <c r="AR27" s="475">
        <v>0</v>
      </c>
      <c r="AS27" s="475">
        <v>0</v>
      </c>
      <c r="AT27" s="475">
        <v>0</v>
      </c>
      <c r="AU27" s="475">
        <v>0</v>
      </c>
      <c r="AV27" s="475">
        <v>0</v>
      </c>
      <c r="AW27" s="475">
        <v>0</v>
      </c>
      <c r="AX27" s="475">
        <v>0</v>
      </c>
      <c r="AY27" s="475">
        <v>0</v>
      </c>
      <c r="AZ27" s="475">
        <v>0</v>
      </c>
      <c r="BA27" s="475">
        <v>0</v>
      </c>
      <c r="BB27" s="475">
        <v>0</v>
      </c>
      <c r="BC27" s="475">
        <v>0</v>
      </c>
    </row>
    <row r="28" spans="1:55">
      <c r="A28">
        <f t="shared" ca="1" si="0"/>
        <v>1</v>
      </c>
      <c r="B28">
        <f t="shared" si="1"/>
        <v>18</v>
      </c>
      <c r="C28">
        <f t="shared" si="2"/>
        <v>2043</v>
      </c>
      <c r="D28" s="475">
        <v>0</v>
      </c>
      <c r="E28" s="475">
        <v>0</v>
      </c>
      <c r="F28" s="475">
        <v>0</v>
      </c>
      <c r="G28" s="475">
        <v>0</v>
      </c>
      <c r="H28" s="475">
        <v>0</v>
      </c>
      <c r="I28" s="475">
        <v>3</v>
      </c>
      <c r="J28" s="475">
        <v>0</v>
      </c>
      <c r="K28" s="475">
        <v>0</v>
      </c>
      <c r="L28" s="475">
        <v>0</v>
      </c>
      <c r="M28" s="475">
        <v>0</v>
      </c>
      <c r="N28" s="475">
        <v>0</v>
      </c>
      <c r="O28" s="475">
        <v>2</v>
      </c>
      <c r="P28" s="475">
        <v>2</v>
      </c>
      <c r="Q28" s="475">
        <v>0</v>
      </c>
      <c r="R28" s="475">
        <v>0</v>
      </c>
      <c r="S28" s="475">
        <v>0</v>
      </c>
      <c r="T28" s="475">
        <v>0</v>
      </c>
      <c r="U28" s="475">
        <v>0</v>
      </c>
      <c r="V28" s="475">
        <v>0</v>
      </c>
      <c r="W28" s="475">
        <v>0</v>
      </c>
      <c r="X28" s="475">
        <v>0</v>
      </c>
      <c r="Y28" s="475">
        <v>0</v>
      </c>
      <c r="Z28" s="475">
        <v>0</v>
      </c>
      <c r="AA28" s="475">
        <v>0</v>
      </c>
      <c r="AB28" s="475">
        <v>0</v>
      </c>
      <c r="AC28" s="475">
        <v>0</v>
      </c>
      <c r="AD28" s="475">
        <v>0</v>
      </c>
      <c r="AE28" s="475">
        <v>0</v>
      </c>
      <c r="AF28" s="475">
        <v>0</v>
      </c>
      <c r="AG28" s="475">
        <v>0</v>
      </c>
      <c r="AH28" s="475">
        <v>0</v>
      </c>
      <c r="AI28" s="475">
        <v>2</v>
      </c>
      <c r="AJ28" s="475">
        <v>0</v>
      </c>
      <c r="AK28" s="475">
        <v>0</v>
      </c>
      <c r="AL28" s="475">
        <v>0</v>
      </c>
      <c r="AM28" s="475">
        <v>0</v>
      </c>
      <c r="AN28" s="475">
        <v>0</v>
      </c>
      <c r="AO28" s="475">
        <v>2</v>
      </c>
      <c r="AP28" s="475">
        <v>2</v>
      </c>
      <c r="AQ28" s="475">
        <v>0</v>
      </c>
      <c r="AR28" s="475">
        <v>0</v>
      </c>
      <c r="AS28" s="475">
        <v>0</v>
      </c>
      <c r="AT28" s="475">
        <v>0</v>
      </c>
      <c r="AU28" s="475">
        <v>0</v>
      </c>
      <c r="AV28" s="475">
        <v>0</v>
      </c>
      <c r="AW28" s="475">
        <v>0</v>
      </c>
      <c r="AX28" s="475">
        <v>0</v>
      </c>
      <c r="AY28" s="475">
        <v>0</v>
      </c>
      <c r="AZ28" s="475">
        <v>0</v>
      </c>
      <c r="BA28" s="475">
        <v>0</v>
      </c>
      <c r="BB28" s="475">
        <v>0</v>
      </c>
      <c r="BC28" s="475">
        <v>0</v>
      </c>
    </row>
    <row r="29" spans="1:55">
      <c r="A29">
        <f t="shared" ca="1" si="0"/>
        <v>1</v>
      </c>
      <c r="B29">
        <f t="shared" si="1"/>
        <v>19</v>
      </c>
      <c r="C29">
        <f t="shared" si="2"/>
        <v>2044</v>
      </c>
      <c r="D29" s="475">
        <v>0</v>
      </c>
      <c r="E29" s="475">
        <v>0</v>
      </c>
      <c r="F29" s="475">
        <v>0</v>
      </c>
      <c r="G29" s="475">
        <v>0</v>
      </c>
      <c r="H29" s="475">
        <v>0</v>
      </c>
      <c r="I29" s="475">
        <v>3</v>
      </c>
      <c r="J29" s="475">
        <v>0</v>
      </c>
      <c r="K29" s="475">
        <v>0</v>
      </c>
      <c r="L29" s="475">
        <v>0</v>
      </c>
      <c r="M29" s="475">
        <v>0</v>
      </c>
      <c r="N29" s="475">
        <v>0</v>
      </c>
      <c r="O29" s="475">
        <v>2</v>
      </c>
      <c r="P29" s="475">
        <v>2</v>
      </c>
      <c r="Q29" s="475">
        <v>0</v>
      </c>
      <c r="R29" s="475">
        <v>0</v>
      </c>
      <c r="S29" s="475">
        <v>0</v>
      </c>
      <c r="T29" s="475">
        <v>0</v>
      </c>
      <c r="U29" s="475">
        <v>0</v>
      </c>
      <c r="V29" s="475">
        <v>0</v>
      </c>
      <c r="W29" s="475">
        <v>0</v>
      </c>
      <c r="X29" s="475">
        <v>0</v>
      </c>
      <c r="Y29" s="475">
        <v>0</v>
      </c>
      <c r="Z29" s="475">
        <v>0</v>
      </c>
      <c r="AA29" s="475">
        <v>0</v>
      </c>
      <c r="AB29" s="475">
        <v>0</v>
      </c>
      <c r="AC29" s="475">
        <v>0</v>
      </c>
      <c r="AD29" s="475">
        <v>0</v>
      </c>
      <c r="AE29" s="475">
        <v>0</v>
      </c>
      <c r="AF29" s="475">
        <v>0</v>
      </c>
      <c r="AG29" s="475">
        <v>0</v>
      </c>
      <c r="AH29" s="475">
        <v>0</v>
      </c>
      <c r="AI29" s="475">
        <v>2</v>
      </c>
      <c r="AJ29" s="475">
        <v>0</v>
      </c>
      <c r="AK29" s="475">
        <v>0</v>
      </c>
      <c r="AL29" s="475">
        <v>0</v>
      </c>
      <c r="AM29" s="475">
        <v>0</v>
      </c>
      <c r="AN29" s="475">
        <v>0</v>
      </c>
      <c r="AO29" s="475">
        <v>2</v>
      </c>
      <c r="AP29" s="475">
        <v>2</v>
      </c>
      <c r="AQ29" s="475">
        <v>0</v>
      </c>
      <c r="AR29" s="475">
        <v>0</v>
      </c>
      <c r="AS29" s="475">
        <v>0</v>
      </c>
      <c r="AT29" s="475">
        <v>0</v>
      </c>
      <c r="AU29" s="475">
        <v>0</v>
      </c>
      <c r="AV29" s="475">
        <v>0</v>
      </c>
      <c r="AW29" s="475">
        <v>0</v>
      </c>
      <c r="AX29" s="475">
        <v>0</v>
      </c>
      <c r="AY29" s="475">
        <v>0</v>
      </c>
      <c r="AZ29" s="475">
        <v>0</v>
      </c>
      <c r="BA29" s="475">
        <v>0</v>
      </c>
      <c r="BB29" s="475">
        <v>0</v>
      </c>
      <c r="BC29" s="475">
        <v>0</v>
      </c>
    </row>
    <row r="30" spans="1:55">
      <c r="A30">
        <f t="shared" ca="1" si="0"/>
        <v>0</v>
      </c>
      <c r="B30">
        <f t="shared" si="1"/>
        <v>20</v>
      </c>
      <c r="C30">
        <f t="shared" si="2"/>
        <v>2045</v>
      </c>
      <c r="D30" s="475">
        <v>0</v>
      </c>
      <c r="E30" s="475">
        <v>0</v>
      </c>
      <c r="F30" s="475">
        <v>0</v>
      </c>
      <c r="G30" s="475">
        <v>0</v>
      </c>
      <c r="H30" s="475">
        <v>0</v>
      </c>
      <c r="I30" s="475">
        <v>0</v>
      </c>
      <c r="J30" s="475">
        <v>0</v>
      </c>
      <c r="K30" s="475">
        <v>0</v>
      </c>
      <c r="L30" s="475">
        <v>0</v>
      </c>
      <c r="M30" s="475">
        <v>0</v>
      </c>
      <c r="N30" s="475">
        <v>0</v>
      </c>
      <c r="O30" s="475">
        <v>0</v>
      </c>
      <c r="P30" s="475">
        <v>0</v>
      </c>
      <c r="Q30" s="475">
        <v>0</v>
      </c>
      <c r="R30" s="475">
        <v>0</v>
      </c>
      <c r="S30" s="475">
        <v>0</v>
      </c>
      <c r="T30" s="475">
        <v>0</v>
      </c>
      <c r="U30" s="475">
        <v>0</v>
      </c>
      <c r="V30" s="475">
        <v>0</v>
      </c>
      <c r="W30" s="475">
        <v>0</v>
      </c>
      <c r="X30" s="475">
        <v>0</v>
      </c>
      <c r="Y30" s="475">
        <v>0</v>
      </c>
      <c r="Z30" s="475">
        <v>0</v>
      </c>
      <c r="AA30" s="475">
        <v>0</v>
      </c>
      <c r="AB30" s="475">
        <v>0</v>
      </c>
      <c r="AC30" s="475">
        <v>0</v>
      </c>
      <c r="AD30" s="475">
        <v>0</v>
      </c>
      <c r="AE30" s="475">
        <v>0</v>
      </c>
      <c r="AF30" s="475">
        <v>0</v>
      </c>
      <c r="AG30" s="475">
        <v>0</v>
      </c>
      <c r="AH30" s="475">
        <v>0</v>
      </c>
      <c r="AI30" s="475">
        <v>0</v>
      </c>
      <c r="AJ30" s="475">
        <v>0</v>
      </c>
      <c r="AK30" s="475">
        <v>0</v>
      </c>
      <c r="AL30" s="475">
        <v>0</v>
      </c>
      <c r="AM30" s="475">
        <v>0</v>
      </c>
      <c r="AN30" s="475">
        <v>0</v>
      </c>
      <c r="AO30" s="475">
        <v>0</v>
      </c>
      <c r="AP30" s="475">
        <v>0</v>
      </c>
      <c r="AQ30" s="475">
        <v>0</v>
      </c>
      <c r="AR30" s="475">
        <v>0</v>
      </c>
      <c r="AS30" s="475">
        <v>0</v>
      </c>
      <c r="AT30" s="475">
        <v>0</v>
      </c>
      <c r="AU30" s="475">
        <v>0</v>
      </c>
      <c r="AV30" s="475">
        <v>0</v>
      </c>
      <c r="AW30" s="475">
        <v>0</v>
      </c>
      <c r="AX30" s="475">
        <v>0</v>
      </c>
      <c r="AY30" s="475">
        <v>0</v>
      </c>
      <c r="AZ30" s="475">
        <v>0</v>
      </c>
      <c r="BA30" s="475">
        <v>0</v>
      </c>
      <c r="BB30" s="475">
        <v>0</v>
      </c>
      <c r="BC30" s="475">
        <v>0</v>
      </c>
    </row>
    <row r="31" spans="1:55">
      <c r="A31">
        <f t="shared" ca="1" si="0"/>
        <v>0</v>
      </c>
      <c r="B31">
        <f t="shared" si="1"/>
        <v>21</v>
      </c>
      <c r="C31">
        <f t="shared" si="2"/>
        <v>2046</v>
      </c>
      <c r="D31" s="475">
        <v>0</v>
      </c>
      <c r="E31" s="475">
        <v>0</v>
      </c>
      <c r="F31" s="475">
        <v>0</v>
      </c>
      <c r="G31" s="475">
        <v>0</v>
      </c>
      <c r="H31" s="475">
        <v>0</v>
      </c>
      <c r="I31" s="475">
        <v>0</v>
      </c>
      <c r="J31" s="475">
        <v>0</v>
      </c>
      <c r="K31" s="475">
        <v>0</v>
      </c>
      <c r="L31" s="475">
        <v>0</v>
      </c>
      <c r="M31" s="475">
        <v>0</v>
      </c>
      <c r="N31" s="475">
        <v>0</v>
      </c>
      <c r="O31" s="475">
        <v>0</v>
      </c>
      <c r="P31" s="475">
        <v>0</v>
      </c>
      <c r="Q31" s="475">
        <v>0</v>
      </c>
      <c r="R31" s="475">
        <v>0</v>
      </c>
      <c r="S31" s="475">
        <v>0</v>
      </c>
      <c r="T31" s="475">
        <v>0</v>
      </c>
      <c r="U31" s="475">
        <v>0</v>
      </c>
      <c r="V31" s="475">
        <v>0</v>
      </c>
      <c r="W31" s="475">
        <v>0</v>
      </c>
      <c r="X31" s="475">
        <v>0</v>
      </c>
      <c r="Y31" s="475">
        <v>0</v>
      </c>
      <c r="Z31" s="475">
        <v>0</v>
      </c>
      <c r="AA31" s="475">
        <v>0</v>
      </c>
      <c r="AB31" s="475">
        <v>0</v>
      </c>
      <c r="AC31" s="475">
        <v>0</v>
      </c>
      <c r="AD31" s="475">
        <v>0</v>
      </c>
      <c r="AE31" s="475">
        <v>0</v>
      </c>
      <c r="AF31" s="475">
        <v>0</v>
      </c>
      <c r="AG31" s="475">
        <v>0</v>
      </c>
      <c r="AH31" s="475">
        <v>0</v>
      </c>
      <c r="AI31" s="475">
        <v>0</v>
      </c>
      <c r="AJ31" s="475">
        <v>0</v>
      </c>
      <c r="AK31" s="475">
        <v>0</v>
      </c>
      <c r="AL31" s="475">
        <v>0</v>
      </c>
      <c r="AM31" s="475">
        <v>0</v>
      </c>
      <c r="AN31" s="475">
        <v>0</v>
      </c>
      <c r="AO31" s="475">
        <v>0</v>
      </c>
      <c r="AP31" s="475">
        <v>0</v>
      </c>
      <c r="AQ31" s="475">
        <v>0</v>
      </c>
      <c r="AR31" s="475">
        <v>0</v>
      </c>
      <c r="AS31" s="475">
        <v>0</v>
      </c>
      <c r="AT31" s="475">
        <v>0</v>
      </c>
      <c r="AU31" s="475">
        <v>0</v>
      </c>
      <c r="AV31" s="475">
        <v>0</v>
      </c>
      <c r="AW31" s="475">
        <v>0</v>
      </c>
      <c r="AX31" s="475">
        <v>0</v>
      </c>
      <c r="AY31" s="475">
        <v>0</v>
      </c>
      <c r="AZ31" s="475">
        <v>0</v>
      </c>
      <c r="BA31" s="475">
        <v>0</v>
      </c>
      <c r="BB31" s="475">
        <v>0</v>
      </c>
      <c r="BC31" s="475">
        <v>0</v>
      </c>
    </row>
    <row r="32" spans="1:55">
      <c r="A32">
        <f t="shared" ca="1" si="0"/>
        <v>0</v>
      </c>
      <c r="B32">
        <f t="shared" si="1"/>
        <v>22</v>
      </c>
      <c r="C32">
        <f t="shared" si="2"/>
        <v>2047</v>
      </c>
      <c r="D32" s="475">
        <v>0</v>
      </c>
      <c r="E32" s="475">
        <v>0</v>
      </c>
      <c r="F32" s="475">
        <v>0</v>
      </c>
      <c r="G32" s="475">
        <v>0</v>
      </c>
      <c r="H32" s="475">
        <v>0</v>
      </c>
      <c r="I32" s="475">
        <v>0</v>
      </c>
      <c r="J32" s="475">
        <v>0</v>
      </c>
      <c r="K32" s="475">
        <v>0</v>
      </c>
      <c r="L32" s="475">
        <v>0</v>
      </c>
      <c r="M32" s="475">
        <v>0</v>
      </c>
      <c r="N32" s="475">
        <v>0</v>
      </c>
      <c r="O32" s="475">
        <v>0</v>
      </c>
      <c r="P32" s="475">
        <v>0</v>
      </c>
      <c r="Q32" s="475">
        <v>0</v>
      </c>
      <c r="R32" s="475">
        <v>0</v>
      </c>
      <c r="S32" s="475">
        <v>0</v>
      </c>
      <c r="T32" s="475">
        <v>0</v>
      </c>
      <c r="U32" s="475">
        <v>0</v>
      </c>
      <c r="V32" s="475">
        <v>0</v>
      </c>
      <c r="W32" s="475">
        <v>0</v>
      </c>
      <c r="X32" s="475">
        <v>0</v>
      </c>
      <c r="Y32" s="475">
        <v>0</v>
      </c>
      <c r="Z32" s="475">
        <v>0</v>
      </c>
      <c r="AA32" s="475">
        <v>0</v>
      </c>
      <c r="AB32" s="475">
        <v>0</v>
      </c>
      <c r="AC32" s="475">
        <v>0</v>
      </c>
      <c r="AD32" s="475">
        <v>0</v>
      </c>
      <c r="AE32" s="475">
        <v>0</v>
      </c>
      <c r="AF32" s="475">
        <v>0</v>
      </c>
      <c r="AG32" s="475">
        <v>0</v>
      </c>
      <c r="AH32" s="475">
        <v>0</v>
      </c>
      <c r="AI32" s="475">
        <v>0</v>
      </c>
      <c r="AJ32" s="475">
        <v>0</v>
      </c>
      <c r="AK32" s="475">
        <v>0</v>
      </c>
      <c r="AL32" s="475">
        <v>0</v>
      </c>
      <c r="AM32" s="475">
        <v>0</v>
      </c>
      <c r="AN32" s="475">
        <v>0</v>
      </c>
      <c r="AO32" s="475">
        <v>0</v>
      </c>
      <c r="AP32" s="475">
        <v>0</v>
      </c>
      <c r="AQ32" s="475">
        <v>0</v>
      </c>
      <c r="AR32" s="475">
        <v>0</v>
      </c>
      <c r="AS32" s="475">
        <v>0</v>
      </c>
      <c r="AT32" s="475">
        <v>0</v>
      </c>
      <c r="AU32" s="475">
        <v>0</v>
      </c>
      <c r="AV32" s="475">
        <v>0</v>
      </c>
      <c r="AW32" s="475">
        <v>0</v>
      </c>
      <c r="AX32" s="475">
        <v>0</v>
      </c>
      <c r="AY32" s="475">
        <v>0</v>
      </c>
      <c r="AZ32" s="475">
        <v>0</v>
      </c>
      <c r="BA32" s="475">
        <v>0</v>
      </c>
      <c r="BB32" s="475">
        <v>0</v>
      </c>
      <c r="BC32" s="475">
        <v>0</v>
      </c>
    </row>
    <row r="33" spans="1:55">
      <c r="A33">
        <f t="shared" ca="1" si="0"/>
        <v>0</v>
      </c>
      <c r="B33">
        <f t="shared" si="1"/>
        <v>23</v>
      </c>
      <c r="C33">
        <f t="shared" si="2"/>
        <v>2048</v>
      </c>
      <c r="D33" s="475">
        <v>0</v>
      </c>
      <c r="E33" s="475">
        <v>0</v>
      </c>
      <c r="F33" s="475">
        <v>0</v>
      </c>
      <c r="G33" s="475">
        <v>0</v>
      </c>
      <c r="H33" s="475">
        <v>0</v>
      </c>
      <c r="I33" s="475">
        <v>0</v>
      </c>
      <c r="J33" s="475">
        <v>0</v>
      </c>
      <c r="K33" s="475">
        <v>0</v>
      </c>
      <c r="L33" s="475">
        <v>0</v>
      </c>
      <c r="M33" s="475">
        <v>0</v>
      </c>
      <c r="N33" s="475">
        <v>0</v>
      </c>
      <c r="O33" s="475">
        <v>0</v>
      </c>
      <c r="P33" s="475">
        <v>0</v>
      </c>
      <c r="Q33" s="475">
        <v>0</v>
      </c>
      <c r="R33" s="475">
        <v>0</v>
      </c>
      <c r="S33" s="475">
        <v>0</v>
      </c>
      <c r="T33" s="475">
        <v>0</v>
      </c>
      <c r="U33" s="475">
        <v>0</v>
      </c>
      <c r="V33" s="475">
        <v>0</v>
      </c>
      <c r="W33" s="475">
        <v>0</v>
      </c>
      <c r="X33" s="475">
        <v>0</v>
      </c>
      <c r="Y33" s="475">
        <v>0</v>
      </c>
      <c r="Z33" s="475">
        <v>0</v>
      </c>
      <c r="AA33" s="475">
        <v>0</v>
      </c>
      <c r="AB33" s="475">
        <v>0</v>
      </c>
      <c r="AC33" s="475">
        <v>0</v>
      </c>
      <c r="AD33" s="475">
        <v>0</v>
      </c>
      <c r="AE33" s="475">
        <v>0</v>
      </c>
      <c r="AF33" s="475">
        <v>0</v>
      </c>
      <c r="AG33" s="475">
        <v>0</v>
      </c>
      <c r="AH33" s="475">
        <v>0</v>
      </c>
      <c r="AI33" s="475">
        <v>0</v>
      </c>
      <c r="AJ33" s="475">
        <v>0</v>
      </c>
      <c r="AK33" s="475">
        <v>0</v>
      </c>
      <c r="AL33" s="475">
        <v>0</v>
      </c>
      <c r="AM33" s="475">
        <v>0</v>
      </c>
      <c r="AN33" s="475">
        <v>0</v>
      </c>
      <c r="AO33" s="475">
        <v>0</v>
      </c>
      <c r="AP33" s="475">
        <v>0</v>
      </c>
      <c r="AQ33" s="475">
        <v>0</v>
      </c>
      <c r="AR33" s="475">
        <v>0</v>
      </c>
      <c r="AS33" s="475">
        <v>0</v>
      </c>
      <c r="AT33" s="475">
        <v>0</v>
      </c>
      <c r="AU33" s="475">
        <v>0</v>
      </c>
      <c r="AV33" s="475">
        <v>0</v>
      </c>
      <c r="AW33" s="475">
        <v>0</v>
      </c>
      <c r="AX33" s="475">
        <v>0</v>
      </c>
      <c r="AY33" s="475">
        <v>0</v>
      </c>
      <c r="AZ33" s="475">
        <v>0</v>
      </c>
      <c r="BA33" s="475">
        <v>0</v>
      </c>
      <c r="BB33" s="475">
        <v>0</v>
      </c>
      <c r="BC33" s="475">
        <v>0</v>
      </c>
    </row>
    <row r="34" spans="1:55">
      <c r="A34">
        <f t="shared" ca="1" si="0"/>
        <v>0</v>
      </c>
      <c r="B34">
        <f t="shared" si="1"/>
        <v>24</v>
      </c>
      <c r="C34">
        <f t="shared" si="2"/>
        <v>2049</v>
      </c>
      <c r="D34" s="475">
        <v>0</v>
      </c>
      <c r="E34" s="475">
        <v>0</v>
      </c>
      <c r="F34" s="475">
        <v>0</v>
      </c>
      <c r="G34" s="475">
        <v>0</v>
      </c>
      <c r="H34" s="475">
        <v>0</v>
      </c>
      <c r="I34" s="475">
        <v>0</v>
      </c>
      <c r="J34" s="475">
        <v>0</v>
      </c>
      <c r="K34" s="475">
        <v>0</v>
      </c>
      <c r="L34" s="475">
        <v>0</v>
      </c>
      <c r="M34" s="475">
        <v>0</v>
      </c>
      <c r="N34" s="475">
        <v>0</v>
      </c>
      <c r="O34" s="475">
        <v>0</v>
      </c>
      <c r="P34" s="475">
        <v>0</v>
      </c>
      <c r="Q34" s="475">
        <v>0</v>
      </c>
      <c r="R34" s="475">
        <v>0</v>
      </c>
      <c r="S34" s="475">
        <v>0</v>
      </c>
      <c r="T34" s="475">
        <v>0</v>
      </c>
      <c r="U34" s="475">
        <v>0</v>
      </c>
      <c r="V34" s="475">
        <v>0</v>
      </c>
      <c r="W34" s="475">
        <v>0</v>
      </c>
      <c r="X34" s="475">
        <v>0</v>
      </c>
      <c r="Y34" s="475">
        <v>0</v>
      </c>
      <c r="Z34" s="475">
        <v>0</v>
      </c>
      <c r="AA34" s="475">
        <v>0</v>
      </c>
      <c r="AB34" s="475">
        <v>0</v>
      </c>
      <c r="AC34" s="475">
        <v>0</v>
      </c>
      <c r="AD34" s="475">
        <v>0</v>
      </c>
      <c r="AE34" s="475">
        <v>0</v>
      </c>
      <c r="AF34" s="475">
        <v>0</v>
      </c>
      <c r="AG34" s="475">
        <v>0</v>
      </c>
      <c r="AH34" s="475">
        <v>0</v>
      </c>
      <c r="AI34" s="475">
        <v>0</v>
      </c>
      <c r="AJ34" s="475">
        <v>0</v>
      </c>
      <c r="AK34" s="475">
        <v>0</v>
      </c>
      <c r="AL34" s="475">
        <v>0</v>
      </c>
      <c r="AM34" s="475">
        <v>0</v>
      </c>
      <c r="AN34" s="475">
        <v>0</v>
      </c>
      <c r="AO34" s="475">
        <v>0</v>
      </c>
      <c r="AP34" s="475">
        <v>0</v>
      </c>
      <c r="AQ34" s="475">
        <v>0</v>
      </c>
      <c r="AR34" s="475">
        <v>0</v>
      </c>
      <c r="AS34" s="475">
        <v>0</v>
      </c>
      <c r="AT34" s="475">
        <v>0</v>
      </c>
      <c r="AU34" s="475">
        <v>0</v>
      </c>
      <c r="AV34" s="475">
        <v>0</v>
      </c>
      <c r="AW34" s="475">
        <v>0</v>
      </c>
      <c r="AX34" s="475">
        <v>0</v>
      </c>
      <c r="AY34" s="475">
        <v>0</v>
      </c>
      <c r="AZ34" s="475">
        <v>0</v>
      </c>
      <c r="BA34" s="475">
        <v>0</v>
      </c>
      <c r="BB34" s="475">
        <v>0</v>
      </c>
      <c r="BC34" s="475">
        <v>0</v>
      </c>
    </row>
    <row r="35" spans="1:55">
      <c r="A35">
        <f t="shared" ca="1" si="0"/>
        <v>0</v>
      </c>
      <c r="B35">
        <f t="shared" si="1"/>
        <v>25</v>
      </c>
      <c r="C35">
        <f t="shared" si="2"/>
        <v>2050</v>
      </c>
      <c r="D35" s="475">
        <v>0</v>
      </c>
      <c r="E35" s="475">
        <v>0</v>
      </c>
      <c r="F35" s="475">
        <v>0</v>
      </c>
      <c r="G35" s="475">
        <v>0</v>
      </c>
      <c r="H35" s="475">
        <v>0</v>
      </c>
      <c r="I35" s="475">
        <v>0</v>
      </c>
      <c r="J35" s="475">
        <v>0</v>
      </c>
      <c r="K35" s="475">
        <v>0</v>
      </c>
      <c r="L35" s="475">
        <v>0</v>
      </c>
      <c r="M35" s="475">
        <v>0</v>
      </c>
      <c r="N35" s="475">
        <v>0</v>
      </c>
      <c r="O35" s="475">
        <v>0</v>
      </c>
      <c r="P35" s="475">
        <v>0</v>
      </c>
      <c r="Q35" s="475">
        <v>0</v>
      </c>
      <c r="R35" s="475">
        <v>0</v>
      </c>
      <c r="S35" s="475">
        <v>0</v>
      </c>
      <c r="T35" s="475">
        <v>0</v>
      </c>
      <c r="U35" s="475">
        <v>0</v>
      </c>
      <c r="V35" s="475">
        <v>0</v>
      </c>
      <c r="W35" s="475">
        <v>0</v>
      </c>
      <c r="X35" s="475">
        <v>0</v>
      </c>
      <c r="Y35" s="475">
        <v>0</v>
      </c>
      <c r="Z35" s="475">
        <v>0</v>
      </c>
      <c r="AA35" s="475">
        <v>0</v>
      </c>
      <c r="AB35" s="475">
        <v>0</v>
      </c>
      <c r="AC35" s="475">
        <v>0</v>
      </c>
      <c r="AD35" s="475">
        <v>0</v>
      </c>
      <c r="AE35" s="475">
        <v>0</v>
      </c>
      <c r="AF35" s="475">
        <v>0</v>
      </c>
      <c r="AG35" s="475">
        <v>0</v>
      </c>
      <c r="AH35" s="475">
        <v>0</v>
      </c>
      <c r="AI35" s="475">
        <v>0</v>
      </c>
      <c r="AJ35" s="475">
        <v>0</v>
      </c>
      <c r="AK35" s="475">
        <v>0</v>
      </c>
      <c r="AL35" s="475">
        <v>0</v>
      </c>
      <c r="AM35" s="475">
        <v>0</v>
      </c>
      <c r="AN35" s="475">
        <v>0</v>
      </c>
      <c r="AO35" s="475">
        <v>0</v>
      </c>
      <c r="AP35" s="475">
        <v>0</v>
      </c>
      <c r="AQ35" s="475">
        <v>0</v>
      </c>
      <c r="AR35" s="475">
        <v>0</v>
      </c>
      <c r="AS35" s="475">
        <v>0</v>
      </c>
      <c r="AT35" s="475">
        <v>0</v>
      </c>
      <c r="AU35" s="475">
        <v>0</v>
      </c>
      <c r="AV35" s="475">
        <v>0</v>
      </c>
      <c r="AW35" s="475">
        <v>0</v>
      </c>
      <c r="AX35" s="475">
        <v>0</v>
      </c>
      <c r="AY35" s="475">
        <v>0</v>
      </c>
      <c r="AZ35" s="475">
        <v>0</v>
      </c>
      <c r="BA35" s="475">
        <v>0</v>
      </c>
      <c r="BB35" s="475">
        <v>0</v>
      </c>
      <c r="BC35" s="475">
        <v>0</v>
      </c>
    </row>
    <row r="36" spans="1:55">
      <c r="A36">
        <f t="shared" ref="A36:A67" ca="1" si="3">(C36&lt;=end_year)*1</f>
        <v>0</v>
      </c>
      <c r="B36">
        <f t="shared" ref="B36:B67" si="4">C36-begin_year+1</f>
        <v>26</v>
      </c>
      <c r="C36">
        <f t="shared" si="2"/>
        <v>2051</v>
      </c>
      <c r="D36" s="475">
        <v>0</v>
      </c>
      <c r="E36" s="475">
        <v>0</v>
      </c>
      <c r="F36" s="475">
        <v>0</v>
      </c>
      <c r="G36" s="475">
        <v>0</v>
      </c>
      <c r="H36" s="475">
        <v>0</v>
      </c>
      <c r="I36" s="475">
        <v>0</v>
      </c>
      <c r="J36" s="475">
        <v>0</v>
      </c>
      <c r="K36" s="475">
        <v>0</v>
      </c>
      <c r="L36" s="475">
        <v>0</v>
      </c>
      <c r="M36" s="475">
        <v>0</v>
      </c>
      <c r="N36" s="475">
        <v>0</v>
      </c>
      <c r="O36" s="475">
        <v>0</v>
      </c>
      <c r="P36" s="475">
        <v>0</v>
      </c>
      <c r="Q36" s="475">
        <v>0</v>
      </c>
      <c r="R36" s="475">
        <v>0</v>
      </c>
      <c r="S36" s="475">
        <v>0</v>
      </c>
      <c r="T36" s="475">
        <v>0</v>
      </c>
      <c r="U36" s="475">
        <v>0</v>
      </c>
      <c r="V36" s="475">
        <v>0</v>
      </c>
      <c r="W36" s="475">
        <v>0</v>
      </c>
      <c r="X36" s="475">
        <v>0</v>
      </c>
      <c r="Y36" s="475">
        <v>0</v>
      </c>
      <c r="Z36" s="475">
        <v>0</v>
      </c>
      <c r="AA36" s="475">
        <v>0</v>
      </c>
      <c r="AB36" s="475">
        <v>0</v>
      </c>
      <c r="AC36" s="475">
        <v>0</v>
      </c>
      <c r="AD36" s="475">
        <v>0</v>
      </c>
      <c r="AE36" s="475">
        <v>0</v>
      </c>
      <c r="AF36" s="475">
        <v>0</v>
      </c>
      <c r="AG36" s="475">
        <v>0</v>
      </c>
      <c r="AH36" s="475">
        <v>0</v>
      </c>
      <c r="AI36" s="475">
        <v>0</v>
      </c>
      <c r="AJ36" s="475">
        <v>0</v>
      </c>
      <c r="AK36" s="475">
        <v>0</v>
      </c>
      <c r="AL36" s="475">
        <v>0</v>
      </c>
      <c r="AM36" s="475">
        <v>0</v>
      </c>
      <c r="AN36" s="475">
        <v>0</v>
      </c>
      <c r="AO36" s="475">
        <v>0</v>
      </c>
      <c r="AP36" s="475">
        <v>0</v>
      </c>
      <c r="AQ36" s="475">
        <v>0</v>
      </c>
      <c r="AR36" s="475">
        <v>0</v>
      </c>
      <c r="AS36" s="475">
        <v>0</v>
      </c>
      <c r="AT36" s="475">
        <v>0</v>
      </c>
      <c r="AU36" s="475">
        <v>0</v>
      </c>
      <c r="AV36" s="475">
        <v>0</v>
      </c>
      <c r="AW36" s="475">
        <v>0</v>
      </c>
      <c r="AX36" s="475">
        <v>0</v>
      </c>
      <c r="AY36" s="475">
        <v>0</v>
      </c>
      <c r="AZ36" s="475">
        <v>0</v>
      </c>
      <c r="BA36" s="475">
        <v>0</v>
      </c>
      <c r="BB36" s="475">
        <v>0</v>
      </c>
      <c r="BC36" s="475">
        <v>0</v>
      </c>
    </row>
    <row r="37" spans="1:55">
      <c r="A37">
        <f t="shared" ca="1" si="3"/>
        <v>0</v>
      </c>
      <c r="B37">
        <f t="shared" si="4"/>
        <v>27</v>
      </c>
      <c r="C37">
        <f t="shared" si="2"/>
        <v>2052</v>
      </c>
      <c r="D37" s="475">
        <v>0</v>
      </c>
      <c r="E37" s="475">
        <v>0</v>
      </c>
      <c r="F37" s="475">
        <v>0</v>
      </c>
      <c r="G37" s="475">
        <v>0</v>
      </c>
      <c r="H37" s="475">
        <v>0</v>
      </c>
      <c r="I37" s="475">
        <v>0</v>
      </c>
      <c r="J37" s="475">
        <v>0</v>
      </c>
      <c r="K37" s="475">
        <v>0</v>
      </c>
      <c r="L37" s="475">
        <v>0</v>
      </c>
      <c r="M37" s="475">
        <v>0</v>
      </c>
      <c r="N37" s="475">
        <v>0</v>
      </c>
      <c r="O37" s="475">
        <v>0</v>
      </c>
      <c r="P37" s="475">
        <v>0</v>
      </c>
      <c r="Q37" s="475">
        <v>0</v>
      </c>
      <c r="R37" s="475">
        <v>0</v>
      </c>
      <c r="S37" s="475">
        <v>0</v>
      </c>
      <c r="T37" s="475">
        <v>0</v>
      </c>
      <c r="U37" s="475">
        <v>0</v>
      </c>
      <c r="V37" s="475">
        <v>0</v>
      </c>
      <c r="W37" s="475">
        <v>0</v>
      </c>
      <c r="X37" s="475">
        <v>0</v>
      </c>
      <c r="Y37" s="475">
        <v>0</v>
      </c>
      <c r="Z37" s="475">
        <v>0</v>
      </c>
      <c r="AA37" s="475">
        <v>0</v>
      </c>
      <c r="AB37" s="475">
        <v>0</v>
      </c>
      <c r="AC37" s="475">
        <v>0</v>
      </c>
      <c r="AD37" s="475">
        <v>0</v>
      </c>
      <c r="AE37" s="475">
        <v>0</v>
      </c>
      <c r="AF37" s="475">
        <v>0</v>
      </c>
      <c r="AG37" s="475">
        <v>0</v>
      </c>
      <c r="AH37" s="475">
        <v>0</v>
      </c>
      <c r="AI37" s="475">
        <v>0</v>
      </c>
      <c r="AJ37" s="475">
        <v>0</v>
      </c>
      <c r="AK37" s="475">
        <v>0</v>
      </c>
      <c r="AL37" s="475">
        <v>0</v>
      </c>
      <c r="AM37" s="475">
        <v>0</v>
      </c>
      <c r="AN37" s="475">
        <v>0</v>
      </c>
      <c r="AO37" s="475">
        <v>0</v>
      </c>
      <c r="AP37" s="475">
        <v>0</v>
      </c>
      <c r="AQ37" s="475">
        <v>0</v>
      </c>
      <c r="AR37" s="475">
        <v>0</v>
      </c>
      <c r="AS37" s="475">
        <v>0</v>
      </c>
      <c r="AT37" s="475">
        <v>0</v>
      </c>
      <c r="AU37" s="475">
        <v>0</v>
      </c>
      <c r="AV37" s="475">
        <v>0</v>
      </c>
      <c r="AW37" s="475">
        <v>0</v>
      </c>
      <c r="AX37" s="475">
        <v>0</v>
      </c>
      <c r="AY37" s="475">
        <v>0</v>
      </c>
      <c r="AZ37" s="475">
        <v>0</v>
      </c>
      <c r="BA37" s="475">
        <v>0</v>
      </c>
      <c r="BB37" s="475">
        <v>0</v>
      </c>
      <c r="BC37" s="475">
        <v>0</v>
      </c>
    </row>
    <row r="38" spans="1:55">
      <c r="A38">
        <f t="shared" ca="1" si="3"/>
        <v>0</v>
      </c>
      <c r="B38">
        <f t="shared" si="4"/>
        <v>28</v>
      </c>
      <c r="C38">
        <f t="shared" si="2"/>
        <v>2053</v>
      </c>
      <c r="D38" s="475">
        <v>0</v>
      </c>
      <c r="E38" s="475">
        <v>0</v>
      </c>
      <c r="F38" s="475">
        <v>0</v>
      </c>
      <c r="G38" s="475">
        <v>0</v>
      </c>
      <c r="H38" s="475">
        <v>0</v>
      </c>
      <c r="I38" s="475">
        <v>0</v>
      </c>
      <c r="J38" s="475">
        <v>0</v>
      </c>
      <c r="K38" s="475">
        <v>0</v>
      </c>
      <c r="L38" s="475">
        <v>0</v>
      </c>
      <c r="M38" s="475">
        <v>0</v>
      </c>
      <c r="N38" s="475">
        <v>0</v>
      </c>
      <c r="O38" s="475">
        <v>0</v>
      </c>
      <c r="P38" s="475">
        <v>0</v>
      </c>
      <c r="Q38" s="475">
        <v>0</v>
      </c>
      <c r="R38" s="475">
        <v>0</v>
      </c>
      <c r="S38" s="475">
        <v>0</v>
      </c>
      <c r="T38" s="475">
        <v>0</v>
      </c>
      <c r="U38" s="475">
        <v>0</v>
      </c>
      <c r="V38" s="475">
        <v>0</v>
      </c>
      <c r="W38" s="475">
        <v>0</v>
      </c>
      <c r="X38" s="475">
        <v>0</v>
      </c>
      <c r="Y38" s="475">
        <v>0</v>
      </c>
      <c r="Z38" s="475">
        <v>0</v>
      </c>
      <c r="AA38" s="475">
        <v>0</v>
      </c>
      <c r="AB38" s="475">
        <v>0</v>
      </c>
      <c r="AC38" s="475">
        <v>0</v>
      </c>
      <c r="AD38" s="475">
        <v>0</v>
      </c>
      <c r="AE38" s="475">
        <v>0</v>
      </c>
      <c r="AF38" s="475">
        <v>0</v>
      </c>
      <c r="AG38" s="475">
        <v>0</v>
      </c>
      <c r="AH38" s="475">
        <v>0</v>
      </c>
      <c r="AI38" s="475">
        <v>0</v>
      </c>
      <c r="AJ38" s="475">
        <v>0</v>
      </c>
      <c r="AK38" s="475">
        <v>0</v>
      </c>
      <c r="AL38" s="475">
        <v>0</v>
      </c>
      <c r="AM38" s="475">
        <v>0</v>
      </c>
      <c r="AN38" s="475">
        <v>0</v>
      </c>
      <c r="AO38" s="475">
        <v>0</v>
      </c>
      <c r="AP38" s="475">
        <v>0</v>
      </c>
      <c r="AQ38" s="475">
        <v>0</v>
      </c>
      <c r="AR38" s="475">
        <v>0</v>
      </c>
      <c r="AS38" s="475">
        <v>0</v>
      </c>
      <c r="AT38" s="475">
        <v>0</v>
      </c>
      <c r="AU38" s="475">
        <v>0</v>
      </c>
      <c r="AV38" s="475">
        <v>0</v>
      </c>
      <c r="AW38" s="475">
        <v>0</v>
      </c>
      <c r="AX38" s="475">
        <v>0</v>
      </c>
      <c r="AY38" s="475">
        <v>0</v>
      </c>
      <c r="AZ38" s="475">
        <v>0</v>
      </c>
      <c r="BA38" s="475">
        <v>0</v>
      </c>
      <c r="BB38" s="475">
        <v>0</v>
      </c>
      <c r="BC38" s="475">
        <v>0</v>
      </c>
    </row>
    <row r="39" spans="1:55">
      <c r="A39">
        <f t="shared" ca="1" si="3"/>
        <v>0</v>
      </c>
      <c r="B39">
        <f t="shared" si="4"/>
        <v>29</v>
      </c>
      <c r="C39">
        <f t="shared" si="2"/>
        <v>2054</v>
      </c>
      <c r="D39" s="475">
        <v>0</v>
      </c>
      <c r="E39" s="475">
        <v>0</v>
      </c>
      <c r="F39" s="475">
        <v>0</v>
      </c>
      <c r="G39" s="475">
        <v>0</v>
      </c>
      <c r="H39" s="475">
        <v>0</v>
      </c>
      <c r="I39" s="475">
        <v>0</v>
      </c>
      <c r="J39" s="475">
        <v>0</v>
      </c>
      <c r="K39" s="475">
        <v>0</v>
      </c>
      <c r="L39" s="475">
        <v>0</v>
      </c>
      <c r="M39" s="475">
        <v>0</v>
      </c>
      <c r="N39" s="475">
        <v>0</v>
      </c>
      <c r="O39" s="475">
        <v>0</v>
      </c>
      <c r="P39" s="475">
        <v>0</v>
      </c>
      <c r="Q39" s="475">
        <v>0</v>
      </c>
      <c r="R39" s="475">
        <v>0</v>
      </c>
      <c r="S39" s="475">
        <v>0</v>
      </c>
      <c r="T39" s="475">
        <v>0</v>
      </c>
      <c r="U39" s="475">
        <v>0</v>
      </c>
      <c r="V39" s="475">
        <v>0</v>
      </c>
      <c r="W39" s="475">
        <v>0</v>
      </c>
      <c r="X39" s="475">
        <v>0</v>
      </c>
      <c r="Y39" s="475">
        <v>0</v>
      </c>
      <c r="Z39" s="475">
        <v>0</v>
      </c>
      <c r="AA39" s="475">
        <v>0</v>
      </c>
      <c r="AB39" s="475">
        <v>0</v>
      </c>
      <c r="AC39" s="475">
        <v>0</v>
      </c>
      <c r="AD39" s="475">
        <v>0</v>
      </c>
      <c r="AE39" s="475">
        <v>0</v>
      </c>
      <c r="AF39" s="475">
        <v>0</v>
      </c>
      <c r="AG39" s="475">
        <v>0</v>
      </c>
      <c r="AH39" s="475">
        <v>0</v>
      </c>
      <c r="AI39" s="475">
        <v>0</v>
      </c>
      <c r="AJ39" s="475">
        <v>0</v>
      </c>
      <c r="AK39" s="475">
        <v>0</v>
      </c>
      <c r="AL39" s="475">
        <v>0</v>
      </c>
      <c r="AM39" s="475">
        <v>0</v>
      </c>
      <c r="AN39" s="475">
        <v>0</v>
      </c>
      <c r="AO39" s="475">
        <v>0</v>
      </c>
      <c r="AP39" s="475">
        <v>0</v>
      </c>
      <c r="AQ39" s="475">
        <v>0</v>
      </c>
      <c r="AR39" s="475">
        <v>0</v>
      </c>
      <c r="AS39" s="475">
        <v>0</v>
      </c>
      <c r="AT39" s="475">
        <v>0</v>
      </c>
      <c r="AU39" s="475">
        <v>0</v>
      </c>
      <c r="AV39" s="475">
        <v>0</v>
      </c>
      <c r="AW39" s="475">
        <v>0</v>
      </c>
      <c r="AX39" s="475">
        <v>0</v>
      </c>
      <c r="AY39" s="475">
        <v>0</v>
      </c>
      <c r="AZ39" s="475">
        <v>0</v>
      </c>
      <c r="BA39" s="475">
        <v>0</v>
      </c>
      <c r="BB39" s="475">
        <v>0</v>
      </c>
      <c r="BC39" s="475">
        <v>0</v>
      </c>
    </row>
    <row r="40" spans="1:55">
      <c r="A40">
        <f t="shared" ca="1" si="3"/>
        <v>0</v>
      </c>
      <c r="B40">
        <f t="shared" si="4"/>
        <v>30</v>
      </c>
      <c r="C40">
        <f t="shared" si="2"/>
        <v>2055</v>
      </c>
      <c r="D40" s="475">
        <v>0</v>
      </c>
      <c r="E40" s="475">
        <v>0</v>
      </c>
      <c r="F40" s="475">
        <v>0</v>
      </c>
      <c r="G40" s="475">
        <v>0</v>
      </c>
      <c r="H40" s="475">
        <v>0</v>
      </c>
      <c r="I40" s="475">
        <v>0</v>
      </c>
      <c r="J40" s="475">
        <v>0</v>
      </c>
      <c r="K40" s="475">
        <v>0</v>
      </c>
      <c r="L40" s="475">
        <v>0</v>
      </c>
      <c r="M40" s="475">
        <v>0</v>
      </c>
      <c r="N40" s="475">
        <v>0</v>
      </c>
      <c r="O40" s="475">
        <v>0</v>
      </c>
      <c r="P40" s="475">
        <v>0</v>
      </c>
      <c r="Q40" s="475">
        <v>0</v>
      </c>
      <c r="R40" s="475">
        <v>0</v>
      </c>
      <c r="S40" s="475">
        <v>0</v>
      </c>
      <c r="T40" s="475">
        <v>0</v>
      </c>
      <c r="U40" s="475">
        <v>0</v>
      </c>
      <c r="V40" s="475">
        <v>0</v>
      </c>
      <c r="W40" s="475">
        <v>0</v>
      </c>
      <c r="X40" s="475">
        <v>0</v>
      </c>
      <c r="Y40" s="475">
        <v>0</v>
      </c>
      <c r="Z40" s="475">
        <v>0</v>
      </c>
      <c r="AA40" s="475">
        <v>0</v>
      </c>
      <c r="AB40" s="475">
        <v>0</v>
      </c>
      <c r="AC40" s="475">
        <v>0</v>
      </c>
      <c r="AD40" s="475">
        <v>0</v>
      </c>
      <c r="AE40" s="475">
        <v>0</v>
      </c>
      <c r="AF40" s="475">
        <v>0</v>
      </c>
      <c r="AG40" s="475">
        <v>0</v>
      </c>
      <c r="AH40" s="475">
        <v>0</v>
      </c>
      <c r="AI40" s="475">
        <v>0</v>
      </c>
      <c r="AJ40" s="475">
        <v>0</v>
      </c>
      <c r="AK40" s="475">
        <v>0</v>
      </c>
      <c r="AL40" s="475">
        <v>0</v>
      </c>
      <c r="AM40" s="475">
        <v>0</v>
      </c>
      <c r="AN40" s="475">
        <v>0</v>
      </c>
      <c r="AO40" s="475">
        <v>0</v>
      </c>
      <c r="AP40" s="475">
        <v>0</v>
      </c>
      <c r="AQ40" s="475">
        <v>0</v>
      </c>
      <c r="AR40" s="475">
        <v>0</v>
      </c>
      <c r="AS40" s="475">
        <v>0</v>
      </c>
      <c r="AT40" s="475">
        <v>0</v>
      </c>
      <c r="AU40" s="475">
        <v>0</v>
      </c>
      <c r="AV40" s="475">
        <v>0</v>
      </c>
      <c r="AW40" s="475">
        <v>0</v>
      </c>
      <c r="AX40" s="475">
        <v>0</v>
      </c>
      <c r="AY40" s="475">
        <v>0</v>
      </c>
      <c r="AZ40" s="475">
        <v>0</v>
      </c>
      <c r="BA40" s="475">
        <v>0</v>
      </c>
      <c r="BB40" s="475">
        <v>0</v>
      </c>
      <c r="BC40" s="475">
        <v>0</v>
      </c>
    </row>
    <row r="41" spans="1:55">
      <c r="A41">
        <f t="shared" ca="1" si="3"/>
        <v>0</v>
      </c>
      <c r="B41">
        <f t="shared" si="4"/>
        <v>31</v>
      </c>
      <c r="C41">
        <f t="shared" si="2"/>
        <v>2056</v>
      </c>
      <c r="D41" s="475">
        <v>0</v>
      </c>
      <c r="E41" s="475">
        <v>0</v>
      </c>
      <c r="F41" s="475">
        <v>0</v>
      </c>
      <c r="G41" s="475">
        <v>0</v>
      </c>
      <c r="H41" s="475">
        <v>0</v>
      </c>
      <c r="I41" s="475">
        <v>0</v>
      </c>
      <c r="J41" s="475">
        <v>0</v>
      </c>
      <c r="K41" s="475">
        <v>0</v>
      </c>
      <c r="L41" s="475">
        <v>0</v>
      </c>
      <c r="M41" s="475">
        <v>0</v>
      </c>
      <c r="N41" s="475">
        <v>0</v>
      </c>
      <c r="O41" s="475">
        <v>0</v>
      </c>
      <c r="P41" s="475">
        <v>0</v>
      </c>
      <c r="Q41" s="475">
        <v>0</v>
      </c>
      <c r="R41" s="475">
        <v>0</v>
      </c>
      <c r="S41" s="475">
        <v>0</v>
      </c>
      <c r="T41" s="475">
        <v>0</v>
      </c>
      <c r="U41" s="475">
        <v>0</v>
      </c>
      <c r="V41" s="475">
        <v>0</v>
      </c>
      <c r="W41" s="475">
        <v>0</v>
      </c>
      <c r="X41" s="475">
        <v>0</v>
      </c>
      <c r="Y41" s="475">
        <v>0</v>
      </c>
      <c r="Z41" s="475">
        <v>0</v>
      </c>
      <c r="AA41" s="475">
        <v>0</v>
      </c>
      <c r="AB41" s="475">
        <v>0</v>
      </c>
      <c r="AC41" s="475">
        <v>0</v>
      </c>
      <c r="AD41" s="475">
        <v>0</v>
      </c>
      <c r="AE41" s="475">
        <v>0</v>
      </c>
      <c r="AF41" s="475">
        <v>0</v>
      </c>
      <c r="AG41" s="475">
        <v>0</v>
      </c>
      <c r="AH41" s="475">
        <v>0</v>
      </c>
      <c r="AI41" s="475">
        <v>0</v>
      </c>
      <c r="AJ41" s="475">
        <v>0</v>
      </c>
      <c r="AK41" s="475">
        <v>0</v>
      </c>
      <c r="AL41" s="475">
        <v>0</v>
      </c>
      <c r="AM41" s="475">
        <v>0</v>
      </c>
      <c r="AN41" s="475">
        <v>0</v>
      </c>
      <c r="AO41" s="475">
        <v>0</v>
      </c>
      <c r="AP41" s="475">
        <v>0</v>
      </c>
      <c r="AQ41" s="475">
        <v>0</v>
      </c>
      <c r="AR41" s="475">
        <v>0</v>
      </c>
      <c r="AS41" s="475">
        <v>0</v>
      </c>
      <c r="AT41" s="475">
        <v>0</v>
      </c>
      <c r="AU41" s="475">
        <v>0</v>
      </c>
      <c r="AV41" s="475">
        <v>0</v>
      </c>
      <c r="AW41" s="475">
        <v>0</v>
      </c>
      <c r="AX41" s="475">
        <v>0</v>
      </c>
      <c r="AY41" s="475">
        <v>0</v>
      </c>
      <c r="AZ41" s="475">
        <v>0</v>
      </c>
      <c r="BA41" s="475">
        <v>0</v>
      </c>
      <c r="BB41" s="475">
        <v>0</v>
      </c>
      <c r="BC41" s="475">
        <v>0</v>
      </c>
    </row>
    <row r="42" spans="1:55">
      <c r="A42">
        <f t="shared" ca="1" si="3"/>
        <v>0</v>
      </c>
      <c r="B42">
        <f t="shared" si="4"/>
        <v>32</v>
      </c>
      <c r="C42">
        <f t="shared" si="2"/>
        <v>2057</v>
      </c>
      <c r="D42" s="475">
        <v>0</v>
      </c>
      <c r="E42" s="475">
        <v>0</v>
      </c>
      <c r="F42" s="475">
        <v>0</v>
      </c>
      <c r="G42" s="475">
        <v>0</v>
      </c>
      <c r="H42" s="475">
        <v>0</v>
      </c>
      <c r="I42" s="475">
        <v>0</v>
      </c>
      <c r="J42" s="475">
        <v>0</v>
      </c>
      <c r="K42" s="475">
        <v>0</v>
      </c>
      <c r="L42" s="475">
        <v>0</v>
      </c>
      <c r="M42" s="475">
        <v>0</v>
      </c>
      <c r="N42" s="475">
        <v>0</v>
      </c>
      <c r="O42" s="475">
        <v>0</v>
      </c>
      <c r="P42" s="475">
        <v>0</v>
      </c>
      <c r="Q42" s="475">
        <v>0</v>
      </c>
      <c r="R42" s="475">
        <v>0</v>
      </c>
      <c r="S42" s="475">
        <v>0</v>
      </c>
      <c r="T42" s="475">
        <v>0</v>
      </c>
      <c r="U42" s="475">
        <v>0</v>
      </c>
      <c r="V42" s="475">
        <v>0</v>
      </c>
      <c r="W42" s="475">
        <v>0</v>
      </c>
      <c r="X42" s="475">
        <v>0</v>
      </c>
      <c r="Y42" s="475">
        <v>0</v>
      </c>
      <c r="Z42" s="475">
        <v>0</v>
      </c>
      <c r="AA42" s="475">
        <v>0</v>
      </c>
      <c r="AB42" s="475">
        <v>0</v>
      </c>
      <c r="AC42" s="475">
        <v>0</v>
      </c>
      <c r="AD42" s="475">
        <v>0</v>
      </c>
      <c r="AE42" s="475">
        <v>0</v>
      </c>
      <c r="AF42" s="475">
        <v>0</v>
      </c>
      <c r="AG42" s="475">
        <v>0</v>
      </c>
      <c r="AH42" s="475">
        <v>0</v>
      </c>
      <c r="AI42" s="475">
        <v>0</v>
      </c>
      <c r="AJ42" s="475">
        <v>0</v>
      </c>
      <c r="AK42" s="475">
        <v>0</v>
      </c>
      <c r="AL42" s="475">
        <v>0</v>
      </c>
      <c r="AM42" s="475">
        <v>0</v>
      </c>
      <c r="AN42" s="475">
        <v>0</v>
      </c>
      <c r="AO42" s="475">
        <v>0</v>
      </c>
      <c r="AP42" s="475">
        <v>0</v>
      </c>
      <c r="AQ42" s="475">
        <v>0</v>
      </c>
      <c r="AR42" s="475">
        <v>0</v>
      </c>
      <c r="AS42" s="475">
        <v>0</v>
      </c>
      <c r="AT42" s="475">
        <v>0</v>
      </c>
      <c r="AU42" s="475">
        <v>0</v>
      </c>
      <c r="AV42" s="475">
        <v>0</v>
      </c>
      <c r="AW42" s="475">
        <v>0</v>
      </c>
      <c r="AX42" s="475">
        <v>0</v>
      </c>
      <c r="AY42" s="475">
        <v>0</v>
      </c>
      <c r="AZ42" s="475">
        <v>0</v>
      </c>
      <c r="BA42" s="475">
        <v>0</v>
      </c>
      <c r="BB42" s="475">
        <v>0</v>
      </c>
      <c r="BC42" s="475">
        <v>0</v>
      </c>
    </row>
    <row r="43" spans="1:55">
      <c r="A43">
        <f t="shared" ca="1" si="3"/>
        <v>0</v>
      </c>
      <c r="B43">
        <f t="shared" si="4"/>
        <v>33</v>
      </c>
      <c r="C43">
        <f t="shared" si="2"/>
        <v>2058</v>
      </c>
      <c r="D43" s="475">
        <v>0</v>
      </c>
      <c r="E43" s="475">
        <v>0</v>
      </c>
      <c r="F43" s="475">
        <v>0</v>
      </c>
      <c r="G43" s="475">
        <v>0</v>
      </c>
      <c r="H43" s="475">
        <v>0</v>
      </c>
      <c r="I43" s="475">
        <v>0</v>
      </c>
      <c r="J43" s="475">
        <v>0</v>
      </c>
      <c r="K43" s="475">
        <v>0</v>
      </c>
      <c r="L43" s="475">
        <v>0</v>
      </c>
      <c r="M43" s="475">
        <v>0</v>
      </c>
      <c r="N43" s="475">
        <v>0</v>
      </c>
      <c r="O43" s="475">
        <v>0</v>
      </c>
      <c r="P43" s="475">
        <v>0</v>
      </c>
      <c r="Q43" s="475">
        <v>0</v>
      </c>
      <c r="R43" s="475">
        <v>0</v>
      </c>
      <c r="S43" s="475">
        <v>0</v>
      </c>
      <c r="T43" s="475">
        <v>0</v>
      </c>
      <c r="U43" s="475">
        <v>0</v>
      </c>
      <c r="V43" s="475">
        <v>0</v>
      </c>
      <c r="W43" s="475">
        <v>0</v>
      </c>
      <c r="X43" s="475">
        <v>0</v>
      </c>
      <c r="Y43" s="475">
        <v>0</v>
      </c>
      <c r="Z43" s="475">
        <v>0</v>
      </c>
      <c r="AA43" s="475">
        <v>0</v>
      </c>
      <c r="AB43" s="475">
        <v>0</v>
      </c>
      <c r="AC43" s="475">
        <v>0</v>
      </c>
      <c r="AD43" s="475">
        <v>0</v>
      </c>
      <c r="AE43" s="475">
        <v>0</v>
      </c>
      <c r="AF43" s="475">
        <v>0</v>
      </c>
      <c r="AG43" s="475">
        <v>0</v>
      </c>
      <c r="AH43" s="475">
        <v>0</v>
      </c>
      <c r="AI43" s="475">
        <v>0</v>
      </c>
      <c r="AJ43" s="475">
        <v>0</v>
      </c>
      <c r="AK43" s="475">
        <v>0</v>
      </c>
      <c r="AL43" s="475">
        <v>0</v>
      </c>
      <c r="AM43" s="475">
        <v>0</v>
      </c>
      <c r="AN43" s="475">
        <v>0</v>
      </c>
      <c r="AO43" s="475">
        <v>0</v>
      </c>
      <c r="AP43" s="475">
        <v>0</v>
      </c>
      <c r="AQ43" s="475">
        <v>0</v>
      </c>
      <c r="AR43" s="475">
        <v>0</v>
      </c>
      <c r="AS43" s="475">
        <v>0</v>
      </c>
      <c r="AT43" s="475">
        <v>0</v>
      </c>
      <c r="AU43" s="475">
        <v>0</v>
      </c>
      <c r="AV43" s="475">
        <v>0</v>
      </c>
      <c r="AW43" s="475">
        <v>0</v>
      </c>
      <c r="AX43" s="475">
        <v>0</v>
      </c>
      <c r="AY43" s="475">
        <v>0</v>
      </c>
      <c r="AZ43" s="475">
        <v>0</v>
      </c>
      <c r="BA43" s="475">
        <v>0</v>
      </c>
      <c r="BB43" s="475">
        <v>0</v>
      </c>
      <c r="BC43" s="475">
        <v>0</v>
      </c>
    </row>
    <row r="44" spans="1:55">
      <c r="A44">
        <f t="shared" ca="1" si="3"/>
        <v>0</v>
      </c>
      <c r="B44">
        <f t="shared" si="4"/>
        <v>34</v>
      </c>
      <c r="C44">
        <f t="shared" si="2"/>
        <v>2059</v>
      </c>
      <c r="D44" s="475">
        <v>0</v>
      </c>
      <c r="E44" s="475">
        <v>0</v>
      </c>
      <c r="F44" s="475">
        <v>0</v>
      </c>
      <c r="G44" s="475">
        <v>0</v>
      </c>
      <c r="H44" s="475">
        <v>0</v>
      </c>
      <c r="I44" s="475">
        <v>0</v>
      </c>
      <c r="J44" s="475">
        <v>0</v>
      </c>
      <c r="K44" s="475">
        <v>0</v>
      </c>
      <c r="L44" s="475">
        <v>0</v>
      </c>
      <c r="M44" s="475">
        <v>0</v>
      </c>
      <c r="N44" s="475">
        <v>0</v>
      </c>
      <c r="O44" s="475">
        <v>0</v>
      </c>
      <c r="P44" s="475">
        <v>0</v>
      </c>
      <c r="Q44" s="475">
        <v>0</v>
      </c>
      <c r="R44" s="475">
        <v>0</v>
      </c>
      <c r="S44" s="475">
        <v>0</v>
      </c>
      <c r="T44" s="475">
        <v>0</v>
      </c>
      <c r="U44" s="475">
        <v>0</v>
      </c>
      <c r="V44" s="475">
        <v>0</v>
      </c>
      <c r="W44" s="475">
        <v>0</v>
      </c>
      <c r="X44" s="475">
        <v>0</v>
      </c>
      <c r="Y44" s="475">
        <v>0</v>
      </c>
      <c r="Z44" s="475">
        <v>0</v>
      </c>
      <c r="AA44" s="475">
        <v>0</v>
      </c>
      <c r="AB44" s="475">
        <v>0</v>
      </c>
      <c r="AC44" s="475">
        <v>0</v>
      </c>
      <c r="AD44" s="475">
        <v>0</v>
      </c>
      <c r="AE44" s="475">
        <v>0</v>
      </c>
      <c r="AF44" s="475">
        <v>0</v>
      </c>
      <c r="AG44" s="475">
        <v>0</v>
      </c>
      <c r="AH44" s="475">
        <v>0</v>
      </c>
      <c r="AI44" s="475">
        <v>0</v>
      </c>
      <c r="AJ44" s="475">
        <v>0</v>
      </c>
      <c r="AK44" s="475">
        <v>0</v>
      </c>
      <c r="AL44" s="475">
        <v>0</v>
      </c>
      <c r="AM44" s="475">
        <v>0</v>
      </c>
      <c r="AN44" s="475">
        <v>0</v>
      </c>
      <c r="AO44" s="475">
        <v>0</v>
      </c>
      <c r="AP44" s="475">
        <v>0</v>
      </c>
      <c r="AQ44" s="475">
        <v>0</v>
      </c>
      <c r="AR44" s="475">
        <v>0</v>
      </c>
      <c r="AS44" s="475">
        <v>0</v>
      </c>
      <c r="AT44" s="475">
        <v>0</v>
      </c>
      <c r="AU44" s="475">
        <v>0</v>
      </c>
      <c r="AV44" s="475">
        <v>0</v>
      </c>
      <c r="AW44" s="475">
        <v>0</v>
      </c>
      <c r="AX44" s="475">
        <v>0</v>
      </c>
      <c r="AY44" s="475">
        <v>0</v>
      </c>
      <c r="AZ44" s="475">
        <v>0</v>
      </c>
      <c r="BA44" s="475">
        <v>0</v>
      </c>
      <c r="BB44" s="475">
        <v>0</v>
      </c>
      <c r="BC44" s="475">
        <v>0</v>
      </c>
    </row>
    <row r="45" spans="1:55">
      <c r="A45">
        <f t="shared" ca="1" si="3"/>
        <v>0</v>
      </c>
      <c r="B45">
        <f t="shared" si="4"/>
        <v>35</v>
      </c>
      <c r="C45">
        <f t="shared" si="2"/>
        <v>2060</v>
      </c>
      <c r="D45" s="475">
        <v>0</v>
      </c>
      <c r="E45" s="475">
        <v>0</v>
      </c>
      <c r="F45" s="475">
        <v>0</v>
      </c>
      <c r="G45" s="475">
        <v>0</v>
      </c>
      <c r="H45" s="475">
        <v>0</v>
      </c>
      <c r="I45" s="475">
        <v>0</v>
      </c>
      <c r="J45" s="475">
        <v>0</v>
      </c>
      <c r="K45" s="475">
        <v>0</v>
      </c>
      <c r="L45" s="475">
        <v>0</v>
      </c>
      <c r="M45" s="475">
        <v>0</v>
      </c>
      <c r="N45" s="475">
        <v>0</v>
      </c>
      <c r="O45" s="475">
        <v>0</v>
      </c>
      <c r="P45" s="475">
        <v>0</v>
      </c>
      <c r="Q45" s="475">
        <v>0</v>
      </c>
      <c r="R45" s="475">
        <v>0</v>
      </c>
      <c r="S45" s="475">
        <v>0</v>
      </c>
      <c r="T45" s="475">
        <v>0</v>
      </c>
      <c r="U45" s="475">
        <v>0</v>
      </c>
      <c r="V45" s="475">
        <v>0</v>
      </c>
      <c r="W45" s="475">
        <v>0</v>
      </c>
      <c r="X45" s="475">
        <v>0</v>
      </c>
      <c r="Y45" s="475">
        <v>0</v>
      </c>
      <c r="Z45" s="475">
        <v>0</v>
      </c>
      <c r="AA45" s="475">
        <v>0</v>
      </c>
      <c r="AB45" s="475">
        <v>0</v>
      </c>
      <c r="AC45" s="475">
        <v>0</v>
      </c>
      <c r="AD45" s="475">
        <v>0</v>
      </c>
      <c r="AE45" s="475">
        <v>0</v>
      </c>
      <c r="AF45" s="475">
        <v>0</v>
      </c>
      <c r="AG45" s="475">
        <v>0</v>
      </c>
      <c r="AH45" s="475">
        <v>0</v>
      </c>
      <c r="AI45" s="475">
        <v>0</v>
      </c>
      <c r="AJ45" s="475">
        <v>0</v>
      </c>
      <c r="AK45" s="475">
        <v>0</v>
      </c>
      <c r="AL45" s="475">
        <v>0</v>
      </c>
      <c r="AM45" s="475">
        <v>0</v>
      </c>
      <c r="AN45" s="475">
        <v>0</v>
      </c>
      <c r="AO45" s="475">
        <v>0</v>
      </c>
      <c r="AP45" s="475">
        <v>0</v>
      </c>
      <c r="AQ45" s="475">
        <v>0</v>
      </c>
      <c r="AR45" s="475">
        <v>0</v>
      </c>
      <c r="AS45" s="475">
        <v>0</v>
      </c>
      <c r="AT45" s="475">
        <v>0</v>
      </c>
      <c r="AU45" s="475">
        <v>0</v>
      </c>
      <c r="AV45" s="475">
        <v>0</v>
      </c>
      <c r="AW45" s="475">
        <v>0</v>
      </c>
      <c r="AX45" s="475">
        <v>0</v>
      </c>
      <c r="AY45" s="475">
        <v>0</v>
      </c>
      <c r="AZ45" s="475">
        <v>0</v>
      </c>
      <c r="BA45" s="475">
        <v>0</v>
      </c>
      <c r="BB45" s="475">
        <v>0</v>
      </c>
      <c r="BC45" s="475">
        <v>0</v>
      </c>
    </row>
    <row r="46" spans="1:55">
      <c r="A46">
        <f t="shared" ca="1" si="3"/>
        <v>0</v>
      </c>
      <c r="B46">
        <f t="shared" si="4"/>
        <v>36</v>
      </c>
      <c r="C46">
        <f t="shared" si="2"/>
        <v>2061</v>
      </c>
      <c r="D46" s="475">
        <v>0</v>
      </c>
      <c r="E46" s="475">
        <v>0</v>
      </c>
      <c r="F46" s="475">
        <v>0</v>
      </c>
      <c r="G46" s="475">
        <v>0</v>
      </c>
      <c r="H46" s="475">
        <v>0</v>
      </c>
      <c r="I46" s="475">
        <v>0</v>
      </c>
      <c r="J46" s="475">
        <v>0</v>
      </c>
      <c r="K46" s="475">
        <v>0</v>
      </c>
      <c r="L46" s="475">
        <v>0</v>
      </c>
      <c r="M46" s="475">
        <v>0</v>
      </c>
      <c r="N46" s="475">
        <v>0</v>
      </c>
      <c r="O46" s="475">
        <v>0</v>
      </c>
      <c r="P46" s="475">
        <v>0</v>
      </c>
      <c r="Q46" s="475">
        <v>0</v>
      </c>
      <c r="R46" s="475">
        <v>0</v>
      </c>
      <c r="S46" s="475">
        <v>0</v>
      </c>
      <c r="T46" s="475">
        <v>0</v>
      </c>
      <c r="U46" s="475">
        <v>0</v>
      </c>
      <c r="V46" s="475">
        <v>0</v>
      </c>
      <c r="W46" s="475">
        <v>0</v>
      </c>
      <c r="X46" s="475">
        <v>0</v>
      </c>
      <c r="Y46" s="475">
        <v>0</v>
      </c>
      <c r="Z46" s="475">
        <v>0</v>
      </c>
      <c r="AA46" s="475">
        <v>0</v>
      </c>
      <c r="AB46" s="475">
        <v>0</v>
      </c>
      <c r="AC46" s="475">
        <v>0</v>
      </c>
      <c r="AD46" s="475">
        <v>0</v>
      </c>
      <c r="AE46" s="475">
        <v>0</v>
      </c>
      <c r="AF46" s="475">
        <v>0</v>
      </c>
      <c r="AG46" s="475">
        <v>0</v>
      </c>
      <c r="AH46" s="475">
        <v>0</v>
      </c>
      <c r="AI46" s="475">
        <v>0</v>
      </c>
      <c r="AJ46" s="475">
        <v>0</v>
      </c>
      <c r="AK46" s="475">
        <v>0</v>
      </c>
      <c r="AL46" s="475">
        <v>0</v>
      </c>
      <c r="AM46" s="475">
        <v>0</v>
      </c>
      <c r="AN46" s="475">
        <v>0</v>
      </c>
      <c r="AO46" s="475">
        <v>0</v>
      </c>
      <c r="AP46" s="475">
        <v>0</v>
      </c>
      <c r="AQ46" s="475">
        <v>0</v>
      </c>
      <c r="AR46" s="475">
        <v>0</v>
      </c>
      <c r="AS46" s="475">
        <v>0</v>
      </c>
      <c r="AT46" s="475">
        <v>0</v>
      </c>
      <c r="AU46" s="475">
        <v>0</v>
      </c>
      <c r="AV46" s="475">
        <v>0</v>
      </c>
      <c r="AW46" s="475">
        <v>0</v>
      </c>
      <c r="AX46" s="475">
        <v>0</v>
      </c>
      <c r="AY46" s="475">
        <v>0</v>
      </c>
      <c r="AZ46" s="475">
        <v>0</v>
      </c>
      <c r="BA46" s="475">
        <v>0</v>
      </c>
      <c r="BB46" s="475">
        <v>0</v>
      </c>
      <c r="BC46" s="475">
        <v>0</v>
      </c>
    </row>
    <row r="47" spans="1:55">
      <c r="A47">
        <f t="shared" ca="1" si="3"/>
        <v>0</v>
      </c>
      <c r="B47">
        <f t="shared" si="4"/>
        <v>37</v>
      </c>
      <c r="C47">
        <f t="shared" si="2"/>
        <v>2062</v>
      </c>
      <c r="D47" s="475">
        <v>0</v>
      </c>
      <c r="E47" s="475">
        <v>0</v>
      </c>
      <c r="F47" s="475">
        <v>0</v>
      </c>
      <c r="G47" s="475">
        <v>0</v>
      </c>
      <c r="H47" s="475">
        <v>0</v>
      </c>
      <c r="I47" s="475">
        <v>0</v>
      </c>
      <c r="J47" s="475">
        <v>0</v>
      </c>
      <c r="K47" s="475">
        <v>0</v>
      </c>
      <c r="L47" s="475">
        <v>0</v>
      </c>
      <c r="M47" s="475">
        <v>0</v>
      </c>
      <c r="N47" s="475">
        <v>0</v>
      </c>
      <c r="O47" s="475">
        <v>0</v>
      </c>
      <c r="P47" s="475">
        <v>0</v>
      </c>
      <c r="Q47" s="475">
        <v>0</v>
      </c>
      <c r="R47" s="475">
        <v>0</v>
      </c>
      <c r="S47" s="475">
        <v>0</v>
      </c>
      <c r="T47" s="475">
        <v>0</v>
      </c>
      <c r="U47" s="475">
        <v>0</v>
      </c>
      <c r="V47" s="475">
        <v>0</v>
      </c>
      <c r="W47" s="475">
        <v>0</v>
      </c>
      <c r="X47" s="475">
        <v>0</v>
      </c>
      <c r="Y47" s="475">
        <v>0</v>
      </c>
      <c r="Z47" s="475">
        <v>0</v>
      </c>
      <c r="AA47" s="475">
        <v>0</v>
      </c>
      <c r="AB47" s="475">
        <v>0</v>
      </c>
      <c r="AC47" s="475">
        <v>0</v>
      </c>
      <c r="AD47" s="475">
        <v>0</v>
      </c>
      <c r="AE47" s="475">
        <v>0</v>
      </c>
      <c r="AF47" s="475">
        <v>0</v>
      </c>
      <c r="AG47" s="475">
        <v>0</v>
      </c>
      <c r="AH47" s="475">
        <v>0</v>
      </c>
      <c r="AI47" s="475">
        <v>0</v>
      </c>
      <c r="AJ47" s="475">
        <v>0</v>
      </c>
      <c r="AK47" s="475">
        <v>0</v>
      </c>
      <c r="AL47" s="475">
        <v>0</v>
      </c>
      <c r="AM47" s="475">
        <v>0</v>
      </c>
      <c r="AN47" s="475">
        <v>0</v>
      </c>
      <c r="AO47" s="475">
        <v>0</v>
      </c>
      <c r="AP47" s="475">
        <v>0</v>
      </c>
      <c r="AQ47" s="475">
        <v>0</v>
      </c>
      <c r="AR47" s="475">
        <v>0</v>
      </c>
      <c r="AS47" s="475">
        <v>0</v>
      </c>
      <c r="AT47" s="475">
        <v>0</v>
      </c>
      <c r="AU47" s="475">
        <v>0</v>
      </c>
      <c r="AV47" s="475">
        <v>0</v>
      </c>
      <c r="AW47" s="475">
        <v>0</v>
      </c>
      <c r="AX47" s="475">
        <v>0</v>
      </c>
      <c r="AY47" s="475">
        <v>0</v>
      </c>
      <c r="AZ47" s="475">
        <v>0</v>
      </c>
      <c r="BA47" s="475">
        <v>0</v>
      </c>
      <c r="BB47" s="475">
        <v>0</v>
      </c>
      <c r="BC47" s="475">
        <v>0</v>
      </c>
    </row>
    <row r="48" spans="1:55">
      <c r="A48">
        <f t="shared" ca="1" si="3"/>
        <v>0</v>
      </c>
      <c r="B48">
        <f t="shared" si="4"/>
        <v>38</v>
      </c>
      <c r="C48">
        <f t="shared" si="2"/>
        <v>2063</v>
      </c>
      <c r="D48" s="475">
        <v>0</v>
      </c>
      <c r="E48" s="475">
        <v>0</v>
      </c>
      <c r="F48" s="475">
        <v>0</v>
      </c>
      <c r="G48" s="475">
        <v>0</v>
      </c>
      <c r="H48" s="475">
        <v>0</v>
      </c>
      <c r="I48" s="475">
        <v>0</v>
      </c>
      <c r="J48" s="475">
        <v>0</v>
      </c>
      <c r="K48" s="475">
        <v>0</v>
      </c>
      <c r="L48" s="475">
        <v>0</v>
      </c>
      <c r="M48" s="475">
        <v>0</v>
      </c>
      <c r="N48" s="475">
        <v>0</v>
      </c>
      <c r="O48" s="475">
        <v>0</v>
      </c>
      <c r="P48" s="475">
        <v>0</v>
      </c>
      <c r="Q48" s="475">
        <v>0</v>
      </c>
      <c r="R48" s="475">
        <v>0</v>
      </c>
      <c r="S48" s="475">
        <v>0</v>
      </c>
      <c r="T48" s="475">
        <v>0</v>
      </c>
      <c r="U48" s="475">
        <v>0</v>
      </c>
      <c r="V48" s="475">
        <v>0</v>
      </c>
      <c r="W48" s="475">
        <v>0</v>
      </c>
      <c r="X48" s="475">
        <v>0</v>
      </c>
      <c r="Y48" s="475">
        <v>0</v>
      </c>
      <c r="Z48" s="475">
        <v>0</v>
      </c>
      <c r="AA48" s="475">
        <v>0</v>
      </c>
      <c r="AB48" s="475">
        <v>0</v>
      </c>
      <c r="AC48" s="475">
        <v>0</v>
      </c>
      <c r="AD48" s="475">
        <v>0</v>
      </c>
      <c r="AE48" s="475">
        <v>0</v>
      </c>
      <c r="AF48" s="475">
        <v>0</v>
      </c>
      <c r="AG48" s="475">
        <v>0</v>
      </c>
      <c r="AH48" s="475">
        <v>0</v>
      </c>
      <c r="AI48" s="475">
        <v>0</v>
      </c>
      <c r="AJ48" s="475">
        <v>0</v>
      </c>
      <c r="AK48" s="475">
        <v>0</v>
      </c>
      <c r="AL48" s="475">
        <v>0</v>
      </c>
      <c r="AM48" s="475">
        <v>0</v>
      </c>
      <c r="AN48" s="475">
        <v>0</v>
      </c>
      <c r="AO48" s="475">
        <v>0</v>
      </c>
      <c r="AP48" s="475">
        <v>0</v>
      </c>
      <c r="AQ48" s="475">
        <v>0</v>
      </c>
      <c r="AR48" s="475">
        <v>0</v>
      </c>
      <c r="AS48" s="475">
        <v>0</v>
      </c>
      <c r="AT48" s="475">
        <v>0</v>
      </c>
      <c r="AU48" s="475">
        <v>0</v>
      </c>
      <c r="AV48" s="475">
        <v>0</v>
      </c>
      <c r="AW48" s="475">
        <v>0</v>
      </c>
      <c r="AX48" s="475">
        <v>0</v>
      </c>
      <c r="AY48" s="475">
        <v>0</v>
      </c>
      <c r="AZ48" s="475">
        <v>0</v>
      </c>
      <c r="BA48" s="475">
        <v>0</v>
      </c>
      <c r="BB48" s="475">
        <v>0</v>
      </c>
      <c r="BC48" s="475">
        <v>0</v>
      </c>
    </row>
    <row r="49" spans="1:55">
      <c r="A49">
        <f t="shared" ca="1" si="3"/>
        <v>0</v>
      </c>
      <c r="B49">
        <f t="shared" si="4"/>
        <v>39</v>
      </c>
      <c r="C49">
        <f t="shared" si="2"/>
        <v>2064</v>
      </c>
      <c r="D49" s="475">
        <v>0</v>
      </c>
      <c r="E49" s="475">
        <v>0</v>
      </c>
      <c r="F49" s="475">
        <v>0</v>
      </c>
      <c r="G49" s="475">
        <v>0</v>
      </c>
      <c r="H49" s="475">
        <v>0</v>
      </c>
      <c r="I49" s="475">
        <v>0</v>
      </c>
      <c r="J49" s="475">
        <v>0</v>
      </c>
      <c r="K49" s="475">
        <v>0</v>
      </c>
      <c r="L49" s="475">
        <v>0</v>
      </c>
      <c r="M49" s="475">
        <v>0</v>
      </c>
      <c r="N49" s="475">
        <v>0</v>
      </c>
      <c r="O49" s="475">
        <v>0</v>
      </c>
      <c r="P49" s="475">
        <v>0</v>
      </c>
      <c r="Q49" s="475">
        <v>0</v>
      </c>
      <c r="R49" s="475">
        <v>0</v>
      </c>
      <c r="S49" s="475">
        <v>0</v>
      </c>
      <c r="T49" s="475">
        <v>0</v>
      </c>
      <c r="U49" s="475">
        <v>0</v>
      </c>
      <c r="V49" s="475">
        <v>0</v>
      </c>
      <c r="W49" s="475">
        <v>0</v>
      </c>
      <c r="X49" s="475">
        <v>0</v>
      </c>
      <c r="Y49" s="475">
        <v>0</v>
      </c>
      <c r="Z49" s="475">
        <v>0</v>
      </c>
      <c r="AA49" s="475">
        <v>0</v>
      </c>
      <c r="AB49" s="475">
        <v>0</v>
      </c>
      <c r="AC49" s="475">
        <v>0</v>
      </c>
      <c r="AD49" s="475">
        <v>0</v>
      </c>
      <c r="AE49" s="475">
        <v>0</v>
      </c>
      <c r="AF49" s="475">
        <v>0</v>
      </c>
      <c r="AG49" s="475">
        <v>0</v>
      </c>
      <c r="AH49" s="475">
        <v>0</v>
      </c>
      <c r="AI49" s="475">
        <v>0</v>
      </c>
      <c r="AJ49" s="475">
        <v>0</v>
      </c>
      <c r="AK49" s="475">
        <v>0</v>
      </c>
      <c r="AL49" s="475">
        <v>0</v>
      </c>
      <c r="AM49" s="475">
        <v>0</v>
      </c>
      <c r="AN49" s="475">
        <v>0</v>
      </c>
      <c r="AO49" s="475">
        <v>0</v>
      </c>
      <c r="AP49" s="475">
        <v>0</v>
      </c>
      <c r="AQ49" s="475">
        <v>0</v>
      </c>
      <c r="AR49" s="475">
        <v>0</v>
      </c>
      <c r="AS49" s="475">
        <v>0</v>
      </c>
      <c r="AT49" s="475">
        <v>0</v>
      </c>
      <c r="AU49" s="475">
        <v>0</v>
      </c>
      <c r="AV49" s="475">
        <v>0</v>
      </c>
      <c r="AW49" s="475">
        <v>0</v>
      </c>
      <c r="AX49" s="475">
        <v>0</v>
      </c>
      <c r="AY49" s="475">
        <v>0</v>
      </c>
      <c r="AZ49" s="475">
        <v>0</v>
      </c>
      <c r="BA49" s="475">
        <v>0</v>
      </c>
      <c r="BB49" s="475">
        <v>0</v>
      </c>
      <c r="BC49" s="475">
        <v>0</v>
      </c>
    </row>
    <row r="50" spans="1:55">
      <c r="A50">
        <f t="shared" ca="1" si="3"/>
        <v>0</v>
      </c>
      <c r="B50">
        <f t="shared" si="4"/>
        <v>40</v>
      </c>
      <c r="C50">
        <f t="shared" si="2"/>
        <v>2065</v>
      </c>
      <c r="D50" s="475">
        <v>0</v>
      </c>
      <c r="E50" s="475">
        <v>0</v>
      </c>
      <c r="F50" s="475">
        <v>0</v>
      </c>
      <c r="G50" s="475">
        <v>0</v>
      </c>
      <c r="H50" s="475">
        <v>0</v>
      </c>
      <c r="I50" s="475">
        <v>0</v>
      </c>
      <c r="J50" s="475">
        <v>0</v>
      </c>
      <c r="K50" s="475">
        <v>0</v>
      </c>
      <c r="L50" s="475">
        <v>0</v>
      </c>
      <c r="M50" s="475">
        <v>0</v>
      </c>
      <c r="N50" s="475">
        <v>0</v>
      </c>
      <c r="O50" s="475">
        <v>0</v>
      </c>
      <c r="P50" s="475">
        <v>0</v>
      </c>
      <c r="Q50" s="475">
        <v>0</v>
      </c>
      <c r="R50" s="475">
        <v>0</v>
      </c>
      <c r="S50" s="475">
        <v>0</v>
      </c>
      <c r="T50" s="475">
        <v>0</v>
      </c>
      <c r="U50" s="475">
        <v>0</v>
      </c>
      <c r="V50" s="475">
        <v>0</v>
      </c>
      <c r="W50" s="475">
        <v>0</v>
      </c>
      <c r="X50" s="475">
        <v>0</v>
      </c>
      <c r="Y50" s="475">
        <v>0</v>
      </c>
      <c r="Z50" s="475">
        <v>0</v>
      </c>
      <c r="AA50" s="475">
        <v>0</v>
      </c>
      <c r="AB50" s="475">
        <v>0</v>
      </c>
      <c r="AC50" s="475">
        <v>0</v>
      </c>
      <c r="AD50" s="475">
        <v>0</v>
      </c>
      <c r="AE50" s="475">
        <v>0</v>
      </c>
      <c r="AF50" s="475">
        <v>0</v>
      </c>
      <c r="AG50" s="475">
        <v>0</v>
      </c>
      <c r="AH50" s="475">
        <v>0</v>
      </c>
      <c r="AI50" s="475">
        <v>0</v>
      </c>
      <c r="AJ50" s="475">
        <v>0</v>
      </c>
      <c r="AK50" s="475">
        <v>0</v>
      </c>
      <c r="AL50" s="475">
        <v>0</v>
      </c>
      <c r="AM50" s="475">
        <v>0</v>
      </c>
      <c r="AN50" s="475">
        <v>0</v>
      </c>
      <c r="AO50" s="475">
        <v>0</v>
      </c>
      <c r="AP50" s="475">
        <v>0</v>
      </c>
      <c r="AQ50" s="475">
        <v>0</v>
      </c>
      <c r="AR50" s="475">
        <v>0</v>
      </c>
      <c r="AS50" s="475">
        <v>0</v>
      </c>
      <c r="AT50" s="475">
        <v>0</v>
      </c>
      <c r="AU50" s="475">
        <v>0</v>
      </c>
      <c r="AV50" s="475">
        <v>0</v>
      </c>
      <c r="AW50" s="475">
        <v>0</v>
      </c>
      <c r="AX50" s="475">
        <v>0</v>
      </c>
      <c r="AY50" s="475">
        <v>0</v>
      </c>
      <c r="AZ50" s="475">
        <v>0</v>
      </c>
      <c r="BA50" s="475">
        <v>0</v>
      </c>
      <c r="BB50" s="475">
        <v>0</v>
      </c>
      <c r="BC50" s="475">
        <v>0</v>
      </c>
    </row>
    <row r="51" spans="1:55">
      <c r="A51">
        <f t="shared" ca="1" si="3"/>
        <v>0</v>
      </c>
      <c r="B51">
        <f t="shared" si="4"/>
        <v>41</v>
      </c>
      <c r="C51">
        <f t="shared" si="2"/>
        <v>2066</v>
      </c>
      <c r="D51" s="475">
        <v>0</v>
      </c>
      <c r="E51" s="475">
        <v>0</v>
      </c>
      <c r="F51" s="475">
        <v>0</v>
      </c>
      <c r="G51" s="475">
        <v>0</v>
      </c>
      <c r="H51" s="475">
        <v>0</v>
      </c>
      <c r="I51" s="475">
        <v>0</v>
      </c>
      <c r="J51" s="475">
        <v>0</v>
      </c>
      <c r="K51" s="475">
        <v>0</v>
      </c>
      <c r="L51" s="475">
        <v>0</v>
      </c>
      <c r="M51" s="475">
        <v>0</v>
      </c>
      <c r="N51" s="475">
        <v>0</v>
      </c>
      <c r="O51" s="475">
        <v>0</v>
      </c>
      <c r="P51" s="475">
        <v>0</v>
      </c>
      <c r="Q51" s="475">
        <v>0</v>
      </c>
      <c r="R51" s="475">
        <v>0</v>
      </c>
      <c r="S51" s="475">
        <v>0</v>
      </c>
      <c r="T51" s="475">
        <v>0</v>
      </c>
      <c r="U51" s="475">
        <v>0</v>
      </c>
      <c r="V51" s="475">
        <v>0</v>
      </c>
      <c r="W51" s="475">
        <v>0</v>
      </c>
      <c r="X51" s="475">
        <v>0</v>
      </c>
      <c r="Y51" s="475">
        <v>0</v>
      </c>
      <c r="Z51" s="475">
        <v>0</v>
      </c>
      <c r="AA51" s="475">
        <v>0</v>
      </c>
      <c r="AB51" s="475">
        <v>0</v>
      </c>
      <c r="AC51" s="475">
        <v>0</v>
      </c>
      <c r="AD51" s="475">
        <v>0</v>
      </c>
      <c r="AE51" s="475">
        <v>0</v>
      </c>
      <c r="AF51" s="475">
        <v>0</v>
      </c>
      <c r="AG51" s="475">
        <v>0</v>
      </c>
      <c r="AH51" s="475">
        <v>0</v>
      </c>
      <c r="AI51" s="475">
        <v>0</v>
      </c>
      <c r="AJ51" s="475">
        <v>0</v>
      </c>
      <c r="AK51" s="475">
        <v>0</v>
      </c>
      <c r="AL51" s="475">
        <v>0</v>
      </c>
      <c r="AM51" s="475">
        <v>0</v>
      </c>
      <c r="AN51" s="475">
        <v>0</v>
      </c>
      <c r="AO51" s="475">
        <v>0</v>
      </c>
      <c r="AP51" s="475">
        <v>0</v>
      </c>
      <c r="AQ51" s="475">
        <v>0</v>
      </c>
      <c r="AR51" s="475">
        <v>0</v>
      </c>
      <c r="AS51" s="475">
        <v>0</v>
      </c>
      <c r="AT51" s="475">
        <v>0</v>
      </c>
      <c r="AU51" s="475">
        <v>0</v>
      </c>
      <c r="AV51" s="475">
        <v>0</v>
      </c>
      <c r="AW51" s="475">
        <v>0</v>
      </c>
      <c r="AX51" s="475">
        <v>0</v>
      </c>
      <c r="AY51" s="475">
        <v>0</v>
      </c>
      <c r="AZ51" s="475">
        <v>0</v>
      </c>
      <c r="BA51" s="475">
        <v>0</v>
      </c>
      <c r="BB51" s="475">
        <v>0</v>
      </c>
      <c r="BC51" s="475">
        <v>0</v>
      </c>
    </row>
    <row r="52" spans="1:55">
      <c r="A52">
        <f t="shared" ca="1" si="3"/>
        <v>0</v>
      </c>
      <c r="B52">
        <f t="shared" si="4"/>
        <v>42</v>
      </c>
      <c r="C52">
        <f t="shared" si="2"/>
        <v>2067</v>
      </c>
      <c r="D52" s="475">
        <v>0</v>
      </c>
      <c r="E52" s="475">
        <v>0</v>
      </c>
      <c r="F52" s="475">
        <v>0</v>
      </c>
      <c r="G52" s="475">
        <v>0</v>
      </c>
      <c r="H52" s="475">
        <v>0</v>
      </c>
      <c r="I52" s="475">
        <v>0</v>
      </c>
      <c r="J52" s="475">
        <v>0</v>
      </c>
      <c r="K52" s="475">
        <v>0</v>
      </c>
      <c r="L52" s="475">
        <v>0</v>
      </c>
      <c r="M52" s="475">
        <v>0</v>
      </c>
      <c r="N52" s="475">
        <v>0</v>
      </c>
      <c r="O52" s="475">
        <v>0</v>
      </c>
      <c r="P52" s="475">
        <v>0</v>
      </c>
      <c r="Q52" s="475">
        <v>0</v>
      </c>
      <c r="R52" s="475">
        <v>0</v>
      </c>
      <c r="S52" s="475">
        <v>0</v>
      </c>
      <c r="T52" s="475">
        <v>0</v>
      </c>
      <c r="U52" s="475">
        <v>0</v>
      </c>
      <c r="V52" s="475">
        <v>0</v>
      </c>
      <c r="W52" s="475">
        <v>0</v>
      </c>
      <c r="X52" s="475">
        <v>0</v>
      </c>
      <c r="Y52" s="475">
        <v>0</v>
      </c>
      <c r="Z52" s="475">
        <v>0</v>
      </c>
      <c r="AA52" s="475">
        <v>0</v>
      </c>
      <c r="AB52" s="475">
        <v>0</v>
      </c>
      <c r="AC52" s="475">
        <v>0</v>
      </c>
      <c r="AD52" s="475">
        <v>0</v>
      </c>
      <c r="AE52" s="475">
        <v>0</v>
      </c>
      <c r="AF52" s="475">
        <v>0</v>
      </c>
      <c r="AG52" s="475">
        <v>0</v>
      </c>
      <c r="AH52" s="475">
        <v>0</v>
      </c>
      <c r="AI52" s="475">
        <v>0</v>
      </c>
      <c r="AJ52" s="475">
        <v>0</v>
      </c>
      <c r="AK52" s="475">
        <v>0</v>
      </c>
      <c r="AL52" s="475">
        <v>0</v>
      </c>
      <c r="AM52" s="475">
        <v>0</v>
      </c>
      <c r="AN52" s="475">
        <v>0</v>
      </c>
      <c r="AO52" s="475">
        <v>0</v>
      </c>
      <c r="AP52" s="475">
        <v>0</v>
      </c>
      <c r="AQ52" s="475">
        <v>0</v>
      </c>
      <c r="AR52" s="475">
        <v>0</v>
      </c>
      <c r="AS52" s="475">
        <v>0</v>
      </c>
      <c r="AT52" s="475">
        <v>0</v>
      </c>
      <c r="AU52" s="475">
        <v>0</v>
      </c>
      <c r="AV52" s="475">
        <v>0</v>
      </c>
      <c r="AW52" s="475">
        <v>0</v>
      </c>
      <c r="AX52" s="475">
        <v>0</v>
      </c>
      <c r="AY52" s="475">
        <v>0</v>
      </c>
      <c r="AZ52" s="475">
        <v>0</v>
      </c>
      <c r="BA52" s="475">
        <v>0</v>
      </c>
      <c r="BB52" s="475">
        <v>0</v>
      </c>
      <c r="BC52" s="475">
        <v>0</v>
      </c>
    </row>
    <row r="53" spans="1:55">
      <c r="A53">
        <f t="shared" ca="1" si="3"/>
        <v>0</v>
      </c>
      <c r="B53">
        <f t="shared" si="4"/>
        <v>43</v>
      </c>
      <c r="C53">
        <f t="shared" si="2"/>
        <v>2068</v>
      </c>
      <c r="D53" s="475">
        <v>0</v>
      </c>
      <c r="E53" s="475">
        <v>0</v>
      </c>
      <c r="F53" s="475">
        <v>0</v>
      </c>
      <c r="G53" s="475">
        <v>0</v>
      </c>
      <c r="H53" s="475">
        <v>0</v>
      </c>
      <c r="I53" s="475">
        <v>0</v>
      </c>
      <c r="J53" s="475">
        <v>0</v>
      </c>
      <c r="K53" s="475">
        <v>0</v>
      </c>
      <c r="L53" s="475">
        <v>0</v>
      </c>
      <c r="M53" s="475">
        <v>0</v>
      </c>
      <c r="N53" s="475">
        <v>0</v>
      </c>
      <c r="O53" s="475">
        <v>0</v>
      </c>
      <c r="P53" s="475">
        <v>0</v>
      </c>
      <c r="Q53" s="475">
        <v>0</v>
      </c>
      <c r="R53" s="475">
        <v>0</v>
      </c>
      <c r="S53" s="475">
        <v>0</v>
      </c>
      <c r="T53" s="475">
        <v>0</v>
      </c>
      <c r="U53" s="475">
        <v>0</v>
      </c>
      <c r="V53" s="475">
        <v>0</v>
      </c>
      <c r="W53" s="475">
        <v>0</v>
      </c>
      <c r="X53" s="475">
        <v>0</v>
      </c>
      <c r="Y53" s="475">
        <v>0</v>
      </c>
      <c r="Z53" s="475">
        <v>0</v>
      </c>
      <c r="AA53" s="475">
        <v>0</v>
      </c>
      <c r="AB53" s="475">
        <v>0</v>
      </c>
      <c r="AC53" s="475">
        <v>0</v>
      </c>
      <c r="AD53" s="475">
        <v>0</v>
      </c>
      <c r="AE53" s="475">
        <v>0</v>
      </c>
      <c r="AF53" s="475">
        <v>0</v>
      </c>
      <c r="AG53" s="475">
        <v>0</v>
      </c>
      <c r="AH53" s="475">
        <v>0</v>
      </c>
      <c r="AI53" s="475">
        <v>0</v>
      </c>
      <c r="AJ53" s="475">
        <v>0</v>
      </c>
      <c r="AK53" s="475">
        <v>0</v>
      </c>
      <c r="AL53" s="475">
        <v>0</v>
      </c>
      <c r="AM53" s="475">
        <v>0</v>
      </c>
      <c r="AN53" s="475">
        <v>0</v>
      </c>
      <c r="AO53" s="475">
        <v>0</v>
      </c>
      <c r="AP53" s="475">
        <v>0</v>
      </c>
      <c r="AQ53" s="475">
        <v>0</v>
      </c>
      <c r="AR53" s="475">
        <v>0</v>
      </c>
      <c r="AS53" s="475">
        <v>0</v>
      </c>
      <c r="AT53" s="475">
        <v>0</v>
      </c>
      <c r="AU53" s="475">
        <v>0</v>
      </c>
      <c r="AV53" s="475">
        <v>0</v>
      </c>
      <c r="AW53" s="475">
        <v>0</v>
      </c>
      <c r="AX53" s="475">
        <v>0</v>
      </c>
      <c r="AY53" s="475">
        <v>0</v>
      </c>
      <c r="AZ53" s="475">
        <v>0</v>
      </c>
      <c r="BA53" s="475">
        <v>0</v>
      </c>
      <c r="BB53" s="475">
        <v>0</v>
      </c>
      <c r="BC53" s="475">
        <v>0</v>
      </c>
    </row>
    <row r="54" spans="1:55">
      <c r="A54">
        <f t="shared" ca="1" si="3"/>
        <v>0</v>
      </c>
      <c r="B54">
        <f t="shared" si="4"/>
        <v>44</v>
      </c>
      <c r="C54">
        <f t="shared" si="2"/>
        <v>2069</v>
      </c>
      <c r="D54" s="475">
        <v>0</v>
      </c>
      <c r="E54" s="475">
        <v>0</v>
      </c>
      <c r="F54" s="475">
        <v>0</v>
      </c>
      <c r="G54" s="475">
        <v>0</v>
      </c>
      <c r="H54" s="475">
        <v>0</v>
      </c>
      <c r="I54" s="475">
        <v>0</v>
      </c>
      <c r="J54" s="475">
        <v>0</v>
      </c>
      <c r="K54" s="475">
        <v>0</v>
      </c>
      <c r="L54" s="475">
        <v>0</v>
      </c>
      <c r="M54" s="475">
        <v>0</v>
      </c>
      <c r="N54" s="475">
        <v>0</v>
      </c>
      <c r="O54" s="475">
        <v>0</v>
      </c>
      <c r="P54" s="475">
        <v>0</v>
      </c>
      <c r="Q54" s="475">
        <v>0</v>
      </c>
      <c r="R54" s="475">
        <v>0</v>
      </c>
      <c r="S54" s="475">
        <v>0</v>
      </c>
      <c r="T54" s="475">
        <v>0</v>
      </c>
      <c r="U54" s="475">
        <v>0</v>
      </c>
      <c r="V54" s="475">
        <v>0</v>
      </c>
      <c r="W54" s="475">
        <v>0</v>
      </c>
      <c r="X54" s="475">
        <v>0</v>
      </c>
      <c r="Y54" s="475">
        <v>0</v>
      </c>
      <c r="Z54" s="475">
        <v>0</v>
      </c>
      <c r="AA54" s="475">
        <v>0</v>
      </c>
      <c r="AB54" s="475">
        <v>0</v>
      </c>
      <c r="AC54" s="475">
        <v>0</v>
      </c>
      <c r="AD54" s="475">
        <v>0</v>
      </c>
      <c r="AE54" s="475">
        <v>0</v>
      </c>
      <c r="AF54" s="475">
        <v>0</v>
      </c>
      <c r="AG54" s="475">
        <v>0</v>
      </c>
      <c r="AH54" s="475">
        <v>0</v>
      </c>
      <c r="AI54" s="475">
        <v>0</v>
      </c>
      <c r="AJ54" s="475">
        <v>0</v>
      </c>
      <c r="AK54" s="475">
        <v>0</v>
      </c>
      <c r="AL54" s="475">
        <v>0</v>
      </c>
      <c r="AM54" s="475">
        <v>0</v>
      </c>
      <c r="AN54" s="475">
        <v>0</v>
      </c>
      <c r="AO54" s="475">
        <v>0</v>
      </c>
      <c r="AP54" s="475">
        <v>0</v>
      </c>
      <c r="AQ54" s="475">
        <v>0</v>
      </c>
      <c r="AR54" s="475">
        <v>0</v>
      </c>
      <c r="AS54" s="475">
        <v>0</v>
      </c>
      <c r="AT54" s="475">
        <v>0</v>
      </c>
      <c r="AU54" s="475">
        <v>0</v>
      </c>
      <c r="AV54" s="475">
        <v>0</v>
      </c>
      <c r="AW54" s="475">
        <v>0</v>
      </c>
      <c r="AX54" s="475">
        <v>0</v>
      </c>
      <c r="AY54" s="475">
        <v>0</v>
      </c>
      <c r="AZ54" s="475">
        <v>0</v>
      </c>
      <c r="BA54" s="475">
        <v>0</v>
      </c>
      <c r="BB54" s="475">
        <v>0</v>
      </c>
      <c r="BC54" s="475">
        <v>0</v>
      </c>
    </row>
    <row r="55" spans="1:55">
      <c r="A55">
        <f t="shared" ca="1" si="3"/>
        <v>0</v>
      </c>
      <c r="B55">
        <f t="shared" si="4"/>
        <v>45</v>
      </c>
      <c r="C55">
        <f t="shared" si="2"/>
        <v>2070</v>
      </c>
      <c r="D55" s="475">
        <v>0</v>
      </c>
      <c r="E55" s="475">
        <v>0</v>
      </c>
      <c r="F55" s="475">
        <v>0</v>
      </c>
      <c r="G55" s="475">
        <v>0</v>
      </c>
      <c r="H55" s="475">
        <v>0</v>
      </c>
      <c r="I55" s="475">
        <v>0</v>
      </c>
      <c r="J55" s="475">
        <v>0</v>
      </c>
      <c r="K55" s="475">
        <v>0</v>
      </c>
      <c r="L55" s="475">
        <v>0</v>
      </c>
      <c r="M55" s="475">
        <v>0</v>
      </c>
      <c r="N55" s="475">
        <v>0</v>
      </c>
      <c r="O55" s="475">
        <v>0</v>
      </c>
      <c r="P55" s="475">
        <v>0</v>
      </c>
      <c r="Q55" s="475">
        <v>0</v>
      </c>
      <c r="R55" s="475">
        <v>0</v>
      </c>
      <c r="S55" s="475">
        <v>0</v>
      </c>
      <c r="T55" s="475">
        <v>0</v>
      </c>
      <c r="U55" s="475">
        <v>0</v>
      </c>
      <c r="V55" s="475">
        <v>0</v>
      </c>
      <c r="W55" s="475">
        <v>0</v>
      </c>
      <c r="X55" s="475">
        <v>0</v>
      </c>
      <c r="Y55" s="475">
        <v>0</v>
      </c>
      <c r="Z55" s="475">
        <v>0</v>
      </c>
      <c r="AA55" s="475">
        <v>0</v>
      </c>
      <c r="AB55" s="475">
        <v>0</v>
      </c>
      <c r="AC55" s="475">
        <v>0</v>
      </c>
      <c r="AD55" s="475">
        <v>0</v>
      </c>
      <c r="AE55" s="475">
        <v>0</v>
      </c>
      <c r="AF55" s="475">
        <v>0</v>
      </c>
      <c r="AG55" s="475">
        <v>0</v>
      </c>
      <c r="AH55" s="475">
        <v>0</v>
      </c>
      <c r="AI55" s="475">
        <v>0</v>
      </c>
      <c r="AJ55" s="475">
        <v>0</v>
      </c>
      <c r="AK55" s="475">
        <v>0</v>
      </c>
      <c r="AL55" s="475">
        <v>0</v>
      </c>
      <c r="AM55" s="475">
        <v>0</v>
      </c>
      <c r="AN55" s="475">
        <v>0</v>
      </c>
      <c r="AO55" s="475">
        <v>0</v>
      </c>
      <c r="AP55" s="475">
        <v>0</v>
      </c>
      <c r="AQ55" s="475">
        <v>0</v>
      </c>
      <c r="AR55" s="475">
        <v>0</v>
      </c>
      <c r="AS55" s="475">
        <v>0</v>
      </c>
      <c r="AT55" s="475">
        <v>0</v>
      </c>
      <c r="AU55" s="475">
        <v>0</v>
      </c>
      <c r="AV55" s="475">
        <v>0</v>
      </c>
      <c r="AW55" s="475">
        <v>0</v>
      </c>
      <c r="AX55" s="475">
        <v>0</v>
      </c>
      <c r="AY55" s="475">
        <v>0</v>
      </c>
      <c r="AZ55" s="475">
        <v>0</v>
      </c>
      <c r="BA55" s="475">
        <v>0</v>
      </c>
      <c r="BB55" s="475">
        <v>0</v>
      </c>
      <c r="BC55" s="475">
        <v>0</v>
      </c>
    </row>
    <row r="56" spans="1:55">
      <c r="A56">
        <f t="shared" ca="1" si="3"/>
        <v>0</v>
      </c>
      <c r="B56">
        <f t="shared" si="4"/>
        <v>46</v>
      </c>
      <c r="C56">
        <f t="shared" si="2"/>
        <v>2071</v>
      </c>
      <c r="D56" s="475">
        <v>0</v>
      </c>
      <c r="E56" s="475">
        <v>0</v>
      </c>
      <c r="F56" s="475">
        <v>0</v>
      </c>
      <c r="G56" s="475">
        <v>0</v>
      </c>
      <c r="H56" s="475">
        <v>0</v>
      </c>
      <c r="I56" s="475">
        <v>0</v>
      </c>
      <c r="J56" s="475">
        <v>0</v>
      </c>
      <c r="K56" s="475">
        <v>0</v>
      </c>
      <c r="L56" s="475">
        <v>0</v>
      </c>
      <c r="M56" s="475">
        <v>0</v>
      </c>
      <c r="N56" s="475">
        <v>0</v>
      </c>
      <c r="O56" s="475">
        <v>0</v>
      </c>
      <c r="P56" s="475">
        <v>0</v>
      </c>
      <c r="Q56" s="475">
        <v>0</v>
      </c>
      <c r="R56" s="475">
        <v>0</v>
      </c>
      <c r="S56" s="475">
        <v>0</v>
      </c>
      <c r="T56" s="475">
        <v>0</v>
      </c>
      <c r="U56" s="475">
        <v>0</v>
      </c>
      <c r="V56" s="475">
        <v>0</v>
      </c>
      <c r="W56" s="475">
        <v>0</v>
      </c>
      <c r="X56" s="475">
        <v>0</v>
      </c>
      <c r="Y56" s="475">
        <v>0</v>
      </c>
      <c r="Z56" s="475">
        <v>0</v>
      </c>
      <c r="AA56" s="475">
        <v>0</v>
      </c>
      <c r="AB56" s="475">
        <v>0</v>
      </c>
      <c r="AC56" s="475">
        <v>0</v>
      </c>
      <c r="AD56" s="475">
        <v>0</v>
      </c>
      <c r="AE56" s="475">
        <v>0</v>
      </c>
      <c r="AF56" s="475">
        <v>0</v>
      </c>
      <c r="AG56" s="475">
        <v>0</v>
      </c>
      <c r="AH56" s="475">
        <v>0</v>
      </c>
      <c r="AI56" s="475">
        <v>0</v>
      </c>
      <c r="AJ56" s="475">
        <v>0</v>
      </c>
      <c r="AK56" s="475">
        <v>0</v>
      </c>
      <c r="AL56" s="475">
        <v>0</v>
      </c>
      <c r="AM56" s="475">
        <v>0</v>
      </c>
      <c r="AN56" s="475">
        <v>0</v>
      </c>
      <c r="AO56" s="475">
        <v>0</v>
      </c>
      <c r="AP56" s="475">
        <v>0</v>
      </c>
      <c r="AQ56" s="475">
        <v>0</v>
      </c>
      <c r="AR56" s="475">
        <v>0</v>
      </c>
      <c r="AS56" s="475">
        <v>0</v>
      </c>
      <c r="AT56" s="475">
        <v>0</v>
      </c>
      <c r="AU56" s="475">
        <v>0</v>
      </c>
      <c r="AV56" s="475">
        <v>0</v>
      </c>
      <c r="AW56" s="475">
        <v>0</v>
      </c>
      <c r="AX56" s="475">
        <v>0</v>
      </c>
      <c r="AY56" s="475">
        <v>0</v>
      </c>
      <c r="AZ56" s="475">
        <v>0</v>
      </c>
      <c r="BA56" s="475">
        <v>0</v>
      </c>
      <c r="BB56" s="475">
        <v>0</v>
      </c>
      <c r="BC56" s="475">
        <v>0</v>
      </c>
    </row>
    <row r="57" spans="1:55">
      <c r="A57">
        <f t="shared" ca="1" si="3"/>
        <v>0</v>
      </c>
      <c r="B57">
        <f t="shared" si="4"/>
        <v>47</v>
      </c>
      <c r="C57">
        <f t="shared" si="2"/>
        <v>2072</v>
      </c>
      <c r="D57" s="475">
        <v>0</v>
      </c>
      <c r="E57" s="475">
        <v>0</v>
      </c>
      <c r="F57" s="475">
        <v>0</v>
      </c>
      <c r="G57" s="475">
        <v>0</v>
      </c>
      <c r="H57" s="475">
        <v>0</v>
      </c>
      <c r="I57" s="475">
        <v>0</v>
      </c>
      <c r="J57" s="475">
        <v>0</v>
      </c>
      <c r="K57" s="475">
        <v>0</v>
      </c>
      <c r="L57" s="475">
        <v>0</v>
      </c>
      <c r="M57" s="475">
        <v>0</v>
      </c>
      <c r="N57" s="475">
        <v>0</v>
      </c>
      <c r="O57" s="475">
        <v>0</v>
      </c>
      <c r="P57" s="475">
        <v>0</v>
      </c>
      <c r="Q57" s="475">
        <v>0</v>
      </c>
      <c r="R57" s="475">
        <v>0</v>
      </c>
      <c r="S57" s="475">
        <v>0</v>
      </c>
      <c r="T57" s="475">
        <v>0</v>
      </c>
      <c r="U57" s="475">
        <v>0</v>
      </c>
      <c r="V57" s="475">
        <v>0</v>
      </c>
      <c r="W57" s="475">
        <v>0</v>
      </c>
      <c r="X57" s="475">
        <v>0</v>
      </c>
      <c r="Y57" s="475">
        <v>0</v>
      </c>
      <c r="Z57" s="475">
        <v>0</v>
      </c>
      <c r="AA57" s="475">
        <v>0</v>
      </c>
      <c r="AB57" s="475">
        <v>0</v>
      </c>
      <c r="AC57" s="475">
        <v>0</v>
      </c>
      <c r="AD57" s="475">
        <v>0</v>
      </c>
      <c r="AE57" s="475">
        <v>0</v>
      </c>
      <c r="AF57" s="475">
        <v>0</v>
      </c>
      <c r="AG57" s="475">
        <v>0</v>
      </c>
      <c r="AH57" s="475">
        <v>0</v>
      </c>
      <c r="AI57" s="475">
        <v>0</v>
      </c>
      <c r="AJ57" s="475">
        <v>0</v>
      </c>
      <c r="AK57" s="475">
        <v>0</v>
      </c>
      <c r="AL57" s="475">
        <v>0</v>
      </c>
      <c r="AM57" s="475">
        <v>0</v>
      </c>
      <c r="AN57" s="475">
        <v>0</v>
      </c>
      <c r="AO57" s="475">
        <v>0</v>
      </c>
      <c r="AP57" s="475">
        <v>0</v>
      </c>
      <c r="AQ57" s="475">
        <v>0</v>
      </c>
      <c r="AR57" s="475">
        <v>0</v>
      </c>
      <c r="AS57" s="475">
        <v>0</v>
      </c>
      <c r="AT57" s="475">
        <v>0</v>
      </c>
      <c r="AU57" s="475">
        <v>0</v>
      </c>
      <c r="AV57" s="475">
        <v>0</v>
      </c>
      <c r="AW57" s="475">
        <v>0</v>
      </c>
      <c r="AX57" s="475">
        <v>0</v>
      </c>
      <c r="AY57" s="475">
        <v>0</v>
      </c>
      <c r="AZ57" s="475">
        <v>0</v>
      </c>
      <c r="BA57" s="475">
        <v>0</v>
      </c>
      <c r="BB57" s="475">
        <v>0</v>
      </c>
      <c r="BC57" s="475">
        <v>0</v>
      </c>
    </row>
    <row r="58" spans="1:55">
      <c r="A58">
        <f t="shared" ca="1" si="3"/>
        <v>0</v>
      </c>
      <c r="B58">
        <f t="shared" si="4"/>
        <v>48</v>
      </c>
      <c r="C58">
        <f t="shared" si="2"/>
        <v>2073</v>
      </c>
      <c r="D58" s="475">
        <v>0</v>
      </c>
      <c r="E58" s="475">
        <v>0</v>
      </c>
      <c r="F58" s="475">
        <v>0</v>
      </c>
      <c r="G58" s="475">
        <v>0</v>
      </c>
      <c r="H58" s="475">
        <v>0</v>
      </c>
      <c r="I58" s="475">
        <v>0</v>
      </c>
      <c r="J58" s="475">
        <v>0</v>
      </c>
      <c r="K58" s="475">
        <v>0</v>
      </c>
      <c r="L58" s="475">
        <v>0</v>
      </c>
      <c r="M58" s="475">
        <v>0</v>
      </c>
      <c r="N58" s="475">
        <v>0</v>
      </c>
      <c r="O58" s="475">
        <v>0</v>
      </c>
      <c r="P58" s="475">
        <v>0</v>
      </c>
      <c r="Q58" s="475">
        <v>0</v>
      </c>
      <c r="R58" s="475">
        <v>0</v>
      </c>
      <c r="S58" s="475">
        <v>0</v>
      </c>
      <c r="T58" s="475">
        <v>0</v>
      </c>
      <c r="U58" s="475">
        <v>0</v>
      </c>
      <c r="V58" s="475">
        <v>0</v>
      </c>
      <c r="W58" s="475">
        <v>0</v>
      </c>
      <c r="X58" s="475">
        <v>0</v>
      </c>
      <c r="Y58" s="475">
        <v>0</v>
      </c>
      <c r="Z58" s="475">
        <v>0</v>
      </c>
      <c r="AA58" s="475">
        <v>0</v>
      </c>
      <c r="AB58" s="475">
        <v>0</v>
      </c>
      <c r="AC58" s="475">
        <v>0</v>
      </c>
      <c r="AD58" s="475">
        <v>0</v>
      </c>
      <c r="AE58" s="475">
        <v>0</v>
      </c>
      <c r="AF58" s="475">
        <v>0</v>
      </c>
      <c r="AG58" s="475">
        <v>0</v>
      </c>
      <c r="AH58" s="475">
        <v>0</v>
      </c>
      <c r="AI58" s="475">
        <v>0</v>
      </c>
      <c r="AJ58" s="475">
        <v>0</v>
      </c>
      <c r="AK58" s="475">
        <v>0</v>
      </c>
      <c r="AL58" s="475">
        <v>0</v>
      </c>
      <c r="AM58" s="475">
        <v>0</v>
      </c>
      <c r="AN58" s="475">
        <v>0</v>
      </c>
      <c r="AO58" s="475">
        <v>0</v>
      </c>
      <c r="AP58" s="475">
        <v>0</v>
      </c>
      <c r="AQ58" s="475">
        <v>0</v>
      </c>
      <c r="AR58" s="475">
        <v>0</v>
      </c>
      <c r="AS58" s="475">
        <v>0</v>
      </c>
      <c r="AT58" s="475">
        <v>0</v>
      </c>
      <c r="AU58" s="475">
        <v>0</v>
      </c>
      <c r="AV58" s="475">
        <v>0</v>
      </c>
      <c r="AW58" s="475">
        <v>0</v>
      </c>
      <c r="AX58" s="475">
        <v>0</v>
      </c>
      <c r="AY58" s="475">
        <v>0</v>
      </c>
      <c r="AZ58" s="475">
        <v>0</v>
      </c>
      <c r="BA58" s="475">
        <v>0</v>
      </c>
      <c r="BB58" s="475">
        <v>0</v>
      </c>
      <c r="BC58" s="475">
        <v>0</v>
      </c>
    </row>
    <row r="59" spans="1:55">
      <c r="A59">
        <f t="shared" ca="1" si="3"/>
        <v>0</v>
      </c>
      <c r="B59">
        <f t="shared" si="4"/>
        <v>49</v>
      </c>
      <c r="C59">
        <f t="shared" si="2"/>
        <v>2074</v>
      </c>
      <c r="D59" s="475">
        <v>0</v>
      </c>
      <c r="E59" s="475">
        <v>0</v>
      </c>
      <c r="F59" s="475">
        <v>0</v>
      </c>
      <c r="G59" s="475">
        <v>0</v>
      </c>
      <c r="H59" s="475">
        <v>0</v>
      </c>
      <c r="I59" s="475">
        <v>0</v>
      </c>
      <c r="J59" s="475">
        <v>0</v>
      </c>
      <c r="K59" s="475">
        <v>0</v>
      </c>
      <c r="L59" s="475">
        <v>0</v>
      </c>
      <c r="M59" s="475">
        <v>0</v>
      </c>
      <c r="N59" s="475">
        <v>0</v>
      </c>
      <c r="O59" s="475">
        <v>0</v>
      </c>
      <c r="P59" s="475">
        <v>0</v>
      </c>
      <c r="Q59" s="475">
        <v>0</v>
      </c>
      <c r="R59" s="475">
        <v>0</v>
      </c>
      <c r="S59" s="475">
        <v>0</v>
      </c>
      <c r="T59" s="475">
        <v>0</v>
      </c>
      <c r="U59" s="475">
        <v>0</v>
      </c>
      <c r="V59" s="475">
        <v>0</v>
      </c>
      <c r="W59" s="475">
        <v>0</v>
      </c>
      <c r="X59" s="475">
        <v>0</v>
      </c>
      <c r="Y59" s="475">
        <v>0</v>
      </c>
      <c r="Z59" s="475">
        <v>0</v>
      </c>
      <c r="AA59" s="475">
        <v>0</v>
      </c>
      <c r="AB59" s="475">
        <v>0</v>
      </c>
      <c r="AC59" s="475">
        <v>0</v>
      </c>
      <c r="AD59" s="475">
        <v>0</v>
      </c>
      <c r="AE59" s="475">
        <v>0</v>
      </c>
      <c r="AF59" s="475">
        <v>0</v>
      </c>
      <c r="AG59" s="475">
        <v>0</v>
      </c>
      <c r="AH59" s="475">
        <v>0</v>
      </c>
      <c r="AI59" s="475">
        <v>0</v>
      </c>
      <c r="AJ59" s="475">
        <v>0</v>
      </c>
      <c r="AK59" s="475">
        <v>0</v>
      </c>
      <c r="AL59" s="475">
        <v>0</v>
      </c>
      <c r="AM59" s="475">
        <v>0</v>
      </c>
      <c r="AN59" s="475">
        <v>0</v>
      </c>
      <c r="AO59" s="475">
        <v>0</v>
      </c>
      <c r="AP59" s="475">
        <v>0</v>
      </c>
      <c r="AQ59" s="475">
        <v>0</v>
      </c>
      <c r="AR59" s="475">
        <v>0</v>
      </c>
      <c r="AS59" s="475">
        <v>0</v>
      </c>
      <c r="AT59" s="475">
        <v>0</v>
      </c>
      <c r="AU59" s="475">
        <v>0</v>
      </c>
      <c r="AV59" s="475">
        <v>0</v>
      </c>
      <c r="AW59" s="475">
        <v>0</v>
      </c>
      <c r="AX59" s="475">
        <v>0</v>
      </c>
      <c r="AY59" s="475">
        <v>0</v>
      </c>
      <c r="AZ59" s="475">
        <v>0</v>
      </c>
      <c r="BA59" s="475">
        <v>0</v>
      </c>
      <c r="BB59" s="475">
        <v>0</v>
      </c>
      <c r="BC59" s="475">
        <v>0</v>
      </c>
    </row>
    <row r="60" spans="1:55">
      <c r="A60">
        <f t="shared" ca="1" si="3"/>
        <v>0</v>
      </c>
      <c r="B60">
        <f t="shared" si="4"/>
        <v>50</v>
      </c>
      <c r="C60">
        <f t="shared" si="2"/>
        <v>2075</v>
      </c>
      <c r="D60" s="475">
        <v>0</v>
      </c>
      <c r="E60" s="475">
        <v>0</v>
      </c>
      <c r="F60" s="475">
        <v>0</v>
      </c>
      <c r="G60" s="475">
        <v>0</v>
      </c>
      <c r="H60" s="475">
        <v>0</v>
      </c>
      <c r="I60" s="475">
        <v>0</v>
      </c>
      <c r="J60" s="475">
        <v>0</v>
      </c>
      <c r="K60" s="475">
        <v>0</v>
      </c>
      <c r="L60" s="475">
        <v>0</v>
      </c>
      <c r="M60" s="475">
        <v>0</v>
      </c>
      <c r="N60" s="475">
        <v>0</v>
      </c>
      <c r="O60" s="475">
        <v>0</v>
      </c>
      <c r="P60" s="475">
        <v>0</v>
      </c>
      <c r="Q60" s="475">
        <v>0</v>
      </c>
      <c r="R60" s="475">
        <v>0</v>
      </c>
      <c r="S60" s="475">
        <v>0</v>
      </c>
      <c r="T60" s="475">
        <v>0</v>
      </c>
      <c r="U60" s="475">
        <v>0</v>
      </c>
      <c r="V60" s="475">
        <v>0</v>
      </c>
      <c r="W60" s="475">
        <v>0</v>
      </c>
      <c r="X60" s="475">
        <v>0</v>
      </c>
      <c r="Y60" s="475">
        <v>0</v>
      </c>
      <c r="Z60" s="475">
        <v>0</v>
      </c>
      <c r="AA60" s="475">
        <v>0</v>
      </c>
      <c r="AB60" s="475">
        <v>0</v>
      </c>
      <c r="AC60" s="475">
        <v>0</v>
      </c>
      <c r="AD60" s="475">
        <v>0</v>
      </c>
      <c r="AE60" s="475">
        <v>0</v>
      </c>
      <c r="AF60" s="475">
        <v>0</v>
      </c>
      <c r="AG60" s="475">
        <v>0</v>
      </c>
      <c r="AH60" s="475">
        <v>0</v>
      </c>
      <c r="AI60" s="475">
        <v>0</v>
      </c>
      <c r="AJ60" s="475">
        <v>0</v>
      </c>
      <c r="AK60" s="475">
        <v>0</v>
      </c>
      <c r="AL60" s="475">
        <v>0</v>
      </c>
      <c r="AM60" s="475">
        <v>0</v>
      </c>
      <c r="AN60" s="475">
        <v>0</v>
      </c>
      <c r="AO60" s="475">
        <v>0</v>
      </c>
      <c r="AP60" s="475">
        <v>0</v>
      </c>
      <c r="AQ60" s="475">
        <v>0</v>
      </c>
      <c r="AR60" s="475">
        <v>0</v>
      </c>
      <c r="AS60" s="475">
        <v>0</v>
      </c>
      <c r="AT60" s="475">
        <v>0</v>
      </c>
      <c r="AU60" s="475">
        <v>0</v>
      </c>
      <c r="AV60" s="475">
        <v>0</v>
      </c>
      <c r="AW60" s="475">
        <v>0</v>
      </c>
      <c r="AX60" s="475">
        <v>0</v>
      </c>
      <c r="AY60" s="475">
        <v>0</v>
      </c>
      <c r="AZ60" s="475">
        <v>0</v>
      </c>
      <c r="BA60" s="475">
        <v>0</v>
      </c>
      <c r="BB60" s="475">
        <v>0</v>
      </c>
      <c r="BC60" s="475">
        <v>0</v>
      </c>
    </row>
    <row r="61" spans="1:55">
      <c r="A61">
        <f t="shared" ca="1" si="3"/>
        <v>0</v>
      </c>
      <c r="B61">
        <f t="shared" si="4"/>
        <v>51</v>
      </c>
      <c r="C61">
        <f t="shared" si="2"/>
        <v>2076</v>
      </c>
      <c r="D61" s="475">
        <v>0</v>
      </c>
      <c r="E61" s="475">
        <v>0</v>
      </c>
      <c r="F61" s="475">
        <v>0</v>
      </c>
      <c r="G61" s="475">
        <v>0</v>
      </c>
      <c r="H61" s="475">
        <v>0</v>
      </c>
      <c r="I61" s="475">
        <v>0</v>
      </c>
      <c r="J61" s="475">
        <v>0</v>
      </c>
      <c r="K61" s="475">
        <v>0</v>
      </c>
      <c r="L61" s="475">
        <v>0</v>
      </c>
      <c r="M61" s="475">
        <v>0</v>
      </c>
      <c r="N61" s="475">
        <v>0</v>
      </c>
      <c r="O61" s="475">
        <v>0</v>
      </c>
      <c r="P61" s="475">
        <v>0</v>
      </c>
      <c r="Q61" s="475">
        <v>0</v>
      </c>
      <c r="R61" s="475">
        <v>0</v>
      </c>
      <c r="S61" s="475">
        <v>0</v>
      </c>
      <c r="T61" s="475">
        <v>0</v>
      </c>
      <c r="U61" s="475">
        <v>0</v>
      </c>
      <c r="V61" s="475">
        <v>0</v>
      </c>
      <c r="W61" s="475">
        <v>0</v>
      </c>
      <c r="X61" s="475">
        <v>0</v>
      </c>
      <c r="Y61" s="475">
        <v>0</v>
      </c>
      <c r="Z61" s="475">
        <v>0</v>
      </c>
      <c r="AA61" s="475">
        <v>0</v>
      </c>
      <c r="AB61" s="475">
        <v>0</v>
      </c>
      <c r="AC61" s="475">
        <v>0</v>
      </c>
      <c r="AD61" s="475">
        <v>0</v>
      </c>
      <c r="AE61" s="475">
        <v>0</v>
      </c>
      <c r="AF61" s="475">
        <v>0</v>
      </c>
      <c r="AG61" s="475">
        <v>0</v>
      </c>
      <c r="AH61" s="475">
        <v>0</v>
      </c>
      <c r="AI61" s="475">
        <v>0</v>
      </c>
      <c r="AJ61" s="475">
        <v>0</v>
      </c>
      <c r="AK61" s="475">
        <v>0</v>
      </c>
      <c r="AL61" s="475">
        <v>0</v>
      </c>
      <c r="AM61" s="475">
        <v>0</v>
      </c>
      <c r="AN61" s="475">
        <v>0</v>
      </c>
      <c r="AO61" s="475">
        <v>0</v>
      </c>
      <c r="AP61" s="475">
        <v>0</v>
      </c>
      <c r="AQ61" s="475">
        <v>0</v>
      </c>
      <c r="AR61" s="475">
        <v>0</v>
      </c>
      <c r="AS61" s="475">
        <v>0</v>
      </c>
      <c r="AT61" s="475">
        <v>0</v>
      </c>
      <c r="AU61" s="475">
        <v>0</v>
      </c>
      <c r="AV61" s="475">
        <v>0</v>
      </c>
      <c r="AW61" s="475">
        <v>0</v>
      </c>
      <c r="AX61" s="475">
        <v>0</v>
      </c>
      <c r="AY61" s="475">
        <v>0</v>
      </c>
      <c r="AZ61" s="475">
        <v>0</v>
      </c>
      <c r="BA61" s="475">
        <v>0</v>
      </c>
      <c r="BB61" s="475">
        <v>0</v>
      </c>
      <c r="BC61" s="475">
        <v>0</v>
      </c>
    </row>
    <row r="62" spans="1:55">
      <c r="A62">
        <f t="shared" ca="1" si="3"/>
        <v>0</v>
      </c>
      <c r="B62">
        <f t="shared" si="4"/>
        <v>52</v>
      </c>
      <c r="C62">
        <f t="shared" si="2"/>
        <v>2077</v>
      </c>
      <c r="D62" s="475">
        <v>0</v>
      </c>
      <c r="E62" s="475">
        <v>0</v>
      </c>
      <c r="F62" s="475">
        <v>0</v>
      </c>
      <c r="G62" s="475">
        <v>0</v>
      </c>
      <c r="H62" s="475">
        <v>0</v>
      </c>
      <c r="I62" s="475">
        <v>0</v>
      </c>
      <c r="J62" s="475">
        <v>0</v>
      </c>
      <c r="K62" s="475">
        <v>0</v>
      </c>
      <c r="L62" s="475">
        <v>0</v>
      </c>
      <c r="M62" s="475">
        <v>0</v>
      </c>
      <c r="N62" s="475">
        <v>0</v>
      </c>
      <c r="O62" s="475">
        <v>0</v>
      </c>
      <c r="P62" s="475">
        <v>0</v>
      </c>
      <c r="Q62" s="475">
        <v>0</v>
      </c>
      <c r="R62" s="475">
        <v>0</v>
      </c>
      <c r="S62" s="475">
        <v>0</v>
      </c>
      <c r="T62" s="475">
        <v>0</v>
      </c>
      <c r="U62" s="475">
        <v>0</v>
      </c>
      <c r="V62" s="475">
        <v>0</v>
      </c>
      <c r="W62" s="475">
        <v>0</v>
      </c>
      <c r="X62" s="475">
        <v>0</v>
      </c>
      <c r="Y62" s="475">
        <v>0</v>
      </c>
      <c r="Z62" s="475">
        <v>0</v>
      </c>
      <c r="AA62" s="475">
        <v>0</v>
      </c>
      <c r="AB62" s="475">
        <v>0</v>
      </c>
      <c r="AC62" s="475">
        <v>0</v>
      </c>
      <c r="AD62" s="475">
        <v>0</v>
      </c>
      <c r="AE62" s="475">
        <v>0</v>
      </c>
      <c r="AF62" s="475">
        <v>0</v>
      </c>
      <c r="AG62" s="475">
        <v>0</v>
      </c>
      <c r="AH62" s="475">
        <v>0</v>
      </c>
      <c r="AI62" s="475">
        <v>0</v>
      </c>
      <c r="AJ62" s="475">
        <v>0</v>
      </c>
      <c r="AK62" s="475">
        <v>0</v>
      </c>
      <c r="AL62" s="475">
        <v>0</v>
      </c>
      <c r="AM62" s="475">
        <v>0</v>
      </c>
      <c r="AN62" s="475">
        <v>0</v>
      </c>
      <c r="AO62" s="475">
        <v>0</v>
      </c>
      <c r="AP62" s="475">
        <v>0</v>
      </c>
      <c r="AQ62" s="475">
        <v>0</v>
      </c>
      <c r="AR62" s="475">
        <v>0</v>
      </c>
      <c r="AS62" s="475">
        <v>0</v>
      </c>
      <c r="AT62" s="475">
        <v>0</v>
      </c>
      <c r="AU62" s="475">
        <v>0</v>
      </c>
      <c r="AV62" s="475">
        <v>0</v>
      </c>
      <c r="AW62" s="475">
        <v>0</v>
      </c>
      <c r="AX62" s="475">
        <v>0</v>
      </c>
      <c r="AY62" s="475">
        <v>0</v>
      </c>
      <c r="AZ62" s="475">
        <v>0</v>
      </c>
      <c r="BA62" s="475">
        <v>0</v>
      </c>
      <c r="BB62" s="475">
        <v>0</v>
      </c>
      <c r="BC62" s="475">
        <v>0</v>
      </c>
    </row>
    <row r="63" spans="1:55">
      <c r="A63">
        <f t="shared" ca="1" si="3"/>
        <v>0</v>
      </c>
      <c r="B63">
        <f t="shared" si="4"/>
        <v>53</v>
      </c>
      <c r="C63">
        <f t="shared" si="2"/>
        <v>2078</v>
      </c>
      <c r="D63" s="475">
        <v>0</v>
      </c>
      <c r="E63" s="475">
        <v>0</v>
      </c>
      <c r="F63" s="475">
        <v>0</v>
      </c>
      <c r="G63" s="475">
        <v>0</v>
      </c>
      <c r="H63" s="475">
        <v>0</v>
      </c>
      <c r="I63" s="475">
        <v>0</v>
      </c>
      <c r="J63" s="475">
        <v>0</v>
      </c>
      <c r="K63" s="475">
        <v>0</v>
      </c>
      <c r="L63" s="475">
        <v>0</v>
      </c>
      <c r="M63" s="475">
        <v>0</v>
      </c>
      <c r="N63" s="475">
        <v>0</v>
      </c>
      <c r="O63" s="475">
        <v>0</v>
      </c>
      <c r="P63" s="475">
        <v>0</v>
      </c>
      <c r="Q63" s="475">
        <v>0</v>
      </c>
      <c r="R63" s="475">
        <v>0</v>
      </c>
      <c r="S63" s="475">
        <v>0</v>
      </c>
      <c r="T63" s="475">
        <v>0</v>
      </c>
      <c r="U63" s="475">
        <v>0</v>
      </c>
      <c r="V63" s="475">
        <v>0</v>
      </c>
      <c r="W63" s="475">
        <v>0</v>
      </c>
      <c r="X63" s="475">
        <v>0</v>
      </c>
      <c r="Y63" s="475">
        <v>0</v>
      </c>
      <c r="Z63" s="475">
        <v>0</v>
      </c>
      <c r="AA63" s="475">
        <v>0</v>
      </c>
      <c r="AB63" s="475">
        <v>0</v>
      </c>
      <c r="AC63" s="475">
        <v>0</v>
      </c>
      <c r="AD63" s="475">
        <v>0</v>
      </c>
      <c r="AE63" s="475">
        <v>0</v>
      </c>
      <c r="AF63" s="475">
        <v>0</v>
      </c>
      <c r="AG63" s="475">
        <v>0</v>
      </c>
      <c r="AH63" s="475">
        <v>0</v>
      </c>
      <c r="AI63" s="475">
        <v>0</v>
      </c>
      <c r="AJ63" s="475">
        <v>0</v>
      </c>
      <c r="AK63" s="475">
        <v>0</v>
      </c>
      <c r="AL63" s="475">
        <v>0</v>
      </c>
      <c r="AM63" s="475">
        <v>0</v>
      </c>
      <c r="AN63" s="475">
        <v>0</v>
      </c>
      <c r="AO63" s="475">
        <v>0</v>
      </c>
      <c r="AP63" s="475">
        <v>0</v>
      </c>
      <c r="AQ63" s="475">
        <v>0</v>
      </c>
      <c r="AR63" s="475">
        <v>0</v>
      </c>
      <c r="AS63" s="475">
        <v>0</v>
      </c>
      <c r="AT63" s="475">
        <v>0</v>
      </c>
      <c r="AU63" s="475">
        <v>0</v>
      </c>
      <c r="AV63" s="475">
        <v>0</v>
      </c>
      <c r="AW63" s="475">
        <v>0</v>
      </c>
      <c r="AX63" s="475">
        <v>0</v>
      </c>
      <c r="AY63" s="475">
        <v>0</v>
      </c>
      <c r="AZ63" s="475">
        <v>0</v>
      </c>
      <c r="BA63" s="475">
        <v>0</v>
      </c>
      <c r="BB63" s="475">
        <v>0</v>
      </c>
      <c r="BC63" s="475">
        <v>0</v>
      </c>
    </row>
    <row r="64" spans="1:55">
      <c r="A64">
        <f t="shared" ca="1" si="3"/>
        <v>0</v>
      </c>
      <c r="B64">
        <f t="shared" si="4"/>
        <v>54</v>
      </c>
      <c r="C64">
        <f t="shared" si="2"/>
        <v>2079</v>
      </c>
      <c r="D64" s="475">
        <v>0</v>
      </c>
      <c r="E64" s="475">
        <v>0</v>
      </c>
      <c r="F64" s="475">
        <v>0</v>
      </c>
      <c r="G64" s="475">
        <v>0</v>
      </c>
      <c r="H64" s="475">
        <v>0</v>
      </c>
      <c r="I64" s="475">
        <v>0</v>
      </c>
      <c r="J64" s="475">
        <v>0</v>
      </c>
      <c r="K64" s="475">
        <v>0</v>
      </c>
      <c r="L64" s="475">
        <v>0</v>
      </c>
      <c r="M64" s="475">
        <v>0</v>
      </c>
      <c r="N64" s="475">
        <v>0</v>
      </c>
      <c r="O64" s="475">
        <v>0</v>
      </c>
      <c r="P64" s="475">
        <v>0</v>
      </c>
      <c r="Q64" s="475">
        <v>0</v>
      </c>
      <c r="R64" s="475">
        <v>0</v>
      </c>
      <c r="S64" s="475">
        <v>0</v>
      </c>
      <c r="T64" s="475">
        <v>0</v>
      </c>
      <c r="U64" s="475">
        <v>0</v>
      </c>
      <c r="V64" s="475">
        <v>0</v>
      </c>
      <c r="W64" s="475">
        <v>0</v>
      </c>
      <c r="X64" s="475">
        <v>0</v>
      </c>
      <c r="Y64" s="475">
        <v>0</v>
      </c>
      <c r="Z64" s="475">
        <v>0</v>
      </c>
      <c r="AA64" s="475">
        <v>0</v>
      </c>
      <c r="AB64" s="475">
        <v>0</v>
      </c>
      <c r="AC64" s="475">
        <v>0</v>
      </c>
      <c r="AD64" s="475">
        <v>0</v>
      </c>
      <c r="AE64" s="475">
        <v>0</v>
      </c>
      <c r="AF64" s="475">
        <v>0</v>
      </c>
      <c r="AG64" s="475">
        <v>0</v>
      </c>
      <c r="AH64" s="475">
        <v>0</v>
      </c>
      <c r="AI64" s="475">
        <v>0</v>
      </c>
      <c r="AJ64" s="475">
        <v>0</v>
      </c>
      <c r="AK64" s="475">
        <v>0</v>
      </c>
      <c r="AL64" s="475">
        <v>0</v>
      </c>
      <c r="AM64" s="475">
        <v>0</v>
      </c>
      <c r="AN64" s="475">
        <v>0</v>
      </c>
      <c r="AO64" s="475">
        <v>0</v>
      </c>
      <c r="AP64" s="475">
        <v>0</v>
      </c>
      <c r="AQ64" s="475">
        <v>0</v>
      </c>
      <c r="AR64" s="475">
        <v>0</v>
      </c>
      <c r="AS64" s="475">
        <v>0</v>
      </c>
      <c r="AT64" s="475">
        <v>0</v>
      </c>
      <c r="AU64" s="475">
        <v>0</v>
      </c>
      <c r="AV64" s="475">
        <v>0</v>
      </c>
      <c r="AW64" s="475">
        <v>0</v>
      </c>
      <c r="AX64" s="475">
        <v>0</v>
      </c>
      <c r="AY64" s="475">
        <v>0</v>
      </c>
      <c r="AZ64" s="475">
        <v>0</v>
      </c>
      <c r="BA64" s="475">
        <v>0</v>
      </c>
      <c r="BB64" s="475">
        <v>0</v>
      </c>
      <c r="BC64" s="475">
        <v>0</v>
      </c>
    </row>
    <row r="65" spans="1:55">
      <c r="A65">
        <f t="shared" ca="1" si="3"/>
        <v>0</v>
      </c>
      <c r="B65">
        <f t="shared" si="4"/>
        <v>55</v>
      </c>
      <c r="C65">
        <f t="shared" si="2"/>
        <v>2080</v>
      </c>
      <c r="D65" s="475">
        <v>0</v>
      </c>
      <c r="E65" s="475">
        <v>0</v>
      </c>
      <c r="F65" s="475">
        <v>0</v>
      </c>
      <c r="G65" s="475">
        <v>0</v>
      </c>
      <c r="H65" s="475">
        <v>0</v>
      </c>
      <c r="I65" s="475">
        <v>0</v>
      </c>
      <c r="J65" s="475">
        <v>0</v>
      </c>
      <c r="K65" s="475">
        <v>0</v>
      </c>
      <c r="L65" s="475">
        <v>0</v>
      </c>
      <c r="M65" s="475">
        <v>0</v>
      </c>
      <c r="N65" s="475">
        <v>0</v>
      </c>
      <c r="O65" s="475">
        <v>0</v>
      </c>
      <c r="P65" s="475">
        <v>0</v>
      </c>
      <c r="Q65" s="475">
        <v>0</v>
      </c>
      <c r="R65" s="475">
        <v>0</v>
      </c>
      <c r="S65" s="475">
        <v>0</v>
      </c>
      <c r="T65" s="475">
        <v>0</v>
      </c>
      <c r="U65" s="475">
        <v>0</v>
      </c>
      <c r="V65" s="475">
        <v>0</v>
      </c>
      <c r="W65" s="475">
        <v>0</v>
      </c>
      <c r="X65" s="475">
        <v>0</v>
      </c>
      <c r="Y65" s="475">
        <v>0</v>
      </c>
      <c r="Z65" s="475">
        <v>0</v>
      </c>
      <c r="AA65" s="475">
        <v>0</v>
      </c>
      <c r="AB65" s="475">
        <v>0</v>
      </c>
      <c r="AC65" s="475">
        <v>0</v>
      </c>
      <c r="AD65" s="475">
        <v>0</v>
      </c>
      <c r="AE65" s="475">
        <v>0</v>
      </c>
      <c r="AF65" s="475">
        <v>0</v>
      </c>
      <c r="AG65" s="475">
        <v>0</v>
      </c>
      <c r="AH65" s="475">
        <v>0</v>
      </c>
      <c r="AI65" s="475">
        <v>0</v>
      </c>
      <c r="AJ65" s="475">
        <v>0</v>
      </c>
      <c r="AK65" s="475">
        <v>0</v>
      </c>
      <c r="AL65" s="475">
        <v>0</v>
      </c>
      <c r="AM65" s="475">
        <v>0</v>
      </c>
      <c r="AN65" s="475">
        <v>0</v>
      </c>
      <c r="AO65" s="475">
        <v>0</v>
      </c>
      <c r="AP65" s="475">
        <v>0</v>
      </c>
      <c r="AQ65" s="475">
        <v>0</v>
      </c>
      <c r="AR65" s="475">
        <v>0</v>
      </c>
      <c r="AS65" s="475">
        <v>0</v>
      </c>
      <c r="AT65" s="475">
        <v>0</v>
      </c>
      <c r="AU65" s="475">
        <v>0</v>
      </c>
      <c r="AV65" s="475">
        <v>0</v>
      </c>
      <c r="AW65" s="475">
        <v>0</v>
      </c>
      <c r="AX65" s="475">
        <v>0</v>
      </c>
      <c r="AY65" s="475">
        <v>0</v>
      </c>
      <c r="AZ65" s="475">
        <v>0</v>
      </c>
      <c r="BA65" s="475">
        <v>0</v>
      </c>
      <c r="BB65" s="475">
        <v>0</v>
      </c>
      <c r="BC65" s="475">
        <v>0</v>
      </c>
    </row>
    <row r="66" spans="1:55">
      <c r="A66">
        <f t="shared" ca="1" si="3"/>
        <v>0</v>
      </c>
      <c r="B66">
        <f t="shared" si="4"/>
        <v>56</v>
      </c>
      <c r="C66">
        <f t="shared" si="2"/>
        <v>2081</v>
      </c>
      <c r="D66" s="475">
        <v>0</v>
      </c>
      <c r="E66" s="475">
        <v>0</v>
      </c>
      <c r="F66" s="475">
        <v>0</v>
      </c>
      <c r="G66" s="475">
        <v>0</v>
      </c>
      <c r="H66" s="475">
        <v>0</v>
      </c>
      <c r="I66" s="475">
        <v>0</v>
      </c>
      <c r="J66" s="475">
        <v>0</v>
      </c>
      <c r="K66" s="475">
        <v>0</v>
      </c>
      <c r="L66" s="475">
        <v>0</v>
      </c>
      <c r="M66" s="475">
        <v>0</v>
      </c>
      <c r="N66" s="475">
        <v>0</v>
      </c>
      <c r="O66" s="475">
        <v>0</v>
      </c>
      <c r="P66" s="475">
        <v>0</v>
      </c>
      <c r="Q66" s="475">
        <v>0</v>
      </c>
      <c r="R66" s="475">
        <v>0</v>
      </c>
      <c r="S66" s="475">
        <v>0</v>
      </c>
      <c r="T66" s="475">
        <v>0</v>
      </c>
      <c r="U66" s="475">
        <v>0</v>
      </c>
      <c r="V66" s="475">
        <v>0</v>
      </c>
      <c r="W66" s="475">
        <v>0</v>
      </c>
      <c r="X66" s="475">
        <v>0</v>
      </c>
      <c r="Y66" s="475">
        <v>0</v>
      </c>
      <c r="Z66" s="475">
        <v>0</v>
      </c>
      <c r="AA66" s="475">
        <v>0</v>
      </c>
      <c r="AB66" s="475">
        <v>0</v>
      </c>
      <c r="AC66" s="475">
        <v>0</v>
      </c>
      <c r="AD66" s="475">
        <v>0</v>
      </c>
      <c r="AE66" s="475">
        <v>0</v>
      </c>
      <c r="AF66" s="475">
        <v>0</v>
      </c>
      <c r="AG66" s="475">
        <v>0</v>
      </c>
      <c r="AH66" s="475">
        <v>0</v>
      </c>
      <c r="AI66" s="475">
        <v>0</v>
      </c>
      <c r="AJ66" s="475">
        <v>0</v>
      </c>
      <c r="AK66" s="475">
        <v>0</v>
      </c>
      <c r="AL66" s="475">
        <v>0</v>
      </c>
      <c r="AM66" s="475">
        <v>0</v>
      </c>
      <c r="AN66" s="475">
        <v>0</v>
      </c>
      <c r="AO66" s="475">
        <v>0</v>
      </c>
      <c r="AP66" s="475">
        <v>0</v>
      </c>
      <c r="AQ66" s="475">
        <v>0</v>
      </c>
      <c r="AR66" s="475">
        <v>0</v>
      </c>
      <c r="AS66" s="475">
        <v>0</v>
      </c>
      <c r="AT66" s="475">
        <v>0</v>
      </c>
      <c r="AU66" s="475">
        <v>0</v>
      </c>
      <c r="AV66" s="475">
        <v>0</v>
      </c>
      <c r="AW66" s="475">
        <v>0</v>
      </c>
      <c r="AX66" s="475">
        <v>0</v>
      </c>
      <c r="AY66" s="475">
        <v>0</v>
      </c>
      <c r="AZ66" s="475">
        <v>0</v>
      </c>
      <c r="BA66" s="475">
        <v>0</v>
      </c>
      <c r="BB66" s="475">
        <v>0</v>
      </c>
      <c r="BC66" s="475">
        <v>0</v>
      </c>
    </row>
    <row r="67" spans="1:55">
      <c r="A67">
        <f t="shared" ca="1" si="3"/>
        <v>0</v>
      </c>
      <c r="B67">
        <f t="shared" si="4"/>
        <v>57</v>
      </c>
      <c r="C67">
        <f t="shared" si="2"/>
        <v>2082</v>
      </c>
      <c r="D67" s="475">
        <v>0</v>
      </c>
      <c r="E67" s="475">
        <v>0</v>
      </c>
      <c r="F67" s="475">
        <v>0</v>
      </c>
      <c r="G67" s="475">
        <v>0</v>
      </c>
      <c r="H67" s="475">
        <v>0</v>
      </c>
      <c r="I67" s="475">
        <v>0</v>
      </c>
      <c r="J67" s="475">
        <v>0</v>
      </c>
      <c r="K67" s="475">
        <v>0</v>
      </c>
      <c r="L67" s="475">
        <v>0</v>
      </c>
      <c r="M67" s="475">
        <v>0</v>
      </c>
      <c r="N67" s="475">
        <v>0</v>
      </c>
      <c r="O67" s="475">
        <v>0</v>
      </c>
      <c r="P67" s="475">
        <v>0</v>
      </c>
      <c r="Q67" s="475">
        <v>0</v>
      </c>
      <c r="R67" s="475">
        <v>0</v>
      </c>
      <c r="S67" s="475">
        <v>0</v>
      </c>
      <c r="T67" s="475">
        <v>0</v>
      </c>
      <c r="U67" s="475">
        <v>0</v>
      </c>
      <c r="V67" s="475">
        <v>0</v>
      </c>
      <c r="W67" s="475">
        <v>0</v>
      </c>
      <c r="X67" s="475">
        <v>0</v>
      </c>
      <c r="Y67" s="475">
        <v>0</v>
      </c>
      <c r="Z67" s="475">
        <v>0</v>
      </c>
      <c r="AA67" s="475">
        <v>0</v>
      </c>
      <c r="AB67" s="475">
        <v>0</v>
      </c>
      <c r="AC67" s="475">
        <v>0</v>
      </c>
      <c r="AD67" s="475">
        <v>0</v>
      </c>
      <c r="AE67" s="475">
        <v>0</v>
      </c>
      <c r="AF67" s="475">
        <v>0</v>
      </c>
      <c r="AG67" s="475">
        <v>0</v>
      </c>
      <c r="AH67" s="475">
        <v>0</v>
      </c>
      <c r="AI67" s="475">
        <v>0</v>
      </c>
      <c r="AJ67" s="475">
        <v>0</v>
      </c>
      <c r="AK67" s="475">
        <v>0</v>
      </c>
      <c r="AL67" s="475">
        <v>0</v>
      </c>
      <c r="AM67" s="475">
        <v>0</v>
      </c>
      <c r="AN67" s="475">
        <v>0</v>
      </c>
      <c r="AO67" s="475">
        <v>0</v>
      </c>
      <c r="AP67" s="475">
        <v>0</v>
      </c>
      <c r="AQ67" s="475">
        <v>0</v>
      </c>
      <c r="AR67" s="475">
        <v>0</v>
      </c>
      <c r="AS67" s="475">
        <v>0</v>
      </c>
      <c r="AT67" s="475">
        <v>0</v>
      </c>
      <c r="AU67" s="475">
        <v>0</v>
      </c>
      <c r="AV67" s="475">
        <v>0</v>
      </c>
      <c r="AW67" s="475">
        <v>0</v>
      </c>
      <c r="AX67" s="475">
        <v>0</v>
      </c>
      <c r="AY67" s="475">
        <v>0</v>
      </c>
      <c r="AZ67" s="475">
        <v>0</v>
      </c>
      <c r="BA67" s="475">
        <v>0</v>
      </c>
      <c r="BB67" s="475">
        <v>0</v>
      </c>
      <c r="BC67" s="475">
        <v>0</v>
      </c>
    </row>
    <row r="68" spans="1:55">
      <c r="A68">
        <f t="shared" ref="A68:A78" ca="1" si="5">(C68&lt;=end_year)*1</f>
        <v>0</v>
      </c>
      <c r="B68">
        <f t="shared" ref="B68:B78" si="6">C68-begin_year+1</f>
        <v>58</v>
      </c>
      <c r="C68">
        <f t="shared" si="2"/>
        <v>2083</v>
      </c>
      <c r="D68" s="475">
        <v>0</v>
      </c>
      <c r="E68" s="475">
        <v>0</v>
      </c>
      <c r="F68" s="475">
        <v>0</v>
      </c>
      <c r="G68" s="475">
        <v>0</v>
      </c>
      <c r="H68" s="475">
        <v>0</v>
      </c>
      <c r="I68" s="475">
        <v>0</v>
      </c>
      <c r="J68" s="475">
        <v>0</v>
      </c>
      <c r="K68" s="475">
        <v>0</v>
      </c>
      <c r="L68" s="475">
        <v>0</v>
      </c>
      <c r="M68" s="475">
        <v>0</v>
      </c>
      <c r="N68" s="475">
        <v>0</v>
      </c>
      <c r="O68" s="475">
        <v>0</v>
      </c>
      <c r="P68" s="475">
        <v>0</v>
      </c>
      <c r="Q68" s="475">
        <v>0</v>
      </c>
      <c r="R68" s="475">
        <v>0</v>
      </c>
      <c r="S68" s="475">
        <v>0</v>
      </c>
      <c r="T68" s="475">
        <v>0</v>
      </c>
      <c r="U68" s="475">
        <v>0</v>
      </c>
      <c r="V68" s="475">
        <v>0</v>
      </c>
      <c r="W68" s="475">
        <v>0</v>
      </c>
      <c r="X68" s="475">
        <v>0</v>
      </c>
      <c r="Y68" s="475">
        <v>0</v>
      </c>
      <c r="Z68" s="475">
        <v>0</v>
      </c>
      <c r="AA68" s="475">
        <v>0</v>
      </c>
      <c r="AB68" s="475">
        <v>0</v>
      </c>
      <c r="AC68" s="475">
        <v>0</v>
      </c>
      <c r="AD68" s="475">
        <v>0</v>
      </c>
      <c r="AE68" s="475">
        <v>0</v>
      </c>
      <c r="AF68" s="475">
        <v>0</v>
      </c>
      <c r="AG68" s="475">
        <v>0</v>
      </c>
      <c r="AH68" s="475">
        <v>0</v>
      </c>
      <c r="AI68" s="475">
        <v>0</v>
      </c>
      <c r="AJ68" s="475">
        <v>0</v>
      </c>
      <c r="AK68" s="475">
        <v>0</v>
      </c>
      <c r="AL68" s="475">
        <v>0</v>
      </c>
      <c r="AM68" s="475">
        <v>0</v>
      </c>
      <c r="AN68" s="475">
        <v>0</v>
      </c>
      <c r="AO68" s="475">
        <v>0</v>
      </c>
      <c r="AP68" s="475">
        <v>0</v>
      </c>
      <c r="AQ68" s="475">
        <v>0</v>
      </c>
      <c r="AR68" s="475">
        <v>0</v>
      </c>
      <c r="AS68" s="475">
        <v>0</v>
      </c>
      <c r="AT68" s="475">
        <v>0</v>
      </c>
      <c r="AU68" s="475">
        <v>0</v>
      </c>
      <c r="AV68" s="475">
        <v>0</v>
      </c>
      <c r="AW68" s="475">
        <v>0</v>
      </c>
      <c r="AX68" s="475">
        <v>0</v>
      </c>
      <c r="AY68" s="475">
        <v>0</v>
      </c>
      <c r="AZ68" s="475">
        <v>0</v>
      </c>
      <c r="BA68" s="475">
        <v>0</v>
      </c>
      <c r="BB68" s="475">
        <v>0</v>
      </c>
      <c r="BC68" s="475">
        <v>0</v>
      </c>
    </row>
    <row r="69" spans="1:55">
      <c r="A69">
        <f t="shared" ca="1" si="5"/>
        <v>0</v>
      </c>
      <c r="B69">
        <f t="shared" si="6"/>
        <v>59</v>
      </c>
      <c r="C69">
        <f t="shared" si="2"/>
        <v>2084</v>
      </c>
      <c r="D69" s="475">
        <v>0</v>
      </c>
      <c r="E69" s="475">
        <v>0</v>
      </c>
      <c r="F69" s="475">
        <v>0</v>
      </c>
      <c r="G69" s="475">
        <v>0</v>
      </c>
      <c r="H69" s="475">
        <v>0</v>
      </c>
      <c r="I69" s="475">
        <v>0</v>
      </c>
      <c r="J69" s="475">
        <v>0</v>
      </c>
      <c r="K69" s="475">
        <v>0</v>
      </c>
      <c r="L69" s="475">
        <v>0</v>
      </c>
      <c r="M69" s="475">
        <v>0</v>
      </c>
      <c r="N69" s="475">
        <v>0</v>
      </c>
      <c r="O69" s="475">
        <v>0</v>
      </c>
      <c r="P69" s="475">
        <v>0</v>
      </c>
      <c r="Q69" s="475">
        <v>0</v>
      </c>
      <c r="R69" s="475">
        <v>0</v>
      </c>
      <c r="S69" s="475">
        <v>0</v>
      </c>
      <c r="T69" s="475">
        <v>0</v>
      </c>
      <c r="U69" s="475">
        <v>0</v>
      </c>
      <c r="V69" s="475">
        <v>0</v>
      </c>
      <c r="W69" s="475">
        <v>0</v>
      </c>
      <c r="X69" s="475">
        <v>0</v>
      </c>
      <c r="Y69" s="475">
        <v>0</v>
      </c>
      <c r="Z69" s="475">
        <v>0</v>
      </c>
      <c r="AA69" s="475">
        <v>0</v>
      </c>
      <c r="AB69" s="475">
        <v>0</v>
      </c>
      <c r="AC69" s="475">
        <v>0</v>
      </c>
      <c r="AD69" s="475">
        <v>0</v>
      </c>
      <c r="AE69" s="475">
        <v>0</v>
      </c>
      <c r="AF69" s="475">
        <v>0</v>
      </c>
      <c r="AG69" s="475">
        <v>0</v>
      </c>
      <c r="AH69" s="475">
        <v>0</v>
      </c>
      <c r="AI69" s="475">
        <v>0</v>
      </c>
      <c r="AJ69" s="475">
        <v>0</v>
      </c>
      <c r="AK69" s="475">
        <v>0</v>
      </c>
      <c r="AL69" s="475">
        <v>0</v>
      </c>
      <c r="AM69" s="475">
        <v>0</v>
      </c>
      <c r="AN69" s="475">
        <v>0</v>
      </c>
      <c r="AO69" s="475">
        <v>0</v>
      </c>
      <c r="AP69" s="475">
        <v>0</v>
      </c>
      <c r="AQ69" s="475">
        <v>0</v>
      </c>
      <c r="AR69" s="475">
        <v>0</v>
      </c>
      <c r="AS69" s="475">
        <v>0</v>
      </c>
      <c r="AT69" s="475">
        <v>0</v>
      </c>
      <c r="AU69" s="475">
        <v>0</v>
      </c>
      <c r="AV69" s="475">
        <v>0</v>
      </c>
      <c r="AW69" s="475">
        <v>0</v>
      </c>
      <c r="AX69" s="475">
        <v>0</v>
      </c>
      <c r="AY69" s="475">
        <v>0</v>
      </c>
      <c r="AZ69" s="475">
        <v>0</v>
      </c>
      <c r="BA69" s="475">
        <v>0</v>
      </c>
      <c r="BB69" s="475">
        <v>0</v>
      </c>
      <c r="BC69" s="475">
        <v>0</v>
      </c>
    </row>
    <row r="70" spans="1:55">
      <c r="A70">
        <f t="shared" ca="1" si="5"/>
        <v>0</v>
      </c>
      <c r="B70">
        <f t="shared" si="6"/>
        <v>60</v>
      </c>
      <c r="C70">
        <f t="shared" ref="C70:C78" si="7">C69+1</f>
        <v>2085</v>
      </c>
      <c r="D70" s="475">
        <v>0</v>
      </c>
      <c r="E70" s="475">
        <v>0</v>
      </c>
      <c r="F70" s="475">
        <v>0</v>
      </c>
      <c r="G70" s="475">
        <v>0</v>
      </c>
      <c r="H70" s="475">
        <v>0</v>
      </c>
      <c r="I70" s="475">
        <v>0</v>
      </c>
      <c r="J70" s="475">
        <v>0</v>
      </c>
      <c r="K70" s="475">
        <v>0</v>
      </c>
      <c r="L70" s="475">
        <v>0</v>
      </c>
      <c r="M70" s="475">
        <v>0</v>
      </c>
      <c r="N70" s="475">
        <v>0</v>
      </c>
      <c r="O70" s="475">
        <v>0</v>
      </c>
      <c r="P70" s="475">
        <v>0</v>
      </c>
      <c r="Q70" s="475">
        <v>0</v>
      </c>
      <c r="R70" s="475">
        <v>0</v>
      </c>
      <c r="S70" s="475">
        <v>0</v>
      </c>
      <c r="T70" s="475">
        <v>0</v>
      </c>
      <c r="U70" s="475">
        <v>0</v>
      </c>
      <c r="V70" s="475">
        <v>0</v>
      </c>
      <c r="W70" s="475">
        <v>0</v>
      </c>
      <c r="X70" s="475">
        <v>0</v>
      </c>
      <c r="Y70" s="475">
        <v>0</v>
      </c>
      <c r="Z70" s="475">
        <v>0</v>
      </c>
      <c r="AA70" s="475">
        <v>0</v>
      </c>
      <c r="AB70" s="475">
        <v>0</v>
      </c>
      <c r="AC70" s="475">
        <v>0</v>
      </c>
      <c r="AD70" s="475">
        <v>0</v>
      </c>
      <c r="AE70" s="475">
        <v>0</v>
      </c>
      <c r="AF70" s="475">
        <v>0</v>
      </c>
      <c r="AG70" s="475">
        <v>0</v>
      </c>
      <c r="AH70" s="475">
        <v>0</v>
      </c>
      <c r="AI70" s="475">
        <v>0</v>
      </c>
      <c r="AJ70" s="475">
        <v>0</v>
      </c>
      <c r="AK70" s="475">
        <v>0</v>
      </c>
      <c r="AL70" s="475">
        <v>0</v>
      </c>
      <c r="AM70" s="475">
        <v>0</v>
      </c>
      <c r="AN70" s="475">
        <v>0</v>
      </c>
      <c r="AO70" s="475">
        <v>0</v>
      </c>
      <c r="AP70" s="475">
        <v>0</v>
      </c>
      <c r="AQ70" s="475">
        <v>0</v>
      </c>
      <c r="AR70" s="475">
        <v>0</v>
      </c>
      <c r="AS70" s="475">
        <v>0</v>
      </c>
      <c r="AT70" s="475">
        <v>0</v>
      </c>
      <c r="AU70" s="475">
        <v>0</v>
      </c>
      <c r="AV70" s="475">
        <v>0</v>
      </c>
      <c r="AW70" s="475">
        <v>0</v>
      </c>
      <c r="AX70" s="475">
        <v>0</v>
      </c>
      <c r="AY70" s="475">
        <v>0</v>
      </c>
      <c r="AZ70" s="475">
        <v>0</v>
      </c>
      <c r="BA70" s="475">
        <v>0</v>
      </c>
      <c r="BB70" s="475">
        <v>0</v>
      </c>
      <c r="BC70" s="475">
        <v>0</v>
      </c>
    </row>
    <row r="71" spans="1:55">
      <c r="A71">
        <f t="shared" ca="1" si="5"/>
        <v>0</v>
      </c>
      <c r="B71">
        <f t="shared" si="6"/>
        <v>61</v>
      </c>
      <c r="C71">
        <f t="shared" si="7"/>
        <v>2086</v>
      </c>
      <c r="D71" s="475">
        <v>0</v>
      </c>
      <c r="E71" s="475">
        <v>0</v>
      </c>
      <c r="F71" s="475">
        <v>0</v>
      </c>
      <c r="G71" s="475">
        <v>0</v>
      </c>
      <c r="H71" s="475">
        <v>0</v>
      </c>
      <c r="I71" s="475">
        <v>0</v>
      </c>
      <c r="J71" s="475">
        <v>0</v>
      </c>
      <c r="K71" s="475">
        <v>0</v>
      </c>
      <c r="L71" s="475">
        <v>0</v>
      </c>
      <c r="M71" s="475">
        <v>0</v>
      </c>
      <c r="N71" s="475">
        <v>0</v>
      </c>
      <c r="O71" s="475">
        <v>0</v>
      </c>
      <c r="P71" s="475">
        <v>0</v>
      </c>
      <c r="Q71" s="475">
        <v>0</v>
      </c>
      <c r="R71" s="475">
        <v>0</v>
      </c>
      <c r="S71" s="475">
        <v>0</v>
      </c>
      <c r="T71" s="475">
        <v>0</v>
      </c>
      <c r="U71" s="475">
        <v>0</v>
      </c>
      <c r="V71" s="475">
        <v>0</v>
      </c>
      <c r="W71" s="475">
        <v>0</v>
      </c>
      <c r="X71" s="475">
        <v>0</v>
      </c>
      <c r="Y71" s="475">
        <v>0</v>
      </c>
      <c r="Z71" s="475">
        <v>0</v>
      </c>
      <c r="AA71" s="475">
        <v>0</v>
      </c>
      <c r="AB71" s="475">
        <v>0</v>
      </c>
      <c r="AC71" s="475">
        <v>0</v>
      </c>
      <c r="AD71" s="475">
        <v>0</v>
      </c>
      <c r="AE71" s="475">
        <v>0</v>
      </c>
      <c r="AF71" s="475">
        <v>0</v>
      </c>
      <c r="AG71" s="475">
        <v>0</v>
      </c>
      <c r="AH71" s="475">
        <v>0</v>
      </c>
      <c r="AI71" s="475">
        <v>0</v>
      </c>
      <c r="AJ71" s="475">
        <v>0</v>
      </c>
      <c r="AK71" s="475">
        <v>0</v>
      </c>
      <c r="AL71" s="475">
        <v>0</v>
      </c>
      <c r="AM71" s="475">
        <v>0</v>
      </c>
      <c r="AN71" s="475">
        <v>0</v>
      </c>
      <c r="AO71" s="475">
        <v>0</v>
      </c>
      <c r="AP71" s="475">
        <v>0</v>
      </c>
      <c r="AQ71" s="475">
        <v>0</v>
      </c>
      <c r="AR71" s="475">
        <v>0</v>
      </c>
      <c r="AS71" s="475">
        <v>0</v>
      </c>
      <c r="AT71" s="475">
        <v>0</v>
      </c>
      <c r="AU71" s="475">
        <v>0</v>
      </c>
      <c r="AV71" s="475">
        <v>0</v>
      </c>
      <c r="AW71" s="475">
        <v>0</v>
      </c>
      <c r="AX71" s="475">
        <v>0</v>
      </c>
      <c r="AY71" s="475">
        <v>0</v>
      </c>
      <c r="AZ71" s="475">
        <v>0</v>
      </c>
      <c r="BA71" s="475">
        <v>0</v>
      </c>
      <c r="BB71" s="475">
        <v>0</v>
      </c>
      <c r="BC71" s="475">
        <v>0</v>
      </c>
    </row>
    <row r="72" spans="1:55">
      <c r="A72">
        <f t="shared" ca="1" si="5"/>
        <v>0</v>
      </c>
      <c r="B72">
        <f t="shared" si="6"/>
        <v>62</v>
      </c>
      <c r="C72">
        <f t="shared" si="7"/>
        <v>2087</v>
      </c>
      <c r="D72" s="475">
        <v>0</v>
      </c>
      <c r="E72" s="475">
        <v>0</v>
      </c>
      <c r="F72" s="475">
        <v>0</v>
      </c>
      <c r="G72" s="475">
        <v>0</v>
      </c>
      <c r="H72" s="475">
        <v>0</v>
      </c>
      <c r="I72" s="475">
        <v>0</v>
      </c>
      <c r="J72" s="475">
        <v>0</v>
      </c>
      <c r="K72" s="475">
        <v>0</v>
      </c>
      <c r="L72" s="475">
        <v>0</v>
      </c>
      <c r="M72" s="475">
        <v>0</v>
      </c>
      <c r="N72" s="475">
        <v>0</v>
      </c>
      <c r="O72" s="475">
        <v>0</v>
      </c>
      <c r="P72" s="475">
        <v>0</v>
      </c>
      <c r="Q72" s="475">
        <v>0</v>
      </c>
      <c r="R72" s="475">
        <v>0</v>
      </c>
      <c r="S72" s="475">
        <v>0</v>
      </c>
      <c r="T72" s="475">
        <v>0</v>
      </c>
      <c r="U72" s="475">
        <v>0</v>
      </c>
      <c r="V72" s="475">
        <v>0</v>
      </c>
      <c r="W72" s="475">
        <v>0</v>
      </c>
      <c r="X72" s="475">
        <v>0</v>
      </c>
      <c r="Y72" s="475">
        <v>0</v>
      </c>
      <c r="Z72" s="475">
        <v>0</v>
      </c>
      <c r="AA72" s="475">
        <v>0</v>
      </c>
      <c r="AB72" s="475">
        <v>0</v>
      </c>
      <c r="AC72" s="475">
        <v>0</v>
      </c>
      <c r="AD72" s="475">
        <v>0</v>
      </c>
      <c r="AE72" s="475">
        <v>0</v>
      </c>
      <c r="AF72" s="475">
        <v>0</v>
      </c>
      <c r="AG72" s="475">
        <v>0</v>
      </c>
      <c r="AH72" s="475">
        <v>0</v>
      </c>
      <c r="AI72" s="475">
        <v>0</v>
      </c>
      <c r="AJ72" s="475">
        <v>0</v>
      </c>
      <c r="AK72" s="475">
        <v>0</v>
      </c>
      <c r="AL72" s="475">
        <v>0</v>
      </c>
      <c r="AM72" s="475">
        <v>0</v>
      </c>
      <c r="AN72" s="475">
        <v>0</v>
      </c>
      <c r="AO72" s="475">
        <v>0</v>
      </c>
      <c r="AP72" s="475">
        <v>0</v>
      </c>
      <c r="AQ72" s="475">
        <v>0</v>
      </c>
      <c r="AR72" s="475">
        <v>0</v>
      </c>
      <c r="AS72" s="475">
        <v>0</v>
      </c>
      <c r="AT72" s="475">
        <v>0</v>
      </c>
      <c r="AU72" s="475">
        <v>0</v>
      </c>
      <c r="AV72" s="475">
        <v>0</v>
      </c>
      <c r="AW72" s="475">
        <v>0</v>
      </c>
      <c r="AX72" s="475">
        <v>0</v>
      </c>
      <c r="AY72" s="475">
        <v>0</v>
      </c>
      <c r="AZ72" s="475">
        <v>0</v>
      </c>
      <c r="BA72" s="475">
        <v>0</v>
      </c>
      <c r="BB72" s="475">
        <v>0</v>
      </c>
      <c r="BC72" s="475">
        <v>0</v>
      </c>
    </row>
    <row r="73" spans="1:55">
      <c r="A73">
        <f t="shared" ca="1" si="5"/>
        <v>0</v>
      </c>
      <c r="B73">
        <f t="shared" si="6"/>
        <v>63</v>
      </c>
      <c r="C73">
        <f t="shared" si="7"/>
        <v>2088</v>
      </c>
      <c r="D73" s="475">
        <v>0</v>
      </c>
      <c r="E73" s="475">
        <v>0</v>
      </c>
      <c r="F73" s="475">
        <v>0</v>
      </c>
      <c r="G73" s="475">
        <v>0</v>
      </c>
      <c r="H73" s="475">
        <v>0</v>
      </c>
      <c r="I73" s="475">
        <v>0</v>
      </c>
      <c r="J73" s="475">
        <v>0</v>
      </c>
      <c r="K73" s="475">
        <v>0</v>
      </c>
      <c r="L73" s="475">
        <v>0</v>
      </c>
      <c r="M73" s="475">
        <v>0</v>
      </c>
      <c r="N73" s="475">
        <v>0</v>
      </c>
      <c r="O73" s="475">
        <v>0</v>
      </c>
      <c r="P73" s="475">
        <v>0</v>
      </c>
      <c r="Q73" s="475">
        <v>0</v>
      </c>
      <c r="R73" s="475">
        <v>0</v>
      </c>
      <c r="S73" s="475">
        <v>0</v>
      </c>
      <c r="T73" s="475">
        <v>0</v>
      </c>
      <c r="U73" s="475">
        <v>0</v>
      </c>
      <c r="V73" s="475">
        <v>0</v>
      </c>
      <c r="W73" s="475">
        <v>0</v>
      </c>
      <c r="X73" s="475">
        <v>0</v>
      </c>
      <c r="Y73" s="475">
        <v>0</v>
      </c>
      <c r="Z73" s="475">
        <v>0</v>
      </c>
      <c r="AA73" s="475">
        <v>0</v>
      </c>
      <c r="AB73" s="475">
        <v>0</v>
      </c>
      <c r="AC73" s="475">
        <v>0</v>
      </c>
      <c r="AD73" s="475">
        <v>0</v>
      </c>
      <c r="AE73" s="475">
        <v>0</v>
      </c>
      <c r="AF73" s="475">
        <v>0</v>
      </c>
      <c r="AG73" s="475">
        <v>0</v>
      </c>
      <c r="AH73" s="475">
        <v>0</v>
      </c>
      <c r="AI73" s="475">
        <v>0</v>
      </c>
      <c r="AJ73" s="475">
        <v>0</v>
      </c>
      <c r="AK73" s="475">
        <v>0</v>
      </c>
      <c r="AL73" s="475">
        <v>0</v>
      </c>
      <c r="AM73" s="475">
        <v>0</v>
      </c>
      <c r="AN73" s="475">
        <v>0</v>
      </c>
      <c r="AO73" s="475">
        <v>0</v>
      </c>
      <c r="AP73" s="475">
        <v>0</v>
      </c>
      <c r="AQ73" s="475">
        <v>0</v>
      </c>
      <c r="AR73" s="475">
        <v>0</v>
      </c>
      <c r="AS73" s="475">
        <v>0</v>
      </c>
      <c r="AT73" s="475">
        <v>0</v>
      </c>
      <c r="AU73" s="475">
        <v>0</v>
      </c>
      <c r="AV73" s="475">
        <v>0</v>
      </c>
      <c r="AW73" s="475">
        <v>0</v>
      </c>
      <c r="AX73" s="475">
        <v>0</v>
      </c>
      <c r="AY73" s="475">
        <v>0</v>
      </c>
      <c r="AZ73" s="475">
        <v>0</v>
      </c>
      <c r="BA73" s="475">
        <v>0</v>
      </c>
      <c r="BB73" s="475">
        <v>0</v>
      </c>
      <c r="BC73" s="475">
        <v>0</v>
      </c>
    </row>
    <row r="74" spans="1:55">
      <c r="A74">
        <f t="shared" ca="1" si="5"/>
        <v>0</v>
      </c>
      <c r="B74">
        <f t="shared" si="6"/>
        <v>64</v>
      </c>
      <c r="C74">
        <f t="shared" si="7"/>
        <v>2089</v>
      </c>
      <c r="D74" s="250">
        <v>0</v>
      </c>
      <c r="E74" s="250">
        <v>0</v>
      </c>
      <c r="F74" s="250">
        <v>0</v>
      </c>
      <c r="G74" s="250">
        <v>0</v>
      </c>
      <c r="H74" s="250">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row>
    <row r="75" spans="1:55">
      <c r="A75">
        <f t="shared" ca="1" si="5"/>
        <v>0</v>
      </c>
      <c r="B75">
        <f t="shared" si="6"/>
        <v>65</v>
      </c>
      <c r="C75">
        <f t="shared" si="7"/>
        <v>2090</v>
      </c>
      <c r="D75" s="250">
        <v>0</v>
      </c>
      <c r="E75" s="250">
        <v>0</v>
      </c>
      <c r="F75" s="250">
        <v>0</v>
      </c>
      <c r="G75" s="250">
        <v>0</v>
      </c>
      <c r="H75" s="250">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row>
    <row r="76" spans="1:55">
      <c r="A76">
        <f t="shared" ca="1" si="5"/>
        <v>0</v>
      </c>
      <c r="B76">
        <f t="shared" si="6"/>
        <v>66</v>
      </c>
      <c r="C76">
        <f t="shared" si="7"/>
        <v>2091</v>
      </c>
      <c r="D76" s="250">
        <v>0</v>
      </c>
      <c r="E76" s="250">
        <v>0</v>
      </c>
      <c r="F76" s="250">
        <v>0</v>
      </c>
      <c r="G76" s="250">
        <v>0</v>
      </c>
      <c r="H76" s="250">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row>
    <row r="77" spans="1:55">
      <c r="A77">
        <f t="shared" ca="1" si="5"/>
        <v>0</v>
      </c>
      <c r="B77">
        <f t="shared" si="6"/>
        <v>67</v>
      </c>
      <c r="C77">
        <f t="shared" si="7"/>
        <v>2092</v>
      </c>
      <c r="D77" s="250">
        <v>0</v>
      </c>
      <c r="E77" s="250">
        <v>0</v>
      </c>
      <c r="F77" s="250">
        <v>0</v>
      </c>
      <c r="G77" s="250">
        <v>0</v>
      </c>
      <c r="H77" s="250">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row>
    <row r="78" spans="1:55">
      <c r="A78">
        <f t="shared" ca="1" si="5"/>
        <v>0</v>
      </c>
      <c r="B78">
        <f t="shared" si="6"/>
        <v>68</v>
      </c>
      <c r="C78">
        <f t="shared" si="7"/>
        <v>2093</v>
      </c>
      <c r="D78" s="250">
        <v>0</v>
      </c>
      <c r="E78" s="250">
        <v>0</v>
      </c>
      <c r="F78" s="250">
        <v>0</v>
      </c>
      <c r="G78" s="250">
        <v>0</v>
      </c>
      <c r="H78" s="250">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row>
    <row r="79" spans="1:55">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row>
    <row r="80" spans="1:55">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row>
    <row r="81" spans="4:55">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row>
    <row r="82" spans="4:55">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row>
    <row r="83" spans="4:55">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row>
  </sheetData>
  <phoneticPr fontId="29" type="noConversion"/>
  <pageMargins left="0.75" right="0.75" top="1" bottom="1" header="0.5" footer="0.5"/>
  <headerFooter alignWithMargins="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
    <tabColor indexed="46"/>
  </sheetPr>
  <dimension ref="A1:AE85"/>
  <sheetViews>
    <sheetView workbookViewId="0">
      <pane xSplit="2" ySplit="9" topLeftCell="C10" activePane="bottomRight" state="frozen"/>
      <selection pane="topRight" activeCell="A2" sqref="A2"/>
      <selection pane="bottomLeft" activeCell="A2" sqref="A2"/>
      <selection pane="bottomRight" sqref="A1:B1"/>
    </sheetView>
  </sheetViews>
  <sheetFormatPr defaultColWidth="9.28515625" defaultRowHeight="12.75"/>
  <cols>
    <col min="1" max="1" width="15.5703125" style="85" customWidth="1"/>
    <col min="2" max="2" width="10.28515625" style="85" customWidth="1"/>
    <col min="3" max="9" width="10.7109375" style="85" customWidth="1"/>
    <col min="10" max="12" width="12.5703125" style="85" customWidth="1"/>
    <col min="13" max="13" width="13.5703125" style="85" customWidth="1"/>
    <col min="14" max="16" width="10.7109375" style="85" customWidth="1"/>
    <col min="17" max="17" width="11.5703125" style="85" customWidth="1"/>
    <col min="18" max="29" width="10.7109375" style="85" customWidth="1"/>
    <col min="30" max="30" width="9.28515625" style="85"/>
    <col min="31" max="31" width="20" style="85" bestFit="1" customWidth="1"/>
    <col min="32" max="16384" width="9.28515625" style="85"/>
  </cols>
  <sheetData>
    <row r="1" spans="1:31" ht="15.75" thickBot="1">
      <c r="A1" s="701" t="s">
        <v>27</v>
      </c>
      <c r="B1" s="702"/>
      <c r="C1" s="180"/>
      <c r="D1" s="180"/>
      <c r="E1" s="86"/>
      <c r="F1" s="181"/>
    </row>
    <row r="2" spans="1:31" ht="15">
      <c r="C2" s="86"/>
      <c r="D2" s="86"/>
      <c r="E2" s="86"/>
    </row>
    <row r="3" spans="1:31" ht="18">
      <c r="B3" s="37" t="s">
        <v>507</v>
      </c>
      <c r="C3" s="88"/>
      <c r="D3" s="88"/>
      <c r="E3" s="88"/>
      <c r="F3" s="89"/>
      <c r="G3" s="89"/>
      <c r="H3" s="89"/>
      <c r="I3" s="89"/>
    </row>
    <row r="4" spans="1:31" ht="18">
      <c r="B4" s="37"/>
      <c r="C4" s="251" t="s">
        <v>508</v>
      </c>
      <c r="D4" s="252"/>
      <c r="F4" s="317" t="str">
        <f>scenario_name</f>
        <v>GenericE&amp;DtemplateCIandGOA</v>
      </c>
      <c r="H4" s="89"/>
      <c r="I4" s="89"/>
    </row>
    <row r="5" spans="1:31" ht="15">
      <c r="C5" s="86"/>
      <c r="D5" s="86"/>
    </row>
    <row r="6" spans="1:31" s="84" customFormat="1" ht="12.75" customHeight="1">
      <c r="B6" s="192"/>
      <c r="C6" s="191" t="s">
        <v>490</v>
      </c>
      <c r="D6" s="184"/>
      <c r="E6" s="184"/>
      <c r="F6" s="185"/>
      <c r="G6" s="183" t="s">
        <v>491</v>
      </c>
      <c r="H6" s="184"/>
      <c r="I6" s="185"/>
      <c r="J6" s="183" t="s">
        <v>492</v>
      </c>
      <c r="K6" s="184"/>
      <c r="L6" s="184"/>
      <c r="M6" s="189"/>
      <c r="N6" s="183" t="s">
        <v>493</v>
      </c>
      <c r="O6" s="184"/>
      <c r="P6" s="184"/>
      <c r="Q6" s="191"/>
      <c r="R6" s="191"/>
      <c r="S6" s="184"/>
      <c r="T6" s="184"/>
      <c r="U6" s="191"/>
      <c r="V6" s="191"/>
      <c r="W6" s="184"/>
      <c r="X6" s="184"/>
      <c r="Y6" s="191"/>
      <c r="Z6" s="191"/>
      <c r="AA6" s="184"/>
      <c r="AB6" s="185"/>
      <c r="AC6" s="695" t="s">
        <v>485</v>
      </c>
    </row>
    <row r="7" spans="1:31" s="84" customFormat="1" ht="12.75" customHeight="1">
      <c r="B7" s="193"/>
      <c r="C7" s="74"/>
      <c r="D7" s="187"/>
      <c r="E7" s="187"/>
      <c r="F7" s="188"/>
      <c r="G7" s="186"/>
      <c r="H7" s="187"/>
      <c r="I7" s="188"/>
      <c r="J7" s="186"/>
      <c r="K7" s="187"/>
      <c r="L7" s="187"/>
      <c r="M7" s="190"/>
      <c r="N7" s="186"/>
      <c r="O7" s="187"/>
      <c r="P7" s="187"/>
      <c r="Q7" s="74"/>
      <c r="R7" s="74"/>
      <c r="S7" s="187"/>
      <c r="T7" s="187"/>
      <c r="U7" s="74"/>
      <c r="V7" s="74"/>
      <c r="W7" s="187"/>
      <c r="X7" s="187"/>
      <c r="Y7" s="74"/>
      <c r="Z7" s="74"/>
      <c r="AA7" s="187"/>
      <c r="AB7" s="188"/>
      <c r="AC7" s="798"/>
    </row>
    <row r="8" spans="1:31" ht="48" customHeight="1">
      <c r="B8" s="193"/>
      <c r="C8" s="654" t="s">
        <v>158</v>
      </c>
      <c r="D8" s="650" t="s">
        <v>166</v>
      </c>
      <c r="E8" s="650" t="s">
        <v>171</v>
      </c>
      <c r="F8" s="132" t="s">
        <v>173</v>
      </c>
      <c r="G8" s="654" t="s">
        <v>180</v>
      </c>
      <c r="H8" s="650" t="s">
        <v>186</v>
      </c>
      <c r="I8" s="132" t="s">
        <v>191</v>
      </c>
      <c r="J8" s="654" t="s">
        <v>197</v>
      </c>
      <c r="K8" s="650" t="s">
        <v>199</v>
      </c>
      <c r="L8" s="650" t="s">
        <v>201</v>
      </c>
      <c r="M8" s="132" t="s">
        <v>494</v>
      </c>
      <c r="N8" s="654" t="s">
        <v>208</v>
      </c>
      <c r="O8" s="650" t="s">
        <v>211</v>
      </c>
      <c r="P8" s="650" t="s">
        <v>213</v>
      </c>
      <c r="Q8" s="650" t="s">
        <v>215</v>
      </c>
      <c r="R8" s="650" t="s">
        <v>219</v>
      </c>
      <c r="S8" s="650" t="s">
        <v>222</v>
      </c>
      <c r="T8" s="650" t="s">
        <v>224</v>
      </c>
      <c r="U8" s="650" t="s">
        <v>228</v>
      </c>
      <c r="V8" s="650" t="s">
        <v>231</v>
      </c>
      <c r="W8" s="650" t="s">
        <v>232</v>
      </c>
      <c r="X8" s="650" t="s">
        <v>235</v>
      </c>
      <c r="Y8" s="650" t="s">
        <v>237</v>
      </c>
      <c r="Z8" s="650" t="s">
        <v>239</v>
      </c>
      <c r="AA8" s="650" t="s">
        <v>242</v>
      </c>
      <c r="AB8" s="132" t="s">
        <v>245</v>
      </c>
      <c r="AC8" s="798"/>
    </row>
    <row r="9" spans="1:31" ht="33.75" customHeight="1" thickBot="1">
      <c r="B9" s="95" t="s">
        <v>268</v>
      </c>
      <c r="C9" s="143" t="s">
        <v>314</v>
      </c>
      <c r="D9" s="96" t="s">
        <v>314</v>
      </c>
      <c r="E9" s="96" t="s">
        <v>314</v>
      </c>
      <c r="F9" s="144" t="s">
        <v>314</v>
      </c>
      <c r="G9" s="143" t="s">
        <v>314</v>
      </c>
      <c r="H9" s="96" t="s">
        <v>314</v>
      </c>
      <c r="I9" s="144" t="s">
        <v>314</v>
      </c>
      <c r="J9" s="143" t="s">
        <v>314</v>
      </c>
      <c r="K9" s="96" t="s">
        <v>314</v>
      </c>
      <c r="L9" s="96" t="s">
        <v>314</v>
      </c>
      <c r="M9" s="144" t="s">
        <v>314</v>
      </c>
      <c r="N9" s="143" t="s">
        <v>314</v>
      </c>
      <c r="O9" s="96" t="s">
        <v>314</v>
      </c>
      <c r="P9" s="96" t="s">
        <v>314</v>
      </c>
      <c r="Q9" s="96" t="s">
        <v>314</v>
      </c>
      <c r="R9" s="96" t="s">
        <v>314</v>
      </c>
      <c r="S9" s="96" t="s">
        <v>314</v>
      </c>
      <c r="T9" s="96" t="s">
        <v>314</v>
      </c>
      <c r="U9" s="96" t="s">
        <v>314</v>
      </c>
      <c r="V9" s="96" t="s">
        <v>314</v>
      </c>
      <c r="W9" s="96" t="s">
        <v>314</v>
      </c>
      <c r="X9" s="96" t="s">
        <v>314</v>
      </c>
      <c r="Y9" s="96" t="s">
        <v>314</v>
      </c>
      <c r="Z9" s="96" t="s">
        <v>314</v>
      </c>
      <c r="AA9" s="96" t="s">
        <v>314</v>
      </c>
      <c r="AB9" s="144" t="s">
        <v>314</v>
      </c>
      <c r="AC9" s="143" t="s">
        <v>314</v>
      </c>
    </row>
    <row r="10" spans="1:31" ht="15.75" thickTop="1">
      <c r="B10" s="22">
        <f>'Oil supply projection'!$B10</f>
        <v>2019</v>
      </c>
      <c r="C10" s="438">
        <f t="array" ref="C10:AB84">import_oil/365</f>
        <v>0</v>
      </c>
      <c r="D10" s="438">
        <v>0</v>
      </c>
      <c r="E10" s="438">
        <v>0</v>
      </c>
      <c r="F10" s="444">
        <v>0</v>
      </c>
      <c r="G10" s="447">
        <v>0</v>
      </c>
      <c r="H10" s="438">
        <v>0</v>
      </c>
      <c r="I10" s="444">
        <v>0</v>
      </c>
      <c r="J10" s="447">
        <v>0</v>
      </c>
      <c r="K10" s="438">
        <v>0</v>
      </c>
      <c r="L10" s="438">
        <v>0</v>
      </c>
      <c r="M10" s="444">
        <v>0</v>
      </c>
      <c r="N10" s="447">
        <v>0</v>
      </c>
      <c r="O10" s="438">
        <v>0</v>
      </c>
      <c r="P10" s="438">
        <v>0</v>
      </c>
      <c r="Q10" s="438">
        <v>0</v>
      </c>
      <c r="R10" s="438">
        <v>0</v>
      </c>
      <c r="S10" s="438">
        <v>0</v>
      </c>
      <c r="T10" s="438">
        <v>0</v>
      </c>
      <c r="U10" s="438">
        <v>0</v>
      </c>
      <c r="V10" s="438">
        <v>0</v>
      </c>
      <c r="W10" s="438">
        <v>0</v>
      </c>
      <c r="X10" s="438">
        <v>0</v>
      </c>
      <c r="Y10" s="438">
        <v>0</v>
      </c>
      <c r="Z10" s="438">
        <v>0</v>
      </c>
      <c r="AA10" s="438">
        <v>0</v>
      </c>
      <c r="AB10" s="449">
        <v>0</v>
      </c>
      <c r="AC10" s="450">
        <f t="array" ref="AC10:AC84">sim_sup_oil_ocs_ala+sim_sup_oil_ocs_alb+sim_sup_oil_ocs_atf+sim_sup_oil_ocs_atm+sim_sup_oil_ocs_atn+sim_sup_oil_ocs_ats+sim_sup_oil_ocs_bea+sim_sup_oil_ocs_bow+sim_sup_oil_ocs_chu+sim_sup_oil_ocs_coo+sim_sup_oil_ocs_gmc+sim_sup_oil_ocs_gme+sim_sup_oil_ocs_gmw+sim_sup_oil_ocs_goa+sim_sup_oil_ocs_hop+sim_sup_oil_ocs_kod+sim_sup_oil_ocs_nab+sim_sup_oil_ocs_nav+sim_sup_oil_ocs_nor+sim_sup_oil_ocs_pac+sim_sup_oil_ocs_pan+sim_sup_oil_ocs_pas+sim_sup_oil_ocs_paw+sim_sup_oil_ocs_sgb+sim_sup_oil_ocs_shu+sim_sup_oil_ocs_smh</f>
        <v>0</v>
      </c>
      <c r="AD10" s="474"/>
      <c r="AE10">
        <f t="array" aca="1" ref="AE10" ca="1">OFFSET(year_oil,MATCH(2,INDEX(1/(sim_sup_oil_ocs+sim_sup_gas_ocs&gt;0),0))-1,0)</f>
        <v>2044</v>
      </c>
    </row>
    <row r="11" spans="1:31" ht="15">
      <c r="B11" s="22">
        <f>'Oil supply projection'!$B11</f>
        <v>2020</v>
      </c>
      <c r="C11" s="438">
        <v>0</v>
      </c>
      <c r="D11" s="438">
        <v>0</v>
      </c>
      <c r="E11" s="438">
        <v>0</v>
      </c>
      <c r="F11" s="444">
        <v>0</v>
      </c>
      <c r="G11" s="447">
        <v>0</v>
      </c>
      <c r="H11" s="438">
        <v>0</v>
      </c>
      <c r="I11" s="444">
        <v>0</v>
      </c>
      <c r="J11" s="447">
        <v>0</v>
      </c>
      <c r="K11" s="438">
        <v>0</v>
      </c>
      <c r="L11" s="438">
        <v>0</v>
      </c>
      <c r="M11" s="444">
        <v>0</v>
      </c>
      <c r="N11" s="447">
        <v>0</v>
      </c>
      <c r="O11" s="438">
        <v>0</v>
      </c>
      <c r="P11" s="438">
        <v>0</v>
      </c>
      <c r="Q11" s="438">
        <v>0</v>
      </c>
      <c r="R11" s="438">
        <v>0</v>
      </c>
      <c r="S11" s="438">
        <v>0</v>
      </c>
      <c r="T11" s="438">
        <v>0</v>
      </c>
      <c r="U11" s="438">
        <v>0</v>
      </c>
      <c r="V11" s="438">
        <v>0</v>
      </c>
      <c r="W11" s="438">
        <v>0</v>
      </c>
      <c r="X11" s="438">
        <v>0</v>
      </c>
      <c r="Y11" s="438">
        <v>0</v>
      </c>
      <c r="Z11" s="438">
        <v>0</v>
      </c>
      <c r="AA11" s="438">
        <v>0</v>
      </c>
      <c r="AB11" s="444">
        <v>0</v>
      </c>
      <c r="AC11" s="450">
        <v>0</v>
      </c>
      <c r="AD11" s="474"/>
      <c r="AE11"/>
    </row>
    <row r="12" spans="1:31" ht="15">
      <c r="B12" s="22">
        <f>'Oil supply projection'!$B12</f>
        <v>2021</v>
      </c>
      <c r="C12" s="438">
        <v>0</v>
      </c>
      <c r="D12" s="438">
        <v>0</v>
      </c>
      <c r="E12" s="438">
        <v>0</v>
      </c>
      <c r="F12" s="444">
        <v>0</v>
      </c>
      <c r="G12" s="447">
        <v>0</v>
      </c>
      <c r="H12" s="438">
        <v>0</v>
      </c>
      <c r="I12" s="444">
        <v>0</v>
      </c>
      <c r="J12" s="447">
        <v>0</v>
      </c>
      <c r="K12" s="438">
        <v>0</v>
      </c>
      <c r="L12" s="438">
        <v>0</v>
      </c>
      <c r="M12" s="444">
        <v>0</v>
      </c>
      <c r="N12" s="447">
        <v>0</v>
      </c>
      <c r="O12" s="438">
        <v>0</v>
      </c>
      <c r="P12" s="438">
        <v>0</v>
      </c>
      <c r="Q12" s="438">
        <v>0</v>
      </c>
      <c r="R12" s="438">
        <v>0</v>
      </c>
      <c r="S12" s="438">
        <v>0</v>
      </c>
      <c r="T12" s="438">
        <v>0</v>
      </c>
      <c r="U12" s="438">
        <v>0</v>
      </c>
      <c r="V12" s="438">
        <v>0</v>
      </c>
      <c r="W12" s="438">
        <v>0</v>
      </c>
      <c r="X12" s="438">
        <v>0</v>
      </c>
      <c r="Y12" s="438">
        <v>0</v>
      </c>
      <c r="Z12" s="438">
        <v>0</v>
      </c>
      <c r="AA12" s="438">
        <v>0</v>
      </c>
      <c r="AB12" s="444">
        <v>0</v>
      </c>
      <c r="AC12" s="450">
        <v>0</v>
      </c>
      <c r="AD12" s="474"/>
    </row>
    <row r="13" spans="1:31" ht="15">
      <c r="B13" s="22">
        <f>'Oil supply projection'!$B13</f>
        <v>2022</v>
      </c>
      <c r="C13" s="438">
        <v>0</v>
      </c>
      <c r="D13" s="438">
        <v>0</v>
      </c>
      <c r="E13" s="438">
        <v>0</v>
      </c>
      <c r="F13" s="444">
        <v>0</v>
      </c>
      <c r="G13" s="447">
        <v>0</v>
      </c>
      <c r="H13" s="438">
        <v>0</v>
      </c>
      <c r="I13" s="444">
        <v>0</v>
      </c>
      <c r="J13" s="447">
        <v>0</v>
      </c>
      <c r="K13" s="438">
        <v>0</v>
      </c>
      <c r="L13" s="438">
        <v>0</v>
      </c>
      <c r="M13" s="444">
        <v>0</v>
      </c>
      <c r="N13" s="447">
        <v>0</v>
      </c>
      <c r="O13" s="438">
        <v>0</v>
      </c>
      <c r="P13" s="438">
        <v>0</v>
      </c>
      <c r="Q13" s="438">
        <v>0</v>
      </c>
      <c r="R13" s="438">
        <v>0</v>
      </c>
      <c r="S13" s="438">
        <v>0</v>
      </c>
      <c r="T13" s="438">
        <v>0</v>
      </c>
      <c r="U13" s="438">
        <v>0</v>
      </c>
      <c r="V13" s="438">
        <v>0</v>
      </c>
      <c r="W13" s="438">
        <v>0</v>
      </c>
      <c r="X13" s="438">
        <v>0</v>
      </c>
      <c r="Y13" s="438">
        <v>0</v>
      </c>
      <c r="Z13" s="438">
        <v>0</v>
      </c>
      <c r="AA13" s="438">
        <v>0</v>
      </c>
      <c r="AB13" s="444">
        <v>0</v>
      </c>
      <c r="AC13" s="450">
        <v>0</v>
      </c>
      <c r="AD13" s="474"/>
    </row>
    <row r="14" spans="1:31" ht="15">
      <c r="B14" s="22">
        <f>'Oil supply projection'!$B14</f>
        <v>2023</v>
      </c>
      <c r="C14" s="438">
        <v>0</v>
      </c>
      <c r="D14" s="438">
        <v>0</v>
      </c>
      <c r="E14" s="438">
        <v>0</v>
      </c>
      <c r="F14" s="444">
        <v>0</v>
      </c>
      <c r="G14" s="447">
        <v>0</v>
      </c>
      <c r="H14" s="438">
        <v>0</v>
      </c>
      <c r="I14" s="444">
        <v>0</v>
      </c>
      <c r="J14" s="447">
        <v>0</v>
      </c>
      <c r="K14" s="438">
        <v>0</v>
      </c>
      <c r="L14" s="438">
        <v>0</v>
      </c>
      <c r="M14" s="444">
        <v>0</v>
      </c>
      <c r="N14" s="447">
        <v>0</v>
      </c>
      <c r="O14" s="438">
        <v>0</v>
      </c>
      <c r="P14" s="438">
        <v>0</v>
      </c>
      <c r="Q14" s="438">
        <v>0</v>
      </c>
      <c r="R14" s="438">
        <v>0</v>
      </c>
      <c r="S14" s="438">
        <v>0</v>
      </c>
      <c r="T14" s="438">
        <v>0</v>
      </c>
      <c r="U14" s="438">
        <v>0</v>
      </c>
      <c r="V14" s="438">
        <v>0</v>
      </c>
      <c r="W14" s="438">
        <v>0</v>
      </c>
      <c r="X14" s="438">
        <v>0</v>
      </c>
      <c r="Y14" s="438">
        <v>0</v>
      </c>
      <c r="Z14" s="438">
        <v>0</v>
      </c>
      <c r="AA14" s="438">
        <v>0</v>
      </c>
      <c r="AB14" s="444">
        <v>0</v>
      </c>
      <c r="AC14" s="450">
        <v>0</v>
      </c>
      <c r="AD14" s="474"/>
    </row>
    <row r="15" spans="1:31" ht="15">
      <c r="B15" s="22">
        <f>'Oil supply projection'!$B15</f>
        <v>2024</v>
      </c>
      <c r="C15" s="438">
        <v>0</v>
      </c>
      <c r="D15" s="438">
        <v>0</v>
      </c>
      <c r="E15" s="438">
        <v>0</v>
      </c>
      <c r="F15" s="444">
        <v>0</v>
      </c>
      <c r="G15" s="447">
        <v>0</v>
      </c>
      <c r="H15" s="438">
        <v>0</v>
      </c>
      <c r="I15" s="444">
        <v>0</v>
      </c>
      <c r="J15" s="447">
        <v>0</v>
      </c>
      <c r="K15" s="438">
        <v>0</v>
      </c>
      <c r="L15" s="438">
        <v>0</v>
      </c>
      <c r="M15" s="444">
        <v>0</v>
      </c>
      <c r="N15" s="447">
        <v>0</v>
      </c>
      <c r="O15" s="438">
        <v>0</v>
      </c>
      <c r="P15" s="438">
        <v>0</v>
      </c>
      <c r="Q15" s="438">
        <v>0</v>
      </c>
      <c r="R15" s="438">
        <v>0</v>
      </c>
      <c r="S15" s="438">
        <v>0</v>
      </c>
      <c r="T15" s="438">
        <v>0</v>
      </c>
      <c r="U15" s="438">
        <v>0</v>
      </c>
      <c r="V15" s="438">
        <v>0</v>
      </c>
      <c r="W15" s="438">
        <v>0</v>
      </c>
      <c r="X15" s="438">
        <v>0</v>
      </c>
      <c r="Y15" s="438">
        <v>0</v>
      </c>
      <c r="Z15" s="438">
        <v>0</v>
      </c>
      <c r="AA15" s="438">
        <v>0</v>
      </c>
      <c r="AB15" s="444">
        <v>0</v>
      </c>
      <c r="AC15" s="450">
        <v>0</v>
      </c>
      <c r="AD15" s="474"/>
    </row>
    <row r="16" spans="1:31" ht="15">
      <c r="B16" s="22">
        <f>'Oil supply projection'!$B16</f>
        <v>2025</v>
      </c>
      <c r="C16" s="438">
        <v>0</v>
      </c>
      <c r="D16" s="438">
        <v>0</v>
      </c>
      <c r="E16" s="438">
        <v>0</v>
      </c>
      <c r="F16" s="444">
        <v>0</v>
      </c>
      <c r="G16" s="447">
        <v>0</v>
      </c>
      <c r="H16" s="438">
        <v>0</v>
      </c>
      <c r="I16" s="444">
        <v>0</v>
      </c>
      <c r="J16" s="447">
        <v>0</v>
      </c>
      <c r="K16" s="438">
        <v>0</v>
      </c>
      <c r="L16" s="438">
        <v>0</v>
      </c>
      <c r="M16" s="444">
        <v>0</v>
      </c>
      <c r="N16" s="447">
        <v>0</v>
      </c>
      <c r="O16" s="438">
        <v>0</v>
      </c>
      <c r="P16" s="438">
        <v>0</v>
      </c>
      <c r="Q16" s="438">
        <v>0</v>
      </c>
      <c r="R16" s="438">
        <v>0</v>
      </c>
      <c r="S16" s="438">
        <v>0</v>
      </c>
      <c r="T16" s="438">
        <v>0</v>
      </c>
      <c r="U16" s="438">
        <v>0</v>
      </c>
      <c r="V16" s="438">
        <v>0</v>
      </c>
      <c r="W16" s="438">
        <v>0</v>
      </c>
      <c r="X16" s="438">
        <v>0</v>
      </c>
      <c r="Y16" s="438">
        <v>0</v>
      </c>
      <c r="Z16" s="438">
        <v>0</v>
      </c>
      <c r="AA16" s="438">
        <v>0</v>
      </c>
      <c r="AB16" s="444">
        <v>0</v>
      </c>
      <c r="AC16" s="450">
        <v>0</v>
      </c>
      <c r="AD16" s="474"/>
    </row>
    <row r="17" spans="2:30" ht="15">
      <c r="B17" s="22">
        <f>'Oil supply projection'!$B17</f>
        <v>2026</v>
      </c>
      <c r="C17" s="438">
        <v>0</v>
      </c>
      <c r="D17" s="438">
        <v>0</v>
      </c>
      <c r="E17" s="438">
        <v>0</v>
      </c>
      <c r="F17" s="444">
        <v>0</v>
      </c>
      <c r="G17" s="447">
        <v>0</v>
      </c>
      <c r="H17" s="438">
        <v>0</v>
      </c>
      <c r="I17" s="444">
        <v>0</v>
      </c>
      <c r="J17" s="447">
        <v>0</v>
      </c>
      <c r="K17" s="438">
        <v>0</v>
      </c>
      <c r="L17" s="438">
        <v>0</v>
      </c>
      <c r="M17" s="444">
        <v>0</v>
      </c>
      <c r="N17" s="447">
        <v>0</v>
      </c>
      <c r="O17" s="438">
        <v>0</v>
      </c>
      <c r="P17" s="438">
        <v>0</v>
      </c>
      <c r="Q17" s="438">
        <v>0</v>
      </c>
      <c r="R17" s="438">
        <v>0</v>
      </c>
      <c r="S17" s="438">
        <v>0</v>
      </c>
      <c r="T17" s="438">
        <v>0</v>
      </c>
      <c r="U17" s="438">
        <v>0</v>
      </c>
      <c r="V17" s="438">
        <v>0</v>
      </c>
      <c r="W17" s="438">
        <v>0</v>
      </c>
      <c r="X17" s="438">
        <v>0</v>
      </c>
      <c r="Y17" s="438">
        <v>0</v>
      </c>
      <c r="Z17" s="438">
        <v>0</v>
      </c>
      <c r="AA17" s="438">
        <v>0</v>
      </c>
      <c r="AB17" s="444">
        <v>0</v>
      </c>
      <c r="AC17" s="450">
        <v>0</v>
      </c>
      <c r="AD17" s="474"/>
    </row>
    <row r="18" spans="2:30" ht="15">
      <c r="B18" s="22">
        <f>'Oil supply projection'!$B18</f>
        <v>2027</v>
      </c>
      <c r="C18" s="438">
        <v>0</v>
      </c>
      <c r="D18" s="438">
        <v>0</v>
      </c>
      <c r="E18" s="438">
        <v>0</v>
      </c>
      <c r="F18" s="444">
        <v>0</v>
      </c>
      <c r="G18" s="447">
        <v>0</v>
      </c>
      <c r="H18" s="438">
        <v>0</v>
      </c>
      <c r="I18" s="444">
        <v>0</v>
      </c>
      <c r="J18" s="447">
        <v>0</v>
      </c>
      <c r="K18" s="438">
        <v>0</v>
      </c>
      <c r="L18" s="438">
        <v>0</v>
      </c>
      <c r="M18" s="444">
        <v>0</v>
      </c>
      <c r="N18" s="447">
        <v>0</v>
      </c>
      <c r="O18" s="438">
        <v>0</v>
      </c>
      <c r="P18" s="438">
        <v>0</v>
      </c>
      <c r="Q18" s="438">
        <v>0</v>
      </c>
      <c r="R18" s="438">
        <v>0</v>
      </c>
      <c r="S18" s="438">
        <v>0</v>
      </c>
      <c r="T18" s="438">
        <v>0</v>
      </c>
      <c r="U18" s="438">
        <v>0</v>
      </c>
      <c r="V18" s="438">
        <v>0</v>
      </c>
      <c r="W18" s="438">
        <v>0</v>
      </c>
      <c r="X18" s="438">
        <v>0</v>
      </c>
      <c r="Y18" s="438">
        <v>0</v>
      </c>
      <c r="Z18" s="438">
        <v>0</v>
      </c>
      <c r="AA18" s="438">
        <v>0</v>
      </c>
      <c r="AB18" s="444">
        <v>0</v>
      </c>
      <c r="AC18" s="450">
        <v>0</v>
      </c>
      <c r="AD18" s="474"/>
    </row>
    <row r="19" spans="2:30" ht="15">
      <c r="B19" s="22">
        <f>'Oil supply projection'!$B19</f>
        <v>2028</v>
      </c>
      <c r="C19" s="438">
        <v>0</v>
      </c>
      <c r="D19" s="438">
        <v>0</v>
      </c>
      <c r="E19" s="438">
        <v>0</v>
      </c>
      <c r="F19" s="444">
        <v>0</v>
      </c>
      <c r="G19" s="447">
        <v>0</v>
      </c>
      <c r="H19" s="438">
        <v>0</v>
      </c>
      <c r="I19" s="444">
        <v>0</v>
      </c>
      <c r="J19" s="447">
        <v>0</v>
      </c>
      <c r="K19" s="438">
        <v>0</v>
      </c>
      <c r="L19" s="438">
        <v>0</v>
      </c>
      <c r="M19" s="444">
        <v>0</v>
      </c>
      <c r="N19" s="447">
        <v>0</v>
      </c>
      <c r="O19" s="438">
        <v>0</v>
      </c>
      <c r="P19" s="438">
        <v>0</v>
      </c>
      <c r="Q19" s="438">
        <v>0</v>
      </c>
      <c r="R19" s="438">
        <v>0</v>
      </c>
      <c r="S19" s="438">
        <v>0</v>
      </c>
      <c r="T19" s="438">
        <v>0</v>
      </c>
      <c r="U19" s="438">
        <v>0</v>
      </c>
      <c r="V19" s="438">
        <v>0</v>
      </c>
      <c r="W19" s="438">
        <v>0</v>
      </c>
      <c r="X19" s="438">
        <v>0</v>
      </c>
      <c r="Y19" s="438">
        <v>0</v>
      </c>
      <c r="Z19" s="438">
        <v>0</v>
      </c>
      <c r="AA19" s="438">
        <v>0</v>
      </c>
      <c r="AB19" s="444">
        <v>0</v>
      </c>
      <c r="AC19" s="450">
        <v>0</v>
      </c>
      <c r="AD19" s="474"/>
    </row>
    <row r="20" spans="2:30" ht="15">
      <c r="B20" s="22">
        <f>'Oil supply projection'!$B20</f>
        <v>2029</v>
      </c>
      <c r="C20" s="438">
        <v>0</v>
      </c>
      <c r="D20" s="438">
        <v>0</v>
      </c>
      <c r="E20" s="438">
        <v>0</v>
      </c>
      <c r="F20" s="444">
        <v>0</v>
      </c>
      <c r="G20" s="447">
        <v>0</v>
      </c>
      <c r="H20" s="438">
        <v>0</v>
      </c>
      <c r="I20" s="444">
        <v>0</v>
      </c>
      <c r="J20" s="447">
        <v>0</v>
      </c>
      <c r="K20" s="438">
        <v>0</v>
      </c>
      <c r="L20" s="438">
        <v>0</v>
      </c>
      <c r="M20" s="444">
        <v>0</v>
      </c>
      <c r="N20" s="447">
        <v>0</v>
      </c>
      <c r="O20" s="438">
        <v>0</v>
      </c>
      <c r="P20" s="438">
        <v>0</v>
      </c>
      <c r="Q20" s="438">
        <v>0</v>
      </c>
      <c r="R20" s="438">
        <v>0</v>
      </c>
      <c r="S20" s="438">
        <v>0</v>
      </c>
      <c r="T20" s="438">
        <v>0</v>
      </c>
      <c r="U20" s="438">
        <v>0</v>
      </c>
      <c r="V20" s="438">
        <v>0</v>
      </c>
      <c r="W20" s="438">
        <v>0</v>
      </c>
      <c r="X20" s="438">
        <v>0</v>
      </c>
      <c r="Y20" s="438">
        <v>0</v>
      </c>
      <c r="Z20" s="438">
        <v>0</v>
      </c>
      <c r="AA20" s="438">
        <v>0</v>
      </c>
      <c r="AB20" s="444">
        <v>0</v>
      </c>
      <c r="AC20" s="450">
        <v>0</v>
      </c>
      <c r="AD20" s="474"/>
    </row>
    <row r="21" spans="2:30" ht="15">
      <c r="B21" s="22">
        <f>'Oil supply projection'!$B21</f>
        <v>2030</v>
      </c>
      <c r="C21" s="438">
        <v>0</v>
      </c>
      <c r="D21" s="438">
        <v>0</v>
      </c>
      <c r="E21" s="438">
        <v>0</v>
      </c>
      <c r="F21" s="444">
        <v>0</v>
      </c>
      <c r="G21" s="447">
        <v>0</v>
      </c>
      <c r="H21" s="438">
        <v>0</v>
      </c>
      <c r="I21" s="444">
        <v>0</v>
      </c>
      <c r="J21" s="447">
        <v>0</v>
      </c>
      <c r="K21" s="438">
        <v>0</v>
      </c>
      <c r="L21" s="438">
        <v>0</v>
      </c>
      <c r="M21" s="444">
        <v>0</v>
      </c>
      <c r="N21" s="447">
        <v>5.4794520547945206E-3</v>
      </c>
      <c r="O21" s="438">
        <v>0</v>
      </c>
      <c r="P21" s="438">
        <v>0</v>
      </c>
      <c r="Q21" s="438">
        <v>0</v>
      </c>
      <c r="R21" s="438">
        <v>0</v>
      </c>
      <c r="S21" s="438">
        <v>0</v>
      </c>
      <c r="T21" s="438">
        <v>0</v>
      </c>
      <c r="U21" s="438">
        <v>0</v>
      </c>
      <c r="V21" s="438">
        <v>0</v>
      </c>
      <c r="W21" s="438">
        <v>0</v>
      </c>
      <c r="X21" s="438">
        <v>0</v>
      </c>
      <c r="Y21" s="438">
        <v>0</v>
      </c>
      <c r="Z21" s="438">
        <v>0</v>
      </c>
      <c r="AA21" s="438">
        <v>0</v>
      </c>
      <c r="AB21" s="444">
        <v>0</v>
      </c>
      <c r="AC21" s="450">
        <v>5.4794520547945206E-3</v>
      </c>
      <c r="AD21" s="474"/>
    </row>
    <row r="22" spans="2:30" ht="15">
      <c r="B22" s="22">
        <f>'Oil supply projection'!$B22</f>
        <v>2031</v>
      </c>
      <c r="C22" s="438">
        <v>0</v>
      </c>
      <c r="D22" s="438">
        <v>0</v>
      </c>
      <c r="E22" s="438">
        <v>0</v>
      </c>
      <c r="F22" s="444">
        <v>0</v>
      </c>
      <c r="G22" s="447">
        <v>0</v>
      </c>
      <c r="H22" s="438">
        <v>0</v>
      </c>
      <c r="I22" s="444">
        <v>0</v>
      </c>
      <c r="J22" s="447">
        <v>0</v>
      </c>
      <c r="K22" s="438">
        <v>0</v>
      </c>
      <c r="L22" s="438">
        <v>0</v>
      </c>
      <c r="M22" s="444">
        <v>0</v>
      </c>
      <c r="N22" s="447">
        <v>5.4794520547945206E-3</v>
      </c>
      <c r="O22" s="438">
        <v>0</v>
      </c>
      <c r="P22" s="438">
        <v>0</v>
      </c>
      <c r="Q22" s="438">
        <v>0</v>
      </c>
      <c r="R22" s="438">
        <v>0</v>
      </c>
      <c r="S22" s="438">
        <v>0</v>
      </c>
      <c r="T22" s="438">
        <v>0</v>
      </c>
      <c r="U22" s="438">
        <v>0</v>
      </c>
      <c r="V22" s="438">
        <v>0</v>
      </c>
      <c r="W22" s="438">
        <v>0</v>
      </c>
      <c r="X22" s="438">
        <v>0</v>
      </c>
      <c r="Y22" s="438">
        <v>0</v>
      </c>
      <c r="Z22" s="438">
        <v>0</v>
      </c>
      <c r="AA22" s="438">
        <v>0</v>
      </c>
      <c r="AB22" s="444">
        <v>0</v>
      </c>
      <c r="AC22" s="450">
        <v>5.4794520547945206E-3</v>
      </c>
      <c r="AD22" s="474"/>
    </row>
    <row r="23" spans="2:30" ht="15">
      <c r="B23" s="22">
        <f>'Oil supply projection'!$B23</f>
        <v>2032</v>
      </c>
      <c r="C23" s="438">
        <v>0</v>
      </c>
      <c r="D23" s="438">
        <v>0</v>
      </c>
      <c r="E23" s="438">
        <v>0</v>
      </c>
      <c r="F23" s="444">
        <v>0</v>
      </c>
      <c r="G23" s="447">
        <v>0</v>
      </c>
      <c r="H23" s="438">
        <v>8.21917808219178E-3</v>
      </c>
      <c r="I23" s="444">
        <v>0</v>
      </c>
      <c r="J23" s="447">
        <v>0</v>
      </c>
      <c r="K23" s="438">
        <v>0</v>
      </c>
      <c r="L23" s="438">
        <v>0</v>
      </c>
      <c r="M23" s="444">
        <v>0</v>
      </c>
      <c r="N23" s="447">
        <v>5.4794520547945206E-3</v>
      </c>
      <c r="O23" s="438">
        <v>5.4794520547945206E-3</v>
      </c>
      <c r="P23" s="438">
        <v>0</v>
      </c>
      <c r="Q23" s="438">
        <v>0</v>
      </c>
      <c r="R23" s="438">
        <v>0</v>
      </c>
      <c r="S23" s="438">
        <v>0</v>
      </c>
      <c r="T23" s="438">
        <v>0</v>
      </c>
      <c r="U23" s="438">
        <v>0</v>
      </c>
      <c r="V23" s="438">
        <v>0</v>
      </c>
      <c r="W23" s="438">
        <v>0</v>
      </c>
      <c r="X23" s="438">
        <v>0</v>
      </c>
      <c r="Y23" s="438">
        <v>0</v>
      </c>
      <c r="Z23" s="438">
        <v>0</v>
      </c>
      <c r="AA23" s="438">
        <v>0</v>
      </c>
      <c r="AB23" s="444">
        <v>0</v>
      </c>
      <c r="AC23" s="450">
        <v>1.9178082191780819E-2</v>
      </c>
      <c r="AD23" s="474"/>
    </row>
    <row r="24" spans="2:30" ht="15">
      <c r="B24" s="22">
        <f>'Oil supply projection'!$B24</f>
        <v>2033</v>
      </c>
      <c r="C24" s="438">
        <v>0</v>
      </c>
      <c r="D24" s="438">
        <v>0</v>
      </c>
      <c r="E24" s="438">
        <v>0</v>
      </c>
      <c r="F24" s="444">
        <v>0</v>
      </c>
      <c r="G24" s="447">
        <v>0</v>
      </c>
      <c r="H24" s="438">
        <v>8.21917808219178E-3</v>
      </c>
      <c r="I24" s="444">
        <v>0</v>
      </c>
      <c r="J24" s="447">
        <v>0</v>
      </c>
      <c r="K24" s="438">
        <v>0</v>
      </c>
      <c r="L24" s="438">
        <v>0</v>
      </c>
      <c r="M24" s="444">
        <v>0</v>
      </c>
      <c r="N24" s="447">
        <v>5.4794520547945206E-3</v>
      </c>
      <c r="O24" s="438">
        <v>5.4794520547945206E-3</v>
      </c>
      <c r="P24" s="438">
        <v>0</v>
      </c>
      <c r="Q24" s="438">
        <v>0</v>
      </c>
      <c r="R24" s="438">
        <v>0</v>
      </c>
      <c r="S24" s="438">
        <v>0</v>
      </c>
      <c r="T24" s="438">
        <v>0</v>
      </c>
      <c r="U24" s="438">
        <v>0</v>
      </c>
      <c r="V24" s="438">
        <v>0</v>
      </c>
      <c r="W24" s="438">
        <v>0</v>
      </c>
      <c r="X24" s="438">
        <v>0</v>
      </c>
      <c r="Y24" s="438">
        <v>0</v>
      </c>
      <c r="Z24" s="438">
        <v>0</v>
      </c>
      <c r="AA24" s="438">
        <v>0</v>
      </c>
      <c r="AB24" s="444">
        <v>0</v>
      </c>
      <c r="AC24" s="450">
        <v>1.9178082191780819E-2</v>
      </c>
      <c r="AD24" s="474"/>
    </row>
    <row r="25" spans="2:30" ht="15">
      <c r="B25" s="22">
        <f>'Oil supply projection'!$B25</f>
        <v>2034</v>
      </c>
      <c r="C25" s="438">
        <v>0</v>
      </c>
      <c r="D25" s="438">
        <v>0</v>
      </c>
      <c r="E25" s="438">
        <v>0</v>
      </c>
      <c r="F25" s="444">
        <v>0</v>
      </c>
      <c r="G25" s="447">
        <v>0</v>
      </c>
      <c r="H25" s="438">
        <v>8.21917808219178E-3</v>
      </c>
      <c r="I25" s="444">
        <v>0</v>
      </c>
      <c r="J25" s="447">
        <v>0</v>
      </c>
      <c r="K25" s="438">
        <v>0</v>
      </c>
      <c r="L25" s="438">
        <v>0</v>
      </c>
      <c r="M25" s="444">
        <v>0</v>
      </c>
      <c r="N25" s="447">
        <v>5.4794520547945206E-3</v>
      </c>
      <c r="O25" s="438">
        <v>5.4794520547945206E-3</v>
      </c>
      <c r="P25" s="438">
        <v>0</v>
      </c>
      <c r="Q25" s="438">
        <v>0</v>
      </c>
      <c r="R25" s="438">
        <v>0</v>
      </c>
      <c r="S25" s="438">
        <v>0</v>
      </c>
      <c r="T25" s="438">
        <v>0</v>
      </c>
      <c r="U25" s="438">
        <v>0</v>
      </c>
      <c r="V25" s="438">
        <v>0</v>
      </c>
      <c r="W25" s="438">
        <v>0</v>
      </c>
      <c r="X25" s="438">
        <v>0</v>
      </c>
      <c r="Y25" s="438">
        <v>0</v>
      </c>
      <c r="Z25" s="438">
        <v>0</v>
      </c>
      <c r="AA25" s="438">
        <v>0</v>
      </c>
      <c r="AB25" s="444">
        <v>0</v>
      </c>
      <c r="AC25" s="450">
        <v>1.9178082191780819E-2</v>
      </c>
      <c r="AD25" s="474"/>
    </row>
    <row r="26" spans="2:30" ht="15">
      <c r="B26" s="22">
        <f>'Oil supply projection'!$B26</f>
        <v>2035</v>
      </c>
      <c r="C26" s="438">
        <v>0</v>
      </c>
      <c r="D26" s="438">
        <v>0</v>
      </c>
      <c r="E26" s="438">
        <v>0</v>
      </c>
      <c r="F26" s="444">
        <v>0</v>
      </c>
      <c r="G26" s="447">
        <v>0</v>
      </c>
      <c r="H26" s="438">
        <v>8.21917808219178E-3</v>
      </c>
      <c r="I26" s="444">
        <v>0</v>
      </c>
      <c r="J26" s="447">
        <v>0</v>
      </c>
      <c r="K26" s="438">
        <v>0</v>
      </c>
      <c r="L26" s="438">
        <v>0</v>
      </c>
      <c r="M26" s="444">
        <v>0</v>
      </c>
      <c r="N26" s="447">
        <v>5.4794520547945206E-3</v>
      </c>
      <c r="O26" s="438">
        <v>5.4794520547945206E-3</v>
      </c>
      <c r="P26" s="438">
        <v>0</v>
      </c>
      <c r="Q26" s="438">
        <v>0</v>
      </c>
      <c r="R26" s="438">
        <v>0</v>
      </c>
      <c r="S26" s="438">
        <v>0</v>
      </c>
      <c r="T26" s="438">
        <v>0</v>
      </c>
      <c r="U26" s="438">
        <v>0</v>
      </c>
      <c r="V26" s="438">
        <v>0</v>
      </c>
      <c r="W26" s="438">
        <v>0</v>
      </c>
      <c r="X26" s="438">
        <v>0</v>
      </c>
      <c r="Y26" s="438">
        <v>0</v>
      </c>
      <c r="Z26" s="438">
        <v>0</v>
      </c>
      <c r="AA26" s="438">
        <v>0</v>
      </c>
      <c r="AB26" s="444">
        <v>0</v>
      </c>
      <c r="AC26" s="450">
        <v>1.9178082191780819E-2</v>
      </c>
      <c r="AD26" s="474"/>
    </row>
    <row r="27" spans="2:30" ht="15">
      <c r="B27" s="22">
        <f>'Oil supply projection'!$B27</f>
        <v>2036</v>
      </c>
      <c r="C27" s="438">
        <v>0</v>
      </c>
      <c r="D27" s="438">
        <v>0</v>
      </c>
      <c r="E27" s="438">
        <v>0</v>
      </c>
      <c r="F27" s="444">
        <v>0</v>
      </c>
      <c r="G27" s="447">
        <v>0</v>
      </c>
      <c r="H27" s="438">
        <v>8.21917808219178E-3</v>
      </c>
      <c r="I27" s="444">
        <v>0</v>
      </c>
      <c r="J27" s="447">
        <v>0</v>
      </c>
      <c r="K27" s="438">
        <v>0</v>
      </c>
      <c r="L27" s="438">
        <v>0</v>
      </c>
      <c r="M27" s="444">
        <v>0</v>
      </c>
      <c r="N27" s="447">
        <v>5.4794520547945206E-3</v>
      </c>
      <c r="O27" s="438">
        <v>5.4794520547945206E-3</v>
      </c>
      <c r="P27" s="438">
        <v>0</v>
      </c>
      <c r="Q27" s="438">
        <v>0</v>
      </c>
      <c r="R27" s="438">
        <v>0</v>
      </c>
      <c r="S27" s="438">
        <v>0</v>
      </c>
      <c r="T27" s="438">
        <v>0</v>
      </c>
      <c r="U27" s="438">
        <v>0</v>
      </c>
      <c r="V27" s="438">
        <v>0</v>
      </c>
      <c r="W27" s="438">
        <v>0</v>
      </c>
      <c r="X27" s="438">
        <v>0</v>
      </c>
      <c r="Y27" s="438">
        <v>0</v>
      </c>
      <c r="Z27" s="438">
        <v>0</v>
      </c>
      <c r="AA27" s="438">
        <v>0</v>
      </c>
      <c r="AB27" s="444">
        <v>0</v>
      </c>
      <c r="AC27" s="450">
        <v>1.9178082191780819E-2</v>
      </c>
      <c r="AD27" s="474"/>
    </row>
    <row r="28" spans="2:30" ht="15">
      <c r="B28" s="22">
        <f>'Oil supply projection'!$B28</f>
        <v>2037</v>
      </c>
      <c r="C28" s="438">
        <v>0</v>
      </c>
      <c r="D28" s="438">
        <v>0</v>
      </c>
      <c r="E28" s="438">
        <v>0</v>
      </c>
      <c r="F28" s="444">
        <v>0</v>
      </c>
      <c r="G28" s="447">
        <v>0</v>
      </c>
      <c r="H28" s="438">
        <v>8.21917808219178E-3</v>
      </c>
      <c r="I28" s="444">
        <v>0</v>
      </c>
      <c r="J28" s="447">
        <v>0</v>
      </c>
      <c r="K28" s="438">
        <v>0</v>
      </c>
      <c r="L28" s="438">
        <v>0</v>
      </c>
      <c r="M28" s="444">
        <v>0</v>
      </c>
      <c r="N28" s="447">
        <v>5.4794520547945206E-3</v>
      </c>
      <c r="O28" s="438">
        <v>5.4794520547945206E-3</v>
      </c>
      <c r="P28" s="438">
        <v>0</v>
      </c>
      <c r="Q28" s="438">
        <v>0</v>
      </c>
      <c r="R28" s="438">
        <v>0</v>
      </c>
      <c r="S28" s="438">
        <v>0</v>
      </c>
      <c r="T28" s="438">
        <v>0</v>
      </c>
      <c r="U28" s="438">
        <v>0</v>
      </c>
      <c r="V28" s="438">
        <v>0</v>
      </c>
      <c r="W28" s="438">
        <v>0</v>
      </c>
      <c r="X28" s="438">
        <v>0</v>
      </c>
      <c r="Y28" s="438">
        <v>0</v>
      </c>
      <c r="Z28" s="438">
        <v>0</v>
      </c>
      <c r="AA28" s="438">
        <v>0</v>
      </c>
      <c r="AB28" s="444">
        <v>0</v>
      </c>
      <c r="AC28" s="450">
        <v>1.9178082191780819E-2</v>
      </c>
      <c r="AD28" s="474"/>
    </row>
    <row r="29" spans="2:30" ht="15">
      <c r="B29" s="22">
        <f>'Oil supply projection'!$B29</f>
        <v>2038</v>
      </c>
      <c r="C29" s="438">
        <v>0</v>
      </c>
      <c r="D29" s="438">
        <v>0</v>
      </c>
      <c r="E29" s="438">
        <v>0</v>
      </c>
      <c r="F29" s="444">
        <v>0</v>
      </c>
      <c r="G29" s="447">
        <v>0</v>
      </c>
      <c r="H29" s="438">
        <v>8.21917808219178E-3</v>
      </c>
      <c r="I29" s="444">
        <v>0</v>
      </c>
      <c r="J29" s="447">
        <v>0</v>
      </c>
      <c r="K29" s="438">
        <v>0</v>
      </c>
      <c r="L29" s="438">
        <v>0</v>
      </c>
      <c r="M29" s="444">
        <v>0</v>
      </c>
      <c r="N29" s="447">
        <v>5.4794520547945206E-3</v>
      </c>
      <c r="O29" s="438">
        <v>5.4794520547945206E-3</v>
      </c>
      <c r="P29" s="438">
        <v>0</v>
      </c>
      <c r="Q29" s="438">
        <v>0</v>
      </c>
      <c r="R29" s="438">
        <v>0</v>
      </c>
      <c r="S29" s="438">
        <v>0</v>
      </c>
      <c r="T29" s="438">
        <v>0</v>
      </c>
      <c r="U29" s="438">
        <v>0</v>
      </c>
      <c r="V29" s="438">
        <v>0</v>
      </c>
      <c r="W29" s="438">
        <v>0</v>
      </c>
      <c r="X29" s="438">
        <v>0</v>
      </c>
      <c r="Y29" s="438">
        <v>0</v>
      </c>
      <c r="Z29" s="438">
        <v>0</v>
      </c>
      <c r="AA29" s="438">
        <v>0</v>
      </c>
      <c r="AB29" s="444">
        <v>0</v>
      </c>
      <c r="AC29" s="450">
        <v>1.9178082191780819E-2</v>
      </c>
      <c r="AD29" s="474"/>
    </row>
    <row r="30" spans="2:30" ht="15">
      <c r="B30" s="22">
        <f>'Oil supply projection'!$B30</f>
        <v>2039</v>
      </c>
      <c r="C30" s="438">
        <v>0</v>
      </c>
      <c r="D30" s="438">
        <v>0</v>
      </c>
      <c r="E30" s="438">
        <v>0</v>
      </c>
      <c r="F30" s="444">
        <v>0</v>
      </c>
      <c r="G30" s="447">
        <v>0</v>
      </c>
      <c r="H30" s="438">
        <v>8.21917808219178E-3</v>
      </c>
      <c r="I30" s="444">
        <v>0</v>
      </c>
      <c r="J30" s="447">
        <v>0</v>
      </c>
      <c r="K30" s="438">
        <v>0</v>
      </c>
      <c r="L30" s="438">
        <v>0</v>
      </c>
      <c r="M30" s="444">
        <v>0</v>
      </c>
      <c r="N30" s="447">
        <v>5.4794520547945206E-3</v>
      </c>
      <c r="O30" s="438">
        <v>5.4794520547945206E-3</v>
      </c>
      <c r="P30" s="438">
        <v>0</v>
      </c>
      <c r="Q30" s="438">
        <v>0</v>
      </c>
      <c r="R30" s="438">
        <v>0</v>
      </c>
      <c r="S30" s="438">
        <v>0</v>
      </c>
      <c r="T30" s="438">
        <v>0</v>
      </c>
      <c r="U30" s="438">
        <v>0</v>
      </c>
      <c r="V30" s="438">
        <v>0</v>
      </c>
      <c r="W30" s="438">
        <v>0</v>
      </c>
      <c r="X30" s="438">
        <v>0</v>
      </c>
      <c r="Y30" s="438">
        <v>0</v>
      </c>
      <c r="Z30" s="438">
        <v>0</v>
      </c>
      <c r="AA30" s="438">
        <v>0</v>
      </c>
      <c r="AB30" s="444">
        <v>0</v>
      </c>
      <c r="AC30" s="450">
        <v>1.9178082191780819E-2</v>
      </c>
      <c r="AD30" s="474"/>
    </row>
    <row r="31" spans="2:30" ht="15">
      <c r="B31" s="22">
        <f>'Oil supply projection'!$B31</f>
        <v>2040</v>
      </c>
      <c r="C31" s="438">
        <v>0</v>
      </c>
      <c r="D31" s="438">
        <v>0</v>
      </c>
      <c r="E31" s="438">
        <v>0</v>
      </c>
      <c r="F31" s="444">
        <v>0</v>
      </c>
      <c r="G31" s="447">
        <v>0</v>
      </c>
      <c r="H31" s="438">
        <v>8.21917808219178E-3</v>
      </c>
      <c r="I31" s="444">
        <v>0</v>
      </c>
      <c r="J31" s="447">
        <v>0</v>
      </c>
      <c r="K31" s="438">
        <v>0</v>
      </c>
      <c r="L31" s="438">
        <v>0</v>
      </c>
      <c r="M31" s="444">
        <v>0</v>
      </c>
      <c r="N31" s="447">
        <v>5.4794520547945206E-3</v>
      </c>
      <c r="O31" s="438">
        <v>5.4794520547945206E-3</v>
      </c>
      <c r="P31" s="438">
        <v>0</v>
      </c>
      <c r="Q31" s="438">
        <v>0</v>
      </c>
      <c r="R31" s="438">
        <v>0</v>
      </c>
      <c r="S31" s="438">
        <v>0</v>
      </c>
      <c r="T31" s="438">
        <v>0</v>
      </c>
      <c r="U31" s="438">
        <v>0</v>
      </c>
      <c r="V31" s="438">
        <v>0</v>
      </c>
      <c r="W31" s="438">
        <v>0</v>
      </c>
      <c r="X31" s="438">
        <v>0</v>
      </c>
      <c r="Y31" s="438">
        <v>0</v>
      </c>
      <c r="Z31" s="438">
        <v>0</v>
      </c>
      <c r="AA31" s="438">
        <v>0</v>
      </c>
      <c r="AB31" s="444">
        <v>0</v>
      </c>
      <c r="AC31" s="450">
        <v>1.9178082191780819E-2</v>
      </c>
      <c r="AD31" s="474"/>
    </row>
    <row r="32" spans="2:30" ht="15">
      <c r="B32" s="22">
        <f>'Oil supply projection'!$B32</f>
        <v>2041</v>
      </c>
      <c r="C32" s="438">
        <v>0</v>
      </c>
      <c r="D32" s="438">
        <v>0</v>
      </c>
      <c r="E32" s="438">
        <v>0</v>
      </c>
      <c r="F32" s="444">
        <v>0</v>
      </c>
      <c r="G32" s="447">
        <v>0</v>
      </c>
      <c r="H32" s="438">
        <v>8.21917808219178E-3</v>
      </c>
      <c r="I32" s="444">
        <v>0</v>
      </c>
      <c r="J32" s="447">
        <v>0</v>
      </c>
      <c r="K32" s="438">
        <v>0</v>
      </c>
      <c r="L32" s="438">
        <v>0</v>
      </c>
      <c r="M32" s="444">
        <v>0</v>
      </c>
      <c r="N32" s="447">
        <v>5.4794520547945206E-3</v>
      </c>
      <c r="O32" s="438">
        <v>5.4794520547945206E-3</v>
      </c>
      <c r="P32" s="438">
        <v>0</v>
      </c>
      <c r="Q32" s="438">
        <v>0</v>
      </c>
      <c r="R32" s="438">
        <v>0</v>
      </c>
      <c r="S32" s="438">
        <v>0</v>
      </c>
      <c r="T32" s="438">
        <v>0</v>
      </c>
      <c r="U32" s="438">
        <v>0</v>
      </c>
      <c r="V32" s="438">
        <v>0</v>
      </c>
      <c r="W32" s="438">
        <v>0</v>
      </c>
      <c r="X32" s="438">
        <v>0</v>
      </c>
      <c r="Y32" s="438">
        <v>0</v>
      </c>
      <c r="Z32" s="438">
        <v>0</v>
      </c>
      <c r="AA32" s="438">
        <v>0</v>
      </c>
      <c r="AB32" s="444">
        <v>0</v>
      </c>
      <c r="AC32" s="450">
        <v>1.9178082191780819E-2</v>
      </c>
      <c r="AD32" s="474"/>
    </row>
    <row r="33" spans="2:30" ht="15">
      <c r="B33" s="22">
        <f>'Oil supply projection'!$B33</f>
        <v>2042</v>
      </c>
      <c r="C33" s="438">
        <v>0</v>
      </c>
      <c r="D33" s="438">
        <v>0</v>
      </c>
      <c r="E33" s="438">
        <v>0</v>
      </c>
      <c r="F33" s="444">
        <v>0</v>
      </c>
      <c r="G33" s="447">
        <v>0</v>
      </c>
      <c r="H33" s="438">
        <v>8.21917808219178E-3</v>
      </c>
      <c r="I33" s="444">
        <v>0</v>
      </c>
      <c r="J33" s="447">
        <v>0</v>
      </c>
      <c r="K33" s="438">
        <v>0</v>
      </c>
      <c r="L33" s="438">
        <v>0</v>
      </c>
      <c r="M33" s="444">
        <v>0</v>
      </c>
      <c r="N33" s="447">
        <v>5.4794520547945206E-3</v>
      </c>
      <c r="O33" s="438">
        <v>5.4794520547945206E-3</v>
      </c>
      <c r="P33" s="438">
        <v>0</v>
      </c>
      <c r="Q33" s="438">
        <v>0</v>
      </c>
      <c r="R33" s="438">
        <v>0</v>
      </c>
      <c r="S33" s="438">
        <v>0</v>
      </c>
      <c r="T33" s="438">
        <v>0</v>
      </c>
      <c r="U33" s="438">
        <v>0</v>
      </c>
      <c r="V33" s="438">
        <v>0</v>
      </c>
      <c r="W33" s="438">
        <v>0</v>
      </c>
      <c r="X33" s="438">
        <v>0</v>
      </c>
      <c r="Y33" s="438">
        <v>0</v>
      </c>
      <c r="Z33" s="438">
        <v>0</v>
      </c>
      <c r="AA33" s="438">
        <v>0</v>
      </c>
      <c r="AB33" s="444">
        <v>0</v>
      </c>
      <c r="AC33" s="450">
        <v>1.9178082191780819E-2</v>
      </c>
      <c r="AD33" s="474"/>
    </row>
    <row r="34" spans="2:30" ht="15">
      <c r="B34" s="22">
        <f>'Oil supply projection'!$B34</f>
        <v>2043</v>
      </c>
      <c r="C34" s="438">
        <v>0</v>
      </c>
      <c r="D34" s="438">
        <v>0</v>
      </c>
      <c r="E34" s="438">
        <v>0</v>
      </c>
      <c r="F34" s="444">
        <v>0</v>
      </c>
      <c r="G34" s="447">
        <v>0</v>
      </c>
      <c r="H34" s="438">
        <v>8.21917808219178E-3</v>
      </c>
      <c r="I34" s="444">
        <v>0</v>
      </c>
      <c r="J34" s="447">
        <v>0</v>
      </c>
      <c r="K34" s="438">
        <v>0</v>
      </c>
      <c r="L34" s="438">
        <v>0</v>
      </c>
      <c r="M34" s="444">
        <v>0</v>
      </c>
      <c r="N34" s="447">
        <v>5.4794520547945206E-3</v>
      </c>
      <c r="O34" s="438">
        <v>5.4794520547945206E-3</v>
      </c>
      <c r="P34" s="438">
        <v>0</v>
      </c>
      <c r="Q34" s="438">
        <v>0</v>
      </c>
      <c r="R34" s="438">
        <v>0</v>
      </c>
      <c r="S34" s="438">
        <v>0</v>
      </c>
      <c r="T34" s="438">
        <v>0</v>
      </c>
      <c r="U34" s="438">
        <v>0</v>
      </c>
      <c r="V34" s="438">
        <v>0</v>
      </c>
      <c r="W34" s="438">
        <v>0</v>
      </c>
      <c r="X34" s="438">
        <v>0</v>
      </c>
      <c r="Y34" s="438">
        <v>0</v>
      </c>
      <c r="Z34" s="438">
        <v>0</v>
      </c>
      <c r="AA34" s="438">
        <v>0</v>
      </c>
      <c r="AB34" s="444">
        <v>0</v>
      </c>
      <c r="AC34" s="450">
        <v>1.9178082191780819E-2</v>
      </c>
      <c r="AD34" s="474"/>
    </row>
    <row r="35" spans="2:30" ht="15">
      <c r="B35" s="22">
        <f>'Oil supply projection'!$B35</f>
        <v>2044</v>
      </c>
      <c r="C35" s="438">
        <v>0</v>
      </c>
      <c r="D35" s="438">
        <v>0</v>
      </c>
      <c r="E35" s="438">
        <v>0</v>
      </c>
      <c r="F35" s="444">
        <v>0</v>
      </c>
      <c r="G35" s="447">
        <v>0</v>
      </c>
      <c r="H35" s="438">
        <v>8.21917808219178E-3</v>
      </c>
      <c r="I35" s="444">
        <v>0</v>
      </c>
      <c r="J35" s="447">
        <v>0</v>
      </c>
      <c r="K35" s="438">
        <v>0</v>
      </c>
      <c r="L35" s="438">
        <v>0</v>
      </c>
      <c r="M35" s="444">
        <v>0</v>
      </c>
      <c r="N35" s="447">
        <v>5.4794520547945206E-3</v>
      </c>
      <c r="O35" s="438">
        <v>5.4794520547945206E-3</v>
      </c>
      <c r="P35" s="438">
        <v>0</v>
      </c>
      <c r="Q35" s="438">
        <v>0</v>
      </c>
      <c r="R35" s="438">
        <v>0</v>
      </c>
      <c r="S35" s="438">
        <v>0</v>
      </c>
      <c r="T35" s="438">
        <v>0</v>
      </c>
      <c r="U35" s="438">
        <v>0</v>
      </c>
      <c r="V35" s="438">
        <v>0</v>
      </c>
      <c r="W35" s="438">
        <v>0</v>
      </c>
      <c r="X35" s="438">
        <v>0</v>
      </c>
      <c r="Y35" s="438">
        <v>0</v>
      </c>
      <c r="Z35" s="438">
        <v>0</v>
      </c>
      <c r="AA35" s="438">
        <v>0</v>
      </c>
      <c r="AB35" s="444">
        <v>0</v>
      </c>
      <c r="AC35" s="450">
        <v>1.9178082191780819E-2</v>
      </c>
      <c r="AD35" s="474"/>
    </row>
    <row r="36" spans="2:30" ht="15">
      <c r="B36" s="22">
        <f>'Oil supply projection'!$B36</f>
        <v>2045</v>
      </c>
      <c r="C36" s="438">
        <v>0</v>
      </c>
      <c r="D36" s="438">
        <v>0</v>
      </c>
      <c r="E36" s="438">
        <v>0</v>
      </c>
      <c r="F36" s="444">
        <v>0</v>
      </c>
      <c r="G36" s="447">
        <v>0</v>
      </c>
      <c r="H36" s="438">
        <v>0</v>
      </c>
      <c r="I36" s="444">
        <v>0</v>
      </c>
      <c r="J36" s="447">
        <v>0</v>
      </c>
      <c r="K36" s="438">
        <v>0</v>
      </c>
      <c r="L36" s="438">
        <v>0</v>
      </c>
      <c r="M36" s="444">
        <v>0</v>
      </c>
      <c r="N36" s="447">
        <v>0</v>
      </c>
      <c r="O36" s="438">
        <v>0</v>
      </c>
      <c r="P36" s="438">
        <v>0</v>
      </c>
      <c r="Q36" s="438">
        <v>0</v>
      </c>
      <c r="R36" s="438">
        <v>0</v>
      </c>
      <c r="S36" s="438">
        <v>0</v>
      </c>
      <c r="T36" s="438">
        <v>0</v>
      </c>
      <c r="U36" s="438">
        <v>0</v>
      </c>
      <c r="V36" s="438">
        <v>0</v>
      </c>
      <c r="W36" s="438">
        <v>0</v>
      </c>
      <c r="X36" s="438">
        <v>0</v>
      </c>
      <c r="Y36" s="438">
        <v>0</v>
      </c>
      <c r="Z36" s="438">
        <v>0</v>
      </c>
      <c r="AA36" s="438">
        <v>0</v>
      </c>
      <c r="AB36" s="444">
        <v>0</v>
      </c>
      <c r="AC36" s="450">
        <v>0</v>
      </c>
      <c r="AD36" s="474"/>
    </row>
    <row r="37" spans="2:30" ht="15">
      <c r="B37" s="22">
        <f>'Oil supply projection'!$B37</f>
        <v>2046</v>
      </c>
      <c r="C37" s="438">
        <v>0</v>
      </c>
      <c r="D37" s="438">
        <v>0</v>
      </c>
      <c r="E37" s="438">
        <v>0</v>
      </c>
      <c r="F37" s="444">
        <v>0</v>
      </c>
      <c r="G37" s="447">
        <v>0</v>
      </c>
      <c r="H37" s="438">
        <v>0</v>
      </c>
      <c r="I37" s="444">
        <v>0</v>
      </c>
      <c r="J37" s="447">
        <v>0</v>
      </c>
      <c r="K37" s="438">
        <v>0</v>
      </c>
      <c r="L37" s="438">
        <v>0</v>
      </c>
      <c r="M37" s="444">
        <v>0</v>
      </c>
      <c r="N37" s="447">
        <v>0</v>
      </c>
      <c r="O37" s="438">
        <v>0</v>
      </c>
      <c r="P37" s="438">
        <v>0</v>
      </c>
      <c r="Q37" s="438">
        <v>0</v>
      </c>
      <c r="R37" s="438">
        <v>0</v>
      </c>
      <c r="S37" s="438">
        <v>0</v>
      </c>
      <c r="T37" s="438">
        <v>0</v>
      </c>
      <c r="U37" s="438">
        <v>0</v>
      </c>
      <c r="V37" s="438">
        <v>0</v>
      </c>
      <c r="W37" s="438">
        <v>0</v>
      </c>
      <c r="X37" s="438">
        <v>0</v>
      </c>
      <c r="Y37" s="438">
        <v>0</v>
      </c>
      <c r="Z37" s="438">
        <v>0</v>
      </c>
      <c r="AA37" s="438">
        <v>0</v>
      </c>
      <c r="AB37" s="444">
        <v>0</v>
      </c>
      <c r="AC37" s="450">
        <v>0</v>
      </c>
      <c r="AD37" s="474"/>
    </row>
    <row r="38" spans="2:30" ht="15">
      <c r="B38" s="22">
        <f>'Oil supply projection'!$B38</f>
        <v>2047</v>
      </c>
      <c r="C38" s="438">
        <v>0</v>
      </c>
      <c r="D38" s="438">
        <v>0</v>
      </c>
      <c r="E38" s="438">
        <v>0</v>
      </c>
      <c r="F38" s="444">
        <v>0</v>
      </c>
      <c r="G38" s="447">
        <v>0</v>
      </c>
      <c r="H38" s="438">
        <v>0</v>
      </c>
      <c r="I38" s="444">
        <v>0</v>
      </c>
      <c r="J38" s="447">
        <v>0</v>
      </c>
      <c r="K38" s="438">
        <v>0</v>
      </c>
      <c r="L38" s="438">
        <v>0</v>
      </c>
      <c r="M38" s="444">
        <v>0</v>
      </c>
      <c r="N38" s="447">
        <v>0</v>
      </c>
      <c r="O38" s="438">
        <v>0</v>
      </c>
      <c r="P38" s="438">
        <v>0</v>
      </c>
      <c r="Q38" s="438">
        <v>0</v>
      </c>
      <c r="R38" s="438">
        <v>0</v>
      </c>
      <c r="S38" s="438">
        <v>0</v>
      </c>
      <c r="T38" s="438">
        <v>0</v>
      </c>
      <c r="U38" s="438">
        <v>0</v>
      </c>
      <c r="V38" s="438">
        <v>0</v>
      </c>
      <c r="W38" s="438">
        <v>0</v>
      </c>
      <c r="X38" s="438">
        <v>0</v>
      </c>
      <c r="Y38" s="438">
        <v>0</v>
      </c>
      <c r="Z38" s="438">
        <v>0</v>
      </c>
      <c r="AA38" s="438">
        <v>0</v>
      </c>
      <c r="AB38" s="444">
        <v>0</v>
      </c>
      <c r="AC38" s="450">
        <v>0</v>
      </c>
      <c r="AD38" s="474"/>
    </row>
    <row r="39" spans="2:30" ht="15">
      <c r="B39" s="22">
        <f>'Oil supply projection'!$B39</f>
        <v>2048</v>
      </c>
      <c r="C39" s="438">
        <v>0</v>
      </c>
      <c r="D39" s="438">
        <v>0</v>
      </c>
      <c r="E39" s="438">
        <v>0</v>
      </c>
      <c r="F39" s="444">
        <v>0</v>
      </c>
      <c r="G39" s="447">
        <v>0</v>
      </c>
      <c r="H39" s="438">
        <v>0</v>
      </c>
      <c r="I39" s="444">
        <v>0</v>
      </c>
      <c r="J39" s="447">
        <v>0</v>
      </c>
      <c r="K39" s="438">
        <v>0</v>
      </c>
      <c r="L39" s="438">
        <v>0</v>
      </c>
      <c r="M39" s="444">
        <v>0</v>
      </c>
      <c r="N39" s="447">
        <v>0</v>
      </c>
      <c r="O39" s="438">
        <v>0</v>
      </c>
      <c r="P39" s="438">
        <v>0</v>
      </c>
      <c r="Q39" s="438">
        <v>0</v>
      </c>
      <c r="R39" s="438">
        <v>0</v>
      </c>
      <c r="S39" s="438">
        <v>0</v>
      </c>
      <c r="T39" s="438">
        <v>0</v>
      </c>
      <c r="U39" s="438">
        <v>0</v>
      </c>
      <c r="V39" s="438">
        <v>0</v>
      </c>
      <c r="W39" s="438">
        <v>0</v>
      </c>
      <c r="X39" s="438">
        <v>0</v>
      </c>
      <c r="Y39" s="438">
        <v>0</v>
      </c>
      <c r="Z39" s="438">
        <v>0</v>
      </c>
      <c r="AA39" s="438">
        <v>0</v>
      </c>
      <c r="AB39" s="444">
        <v>0</v>
      </c>
      <c r="AC39" s="450">
        <v>0</v>
      </c>
      <c r="AD39" s="474"/>
    </row>
    <row r="40" spans="2:30" ht="15">
      <c r="B40" s="22">
        <f>'Oil supply projection'!$B40</f>
        <v>2049</v>
      </c>
      <c r="C40" s="438">
        <v>0</v>
      </c>
      <c r="D40" s="438">
        <v>0</v>
      </c>
      <c r="E40" s="438">
        <v>0</v>
      </c>
      <c r="F40" s="444">
        <v>0</v>
      </c>
      <c r="G40" s="447">
        <v>0</v>
      </c>
      <c r="H40" s="438">
        <v>0</v>
      </c>
      <c r="I40" s="444">
        <v>0</v>
      </c>
      <c r="J40" s="447">
        <v>0</v>
      </c>
      <c r="K40" s="438">
        <v>0</v>
      </c>
      <c r="L40" s="438">
        <v>0</v>
      </c>
      <c r="M40" s="444">
        <v>0</v>
      </c>
      <c r="N40" s="447">
        <v>0</v>
      </c>
      <c r="O40" s="438">
        <v>0</v>
      </c>
      <c r="P40" s="438">
        <v>0</v>
      </c>
      <c r="Q40" s="438">
        <v>0</v>
      </c>
      <c r="R40" s="438">
        <v>0</v>
      </c>
      <c r="S40" s="438">
        <v>0</v>
      </c>
      <c r="T40" s="438">
        <v>0</v>
      </c>
      <c r="U40" s="438">
        <v>0</v>
      </c>
      <c r="V40" s="438">
        <v>0</v>
      </c>
      <c r="W40" s="438">
        <v>0</v>
      </c>
      <c r="X40" s="438">
        <v>0</v>
      </c>
      <c r="Y40" s="438">
        <v>0</v>
      </c>
      <c r="Z40" s="438">
        <v>0</v>
      </c>
      <c r="AA40" s="438">
        <v>0</v>
      </c>
      <c r="AB40" s="444">
        <v>0</v>
      </c>
      <c r="AC40" s="450">
        <v>0</v>
      </c>
      <c r="AD40" s="474"/>
    </row>
    <row r="41" spans="2:30" ht="15">
      <c r="B41" s="22">
        <f>'Oil supply projection'!$B41</f>
        <v>2050</v>
      </c>
      <c r="C41" s="438">
        <v>0</v>
      </c>
      <c r="D41" s="438">
        <v>0</v>
      </c>
      <c r="E41" s="438">
        <v>0</v>
      </c>
      <c r="F41" s="444">
        <v>0</v>
      </c>
      <c r="G41" s="447">
        <v>0</v>
      </c>
      <c r="H41" s="438">
        <v>0</v>
      </c>
      <c r="I41" s="444">
        <v>0</v>
      </c>
      <c r="J41" s="447">
        <v>0</v>
      </c>
      <c r="K41" s="438">
        <v>0</v>
      </c>
      <c r="L41" s="438">
        <v>0</v>
      </c>
      <c r="M41" s="444">
        <v>0</v>
      </c>
      <c r="N41" s="447">
        <v>0</v>
      </c>
      <c r="O41" s="438">
        <v>0</v>
      </c>
      <c r="P41" s="438">
        <v>0</v>
      </c>
      <c r="Q41" s="438">
        <v>0</v>
      </c>
      <c r="R41" s="438">
        <v>0</v>
      </c>
      <c r="S41" s="438">
        <v>0</v>
      </c>
      <c r="T41" s="438">
        <v>0</v>
      </c>
      <c r="U41" s="438">
        <v>0</v>
      </c>
      <c r="V41" s="438">
        <v>0</v>
      </c>
      <c r="W41" s="438">
        <v>0</v>
      </c>
      <c r="X41" s="438">
        <v>0</v>
      </c>
      <c r="Y41" s="438">
        <v>0</v>
      </c>
      <c r="Z41" s="438">
        <v>0</v>
      </c>
      <c r="AA41" s="438">
        <v>0</v>
      </c>
      <c r="AB41" s="444">
        <v>0</v>
      </c>
      <c r="AC41" s="450">
        <v>0</v>
      </c>
      <c r="AD41" s="474"/>
    </row>
    <row r="42" spans="2:30" ht="15">
      <c r="B42" s="22">
        <f>'Oil supply projection'!$B42</f>
        <v>2051</v>
      </c>
      <c r="C42" s="438">
        <v>0</v>
      </c>
      <c r="D42" s="438">
        <v>0</v>
      </c>
      <c r="E42" s="438">
        <v>0</v>
      </c>
      <c r="F42" s="444">
        <v>0</v>
      </c>
      <c r="G42" s="447">
        <v>0</v>
      </c>
      <c r="H42" s="438">
        <v>0</v>
      </c>
      <c r="I42" s="444">
        <v>0</v>
      </c>
      <c r="J42" s="447">
        <v>0</v>
      </c>
      <c r="K42" s="438">
        <v>0</v>
      </c>
      <c r="L42" s="438">
        <v>0</v>
      </c>
      <c r="M42" s="444">
        <v>0</v>
      </c>
      <c r="N42" s="447">
        <v>0</v>
      </c>
      <c r="O42" s="438">
        <v>0</v>
      </c>
      <c r="P42" s="438">
        <v>0</v>
      </c>
      <c r="Q42" s="438">
        <v>0</v>
      </c>
      <c r="R42" s="438">
        <v>0</v>
      </c>
      <c r="S42" s="438">
        <v>0</v>
      </c>
      <c r="T42" s="438">
        <v>0</v>
      </c>
      <c r="U42" s="438">
        <v>0</v>
      </c>
      <c r="V42" s="438">
        <v>0</v>
      </c>
      <c r="W42" s="438">
        <v>0</v>
      </c>
      <c r="X42" s="438">
        <v>0</v>
      </c>
      <c r="Y42" s="438">
        <v>0</v>
      </c>
      <c r="Z42" s="438">
        <v>0</v>
      </c>
      <c r="AA42" s="438">
        <v>0</v>
      </c>
      <c r="AB42" s="444">
        <v>0</v>
      </c>
      <c r="AC42" s="450">
        <v>0</v>
      </c>
      <c r="AD42" s="474"/>
    </row>
    <row r="43" spans="2:30" ht="15">
      <c r="B43" s="22">
        <f>'Oil supply projection'!$B43</f>
        <v>2052</v>
      </c>
      <c r="C43" s="438">
        <v>0</v>
      </c>
      <c r="D43" s="438">
        <v>0</v>
      </c>
      <c r="E43" s="438">
        <v>0</v>
      </c>
      <c r="F43" s="444">
        <v>0</v>
      </c>
      <c r="G43" s="447">
        <v>0</v>
      </c>
      <c r="H43" s="438">
        <v>0</v>
      </c>
      <c r="I43" s="444">
        <v>0</v>
      </c>
      <c r="J43" s="447">
        <v>0</v>
      </c>
      <c r="K43" s="438">
        <v>0</v>
      </c>
      <c r="L43" s="438">
        <v>0</v>
      </c>
      <c r="M43" s="444">
        <v>0</v>
      </c>
      <c r="N43" s="447">
        <v>0</v>
      </c>
      <c r="O43" s="438">
        <v>0</v>
      </c>
      <c r="P43" s="438">
        <v>0</v>
      </c>
      <c r="Q43" s="438">
        <v>0</v>
      </c>
      <c r="R43" s="438">
        <v>0</v>
      </c>
      <c r="S43" s="438">
        <v>0</v>
      </c>
      <c r="T43" s="438">
        <v>0</v>
      </c>
      <c r="U43" s="438">
        <v>0</v>
      </c>
      <c r="V43" s="438">
        <v>0</v>
      </c>
      <c r="W43" s="438">
        <v>0</v>
      </c>
      <c r="X43" s="438">
        <v>0</v>
      </c>
      <c r="Y43" s="438">
        <v>0</v>
      </c>
      <c r="Z43" s="438">
        <v>0</v>
      </c>
      <c r="AA43" s="438">
        <v>0</v>
      </c>
      <c r="AB43" s="444">
        <v>0</v>
      </c>
      <c r="AC43" s="450">
        <v>0</v>
      </c>
      <c r="AD43" s="474"/>
    </row>
    <row r="44" spans="2:30" ht="15">
      <c r="B44" s="22">
        <f>'Oil supply projection'!$B44</f>
        <v>2053</v>
      </c>
      <c r="C44" s="438">
        <v>0</v>
      </c>
      <c r="D44" s="438">
        <v>0</v>
      </c>
      <c r="E44" s="438">
        <v>0</v>
      </c>
      <c r="F44" s="444">
        <v>0</v>
      </c>
      <c r="G44" s="447">
        <v>0</v>
      </c>
      <c r="H44" s="438">
        <v>0</v>
      </c>
      <c r="I44" s="444">
        <v>0</v>
      </c>
      <c r="J44" s="447">
        <v>0</v>
      </c>
      <c r="K44" s="438">
        <v>0</v>
      </c>
      <c r="L44" s="438">
        <v>0</v>
      </c>
      <c r="M44" s="444">
        <v>0</v>
      </c>
      <c r="N44" s="447">
        <v>0</v>
      </c>
      <c r="O44" s="438">
        <v>0</v>
      </c>
      <c r="P44" s="438">
        <v>0</v>
      </c>
      <c r="Q44" s="438">
        <v>0</v>
      </c>
      <c r="R44" s="438">
        <v>0</v>
      </c>
      <c r="S44" s="438">
        <v>0</v>
      </c>
      <c r="T44" s="438">
        <v>0</v>
      </c>
      <c r="U44" s="438">
        <v>0</v>
      </c>
      <c r="V44" s="438">
        <v>0</v>
      </c>
      <c r="W44" s="438">
        <v>0</v>
      </c>
      <c r="X44" s="438">
        <v>0</v>
      </c>
      <c r="Y44" s="438">
        <v>0</v>
      </c>
      <c r="Z44" s="438">
        <v>0</v>
      </c>
      <c r="AA44" s="438">
        <v>0</v>
      </c>
      <c r="AB44" s="444">
        <v>0</v>
      </c>
      <c r="AC44" s="450">
        <v>0</v>
      </c>
      <c r="AD44" s="474"/>
    </row>
    <row r="45" spans="2:30" ht="15">
      <c r="B45" s="22">
        <f>'Oil supply projection'!$B45</f>
        <v>2054</v>
      </c>
      <c r="C45" s="438">
        <v>0</v>
      </c>
      <c r="D45" s="438">
        <v>0</v>
      </c>
      <c r="E45" s="438">
        <v>0</v>
      </c>
      <c r="F45" s="444">
        <v>0</v>
      </c>
      <c r="G45" s="447">
        <v>0</v>
      </c>
      <c r="H45" s="438">
        <v>0</v>
      </c>
      <c r="I45" s="444">
        <v>0</v>
      </c>
      <c r="J45" s="447">
        <v>0</v>
      </c>
      <c r="K45" s="438">
        <v>0</v>
      </c>
      <c r="L45" s="438">
        <v>0</v>
      </c>
      <c r="M45" s="444">
        <v>0</v>
      </c>
      <c r="N45" s="447">
        <v>0</v>
      </c>
      <c r="O45" s="438">
        <v>0</v>
      </c>
      <c r="P45" s="438">
        <v>0</v>
      </c>
      <c r="Q45" s="438">
        <v>0</v>
      </c>
      <c r="R45" s="438">
        <v>0</v>
      </c>
      <c r="S45" s="438">
        <v>0</v>
      </c>
      <c r="T45" s="438">
        <v>0</v>
      </c>
      <c r="U45" s="438">
        <v>0</v>
      </c>
      <c r="V45" s="438">
        <v>0</v>
      </c>
      <c r="W45" s="438">
        <v>0</v>
      </c>
      <c r="X45" s="438">
        <v>0</v>
      </c>
      <c r="Y45" s="438">
        <v>0</v>
      </c>
      <c r="Z45" s="438">
        <v>0</v>
      </c>
      <c r="AA45" s="438">
        <v>0</v>
      </c>
      <c r="AB45" s="444">
        <v>0</v>
      </c>
      <c r="AC45" s="450">
        <v>0</v>
      </c>
      <c r="AD45" s="474"/>
    </row>
    <row r="46" spans="2:30" ht="15">
      <c r="B46" s="22">
        <f>'Oil supply projection'!$B46</f>
        <v>2055</v>
      </c>
      <c r="C46" s="438">
        <v>0</v>
      </c>
      <c r="D46" s="438">
        <v>0</v>
      </c>
      <c r="E46" s="438">
        <v>0</v>
      </c>
      <c r="F46" s="444">
        <v>0</v>
      </c>
      <c r="G46" s="447">
        <v>0</v>
      </c>
      <c r="H46" s="438">
        <v>0</v>
      </c>
      <c r="I46" s="444">
        <v>0</v>
      </c>
      <c r="J46" s="447">
        <v>0</v>
      </c>
      <c r="K46" s="438">
        <v>0</v>
      </c>
      <c r="L46" s="438">
        <v>0</v>
      </c>
      <c r="M46" s="444">
        <v>0</v>
      </c>
      <c r="N46" s="447">
        <v>0</v>
      </c>
      <c r="O46" s="438">
        <v>0</v>
      </c>
      <c r="P46" s="438">
        <v>0</v>
      </c>
      <c r="Q46" s="438">
        <v>0</v>
      </c>
      <c r="R46" s="438">
        <v>0</v>
      </c>
      <c r="S46" s="438">
        <v>0</v>
      </c>
      <c r="T46" s="438">
        <v>0</v>
      </c>
      <c r="U46" s="438">
        <v>0</v>
      </c>
      <c r="V46" s="438">
        <v>0</v>
      </c>
      <c r="W46" s="438">
        <v>0</v>
      </c>
      <c r="X46" s="438">
        <v>0</v>
      </c>
      <c r="Y46" s="438">
        <v>0</v>
      </c>
      <c r="Z46" s="438">
        <v>0</v>
      </c>
      <c r="AA46" s="438">
        <v>0</v>
      </c>
      <c r="AB46" s="444">
        <v>0</v>
      </c>
      <c r="AC46" s="450">
        <v>0</v>
      </c>
      <c r="AD46" s="474"/>
    </row>
    <row r="47" spans="2:30" ht="15">
      <c r="B47" s="22">
        <f>'Oil supply projection'!$B47</f>
        <v>2056</v>
      </c>
      <c r="C47" s="438">
        <v>0</v>
      </c>
      <c r="D47" s="438">
        <v>0</v>
      </c>
      <c r="E47" s="438">
        <v>0</v>
      </c>
      <c r="F47" s="444">
        <v>0</v>
      </c>
      <c r="G47" s="447">
        <v>0</v>
      </c>
      <c r="H47" s="438">
        <v>0</v>
      </c>
      <c r="I47" s="444">
        <v>0</v>
      </c>
      <c r="J47" s="447">
        <v>0</v>
      </c>
      <c r="K47" s="438">
        <v>0</v>
      </c>
      <c r="L47" s="438">
        <v>0</v>
      </c>
      <c r="M47" s="444">
        <v>0</v>
      </c>
      <c r="N47" s="447">
        <v>0</v>
      </c>
      <c r="O47" s="438">
        <v>0</v>
      </c>
      <c r="P47" s="438">
        <v>0</v>
      </c>
      <c r="Q47" s="438">
        <v>0</v>
      </c>
      <c r="R47" s="438">
        <v>0</v>
      </c>
      <c r="S47" s="438">
        <v>0</v>
      </c>
      <c r="T47" s="438">
        <v>0</v>
      </c>
      <c r="U47" s="438">
        <v>0</v>
      </c>
      <c r="V47" s="438">
        <v>0</v>
      </c>
      <c r="W47" s="438">
        <v>0</v>
      </c>
      <c r="X47" s="438">
        <v>0</v>
      </c>
      <c r="Y47" s="438">
        <v>0</v>
      </c>
      <c r="Z47" s="438">
        <v>0</v>
      </c>
      <c r="AA47" s="438">
        <v>0</v>
      </c>
      <c r="AB47" s="444">
        <v>0</v>
      </c>
      <c r="AC47" s="450">
        <v>0</v>
      </c>
      <c r="AD47" s="474"/>
    </row>
    <row r="48" spans="2:30" ht="15">
      <c r="B48" s="22">
        <f>'Oil supply projection'!$B48</f>
        <v>2057</v>
      </c>
      <c r="C48" s="438">
        <v>0</v>
      </c>
      <c r="D48" s="438">
        <v>0</v>
      </c>
      <c r="E48" s="438">
        <v>0</v>
      </c>
      <c r="F48" s="444">
        <v>0</v>
      </c>
      <c r="G48" s="447">
        <v>0</v>
      </c>
      <c r="H48" s="438">
        <v>0</v>
      </c>
      <c r="I48" s="444">
        <v>0</v>
      </c>
      <c r="J48" s="447">
        <v>0</v>
      </c>
      <c r="K48" s="438">
        <v>0</v>
      </c>
      <c r="L48" s="438">
        <v>0</v>
      </c>
      <c r="M48" s="444">
        <v>0</v>
      </c>
      <c r="N48" s="447">
        <v>0</v>
      </c>
      <c r="O48" s="438">
        <v>0</v>
      </c>
      <c r="P48" s="438">
        <v>0</v>
      </c>
      <c r="Q48" s="438">
        <v>0</v>
      </c>
      <c r="R48" s="438">
        <v>0</v>
      </c>
      <c r="S48" s="438">
        <v>0</v>
      </c>
      <c r="T48" s="438">
        <v>0</v>
      </c>
      <c r="U48" s="438">
        <v>0</v>
      </c>
      <c r="V48" s="438">
        <v>0</v>
      </c>
      <c r="W48" s="438">
        <v>0</v>
      </c>
      <c r="X48" s="438">
        <v>0</v>
      </c>
      <c r="Y48" s="438">
        <v>0</v>
      </c>
      <c r="Z48" s="438">
        <v>0</v>
      </c>
      <c r="AA48" s="438">
        <v>0</v>
      </c>
      <c r="AB48" s="444">
        <v>0</v>
      </c>
      <c r="AC48" s="450">
        <v>0</v>
      </c>
      <c r="AD48" s="474"/>
    </row>
    <row r="49" spans="2:30" ht="15">
      <c r="B49" s="22">
        <f>'Oil supply projection'!$B49</f>
        <v>2058</v>
      </c>
      <c r="C49" s="438">
        <v>0</v>
      </c>
      <c r="D49" s="438">
        <v>0</v>
      </c>
      <c r="E49" s="438">
        <v>0</v>
      </c>
      <c r="F49" s="444">
        <v>0</v>
      </c>
      <c r="G49" s="447">
        <v>0</v>
      </c>
      <c r="H49" s="438">
        <v>0</v>
      </c>
      <c r="I49" s="444">
        <v>0</v>
      </c>
      <c r="J49" s="447">
        <v>0</v>
      </c>
      <c r="K49" s="438">
        <v>0</v>
      </c>
      <c r="L49" s="438">
        <v>0</v>
      </c>
      <c r="M49" s="444">
        <v>0</v>
      </c>
      <c r="N49" s="447">
        <v>0</v>
      </c>
      <c r="O49" s="438">
        <v>0</v>
      </c>
      <c r="P49" s="438">
        <v>0</v>
      </c>
      <c r="Q49" s="438">
        <v>0</v>
      </c>
      <c r="R49" s="438">
        <v>0</v>
      </c>
      <c r="S49" s="438">
        <v>0</v>
      </c>
      <c r="T49" s="438">
        <v>0</v>
      </c>
      <c r="U49" s="438">
        <v>0</v>
      </c>
      <c r="V49" s="438">
        <v>0</v>
      </c>
      <c r="W49" s="438">
        <v>0</v>
      </c>
      <c r="X49" s="438">
        <v>0</v>
      </c>
      <c r="Y49" s="438">
        <v>0</v>
      </c>
      <c r="Z49" s="438">
        <v>0</v>
      </c>
      <c r="AA49" s="438">
        <v>0</v>
      </c>
      <c r="AB49" s="444">
        <v>0</v>
      </c>
      <c r="AC49" s="450">
        <v>0</v>
      </c>
      <c r="AD49" s="474"/>
    </row>
    <row r="50" spans="2:30" ht="15">
      <c r="B50" s="22">
        <f>'Oil supply projection'!$B50</f>
        <v>2059</v>
      </c>
      <c r="C50" s="438">
        <v>0</v>
      </c>
      <c r="D50" s="438">
        <v>0</v>
      </c>
      <c r="E50" s="438">
        <v>0</v>
      </c>
      <c r="F50" s="444">
        <v>0</v>
      </c>
      <c r="G50" s="447">
        <v>0</v>
      </c>
      <c r="H50" s="438">
        <v>0</v>
      </c>
      <c r="I50" s="444">
        <v>0</v>
      </c>
      <c r="J50" s="447">
        <v>0</v>
      </c>
      <c r="K50" s="438">
        <v>0</v>
      </c>
      <c r="L50" s="438">
        <v>0</v>
      </c>
      <c r="M50" s="444">
        <v>0</v>
      </c>
      <c r="N50" s="447">
        <v>0</v>
      </c>
      <c r="O50" s="438">
        <v>0</v>
      </c>
      <c r="P50" s="438">
        <v>0</v>
      </c>
      <c r="Q50" s="438">
        <v>0</v>
      </c>
      <c r="R50" s="438">
        <v>0</v>
      </c>
      <c r="S50" s="438">
        <v>0</v>
      </c>
      <c r="T50" s="438">
        <v>0</v>
      </c>
      <c r="U50" s="438">
        <v>0</v>
      </c>
      <c r="V50" s="438">
        <v>0</v>
      </c>
      <c r="W50" s="438">
        <v>0</v>
      </c>
      <c r="X50" s="438">
        <v>0</v>
      </c>
      <c r="Y50" s="438">
        <v>0</v>
      </c>
      <c r="Z50" s="438">
        <v>0</v>
      </c>
      <c r="AA50" s="438">
        <v>0</v>
      </c>
      <c r="AB50" s="444">
        <v>0</v>
      </c>
      <c r="AC50" s="450">
        <v>0</v>
      </c>
      <c r="AD50" s="474"/>
    </row>
    <row r="51" spans="2:30" ht="15">
      <c r="B51" s="22">
        <f>'Oil supply projection'!$B51</f>
        <v>2060</v>
      </c>
      <c r="C51" s="438">
        <v>0</v>
      </c>
      <c r="D51" s="438">
        <v>0</v>
      </c>
      <c r="E51" s="438">
        <v>0</v>
      </c>
      <c r="F51" s="444">
        <v>0</v>
      </c>
      <c r="G51" s="447">
        <v>0</v>
      </c>
      <c r="H51" s="438">
        <v>0</v>
      </c>
      <c r="I51" s="444">
        <v>0</v>
      </c>
      <c r="J51" s="447">
        <v>0</v>
      </c>
      <c r="K51" s="438">
        <v>0</v>
      </c>
      <c r="L51" s="438">
        <v>0</v>
      </c>
      <c r="M51" s="444">
        <v>0</v>
      </c>
      <c r="N51" s="447">
        <v>0</v>
      </c>
      <c r="O51" s="438">
        <v>0</v>
      </c>
      <c r="P51" s="438">
        <v>0</v>
      </c>
      <c r="Q51" s="438">
        <v>0</v>
      </c>
      <c r="R51" s="438">
        <v>0</v>
      </c>
      <c r="S51" s="438">
        <v>0</v>
      </c>
      <c r="T51" s="438">
        <v>0</v>
      </c>
      <c r="U51" s="438">
        <v>0</v>
      </c>
      <c r="V51" s="438">
        <v>0</v>
      </c>
      <c r="W51" s="438">
        <v>0</v>
      </c>
      <c r="X51" s="438">
        <v>0</v>
      </c>
      <c r="Y51" s="438">
        <v>0</v>
      </c>
      <c r="Z51" s="438">
        <v>0</v>
      </c>
      <c r="AA51" s="438">
        <v>0</v>
      </c>
      <c r="AB51" s="444">
        <v>0</v>
      </c>
      <c r="AC51" s="450">
        <v>0</v>
      </c>
      <c r="AD51" s="474"/>
    </row>
    <row r="52" spans="2:30" ht="15">
      <c r="B52" s="22">
        <f>'Oil supply projection'!$B52</f>
        <v>2061</v>
      </c>
      <c r="C52" s="438">
        <v>0</v>
      </c>
      <c r="D52" s="438">
        <v>0</v>
      </c>
      <c r="E52" s="438">
        <v>0</v>
      </c>
      <c r="F52" s="444">
        <v>0</v>
      </c>
      <c r="G52" s="447">
        <v>0</v>
      </c>
      <c r="H52" s="438">
        <v>0</v>
      </c>
      <c r="I52" s="444">
        <v>0</v>
      </c>
      <c r="J52" s="447">
        <v>0</v>
      </c>
      <c r="K52" s="438">
        <v>0</v>
      </c>
      <c r="L52" s="438">
        <v>0</v>
      </c>
      <c r="M52" s="444">
        <v>0</v>
      </c>
      <c r="N52" s="447">
        <v>0</v>
      </c>
      <c r="O52" s="438">
        <v>0</v>
      </c>
      <c r="P52" s="438">
        <v>0</v>
      </c>
      <c r="Q52" s="438">
        <v>0</v>
      </c>
      <c r="R52" s="438">
        <v>0</v>
      </c>
      <c r="S52" s="438">
        <v>0</v>
      </c>
      <c r="T52" s="438">
        <v>0</v>
      </c>
      <c r="U52" s="438">
        <v>0</v>
      </c>
      <c r="V52" s="438">
        <v>0</v>
      </c>
      <c r="W52" s="438">
        <v>0</v>
      </c>
      <c r="X52" s="438">
        <v>0</v>
      </c>
      <c r="Y52" s="438">
        <v>0</v>
      </c>
      <c r="Z52" s="438">
        <v>0</v>
      </c>
      <c r="AA52" s="438">
        <v>0</v>
      </c>
      <c r="AB52" s="444">
        <v>0</v>
      </c>
      <c r="AC52" s="450">
        <v>0</v>
      </c>
      <c r="AD52" s="474"/>
    </row>
    <row r="53" spans="2:30" ht="15">
      <c r="B53" s="22">
        <f>'Oil supply projection'!$B53</f>
        <v>2062</v>
      </c>
      <c r="C53" s="438">
        <v>0</v>
      </c>
      <c r="D53" s="438">
        <v>0</v>
      </c>
      <c r="E53" s="438">
        <v>0</v>
      </c>
      <c r="F53" s="444">
        <v>0</v>
      </c>
      <c r="G53" s="447">
        <v>0</v>
      </c>
      <c r="H53" s="438">
        <v>0</v>
      </c>
      <c r="I53" s="444">
        <v>0</v>
      </c>
      <c r="J53" s="447">
        <v>0</v>
      </c>
      <c r="K53" s="438">
        <v>0</v>
      </c>
      <c r="L53" s="438">
        <v>0</v>
      </c>
      <c r="M53" s="444">
        <v>0</v>
      </c>
      <c r="N53" s="447">
        <v>0</v>
      </c>
      <c r="O53" s="438">
        <v>0</v>
      </c>
      <c r="P53" s="438">
        <v>0</v>
      </c>
      <c r="Q53" s="438">
        <v>0</v>
      </c>
      <c r="R53" s="438">
        <v>0</v>
      </c>
      <c r="S53" s="438">
        <v>0</v>
      </c>
      <c r="T53" s="438">
        <v>0</v>
      </c>
      <c r="U53" s="438">
        <v>0</v>
      </c>
      <c r="V53" s="438">
        <v>0</v>
      </c>
      <c r="W53" s="438">
        <v>0</v>
      </c>
      <c r="X53" s="438">
        <v>0</v>
      </c>
      <c r="Y53" s="438">
        <v>0</v>
      </c>
      <c r="Z53" s="438">
        <v>0</v>
      </c>
      <c r="AA53" s="438">
        <v>0</v>
      </c>
      <c r="AB53" s="444">
        <v>0</v>
      </c>
      <c r="AC53" s="450">
        <v>0</v>
      </c>
      <c r="AD53" s="474"/>
    </row>
    <row r="54" spans="2:30" ht="15">
      <c r="B54" s="22">
        <f>'Oil supply projection'!$B54</f>
        <v>2063</v>
      </c>
      <c r="C54" s="438">
        <v>0</v>
      </c>
      <c r="D54" s="438">
        <v>0</v>
      </c>
      <c r="E54" s="438">
        <v>0</v>
      </c>
      <c r="F54" s="444">
        <v>0</v>
      </c>
      <c r="G54" s="447">
        <v>0</v>
      </c>
      <c r="H54" s="438">
        <v>0</v>
      </c>
      <c r="I54" s="444">
        <v>0</v>
      </c>
      <c r="J54" s="447">
        <v>0</v>
      </c>
      <c r="K54" s="438">
        <v>0</v>
      </c>
      <c r="L54" s="438">
        <v>0</v>
      </c>
      <c r="M54" s="444">
        <v>0</v>
      </c>
      <c r="N54" s="447">
        <v>0</v>
      </c>
      <c r="O54" s="438">
        <v>0</v>
      </c>
      <c r="P54" s="438">
        <v>0</v>
      </c>
      <c r="Q54" s="438">
        <v>0</v>
      </c>
      <c r="R54" s="438">
        <v>0</v>
      </c>
      <c r="S54" s="438">
        <v>0</v>
      </c>
      <c r="T54" s="438">
        <v>0</v>
      </c>
      <c r="U54" s="438">
        <v>0</v>
      </c>
      <c r="V54" s="438">
        <v>0</v>
      </c>
      <c r="W54" s="438">
        <v>0</v>
      </c>
      <c r="X54" s="438">
        <v>0</v>
      </c>
      <c r="Y54" s="438">
        <v>0</v>
      </c>
      <c r="Z54" s="438">
        <v>0</v>
      </c>
      <c r="AA54" s="438">
        <v>0</v>
      </c>
      <c r="AB54" s="444">
        <v>0</v>
      </c>
      <c r="AC54" s="450">
        <v>0</v>
      </c>
      <c r="AD54" s="474"/>
    </row>
    <row r="55" spans="2:30" ht="15">
      <c r="B55" s="22">
        <f>'Oil supply projection'!$B55</f>
        <v>2064</v>
      </c>
      <c r="C55" s="438">
        <v>0</v>
      </c>
      <c r="D55" s="438">
        <v>0</v>
      </c>
      <c r="E55" s="438">
        <v>0</v>
      </c>
      <c r="F55" s="444">
        <v>0</v>
      </c>
      <c r="G55" s="447">
        <v>0</v>
      </c>
      <c r="H55" s="438">
        <v>0</v>
      </c>
      <c r="I55" s="444">
        <v>0</v>
      </c>
      <c r="J55" s="447">
        <v>0</v>
      </c>
      <c r="K55" s="438">
        <v>0</v>
      </c>
      <c r="L55" s="438">
        <v>0</v>
      </c>
      <c r="M55" s="444">
        <v>0</v>
      </c>
      <c r="N55" s="447">
        <v>0</v>
      </c>
      <c r="O55" s="438">
        <v>0</v>
      </c>
      <c r="P55" s="438">
        <v>0</v>
      </c>
      <c r="Q55" s="438">
        <v>0</v>
      </c>
      <c r="R55" s="438">
        <v>0</v>
      </c>
      <c r="S55" s="438">
        <v>0</v>
      </c>
      <c r="T55" s="438">
        <v>0</v>
      </c>
      <c r="U55" s="438">
        <v>0</v>
      </c>
      <c r="V55" s="438">
        <v>0</v>
      </c>
      <c r="W55" s="438">
        <v>0</v>
      </c>
      <c r="X55" s="438">
        <v>0</v>
      </c>
      <c r="Y55" s="438">
        <v>0</v>
      </c>
      <c r="Z55" s="438">
        <v>0</v>
      </c>
      <c r="AA55" s="438">
        <v>0</v>
      </c>
      <c r="AB55" s="444">
        <v>0</v>
      </c>
      <c r="AC55" s="450">
        <v>0</v>
      </c>
      <c r="AD55" s="474"/>
    </row>
    <row r="56" spans="2:30" ht="15">
      <c r="B56" s="22">
        <f>'Oil supply projection'!$B56</f>
        <v>2065</v>
      </c>
      <c r="C56" s="438">
        <v>0</v>
      </c>
      <c r="D56" s="438">
        <v>0</v>
      </c>
      <c r="E56" s="438">
        <v>0</v>
      </c>
      <c r="F56" s="444">
        <v>0</v>
      </c>
      <c r="G56" s="447">
        <v>0</v>
      </c>
      <c r="H56" s="438">
        <v>0</v>
      </c>
      <c r="I56" s="444">
        <v>0</v>
      </c>
      <c r="J56" s="447">
        <v>0</v>
      </c>
      <c r="K56" s="438">
        <v>0</v>
      </c>
      <c r="L56" s="438">
        <v>0</v>
      </c>
      <c r="M56" s="444">
        <v>0</v>
      </c>
      <c r="N56" s="447">
        <v>0</v>
      </c>
      <c r="O56" s="438">
        <v>0</v>
      </c>
      <c r="P56" s="438">
        <v>0</v>
      </c>
      <c r="Q56" s="438">
        <v>0</v>
      </c>
      <c r="R56" s="438">
        <v>0</v>
      </c>
      <c r="S56" s="438">
        <v>0</v>
      </c>
      <c r="T56" s="438">
        <v>0</v>
      </c>
      <c r="U56" s="438">
        <v>0</v>
      </c>
      <c r="V56" s="438">
        <v>0</v>
      </c>
      <c r="W56" s="438">
        <v>0</v>
      </c>
      <c r="X56" s="438">
        <v>0</v>
      </c>
      <c r="Y56" s="438">
        <v>0</v>
      </c>
      <c r="Z56" s="438">
        <v>0</v>
      </c>
      <c r="AA56" s="438">
        <v>0</v>
      </c>
      <c r="AB56" s="444">
        <v>0</v>
      </c>
      <c r="AC56" s="450">
        <v>0</v>
      </c>
      <c r="AD56" s="474"/>
    </row>
    <row r="57" spans="2:30" ht="15">
      <c r="B57" s="22">
        <f>'Oil supply projection'!$B57</f>
        <v>2066</v>
      </c>
      <c r="C57" s="438">
        <v>0</v>
      </c>
      <c r="D57" s="438">
        <v>0</v>
      </c>
      <c r="E57" s="438">
        <v>0</v>
      </c>
      <c r="F57" s="444">
        <v>0</v>
      </c>
      <c r="G57" s="447">
        <v>0</v>
      </c>
      <c r="H57" s="438">
        <v>0</v>
      </c>
      <c r="I57" s="444">
        <v>0</v>
      </c>
      <c r="J57" s="447">
        <v>0</v>
      </c>
      <c r="K57" s="438">
        <v>0</v>
      </c>
      <c r="L57" s="438">
        <v>0</v>
      </c>
      <c r="M57" s="444">
        <v>0</v>
      </c>
      <c r="N57" s="447">
        <v>0</v>
      </c>
      <c r="O57" s="438">
        <v>0</v>
      </c>
      <c r="P57" s="438">
        <v>0</v>
      </c>
      <c r="Q57" s="438">
        <v>0</v>
      </c>
      <c r="R57" s="438">
        <v>0</v>
      </c>
      <c r="S57" s="438">
        <v>0</v>
      </c>
      <c r="T57" s="438">
        <v>0</v>
      </c>
      <c r="U57" s="438">
        <v>0</v>
      </c>
      <c r="V57" s="438">
        <v>0</v>
      </c>
      <c r="W57" s="438">
        <v>0</v>
      </c>
      <c r="X57" s="438">
        <v>0</v>
      </c>
      <c r="Y57" s="438">
        <v>0</v>
      </c>
      <c r="Z57" s="438">
        <v>0</v>
      </c>
      <c r="AA57" s="438">
        <v>0</v>
      </c>
      <c r="AB57" s="444">
        <v>0</v>
      </c>
      <c r="AC57" s="450">
        <v>0</v>
      </c>
      <c r="AD57" s="474"/>
    </row>
    <row r="58" spans="2:30" ht="15">
      <c r="B58" s="22">
        <f>'Oil supply projection'!$B58</f>
        <v>2067</v>
      </c>
      <c r="C58" s="438">
        <v>0</v>
      </c>
      <c r="D58" s="438">
        <v>0</v>
      </c>
      <c r="E58" s="438">
        <v>0</v>
      </c>
      <c r="F58" s="444">
        <v>0</v>
      </c>
      <c r="G58" s="447">
        <v>0</v>
      </c>
      <c r="H58" s="438">
        <v>0</v>
      </c>
      <c r="I58" s="444">
        <v>0</v>
      </c>
      <c r="J58" s="447">
        <v>0</v>
      </c>
      <c r="K58" s="438">
        <v>0</v>
      </c>
      <c r="L58" s="438">
        <v>0</v>
      </c>
      <c r="M58" s="444">
        <v>0</v>
      </c>
      <c r="N58" s="447">
        <v>0</v>
      </c>
      <c r="O58" s="438">
        <v>0</v>
      </c>
      <c r="P58" s="438">
        <v>0</v>
      </c>
      <c r="Q58" s="438">
        <v>0</v>
      </c>
      <c r="R58" s="438">
        <v>0</v>
      </c>
      <c r="S58" s="438">
        <v>0</v>
      </c>
      <c r="T58" s="438">
        <v>0</v>
      </c>
      <c r="U58" s="438">
        <v>0</v>
      </c>
      <c r="V58" s="438">
        <v>0</v>
      </c>
      <c r="W58" s="438">
        <v>0</v>
      </c>
      <c r="X58" s="438">
        <v>0</v>
      </c>
      <c r="Y58" s="438">
        <v>0</v>
      </c>
      <c r="Z58" s="438">
        <v>0</v>
      </c>
      <c r="AA58" s="438">
        <v>0</v>
      </c>
      <c r="AB58" s="444">
        <v>0</v>
      </c>
      <c r="AC58" s="450">
        <v>0</v>
      </c>
      <c r="AD58" s="474"/>
    </row>
    <row r="59" spans="2:30" ht="15">
      <c r="B59" s="22">
        <f>'Oil supply projection'!$B59</f>
        <v>2068</v>
      </c>
      <c r="C59" s="438">
        <v>0</v>
      </c>
      <c r="D59" s="438">
        <v>0</v>
      </c>
      <c r="E59" s="438">
        <v>0</v>
      </c>
      <c r="F59" s="444">
        <v>0</v>
      </c>
      <c r="G59" s="447">
        <v>0</v>
      </c>
      <c r="H59" s="438">
        <v>0</v>
      </c>
      <c r="I59" s="444">
        <v>0</v>
      </c>
      <c r="J59" s="447">
        <v>0</v>
      </c>
      <c r="K59" s="438">
        <v>0</v>
      </c>
      <c r="L59" s="438">
        <v>0</v>
      </c>
      <c r="M59" s="444">
        <v>0</v>
      </c>
      <c r="N59" s="447">
        <v>0</v>
      </c>
      <c r="O59" s="438">
        <v>0</v>
      </c>
      <c r="P59" s="438">
        <v>0</v>
      </c>
      <c r="Q59" s="438">
        <v>0</v>
      </c>
      <c r="R59" s="438">
        <v>0</v>
      </c>
      <c r="S59" s="438">
        <v>0</v>
      </c>
      <c r="T59" s="438">
        <v>0</v>
      </c>
      <c r="U59" s="438">
        <v>0</v>
      </c>
      <c r="V59" s="438">
        <v>0</v>
      </c>
      <c r="W59" s="438">
        <v>0</v>
      </c>
      <c r="X59" s="438">
        <v>0</v>
      </c>
      <c r="Y59" s="438">
        <v>0</v>
      </c>
      <c r="Z59" s="438">
        <v>0</v>
      </c>
      <c r="AA59" s="438">
        <v>0</v>
      </c>
      <c r="AB59" s="444">
        <v>0</v>
      </c>
      <c r="AC59" s="450">
        <v>0</v>
      </c>
      <c r="AD59" s="474"/>
    </row>
    <row r="60" spans="2:30" ht="15">
      <c r="B60" s="22">
        <f>'Oil supply projection'!$B60</f>
        <v>2069</v>
      </c>
      <c r="C60" s="438">
        <v>0</v>
      </c>
      <c r="D60" s="438">
        <v>0</v>
      </c>
      <c r="E60" s="438">
        <v>0</v>
      </c>
      <c r="F60" s="444">
        <v>0</v>
      </c>
      <c r="G60" s="447">
        <v>0</v>
      </c>
      <c r="H60" s="438">
        <v>0</v>
      </c>
      <c r="I60" s="444">
        <v>0</v>
      </c>
      <c r="J60" s="447">
        <v>0</v>
      </c>
      <c r="K60" s="438">
        <v>0</v>
      </c>
      <c r="L60" s="438">
        <v>0</v>
      </c>
      <c r="M60" s="444">
        <v>0</v>
      </c>
      <c r="N60" s="447">
        <v>0</v>
      </c>
      <c r="O60" s="438">
        <v>0</v>
      </c>
      <c r="P60" s="438">
        <v>0</v>
      </c>
      <c r="Q60" s="438">
        <v>0</v>
      </c>
      <c r="R60" s="438">
        <v>0</v>
      </c>
      <c r="S60" s="438">
        <v>0</v>
      </c>
      <c r="T60" s="438">
        <v>0</v>
      </c>
      <c r="U60" s="438">
        <v>0</v>
      </c>
      <c r="V60" s="438">
        <v>0</v>
      </c>
      <c r="W60" s="438">
        <v>0</v>
      </c>
      <c r="X60" s="438">
        <v>0</v>
      </c>
      <c r="Y60" s="438">
        <v>0</v>
      </c>
      <c r="Z60" s="438">
        <v>0</v>
      </c>
      <c r="AA60" s="438">
        <v>0</v>
      </c>
      <c r="AB60" s="444">
        <v>0</v>
      </c>
      <c r="AC60" s="450">
        <v>0</v>
      </c>
      <c r="AD60" s="474"/>
    </row>
    <row r="61" spans="2:30" ht="15">
      <c r="B61" s="22">
        <f>'Oil supply projection'!$B61</f>
        <v>2070</v>
      </c>
      <c r="C61" s="438">
        <v>0</v>
      </c>
      <c r="D61" s="438">
        <v>0</v>
      </c>
      <c r="E61" s="438">
        <v>0</v>
      </c>
      <c r="F61" s="444">
        <v>0</v>
      </c>
      <c r="G61" s="447">
        <v>0</v>
      </c>
      <c r="H61" s="438">
        <v>0</v>
      </c>
      <c r="I61" s="444">
        <v>0</v>
      </c>
      <c r="J61" s="447">
        <v>0</v>
      </c>
      <c r="K61" s="438">
        <v>0</v>
      </c>
      <c r="L61" s="438">
        <v>0</v>
      </c>
      <c r="M61" s="444">
        <v>0</v>
      </c>
      <c r="N61" s="447">
        <v>0</v>
      </c>
      <c r="O61" s="438">
        <v>0</v>
      </c>
      <c r="P61" s="438">
        <v>0</v>
      </c>
      <c r="Q61" s="438">
        <v>0</v>
      </c>
      <c r="R61" s="438">
        <v>0</v>
      </c>
      <c r="S61" s="438">
        <v>0</v>
      </c>
      <c r="T61" s="438">
        <v>0</v>
      </c>
      <c r="U61" s="438">
        <v>0</v>
      </c>
      <c r="V61" s="438">
        <v>0</v>
      </c>
      <c r="W61" s="438">
        <v>0</v>
      </c>
      <c r="X61" s="438">
        <v>0</v>
      </c>
      <c r="Y61" s="438">
        <v>0</v>
      </c>
      <c r="Z61" s="438">
        <v>0</v>
      </c>
      <c r="AA61" s="438">
        <v>0</v>
      </c>
      <c r="AB61" s="444">
        <v>0</v>
      </c>
      <c r="AC61" s="450">
        <v>0</v>
      </c>
      <c r="AD61" s="474"/>
    </row>
    <row r="62" spans="2:30" ht="15">
      <c r="B62" s="22">
        <f>'Oil supply projection'!$B62</f>
        <v>2071</v>
      </c>
      <c r="C62" s="438">
        <v>0</v>
      </c>
      <c r="D62" s="438">
        <v>0</v>
      </c>
      <c r="E62" s="438">
        <v>0</v>
      </c>
      <c r="F62" s="444">
        <v>0</v>
      </c>
      <c r="G62" s="447">
        <v>0</v>
      </c>
      <c r="H62" s="438">
        <v>0</v>
      </c>
      <c r="I62" s="444">
        <v>0</v>
      </c>
      <c r="J62" s="447">
        <v>0</v>
      </c>
      <c r="K62" s="438">
        <v>0</v>
      </c>
      <c r="L62" s="438">
        <v>0</v>
      </c>
      <c r="M62" s="444">
        <v>0</v>
      </c>
      <c r="N62" s="447">
        <v>0</v>
      </c>
      <c r="O62" s="438">
        <v>0</v>
      </c>
      <c r="P62" s="438">
        <v>0</v>
      </c>
      <c r="Q62" s="438">
        <v>0</v>
      </c>
      <c r="R62" s="438">
        <v>0</v>
      </c>
      <c r="S62" s="438">
        <v>0</v>
      </c>
      <c r="T62" s="438">
        <v>0</v>
      </c>
      <c r="U62" s="438">
        <v>0</v>
      </c>
      <c r="V62" s="438">
        <v>0</v>
      </c>
      <c r="W62" s="438">
        <v>0</v>
      </c>
      <c r="X62" s="438">
        <v>0</v>
      </c>
      <c r="Y62" s="438">
        <v>0</v>
      </c>
      <c r="Z62" s="438">
        <v>0</v>
      </c>
      <c r="AA62" s="438">
        <v>0</v>
      </c>
      <c r="AB62" s="444">
        <v>0</v>
      </c>
      <c r="AC62" s="450">
        <v>0</v>
      </c>
      <c r="AD62" s="474"/>
    </row>
    <row r="63" spans="2:30" ht="15">
      <c r="B63" s="22">
        <f>'Oil supply projection'!$B63</f>
        <v>2072</v>
      </c>
      <c r="C63" s="438">
        <v>0</v>
      </c>
      <c r="D63" s="438">
        <v>0</v>
      </c>
      <c r="E63" s="438">
        <v>0</v>
      </c>
      <c r="F63" s="444">
        <v>0</v>
      </c>
      <c r="G63" s="447">
        <v>0</v>
      </c>
      <c r="H63" s="438">
        <v>0</v>
      </c>
      <c r="I63" s="444">
        <v>0</v>
      </c>
      <c r="J63" s="447">
        <v>0</v>
      </c>
      <c r="K63" s="438">
        <v>0</v>
      </c>
      <c r="L63" s="438">
        <v>0</v>
      </c>
      <c r="M63" s="444">
        <v>0</v>
      </c>
      <c r="N63" s="447">
        <v>0</v>
      </c>
      <c r="O63" s="438">
        <v>0</v>
      </c>
      <c r="P63" s="438">
        <v>0</v>
      </c>
      <c r="Q63" s="438">
        <v>0</v>
      </c>
      <c r="R63" s="438">
        <v>0</v>
      </c>
      <c r="S63" s="438">
        <v>0</v>
      </c>
      <c r="T63" s="438">
        <v>0</v>
      </c>
      <c r="U63" s="438">
        <v>0</v>
      </c>
      <c r="V63" s="438">
        <v>0</v>
      </c>
      <c r="W63" s="438">
        <v>0</v>
      </c>
      <c r="X63" s="438">
        <v>0</v>
      </c>
      <c r="Y63" s="438">
        <v>0</v>
      </c>
      <c r="Z63" s="438">
        <v>0</v>
      </c>
      <c r="AA63" s="438">
        <v>0</v>
      </c>
      <c r="AB63" s="444">
        <v>0</v>
      </c>
      <c r="AC63" s="450">
        <v>0</v>
      </c>
      <c r="AD63" s="474"/>
    </row>
    <row r="64" spans="2:30" ht="15">
      <c r="B64" s="22">
        <f>'Oil supply projection'!$B64</f>
        <v>2073</v>
      </c>
      <c r="C64" s="438">
        <v>0</v>
      </c>
      <c r="D64" s="438">
        <v>0</v>
      </c>
      <c r="E64" s="438">
        <v>0</v>
      </c>
      <c r="F64" s="444">
        <v>0</v>
      </c>
      <c r="G64" s="447">
        <v>0</v>
      </c>
      <c r="H64" s="438">
        <v>0</v>
      </c>
      <c r="I64" s="444">
        <v>0</v>
      </c>
      <c r="J64" s="447">
        <v>0</v>
      </c>
      <c r="K64" s="438">
        <v>0</v>
      </c>
      <c r="L64" s="438">
        <v>0</v>
      </c>
      <c r="M64" s="444">
        <v>0</v>
      </c>
      <c r="N64" s="447">
        <v>0</v>
      </c>
      <c r="O64" s="438">
        <v>0</v>
      </c>
      <c r="P64" s="438">
        <v>0</v>
      </c>
      <c r="Q64" s="438">
        <v>0</v>
      </c>
      <c r="R64" s="438">
        <v>0</v>
      </c>
      <c r="S64" s="438">
        <v>0</v>
      </c>
      <c r="T64" s="438">
        <v>0</v>
      </c>
      <c r="U64" s="438">
        <v>0</v>
      </c>
      <c r="V64" s="438">
        <v>0</v>
      </c>
      <c r="W64" s="438">
        <v>0</v>
      </c>
      <c r="X64" s="438">
        <v>0</v>
      </c>
      <c r="Y64" s="438">
        <v>0</v>
      </c>
      <c r="Z64" s="438">
        <v>0</v>
      </c>
      <c r="AA64" s="438">
        <v>0</v>
      </c>
      <c r="AB64" s="444">
        <v>0</v>
      </c>
      <c r="AC64" s="450">
        <v>0</v>
      </c>
      <c r="AD64" s="474"/>
    </row>
    <row r="65" spans="2:30" ht="15">
      <c r="B65" s="22">
        <f>'Oil supply projection'!$B65</f>
        <v>2074</v>
      </c>
      <c r="C65" s="438">
        <v>0</v>
      </c>
      <c r="D65" s="438">
        <v>0</v>
      </c>
      <c r="E65" s="438">
        <v>0</v>
      </c>
      <c r="F65" s="444">
        <v>0</v>
      </c>
      <c r="G65" s="447">
        <v>0</v>
      </c>
      <c r="H65" s="438">
        <v>0</v>
      </c>
      <c r="I65" s="444">
        <v>0</v>
      </c>
      <c r="J65" s="447">
        <v>0</v>
      </c>
      <c r="K65" s="438">
        <v>0</v>
      </c>
      <c r="L65" s="438">
        <v>0</v>
      </c>
      <c r="M65" s="444">
        <v>0</v>
      </c>
      <c r="N65" s="447">
        <v>0</v>
      </c>
      <c r="O65" s="438">
        <v>0</v>
      </c>
      <c r="P65" s="438">
        <v>0</v>
      </c>
      <c r="Q65" s="438">
        <v>0</v>
      </c>
      <c r="R65" s="438">
        <v>0</v>
      </c>
      <c r="S65" s="438">
        <v>0</v>
      </c>
      <c r="T65" s="438">
        <v>0</v>
      </c>
      <c r="U65" s="438">
        <v>0</v>
      </c>
      <c r="V65" s="438">
        <v>0</v>
      </c>
      <c r="W65" s="438">
        <v>0</v>
      </c>
      <c r="X65" s="438">
        <v>0</v>
      </c>
      <c r="Y65" s="438">
        <v>0</v>
      </c>
      <c r="Z65" s="438">
        <v>0</v>
      </c>
      <c r="AA65" s="438">
        <v>0</v>
      </c>
      <c r="AB65" s="444">
        <v>0</v>
      </c>
      <c r="AC65" s="450">
        <v>0</v>
      </c>
      <c r="AD65" s="474"/>
    </row>
    <row r="66" spans="2:30" ht="15">
      <c r="B66" s="22">
        <f>'Oil supply projection'!$B66</f>
        <v>2075</v>
      </c>
      <c r="C66" s="438">
        <v>0</v>
      </c>
      <c r="D66" s="438">
        <v>0</v>
      </c>
      <c r="E66" s="438">
        <v>0</v>
      </c>
      <c r="F66" s="444">
        <v>0</v>
      </c>
      <c r="G66" s="447">
        <v>0</v>
      </c>
      <c r="H66" s="438">
        <v>0</v>
      </c>
      <c r="I66" s="444">
        <v>0</v>
      </c>
      <c r="J66" s="447">
        <v>0</v>
      </c>
      <c r="K66" s="438">
        <v>0</v>
      </c>
      <c r="L66" s="438">
        <v>0</v>
      </c>
      <c r="M66" s="444">
        <v>0</v>
      </c>
      <c r="N66" s="447">
        <v>0</v>
      </c>
      <c r="O66" s="438">
        <v>0</v>
      </c>
      <c r="P66" s="438">
        <v>0</v>
      </c>
      <c r="Q66" s="438">
        <v>0</v>
      </c>
      <c r="R66" s="438">
        <v>0</v>
      </c>
      <c r="S66" s="438">
        <v>0</v>
      </c>
      <c r="T66" s="438">
        <v>0</v>
      </c>
      <c r="U66" s="438">
        <v>0</v>
      </c>
      <c r="V66" s="438">
        <v>0</v>
      </c>
      <c r="W66" s="438">
        <v>0</v>
      </c>
      <c r="X66" s="438">
        <v>0</v>
      </c>
      <c r="Y66" s="438">
        <v>0</v>
      </c>
      <c r="Z66" s="438">
        <v>0</v>
      </c>
      <c r="AA66" s="438">
        <v>0</v>
      </c>
      <c r="AB66" s="444">
        <v>0</v>
      </c>
      <c r="AC66" s="450">
        <v>0</v>
      </c>
      <c r="AD66" s="474"/>
    </row>
    <row r="67" spans="2:30" ht="15">
      <c r="B67" s="22">
        <f>'Oil supply projection'!$B67</f>
        <v>2076</v>
      </c>
      <c r="C67" s="438">
        <v>0</v>
      </c>
      <c r="D67" s="438">
        <v>0</v>
      </c>
      <c r="E67" s="438">
        <v>0</v>
      </c>
      <c r="F67" s="444">
        <v>0</v>
      </c>
      <c r="G67" s="447">
        <v>0</v>
      </c>
      <c r="H67" s="438">
        <v>0</v>
      </c>
      <c r="I67" s="444">
        <v>0</v>
      </c>
      <c r="J67" s="447">
        <v>0</v>
      </c>
      <c r="K67" s="438">
        <v>0</v>
      </c>
      <c r="L67" s="438">
        <v>0</v>
      </c>
      <c r="M67" s="444">
        <v>0</v>
      </c>
      <c r="N67" s="447">
        <v>0</v>
      </c>
      <c r="O67" s="438">
        <v>0</v>
      </c>
      <c r="P67" s="438">
        <v>0</v>
      </c>
      <c r="Q67" s="438">
        <v>0</v>
      </c>
      <c r="R67" s="438">
        <v>0</v>
      </c>
      <c r="S67" s="438">
        <v>0</v>
      </c>
      <c r="T67" s="438">
        <v>0</v>
      </c>
      <c r="U67" s="438">
        <v>0</v>
      </c>
      <c r="V67" s="438">
        <v>0</v>
      </c>
      <c r="W67" s="438">
        <v>0</v>
      </c>
      <c r="X67" s="438">
        <v>0</v>
      </c>
      <c r="Y67" s="438">
        <v>0</v>
      </c>
      <c r="Z67" s="438">
        <v>0</v>
      </c>
      <c r="AA67" s="438">
        <v>0</v>
      </c>
      <c r="AB67" s="444">
        <v>0</v>
      </c>
      <c r="AC67" s="450">
        <v>0</v>
      </c>
      <c r="AD67" s="474"/>
    </row>
    <row r="68" spans="2:30" ht="15">
      <c r="B68" s="22">
        <f>'Oil supply projection'!$B68</f>
        <v>2077</v>
      </c>
      <c r="C68" s="438">
        <v>0</v>
      </c>
      <c r="D68" s="438">
        <v>0</v>
      </c>
      <c r="E68" s="438">
        <v>0</v>
      </c>
      <c r="F68" s="444">
        <v>0</v>
      </c>
      <c r="G68" s="447">
        <v>0</v>
      </c>
      <c r="H68" s="438">
        <v>0</v>
      </c>
      <c r="I68" s="444">
        <v>0</v>
      </c>
      <c r="J68" s="447">
        <v>0</v>
      </c>
      <c r="K68" s="438">
        <v>0</v>
      </c>
      <c r="L68" s="438">
        <v>0</v>
      </c>
      <c r="M68" s="444">
        <v>0</v>
      </c>
      <c r="N68" s="447">
        <v>0</v>
      </c>
      <c r="O68" s="438">
        <v>0</v>
      </c>
      <c r="P68" s="438">
        <v>0</v>
      </c>
      <c r="Q68" s="438">
        <v>0</v>
      </c>
      <c r="R68" s="438">
        <v>0</v>
      </c>
      <c r="S68" s="438">
        <v>0</v>
      </c>
      <c r="T68" s="438">
        <v>0</v>
      </c>
      <c r="U68" s="438">
        <v>0</v>
      </c>
      <c r="V68" s="438">
        <v>0</v>
      </c>
      <c r="W68" s="438">
        <v>0</v>
      </c>
      <c r="X68" s="438">
        <v>0</v>
      </c>
      <c r="Y68" s="438">
        <v>0</v>
      </c>
      <c r="Z68" s="438">
        <v>0</v>
      </c>
      <c r="AA68" s="438">
        <v>0</v>
      </c>
      <c r="AB68" s="444">
        <v>0</v>
      </c>
      <c r="AC68" s="450">
        <v>0</v>
      </c>
      <c r="AD68" s="474"/>
    </row>
    <row r="69" spans="2:30" ht="15">
      <c r="B69" s="22">
        <f>'Oil supply projection'!$B69</f>
        <v>2078</v>
      </c>
      <c r="C69" s="438">
        <v>0</v>
      </c>
      <c r="D69" s="438">
        <v>0</v>
      </c>
      <c r="E69" s="438">
        <v>0</v>
      </c>
      <c r="F69" s="444">
        <v>0</v>
      </c>
      <c r="G69" s="447">
        <v>0</v>
      </c>
      <c r="H69" s="438">
        <v>0</v>
      </c>
      <c r="I69" s="444">
        <v>0</v>
      </c>
      <c r="J69" s="447">
        <v>0</v>
      </c>
      <c r="K69" s="438">
        <v>0</v>
      </c>
      <c r="L69" s="438">
        <v>0</v>
      </c>
      <c r="M69" s="444">
        <v>0</v>
      </c>
      <c r="N69" s="447">
        <v>0</v>
      </c>
      <c r="O69" s="438">
        <v>0</v>
      </c>
      <c r="P69" s="438">
        <v>0</v>
      </c>
      <c r="Q69" s="438">
        <v>0</v>
      </c>
      <c r="R69" s="438">
        <v>0</v>
      </c>
      <c r="S69" s="438">
        <v>0</v>
      </c>
      <c r="T69" s="438">
        <v>0</v>
      </c>
      <c r="U69" s="438">
        <v>0</v>
      </c>
      <c r="V69" s="438">
        <v>0</v>
      </c>
      <c r="W69" s="438">
        <v>0</v>
      </c>
      <c r="X69" s="438">
        <v>0</v>
      </c>
      <c r="Y69" s="438">
        <v>0</v>
      </c>
      <c r="Z69" s="438">
        <v>0</v>
      </c>
      <c r="AA69" s="438">
        <v>0</v>
      </c>
      <c r="AB69" s="444">
        <v>0</v>
      </c>
      <c r="AC69" s="450">
        <v>0</v>
      </c>
      <c r="AD69" s="474"/>
    </row>
    <row r="70" spans="2:30" ht="15">
      <c r="B70" s="22">
        <f>'Oil supply projection'!$B70</f>
        <v>2079</v>
      </c>
      <c r="C70" s="438">
        <v>0</v>
      </c>
      <c r="D70" s="438">
        <v>0</v>
      </c>
      <c r="E70" s="438">
        <v>0</v>
      </c>
      <c r="F70" s="444">
        <v>0</v>
      </c>
      <c r="G70" s="447">
        <v>0</v>
      </c>
      <c r="H70" s="438">
        <v>0</v>
      </c>
      <c r="I70" s="444">
        <v>0</v>
      </c>
      <c r="J70" s="447">
        <v>0</v>
      </c>
      <c r="K70" s="438">
        <v>0</v>
      </c>
      <c r="L70" s="438">
        <v>0</v>
      </c>
      <c r="M70" s="444">
        <v>0</v>
      </c>
      <c r="N70" s="447">
        <v>0</v>
      </c>
      <c r="O70" s="438">
        <v>0</v>
      </c>
      <c r="P70" s="438">
        <v>0</v>
      </c>
      <c r="Q70" s="438">
        <v>0</v>
      </c>
      <c r="R70" s="438">
        <v>0</v>
      </c>
      <c r="S70" s="438">
        <v>0</v>
      </c>
      <c r="T70" s="438">
        <v>0</v>
      </c>
      <c r="U70" s="438">
        <v>0</v>
      </c>
      <c r="V70" s="438">
        <v>0</v>
      </c>
      <c r="W70" s="438">
        <v>0</v>
      </c>
      <c r="X70" s="438">
        <v>0</v>
      </c>
      <c r="Y70" s="438">
        <v>0</v>
      </c>
      <c r="Z70" s="438">
        <v>0</v>
      </c>
      <c r="AA70" s="438">
        <v>0</v>
      </c>
      <c r="AB70" s="444">
        <v>0</v>
      </c>
      <c r="AC70" s="450">
        <v>0</v>
      </c>
      <c r="AD70" s="474"/>
    </row>
    <row r="71" spans="2:30" ht="15">
      <c r="B71" s="22">
        <f>'Oil supply projection'!$B71</f>
        <v>2080</v>
      </c>
      <c r="C71" s="438">
        <v>0</v>
      </c>
      <c r="D71" s="438">
        <v>0</v>
      </c>
      <c r="E71" s="438">
        <v>0</v>
      </c>
      <c r="F71" s="444">
        <v>0</v>
      </c>
      <c r="G71" s="447">
        <v>0</v>
      </c>
      <c r="H71" s="438">
        <v>0</v>
      </c>
      <c r="I71" s="444">
        <v>0</v>
      </c>
      <c r="J71" s="447">
        <v>0</v>
      </c>
      <c r="K71" s="438">
        <v>0</v>
      </c>
      <c r="L71" s="438">
        <v>0</v>
      </c>
      <c r="M71" s="444">
        <v>0</v>
      </c>
      <c r="N71" s="447">
        <v>0</v>
      </c>
      <c r="O71" s="438">
        <v>0</v>
      </c>
      <c r="P71" s="438">
        <v>0</v>
      </c>
      <c r="Q71" s="438">
        <v>0</v>
      </c>
      <c r="R71" s="438">
        <v>0</v>
      </c>
      <c r="S71" s="438">
        <v>0</v>
      </c>
      <c r="T71" s="438">
        <v>0</v>
      </c>
      <c r="U71" s="438">
        <v>0</v>
      </c>
      <c r="V71" s="438">
        <v>0</v>
      </c>
      <c r="W71" s="438">
        <v>0</v>
      </c>
      <c r="X71" s="438">
        <v>0</v>
      </c>
      <c r="Y71" s="438">
        <v>0</v>
      </c>
      <c r="Z71" s="438">
        <v>0</v>
      </c>
      <c r="AA71" s="438">
        <v>0</v>
      </c>
      <c r="AB71" s="444">
        <v>0</v>
      </c>
      <c r="AC71" s="450">
        <v>0</v>
      </c>
      <c r="AD71" s="474"/>
    </row>
    <row r="72" spans="2:30" ht="15">
      <c r="B72" s="22">
        <f>'Oil supply projection'!$B72</f>
        <v>2081</v>
      </c>
      <c r="C72" s="438">
        <v>0</v>
      </c>
      <c r="D72" s="438">
        <v>0</v>
      </c>
      <c r="E72" s="438">
        <v>0</v>
      </c>
      <c r="F72" s="444">
        <v>0</v>
      </c>
      <c r="G72" s="447">
        <v>0</v>
      </c>
      <c r="H72" s="438">
        <v>0</v>
      </c>
      <c r="I72" s="444">
        <v>0</v>
      </c>
      <c r="J72" s="447">
        <v>0</v>
      </c>
      <c r="K72" s="438">
        <v>0</v>
      </c>
      <c r="L72" s="438">
        <v>0</v>
      </c>
      <c r="M72" s="444">
        <v>0</v>
      </c>
      <c r="N72" s="447">
        <v>0</v>
      </c>
      <c r="O72" s="438">
        <v>0</v>
      </c>
      <c r="P72" s="438">
        <v>0</v>
      </c>
      <c r="Q72" s="438">
        <v>0</v>
      </c>
      <c r="R72" s="438">
        <v>0</v>
      </c>
      <c r="S72" s="438">
        <v>0</v>
      </c>
      <c r="T72" s="438">
        <v>0</v>
      </c>
      <c r="U72" s="438">
        <v>0</v>
      </c>
      <c r="V72" s="438">
        <v>0</v>
      </c>
      <c r="W72" s="438">
        <v>0</v>
      </c>
      <c r="X72" s="438">
        <v>0</v>
      </c>
      <c r="Y72" s="438">
        <v>0</v>
      </c>
      <c r="Z72" s="438">
        <v>0</v>
      </c>
      <c r="AA72" s="438">
        <v>0</v>
      </c>
      <c r="AB72" s="444">
        <v>0</v>
      </c>
      <c r="AC72" s="450">
        <v>0</v>
      </c>
      <c r="AD72" s="474"/>
    </row>
    <row r="73" spans="2:30" ht="15">
      <c r="B73" s="22">
        <f>'Oil supply projection'!$B73</f>
        <v>2082</v>
      </c>
      <c r="C73" s="438">
        <v>0</v>
      </c>
      <c r="D73" s="438">
        <v>0</v>
      </c>
      <c r="E73" s="438">
        <v>0</v>
      </c>
      <c r="F73" s="444">
        <v>0</v>
      </c>
      <c r="G73" s="447">
        <v>0</v>
      </c>
      <c r="H73" s="438">
        <v>0</v>
      </c>
      <c r="I73" s="444">
        <v>0</v>
      </c>
      <c r="J73" s="447">
        <v>0</v>
      </c>
      <c r="K73" s="438">
        <v>0</v>
      </c>
      <c r="L73" s="438">
        <v>0</v>
      </c>
      <c r="M73" s="444">
        <v>0</v>
      </c>
      <c r="N73" s="447">
        <v>0</v>
      </c>
      <c r="O73" s="438">
        <v>0</v>
      </c>
      <c r="P73" s="438">
        <v>0</v>
      </c>
      <c r="Q73" s="438">
        <v>0</v>
      </c>
      <c r="R73" s="438">
        <v>0</v>
      </c>
      <c r="S73" s="438">
        <v>0</v>
      </c>
      <c r="T73" s="438">
        <v>0</v>
      </c>
      <c r="U73" s="438">
        <v>0</v>
      </c>
      <c r="V73" s="438">
        <v>0</v>
      </c>
      <c r="W73" s="438">
        <v>0</v>
      </c>
      <c r="X73" s="438">
        <v>0</v>
      </c>
      <c r="Y73" s="438">
        <v>0</v>
      </c>
      <c r="Z73" s="438">
        <v>0</v>
      </c>
      <c r="AA73" s="438">
        <v>0</v>
      </c>
      <c r="AB73" s="444">
        <v>0</v>
      </c>
      <c r="AC73" s="450">
        <v>0</v>
      </c>
      <c r="AD73" s="474"/>
    </row>
    <row r="74" spans="2:30" ht="15">
      <c r="B74" s="22">
        <f>'Oil supply projection'!$B74</f>
        <v>2083</v>
      </c>
      <c r="C74" s="438">
        <v>0</v>
      </c>
      <c r="D74" s="438">
        <v>0</v>
      </c>
      <c r="E74" s="438">
        <v>0</v>
      </c>
      <c r="F74" s="444">
        <v>0</v>
      </c>
      <c r="G74" s="447">
        <v>0</v>
      </c>
      <c r="H74" s="438">
        <v>0</v>
      </c>
      <c r="I74" s="444">
        <v>0</v>
      </c>
      <c r="J74" s="447">
        <v>0</v>
      </c>
      <c r="K74" s="438">
        <v>0</v>
      </c>
      <c r="L74" s="438">
        <v>0</v>
      </c>
      <c r="M74" s="444">
        <v>0</v>
      </c>
      <c r="N74" s="447">
        <v>0</v>
      </c>
      <c r="O74" s="438">
        <v>0</v>
      </c>
      <c r="P74" s="438">
        <v>0</v>
      </c>
      <c r="Q74" s="438">
        <v>0</v>
      </c>
      <c r="R74" s="438">
        <v>0</v>
      </c>
      <c r="S74" s="438">
        <v>0</v>
      </c>
      <c r="T74" s="438">
        <v>0</v>
      </c>
      <c r="U74" s="438">
        <v>0</v>
      </c>
      <c r="V74" s="438">
        <v>0</v>
      </c>
      <c r="W74" s="438">
        <v>0</v>
      </c>
      <c r="X74" s="438">
        <v>0</v>
      </c>
      <c r="Y74" s="438">
        <v>0</v>
      </c>
      <c r="Z74" s="438">
        <v>0</v>
      </c>
      <c r="AA74" s="438">
        <v>0</v>
      </c>
      <c r="AB74" s="444">
        <v>0</v>
      </c>
      <c r="AC74" s="450">
        <v>0</v>
      </c>
      <c r="AD74" s="474"/>
    </row>
    <row r="75" spans="2:30" ht="15">
      <c r="B75" s="22">
        <f>'Oil supply projection'!$B75</f>
        <v>2084</v>
      </c>
      <c r="C75" s="438">
        <v>0</v>
      </c>
      <c r="D75" s="438">
        <v>0</v>
      </c>
      <c r="E75" s="438">
        <v>0</v>
      </c>
      <c r="F75" s="444">
        <v>0</v>
      </c>
      <c r="G75" s="447">
        <v>0</v>
      </c>
      <c r="H75" s="438">
        <v>0</v>
      </c>
      <c r="I75" s="444">
        <v>0</v>
      </c>
      <c r="J75" s="447">
        <v>0</v>
      </c>
      <c r="K75" s="438">
        <v>0</v>
      </c>
      <c r="L75" s="438">
        <v>0</v>
      </c>
      <c r="M75" s="444">
        <v>0</v>
      </c>
      <c r="N75" s="447">
        <v>0</v>
      </c>
      <c r="O75" s="438">
        <v>0</v>
      </c>
      <c r="P75" s="438">
        <v>0</v>
      </c>
      <c r="Q75" s="438">
        <v>0</v>
      </c>
      <c r="R75" s="438">
        <v>0</v>
      </c>
      <c r="S75" s="438">
        <v>0</v>
      </c>
      <c r="T75" s="438">
        <v>0</v>
      </c>
      <c r="U75" s="438">
        <v>0</v>
      </c>
      <c r="V75" s="438">
        <v>0</v>
      </c>
      <c r="W75" s="438">
        <v>0</v>
      </c>
      <c r="X75" s="438">
        <v>0</v>
      </c>
      <c r="Y75" s="438">
        <v>0</v>
      </c>
      <c r="Z75" s="438">
        <v>0</v>
      </c>
      <c r="AA75" s="438">
        <v>0</v>
      </c>
      <c r="AB75" s="444">
        <v>0</v>
      </c>
      <c r="AC75" s="450">
        <v>0</v>
      </c>
      <c r="AD75" s="474"/>
    </row>
    <row r="76" spans="2:30" ht="15">
      <c r="B76" s="22">
        <f>'Oil supply projection'!$B76</f>
        <v>2085</v>
      </c>
      <c r="C76" s="438">
        <v>0</v>
      </c>
      <c r="D76" s="438">
        <v>0</v>
      </c>
      <c r="E76" s="438">
        <v>0</v>
      </c>
      <c r="F76" s="444">
        <v>0</v>
      </c>
      <c r="G76" s="447">
        <v>0</v>
      </c>
      <c r="H76" s="438">
        <v>0</v>
      </c>
      <c r="I76" s="444">
        <v>0</v>
      </c>
      <c r="J76" s="447">
        <v>0</v>
      </c>
      <c r="K76" s="438">
        <v>0</v>
      </c>
      <c r="L76" s="438">
        <v>0</v>
      </c>
      <c r="M76" s="444">
        <v>0</v>
      </c>
      <c r="N76" s="447">
        <v>0</v>
      </c>
      <c r="O76" s="438">
        <v>0</v>
      </c>
      <c r="P76" s="438">
        <v>0</v>
      </c>
      <c r="Q76" s="438">
        <v>0</v>
      </c>
      <c r="R76" s="438">
        <v>0</v>
      </c>
      <c r="S76" s="438">
        <v>0</v>
      </c>
      <c r="T76" s="438">
        <v>0</v>
      </c>
      <c r="U76" s="438">
        <v>0</v>
      </c>
      <c r="V76" s="438">
        <v>0</v>
      </c>
      <c r="W76" s="438">
        <v>0</v>
      </c>
      <c r="X76" s="438">
        <v>0</v>
      </c>
      <c r="Y76" s="438">
        <v>0</v>
      </c>
      <c r="Z76" s="438">
        <v>0</v>
      </c>
      <c r="AA76" s="438">
        <v>0</v>
      </c>
      <c r="AB76" s="444">
        <v>0</v>
      </c>
      <c r="AC76" s="450">
        <v>0</v>
      </c>
      <c r="AD76" s="474"/>
    </row>
    <row r="77" spans="2:30" ht="15">
      <c r="B77" s="22">
        <f>'Oil supply projection'!$B77</f>
        <v>2086</v>
      </c>
      <c r="C77" s="438">
        <v>0</v>
      </c>
      <c r="D77" s="438">
        <v>0</v>
      </c>
      <c r="E77" s="438">
        <v>0</v>
      </c>
      <c r="F77" s="444">
        <v>0</v>
      </c>
      <c r="G77" s="447">
        <v>0</v>
      </c>
      <c r="H77" s="438">
        <v>0</v>
      </c>
      <c r="I77" s="444">
        <v>0</v>
      </c>
      <c r="J77" s="447">
        <v>0</v>
      </c>
      <c r="K77" s="438">
        <v>0</v>
      </c>
      <c r="L77" s="438">
        <v>0</v>
      </c>
      <c r="M77" s="444">
        <v>0</v>
      </c>
      <c r="N77" s="447">
        <v>0</v>
      </c>
      <c r="O77" s="438">
        <v>0</v>
      </c>
      <c r="P77" s="438">
        <v>0</v>
      </c>
      <c r="Q77" s="438">
        <v>0</v>
      </c>
      <c r="R77" s="438">
        <v>0</v>
      </c>
      <c r="S77" s="438">
        <v>0</v>
      </c>
      <c r="T77" s="438">
        <v>0</v>
      </c>
      <c r="U77" s="438">
        <v>0</v>
      </c>
      <c r="V77" s="438">
        <v>0</v>
      </c>
      <c r="W77" s="438">
        <v>0</v>
      </c>
      <c r="X77" s="438">
        <v>0</v>
      </c>
      <c r="Y77" s="438">
        <v>0</v>
      </c>
      <c r="Z77" s="438">
        <v>0</v>
      </c>
      <c r="AA77" s="438">
        <v>0</v>
      </c>
      <c r="AB77" s="444">
        <v>0</v>
      </c>
      <c r="AC77" s="450">
        <v>0</v>
      </c>
      <c r="AD77" s="474"/>
    </row>
    <row r="78" spans="2:30" ht="15">
      <c r="B78" s="22">
        <f>'Oil supply projection'!$B78</f>
        <v>2087</v>
      </c>
      <c r="C78" s="438">
        <v>0</v>
      </c>
      <c r="D78" s="438">
        <v>0</v>
      </c>
      <c r="E78" s="438">
        <v>0</v>
      </c>
      <c r="F78" s="444">
        <v>0</v>
      </c>
      <c r="G78" s="447">
        <v>0</v>
      </c>
      <c r="H78" s="438">
        <v>0</v>
      </c>
      <c r="I78" s="444">
        <v>0</v>
      </c>
      <c r="J78" s="447">
        <v>0</v>
      </c>
      <c r="K78" s="438">
        <v>0</v>
      </c>
      <c r="L78" s="438">
        <v>0</v>
      </c>
      <c r="M78" s="444">
        <v>0</v>
      </c>
      <c r="N78" s="447">
        <v>0</v>
      </c>
      <c r="O78" s="438">
        <v>0</v>
      </c>
      <c r="P78" s="438">
        <v>0</v>
      </c>
      <c r="Q78" s="438">
        <v>0</v>
      </c>
      <c r="R78" s="438">
        <v>0</v>
      </c>
      <c r="S78" s="438">
        <v>0</v>
      </c>
      <c r="T78" s="438">
        <v>0</v>
      </c>
      <c r="U78" s="438">
        <v>0</v>
      </c>
      <c r="V78" s="438">
        <v>0</v>
      </c>
      <c r="W78" s="438">
        <v>0</v>
      </c>
      <c r="X78" s="438">
        <v>0</v>
      </c>
      <c r="Y78" s="438">
        <v>0</v>
      </c>
      <c r="Z78" s="438">
        <v>0</v>
      </c>
      <c r="AA78" s="438">
        <v>0</v>
      </c>
      <c r="AB78" s="444">
        <v>0</v>
      </c>
      <c r="AC78" s="450">
        <v>0</v>
      </c>
      <c r="AD78" s="474"/>
    </row>
    <row r="79" spans="2:30" ht="15">
      <c r="B79" s="22">
        <f>'Oil supply projection'!$B79</f>
        <v>2088</v>
      </c>
      <c r="C79" s="438">
        <v>0</v>
      </c>
      <c r="D79" s="438">
        <v>0</v>
      </c>
      <c r="E79" s="438">
        <v>0</v>
      </c>
      <c r="F79" s="444">
        <v>0</v>
      </c>
      <c r="G79" s="447">
        <v>0</v>
      </c>
      <c r="H79" s="438">
        <v>0</v>
      </c>
      <c r="I79" s="444">
        <v>0</v>
      </c>
      <c r="J79" s="447">
        <v>0</v>
      </c>
      <c r="K79" s="438">
        <v>0</v>
      </c>
      <c r="L79" s="438">
        <v>0</v>
      </c>
      <c r="M79" s="444">
        <v>0</v>
      </c>
      <c r="N79" s="447">
        <v>0</v>
      </c>
      <c r="O79" s="438">
        <v>0</v>
      </c>
      <c r="P79" s="438">
        <v>0</v>
      </c>
      <c r="Q79" s="438">
        <v>0</v>
      </c>
      <c r="R79" s="438">
        <v>0</v>
      </c>
      <c r="S79" s="438">
        <v>0</v>
      </c>
      <c r="T79" s="438">
        <v>0</v>
      </c>
      <c r="U79" s="438">
        <v>0</v>
      </c>
      <c r="V79" s="438">
        <v>0</v>
      </c>
      <c r="W79" s="438">
        <v>0</v>
      </c>
      <c r="X79" s="438">
        <v>0</v>
      </c>
      <c r="Y79" s="438">
        <v>0</v>
      </c>
      <c r="Z79" s="438">
        <v>0</v>
      </c>
      <c r="AA79" s="438">
        <v>0</v>
      </c>
      <c r="AB79" s="444">
        <v>0</v>
      </c>
      <c r="AC79" s="450">
        <v>0</v>
      </c>
      <c r="AD79" s="474"/>
    </row>
    <row r="80" spans="2:30" ht="15">
      <c r="B80" s="22">
        <f>'Oil supply projection'!$B80</f>
        <v>2089</v>
      </c>
      <c r="C80" s="438">
        <v>0</v>
      </c>
      <c r="D80" s="438">
        <v>0</v>
      </c>
      <c r="E80" s="438">
        <v>0</v>
      </c>
      <c r="F80" s="444">
        <v>0</v>
      </c>
      <c r="G80" s="447">
        <v>0</v>
      </c>
      <c r="H80" s="438">
        <v>0</v>
      </c>
      <c r="I80" s="444">
        <v>0</v>
      </c>
      <c r="J80" s="447">
        <v>0</v>
      </c>
      <c r="K80" s="438">
        <v>0</v>
      </c>
      <c r="L80" s="438">
        <v>0</v>
      </c>
      <c r="M80" s="444">
        <v>0</v>
      </c>
      <c r="N80" s="447">
        <v>0</v>
      </c>
      <c r="O80" s="438">
        <v>0</v>
      </c>
      <c r="P80" s="438">
        <v>0</v>
      </c>
      <c r="Q80" s="438">
        <v>0</v>
      </c>
      <c r="R80" s="438">
        <v>0</v>
      </c>
      <c r="S80" s="438">
        <v>0</v>
      </c>
      <c r="T80" s="438">
        <v>0</v>
      </c>
      <c r="U80" s="438">
        <v>0</v>
      </c>
      <c r="V80" s="438">
        <v>0</v>
      </c>
      <c r="W80" s="438">
        <v>0</v>
      </c>
      <c r="X80" s="438">
        <v>0</v>
      </c>
      <c r="Y80" s="438">
        <v>0</v>
      </c>
      <c r="Z80" s="438">
        <v>0</v>
      </c>
      <c r="AA80" s="438">
        <v>0</v>
      </c>
      <c r="AB80" s="444">
        <v>0</v>
      </c>
      <c r="AC80" s="450">
        <v>0</v>
      </c>
      <c r="AD80" s="474"/>
    </row>
    <row r="81" spans="2:30" ht="15">
      <c r="B81" s="22">
        <f>'Oil supply projection'!$B81</f>
        <v>2090</v>
      </c>
      <c r="C81" s="438">
        <v>0</v>
      </c>
      <c r="D81" s="438">
        <v>0</v>
      </c>
      <c r="E81" s="438">
        <v>0</v>
      </c>
      <c r="F81" s="444">
        <v>0</v>
      </c>
      <c r="G81" s="447">
        <v>0</v>
      </c>
      <c r="H81" s="438">
        <v>0</v>
      </c>
      <c r="I81" s="444">
        <v>0</v>
      </c>
      <c r="J81" s="447">
        <v>0</v>
      </c>
      <c r="K81" s="438">
        <v>0</v>
      </c>
      <c r="L81" s="438">
        <v>0</v>
      </c>
      <c r="M81" s="444">
        <v>0</v>
      </c>
      <c r="N81" s="447">
        <v>0</v>
      </c>
      <c r="O81" s="438">
        <v>0</v>
      </c>
      <c r="P81" s="438">
        <v>0</v>
      </c>
      <c r="Q81" s="438">
        <v>0</v>
      </c>
      <c r="R81" s="438">
        <v>0</v>
      </c>
      <c r="S81" s="438">
        <v>0</v>
      </c>
      <c r="T81" s="438">
        <v>0</v>
      </c>
      <c r="U81" s="438">
        <v>0</v>
      </c>
      <c r="V81" s="438">
        <v>0</v>
      </c>
      <c r="W81" s="438">
        <v>0</v>
      </c>
      <c r="X81" s="438">
        <v>0</v>
      </c>
      <c r="Y81" s="438">
        <v>0</v>
      </c>
      <c r="Z81" s="438">
        <v>0</v>
      </c>
      <c r="AA81" s="438">
        <v>0</v>
      </c>
      <c r="AB81" s="444">
        <v>0</v>
      </c>
      <c r="AC81" s="450">
        <v>0</v>
      </c>
      <c r="AD81" s="474"/>
    </row>
    <row r="82" spans="2:30" ht="15">
      <c r="B82" s="22">
        <f>'Oil supply projection'!$B82</f>
        <v>2091</v>
      </c>
      <c r="C82" s="438">
        <v>0</v>
      </c>
      <c r="D82" s="438">
        <v>0</v>
      </c>
      <c r="E82" s="438">
        <v>0</v>
      </c>
      <c r="F82" s="444">
        <v>0</v>
      </c>
      <c r="G82" s="447">
        <v>0</v>
      </c>
      <c r="H82" s="438">
        <v>0</v>
      </c>
      <c r="I82" s="444">
        <v>0</v>
      </c>
      <c r="J82" s="447">
        <v>0</v>
      </c>
      <c r="K82" s="438">
        <v>0</v>
      </c>
      <c r="L82" s="438">
        <v>0</v>
      </c>
      <c r="M82" s="444">
        <v>0</v>
      </c>
      <c r="N82" s="447">
        <v>0</v>
      </c>
      <c r="O82" s="438">
        <v>0</v>
      </c>
      <c r="P82" s="438">
        <v>0</v>
      </c>
      <c r="Q82" s="438">
        <v>0</v>
      </c>
      <c r="R82" s="438">
        <v>0</v>
      </c>
      <c r="S82" s="438">
        <v>0</v>
      </c>
      <c r="T82" s="438">
        <v>0</v>
      </c>
      <c r="U82" s="438">
        <v>0</v>
      </c>
      <c r="V82" s="438">
        <v>0</v>
      </c>
      <c r="W82" s="438">
        <v>0</v>
      </c>
      <c r="X82" s="438">
        <v>0</v>
      </c>
      <c r="Y82" s="438">
        <v>0</v>
      </c>
      <c r="Z82" s="438">
        <v>0</v>
      </c>
      <c r="AA82" s="438">
        <v>0</v>
      </c>
      <c r="AB82" s="444">
        <v>0</v>
      </c>
      <c r="AC82" s="450">
        <v>0</v>
      </c>
      <c r="AD82" s="474"/>
    </row>
    <row r="83" spans="2:30" ht="15">
      <c r="B83" s="22">
        <f>'Oil supply projection'!$B83</f>
        <v>2092</v>
      </c>
      <c r="C83" s="438">
        <v>0</v>
      </c>
      <c r="D83" s="438">
        <v>0</v>
      </c>
      <c r="E83" s="438">
        <v>0</v>
      </c>
      <c r="F83" s="444">
        <v>0</v>
      </c>
      <c r="G83" s="447">
        <v>0</v>
      </c>
      <c r="H83" s="438">
        <v>0</v>
      </c>
      <c r="I83" s="444">
        <v>0</v>
      </c>
      <c r="J83" s="447">
        <v>0</v>
      </c>
      <c r="K83" s="438">
        <v>0</v>
      </c>
      <c r="L83" s="438">
        <v>0</v>
      </c>
      <c r="M83" s="444">
        <v>0</v>
      </c>
      <c r="N83" s="447">
        <v>0</v>
      </c>
      <c r="O83" s="438">
        <v>0</v>
      </c>
      <c r="P83" s="438">
        <v>0</v>
      </c>
      <c r="Q83" s="438">
        <v>0</v>
      </c>
      <c r="R83" s="438">
        <v>0</v>
      </c>
      <c r="S83" s="438">
        <v>0</v>
      </c>
      <c r="T83" s="438">
        <v>0</v>
      </c>
      <c r="U83" s="438">
        <v>0</v>
      </c>
      <c r="V83" s="438">
        <v>0</v>
      </c>
      <c r="W83" s="438">
        <v>0</v>
      </c>
      <c r="X83" s="438">
        <v>0</v>
      </c>
      <c r="Y83" s="438">
        <v>0</v>
      </c>
      <c r="Z83" s="438">
        <v>0</v>
      </c>
      <c r="AA83" s="438">
        <v>0</v>
      </c>
      <c r="AB83" s="444">
        <v>0</v>
      </c>
      <c r="AC83" s="450">
        <v>0</v>
      </c>
      <c r="AD83" s="474"/>
    </row>
    <row r="84" spans="2:30" ht="15">
      <c r="B84" s="22">
        <f>'Oil supply projection'!$B84</f>
        <v>2093</v>
      </c>
      <c r="C84" s="445">
        <v>0</v>
      </c>
      <c r="D84" s="445">
        <v>0</v>
      </c>
      <c r="E84" s="445">
        <v>0</v>
      </c>
      <c r="F84" s="446">
        <v>0</v>
      </c>
      <c r="G84" s="448">
        <v>0</v>
      </c>
      <c r="H84" s="445">
        <v>0</v>
      </c>
      <c r="I84" s="446">
        <v>0</v>
      </c>
      <c r="J84" s="448">
        <v>0</v>
      </c>
      <c r="K84" s="445">
        <v>0</v>
      </c>
      <c r="L84" s="445">
        <v>0</v>
      </c>
      <c r="M84" s="446">
        <v>0</v>
      </c>
      <c r="N84" s="448">
        <v>0</v>
      </c>
      <c r="O84" s="445">
        <v>0</v>
      </c>
      <c r="P84" s="445">
        <v>0</v>
      </c>
      <c r="Q84" s="445">
        <v>0</v>
      </c>
      <c r="R84" s="445">
        <v>0</v>
      </c>
      <c r="S84" s="445">
        <v>0</v>
      </c>
      <c r="T84" s="445">
        <v>0</v>
      </c>
      <c r="U84" s="445">
        <v>0</v>
      </c>
      <c r="V84" s="445">
        <v>0</v>
      </c>
      <c r="W84" s="445">
        <v>0</v>
      </c>
      <c r="X84" s="445">
        <v>0</v>
      </c>
      <c r="Y84" s="445">
        <v>0</v>
      </c>
      <c r="Z84" s="445">
        <v>0</v>
      </c>
      <c r="AA84" s="445">
        <v>0</v>
      </c>
      <c r="AB84" s="446">
        <v>0</v>
      </c>
      <c r="AC84" s="451">
        <v>0</v>
      </c>
      <c r="AD84" s="474"/>
    </row>
    <row r="85" spans="2:30">
      <c r="B85" s="85" t="s">
        <v>485</v>
      </c>
      <c r="C85" s="85">
        <f>SUM(C10:C84)</f>
        <v>0</v>
      </c>
      <c r="D85" s="85">
        <f t="shared" ref="D85:AC85" si="0">SUM(D10:D84)</f>
        <v>0</v>
      </c>
      <c r="E85" s="85">
        <f t="shared" si="0"/>
        <v>0</v>
      </c>
      <c r="F85" s="85">
        <f t="shared" si="0"/>
        <v>0</v>
      </c>
      <c r="G85" s="85">
        <f t="shared" si="0"/>
        <v>0</v>
      </c>
      <c r="H85" s="85">
        <f t="shared" si="0"/>
        <v>0.10684931506849311</v>
      </c>
      <c r="I85" s="85">
        <f t="shared" si="0"/>
        <v>0</v>
      </c>
      <c r="J85" s="85">
        <f t="shared" si="0"/>
        <v>0</v>
      </c>
      <c r="K85" s="85">
        <f t="shared" si="0"/>
        <v>0</v>
      </c>
      <c r="L85" s="85">
        <f t="shared" si="0"/>
        <v>0</v>
      </c>
      <c r="M85" s="85">
        <f t="shared" si="0"/>
        <v>0</v>
      </c>
      <c r="N85" s="85">
        <f t="shared" si="0"/>
        <v>8.2191780821917818E-2</v>
      </c>
      <c r="O85" s="85">
        <f t="shared" si="0"/>
        <v>7.1232876712328766E-2</v>
      </c>
      <c r="P85" s="85">
        <f t="shared" si="0"/>
        <v>0</v>
      </c>
      <c r="Q85" s="85">
        <f t="shared" si="0"/>
        <v>0</v>
      </c>
      <c r="R85" s="85">
        <f t="shared" si="0"/>
        <v>0</v>
      </c>
      <c r="S85" s="85">
        <f t="shared" si="0"/>
        <v>0</v>
      </c>
      <c r="T85" s="85">
        <f t="shared" si="0"/>
        <v>0</v>
      </c>
      <c r="U85" s="85">
        <f t="shared" si="0"/>
        <v>0</v>
      </c>
      <c r="V85" s="85">
        <f t="shared" si="0"/>
        <v>0</v>
      </c>
      <c r="W85" s="85">
        <f t="shared" si="0"/>
        <v>0</v>
      </c>
      <c r="X85" s="85">
        <f t="shared" si="0"/>
        <v>0</v>
      </c>
      <c r="Y85" s="85">
        <f t="shared" si="0"/>
        <v>0</v>
      </c>
      <c r="Z85" s="85">
        <f t="shared" si="0"/>
        <v>0</v>
      </c>
      <c r="AA85" s="85">
        <f t="shared" si="0"/>
        <v>0</v>
      </c>
      <c r="AB85" s="85">
        <f t="shared" si="0"/>
        <v>0</v>
      </c>
      <c r="AC85" s="85">
        <f t="shared" si="0"/>
        <v>0.26027397260273977</v>
      </c>
    </row>
  </sheetData>
  <mergeCells count="2">
    <mergeCell ref="AC6:AC8"/>
    <mergeCell ref="A1:B1"/>
  </mergeCells>
  <phoneticPr fontId="29" type="noConversion"/>
  <conditionalFormatting sqref="C10:AC84">
    <cfRule type="cellIs" dxfId="103" priority="1" operator="equal">
      <formula>0</formula>
    </cfRule>
  </conditionalFormatting>
  <hyperlinks>
    <hyperlink ref="A1" location="'Table of Contents'!A1" tooltip="Click here to return to the Table of Contents tab" display="Return to Table of Contents" xr:uid="{00000000-0004-0000-1600-000000000000}"/>
  </hyperlinks>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71681" r:id="rId4" name="Button 1">
              <controlPr defaultSize="0" print="0" autoFill="0" autoPict="0" macro="[0]!scenario_import">
                <anchor moveWithCells="1" sizeWithCells="1">
                  <from>
                    <xdr:col>7</xdr:col>
                    <xdr:colOff>0</xdr:colOff>
                    <xdr:row>2</xdr:row>
                    <xdr:rowOff>76200</xdr:rowOff>
                  </from>
                  <to>
                    <xdr:col>8</xdr:col>
                    <xdr:colOff>666750</xdr:colOff>
                    <xdr:row>4</xdr:row>
                    <xdr:rowOff>114300</xdr:rowOff>
                  </to>
                </anchor>
              </controlPr>
            </control>
          </mc:Choice>
        </mc:AlternateContent>
        <mc:AlternateContent xmlns:mc="http://schemas.openxmlformats.org/markup-compatibility/2006">
          <mc:Choice Requires="x14">
            <control shapeId="71683" r:id="rId5" name="Button 3">
              <controlPr defaultSize="0" print="0" autoFill="0" autoPict="0" macro="[0]!scenario_clear">
                <anchor moveWithCells="1" sizeWithCells="1">
                  <from>
                    <xdr:col>9</xdr:col>
                    <xdr:colOff>304800</xdr:colOff>
                    <xdr:row>2</xdr:row>
                    <xdr:rowOff>95250</xdr:rowOff>
                  </from>
                  <to>
                    <xdr:col>10</xdr:col>
                    <xdr:colOff>438150</xdr:colOff>
                    <xdr:row>4</xdr:row>
                    <xdr:rowOff>57150</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
    <tabColor indexed="46"/>
  </sheetPr>
  <dimension ref="A1:AD84"/>
  <sheetViews>
    <sheetView workbookViewId="0">
      <pane xSplit="2" ySplit="9" topLeftCell="C10" activePane="bottomRight" state="frozen"/>
      <selection pane="topRight" activeCell="AB63" sqref="AB63"/>
      <selection pane="bottomLeft" activeCell="AB63" sqref="AB63"/>
      <selection pane="bottomRight" sqref="A1:B1"/>
    </sheetView>
  </sheetViews>
  <sheetFormatPr defaultColWidth="9.28515625" defaultRowHeight="12.75"/>
  <cols>
    <col min="1" max="1" width="15.5703125" style="85" customWidth="1"/>
    <col min="2" max="2" width="10.28515625" style="85" customWidth="1"/>
    <col min="3" max="9" width="10.7109375" style="85" customWidth="1"/>
    <col min="10" max="12" width="12.5703125" style="85" customWidth="1"/>
    <col min="13" max="13" width="13.5703125" style="85" customWidth="1"/>
    <col min="14" max="16" width="10.7109375" style="85" customWidth="1"/>
    <col min="17" max="17" width="11.5703125" style="85" customWidth="1"/>
    <col min="18" max="29" width="10.7109375" style="85" customWidth="1"/>
    <col min="30" max="16384" width="9.28515625" style="85"/>
  </cols>
  <sheetData>
    <row r="1" spans="1:30" ht="15.75" thickBot="1">
      <c r="A1" s="701" t="s">
        <v>27</v>
      </c>
      <c r="B1" s="702"/>
      <c r="C1" s="180"/>
      <c r="D1" s="180"/>
      <c r="E1" s="86"/>
      <c r="F1" s="181"/>
    </row>
    <row r="2" spans="1:30" ht="15">
      <c r="C2" s="86"/>
      <c r="D2" s="86"/>
      <c r="E2" s="86"/>
    </row>
    <row r="3" spans="1:30" ht="18">
      <c r="B3" s="37" t="s">
        <v>509</v>
      </c>
      <c r="C3" s="88"/>
      <c r="D3" s="88"/>
      <c r="E3" s="88"/>
      <c r="F3" s="89"/>
      <c r="G3" s="89"/>
      <c r="H3" s="89"/>
      <c r="I3" s="89"/>
    </row>
    <row r="4" spans="1:30" ht="18">
      <c r="B4" s="37"/>
      <c r="C4" s="251" t="s">
        <v>508</v>
      </c>
      <c r="D4" s="252"/>
      <c r="F4" s="317" t="str">
        <f>scenario_name</f>
        <v>GenericE&amp;DtemplateCIandGOA</v>
      </c>
      <c r="G4" s="89"/>
      <c r="H4" s="89"/>
      <c r="I4" s="89"/>
    </row>
    <row r="5" spans="1:30" ht="15">
      <c r="C5" s="86"/>
      <c r="D5" s="86"/>
    </row>
    <row r="6" spans="1:30" s="84" customFormat="1" ht="12.75" customHeight="1">
      <c r="B6" s="192"/>
      <c r="C6" s="191" t="s">
        <v>490</v>
      </c>
      <c r="D6" s="184"/>
      <c r="E6" s="184"/>
      <c r="F6" s="185"/>
      <c r="G6" s="183" t="s">
        <v>491</v>
      </c>
      <c r="H6" s="184"/>
      <c r="I6" s="185"/>
      <c r="J6" s="183" t="s">
        <v>492</v>
      </c>
      <c r="K6" s="184"/>
      <c r="L6" s="184"/>
      <c r="M6" s="189"/>
      <c r="N6" s="183" t="s">
        <v>493</v>
      </c>
      <c r="O6" s="184"/>
      <c r="P6" s="184"/>
      <c r="Q6" s="191"/>
      <c r="R6" s="191"/>
      <c r="S6" s="184"/>
      <c r="T6" s="184"/>
      <c r="U6" s="191"/>
      <c r="V6" s="191"/>
      <c r="W6" s="184"/>
      <c r="X6" s="184"/>
      <c r="Y6" s="191"/>
      <c r="Z6" s="191"/>
      <c r="AA6" s="184"/>
      <c r="AB6" s="185"/>
      <c r="AC6" s="695" t="s">
        <v>485</v>
      </c>
    </row>
    <row r="7" spans="1:30" s="84" customFormat="1" ht="12.75" customHeight="1">
      <c r="B7" s="193"/>
      <c r="C7" s="74"/>
      <c r="D7" s="187"/>
      <c r="E7" s="187"/>
      <c r="F7" s="188"/>
      <c r="G7" s="186"/>
      <c r="H7" s="187"/>
      <c r="I7" s="188"/>
      <c r="J7" s="186"/>
      <c r="K7" s="187"/>
      <c r="L7" s="187"/>
      <c r="M7" s="190"/>
      <c r="N7" s="186"/>
      <c r="O7" s="187"/>
      <c r="P7" s="187"/>
      <c r="Q7" s="74"/>
      <c r="R7" s="74"/>
      <c r="S7" s="187"/>
      <c r="T7" s="187"/>
      <c r="U7" s="74"/>
      <c r="V7" s="74"/>
      <c r="W7" s="187"/>
      <c r="X7" s="187"/>
      <c r="Y7" s="74"/>
      <c r="Z7" s="74"/>
      <c r="AA7" s="187"/>
      <c r="AB7" s="188"/>
      <c r="AC7" s="798"/>
    </row>
    <row r="8" spans="1:30" ht="48" customHeight="1">
      <c r="B8" s="193"/>
      <c r="C8" s="654" t="s">
        <v>158</v>
      </c>
      <c r="D8" s="650" t="s">
        <v>166</v>
      </c>
      <c r="E8" s="650" t="s">
        <v>171</v>
      </c>
      <c r="F8" s="132" t="s">
        <v>173</v>
      </c>
      <c r="G8" s="654" t="s">
        <v>180</v>
      </c>
      <c r="H8" s="650" t="s">
        <v>186</v>
      </c>
      <c r="I8" s="132" t="s">
        <v>191</v>
      </c>
      <c r="J8" s="654" t="s">
        <v>197</v>
      </c>
      <c r="K8" s="650" t="s">
        <v>199</v>
      </c>
      <c r="L8" s="650" t="s">
        <v>201</v>
      </c>
      <c r="M8" s="132" t="s">
        <v>494</v>
      </c>
      <c r="N8" s="654" t="s">
        <v>208</v>
      </c>
      <c r="O8" s="650" t="s">
        <v>211</v>
      </c>
      <c r="P8" s="650" t="s">
        <v>213</v>
      </c>
      <c r="Q8" s="650" t="s">
        <v>215</v>
      </c>
      <c r="R8" s="650" t="s">
        <v>219</v>
      </c>
      <c r="S8" s="650" t="s">
        <v>222</v>
      </c>
      <c r="T8" s="650" t="s">
        <v>224</v>
      </c>
      <c r="U8" s="650" t="s">
        <v>228</v>
      </c>
      <c r="V8" s="650" t="s">
        <v>231</v>
      </c>
      <c r="W8" s="650" t="s">
        <v>232</v>
      </c>
      <c r="X8" s="650" t="s">
        <v>235</v>
      </c>
      <c r="Y8" s="650" t="s">
        <v>237</v>
      </c>
      <c r="Z8" s="650" t="s">
        <v>239</v>
      </c>
      <c r="AA8" s="650" t="s">
        <v>242</v>
      </c>
      <c r="AB8" s="132" t="s">
        <v>245</v>
      </c>
      <c r="AC8" s="798"/>
    </row>
    <row r="9" spans="1:30" ht="33.75" customHeight="1" thickBot="1">
      <c r="B9" s="153" t="s">
        <v>268</v>
      </c>
      <c r="C9" s="143" t="s">
        <v>510</v>
      </c>
      <c r="D9" s="96" t="s">
        <v>510</v>
      </c>
      <c r="E9" s="96" t="s">
        <v>510</v>
      </c>
      <c r="F9" s="144" t="s">
        <v>510</v>
      </c>
      <c r="G9" s="143" t="s">
        <v>510</v>
      </c>
      <c r="H9" s="96" t="s">
        <v>510</v>
      </c>
      <c r="I9" s="144" t="s">
        <v>510</v>
      </c>
      <c r="J9" s="143" t="s">
        <v>510</v>
      </c>
      <c r="K9" s="96" t="s">
        <v>510</v>
      </c>
      <c r="L9" s="96" t="s">
        <v>510</v>
      </c>
      <c r="M9" s="144" t="s">
        <v>510</v>
      </c>
      <c r="N9" s="143" t="s">
        <v>510</v>
      </c>
      <c r="O9" s="96" t="s">
        <v>510</v>
      </c>
      <c r="P9" s="96" t="s">
        <v>510</v>
      </c>
      <c r="Q9" s="96" t="s">
        <v>510</v>
      </c>
      <c r="R9" s="96" t="s">
        <v>510</v>
      </c>
      <c r="S9" s="96" t="s">
        <v>510</v>
      </c>
      <c r="T9" s="96" t="s">
        <v>510</v>
      </c>
      <c r="U9" s="96" t="s">
        <v>510</v>
      </c>
      <c r="V9" s="96" t="s">
        <v>510</v>
      </c>
      <c r="W9" s="96" t="s">
        <v>510</v>
      </c>
      <c r="X9" s="96" t="s">
        <v>510</v>
      </c>
      <c r="Y9" s="96" t="s">
        <v>510</v>
      </c>
      <c r="Z9" s="96" t="s">
        <v>510</v>
      </c>
      <c r="AA9" s="96" t="s">
        <v>510</v>
      </c>
      <c r="AB9" s="144" t="s">
        <v>510</v>
      </c>
      <c r="AC9" s="143" t="s">
        <v>510</v>
      </c>
    </row>
    <row r="10" spans="1:30" ht="15.75" thickTop="1">
      <c r="B10" s="22">
        <f>'Oil supply projection'!$B10</f>
        <v>2019</v>
      </c>
      <c r="C10" s="438">
        <f t="array" ref="C10:AB84">import_gas/1000</f>
        <v>0</v>
      </c>
      <c r="D10" s="438">
        <v>0</v>
      </c>
      <c r="E10" s="438">
        <v>0</v>
      </c>
      <c r="F10" s="444">
        <v>0</v>
      </c>
      <c r="G10" s="447">
        <v>0</v>
      </c>
      <c r="H10" s="438">
        <v>0</v>
      </c>
      <c r="I10" s="444">
        <v>0</v>
      </c>
      <c r="J10" s="447">
        <v>0</v>
      </c>
      <c r="K10" s="438">
        <v>0</v>
      </c>
      <c r="L10" s="438">
        <v>0</v>
      </c>
      <c r="M10" s="444">
        <v>0</v>
      </c>
      <c r="N10" s="447">
        <v>0</v>
      </c>
      <c r="O10" s="438">
        <v>0</v>
      </c>
      <c r="P10" s="438">
        <v>0</v>
      </c>
      <c r="Q10" s="438">
        <v>0</v>
      </c>
      <c r="R10" s="438">
        <v>0</v>
      </c>
      <c r="S10" s="438">
        <v>0</v>
      </c>
      <c r="T10" s="438">
        <v>0</v>
      </c>
      <c r="U10" s="438">
        <v>0</v>
      </c>
      <c r="V10" s="438">
        <v>0</v>
      </c>
      <c r="W10" s="438">
        <v>0</v>
      </c>
      <c r="X10" s="438">
        <v>0</v>
      </c>
      <c r="Y10" s="438">
        <v>0</v>
      </c>
      <c r="Z10" s="438">
        <v>0</v>
      </c>
      <c r="AA10" s="438">
        <v>0</v>
      </c>
      <c r="AB10" s="444">
        <v>0</v>
      </c>
      <c r="AC10" s="165">
        <f t="array" ref="AC10:AC84">sim_sup_gas_ocs_ala+sim_sup_gas_ocs_alb+sim_sup_gas_ocs_atf+sim_sup_gas_ocs_atm+sim_sup_gas_ocs_atn+sim_sup_gas_ocs_ats+sim_sup_gas_ocs_bea+sim_sup_gas_ocs_bow+sim_sup_gas_ocs_chu+sim_sup_gas_ocs_coo+sim_sup_gas_ocs_gmc+sim_sup_gas_ocs_gme+sim_sup_gas_ocs_gmw+sim_sup_gas_ocs_goa+sim_sup_gas_ocs_hop+sim_sup_gas_ocs_kod+sim_sup_gas_ocs_nab+sim_sup_gas_ocs_nav+sim_sup_gas_ocs_nor+sim_sup_gas_ocs_pac+sim_sup_gas_ocs_pan+sim_sup_gas_ocs_pas+sim_sup_gas_ocs_paw+sim_sup_gas_ocs_sgb+sim_sup_gas_ocs_shu+sim_sup_gas_ocs_smh</f>
        <v>0</v>
      </c>
    </row>
    <row r="11" spans="1:30" ht="15">
      <c r="B11" s="22">
        <f>'Oil supply projection'!$B11</f>
        <v>2020</v>
      </c>
      <c r="C11" s="438">
        <v>0</v>
      </c>
      <c r="D11" s="438">
        <v>0</v>
      </c>
      <c r="E11" s="438">
        <v>0</v>
      </c>
      <c r="F11" s="444">
        <v>0</v>
      </c>
      <c r="G11" s="447">
        <v>0</v>
      </c>
      <c r="H11" s="438">
        <v>0</v>
      </c>
      <c r="I11" s="444">
        <v>0</v>
      </c>
      <c r="J11" s="447">
        <v>0</v>
      </c>
      <c r="K11" s="438">
        <v>0</v>
      </c>
      <c r="L11" s="438">
        <v>0</v>
      </c>
      <c r="M11" s="444">
        <v>0</v>
      </c>
      <c r="N11" s="447">
        <v>0</v>
      </c>
      <c r="O11" s="438">
        <v>0</v>
      </c>
      <c r="P11" s="438">
        <v>0</v>
      </c>
      <c r="Q11" s="438">
        <v>0</v>
      </c>
      <c r="R11" s="438">
        <v>0</v>
      </c>
      <c r="S11" s="438">
        <v>0</v>
      </c>
      <c r="T11" s="438">
        <v>0</v>
      </c>
      <c r="U11" s="438">
        <v>0</v>
      </c>
      <c r="V11" s="438">
        <v>0</v>
      </c>
      <c r="W11" s="438">
        <v>0</v>
      </c>
      <c r="X11" s="438">
        <v>0</v>
      </c>
      <c r="Y11" s="438">
        <v>0</v>
      </c>
      <c r="Z11" s="438">
        <v>0</v>
      </c>
      <c r="AA11" s="438">
        <v>0</v>
      </c>
      <c r="AB11" s="444">
        <v>0</v>
      </c>
      <c r="AC11" s="452">
        <v>0</v>
      </c>
    </row>
    <row r="12" spans="1:30" ht="15">
      <c r="B12" s="22">
        <f>'Oil supply projection'!$B12</f>
        <v>2021</v>
      </c>
      <c r="C12" s="438">
        <v>0</v>
      </c>
      <c r="D12" s="438">
        <v>0</v>
      </c>
      <c r="E12" s="438">
        <v>0</v>
      </c>
      <c r="F12" s="444">
        <v>0</v>
      </c>
      <c r="G12" s="447">
        <v>0</v>
      </c>
      <c r="H12" s="438">
        <v>0</v>
      </c>
      <c r="I12" s="444">
        <v>0</v>
      </c>
      <c r="J12" s="447">
        <v>0</v>
      </c>
      <c r="K12" s="438">
        <v>0</v>
      </c>
      <c r="L12" s="438">
        <v>0</v>
      </c>
      <c r="M12" s="444">
        <v>0</v>
      </c>
      <c r="N12" s="447">
        <v>0</v>
      </c>
      <c r="O12" s="438">
        <v>0</v>
      </c>
      <c r="P12" s="438">
        <v>0</v>
      </c>
      <c r="Q12" s="438">
        <v>0</v>
      </c>
      <c r="R12" s="438">
        <v>0</v>
      </c>
      <c r="S12" s="438">
        <v>0</v>
      </c>
      <c r="T12" s="438">
        <v>0</v>
      </c>
      <c r="U12" s="438">
        <v>0</v>
      </c>
      <c r="V12" s="438">
        <v>0</v>
      </c>
      <c r="W12" s="438">
        <v>0</v>
      </c>
      <c r="X12" s="438">
        <v>0</v>
      </c>
      <c r="Y12" s="438">
        <v>0</v>
      </c>
      <c r="Z12" s="438">
        <v>0</v>
      </c>
      <c r="AA12" s="438">
        <v>0</v>
      </c>
      <c r="AB12" s="444">
        <v>0</v>
      </c>
      <c r="AC12" s="452">
        <v>0</v>
      </c>
    </row>
    <row r="13" spans="1:30" ht="15">
      <c r="B13" s="22">
        <f>'Oil supply projection'!$B13</f>
        <v>2022</v>
      </c>
      <c r="C13" s="438">
        <v>0</v>
      </c>
      <c r="D13" s="438">
        <v>0</v>
      </c>
      <c r="E13" s="438">
        <v>0</v>
      </c>
      <c r="F13" s="444">
        <v>0</v>
      </c>
      <c r="G13" s="447">
        <v>0</v>
      </c>
      <c r="H13" s="438">
        <v>0</v>
      </c>
      <c r="I13" s="444">
        <v>0</v>
      </c>
      <c r="J13" s="447">
        <v>0</v>
      </c>
      <c r="K13" s="438">
        <v>0</v>
      </c>
      <c r="L13" s="438">
        <v>0</v>
      </c>
      <c r="M13" s="444">
        <v>0</v>
      </c>
      <c r="N13" s="447">
        <v>0</v>
      </c>
      <c r="O13" s="438">
        <v>0</v>
      </c>
      <c r="P13" s="438">
        <v>0</v>
      </c>
      <c r="Q13" s="438">
        <v>0</v>
      </c>
      <c r="R13" s="438">
        <v>0</v>
      </c>
      <c r="S13" s="438">
        <v>0</v>
      </c>
      <c r="T13" s="438">
        <v>0</v>
      </c>
      <c r="U13" s="438">
        <v>0</v>
      </c>
      <c r="V13" s="438">
        <v>0</v>
      </c>
      <c r="W13" s="438">
        <v>0</v>
      </c>
      <c r="X13" s="438">
        <v>0</v>
      </c>
      <c r="Y13" s="438">
        <v>0</v>
      </c>
      <c r="Z13" s="438">
        <v>0</v>
      </c>
      <c r="AA13" s="438">
        <v>0</v>
      </c>
      <c r="AB13" s="444">
        <v>0</v>
      </c>
      <c r="AC13" s="452">
        <v>0</v>
      </c>
    </row>
    <row r="14" spans="1:30" ht="15">
      <c r="B14" s="22">
        <f>'Oil supply projection'!$B14</f>
        <v>2023</v>
      </c>
      <c r="C14" s="438">
        <v>0</v>
      </c>
      <c r="D14" s="438">
        <v>0</v>
      </c>
      <c r="E14" s="438">
        <v>0</v>
      </c>
      <c r="F14" s="444">
        <v>0</v>
      </c>
      <c r="G14" s="447">
        <v>0</v>
      </c>
      <c r="H14" s="438">
        <v>0</v>
      </c>
      <c r="I14" s="444">
        <v>0</v>
      </c>
      <c r="J14" s="447">
        <v>0</v>
      </c>
      <c r="K14" s="438">
        <v>0</v>
      </c>
      <c r="L14" s="438">
        <v>0</v>
      </c>
      <c r="M14" s="444">
        <v>0</v>
      </c>
      <c r="N14" s="447">
        <v>0</v>
      </c>
      <c r="O14" s="438">
        <v>0</v>
      </c>
      <c r="P14" s="438">
        <v>0</v>
      </c>
      <c r="Q14" s="438">
        <v>0</v>
      </c>
      <c r="R14" s="438">
        <v>0</v>
      </c>
      <c r="S14" s="438">
        <v>0</v>
      </c>
      <c r="T14" s="438">
        <v>0</v>
      </c>
      <c r="U14" s="438">
        <v>0</v>
      </c>
      <c r="V14" s="438">
        <v>0</v>
      </c>
      <c r="W14" s="438">
        <v>0</v>
      </c>
      <c r="X14" s="438">
        <v>0</v>
      </c>
      <c r="Y14" s="438">
        <v>0</v>
      </c>
      <c r="Z14" s="438">
        <v>0</v>
      </c>
      <c r="AA14" s="438">
        <v>0</v>
      </c>
      <c r="AB14" s="444">
        <v>0</v>
      </c>
      <c r="AC14" s="452">
        <v>0</v>
      </c>
    </row>
    <row r="15" spans="1:30" ht="15">
      <c r="B15" s="22">
        <f>'Oil supply projection'!$B15</f>
        <v>2024</v>
      </c>
      <c r="C15" s="438">
        <v>0</v>
      </c>
      <c r="D15" s="438">
        <v>0</v>
      </c>
      <c r="E15" s="438">
        <v>0</v>
      </c>
      <c r="F15" s="444">
        <v>0</v>
      </c>
      <c r="G15" s="447">
        <v>0</v>
      </c>
      <c r="H15" s="438">
        <v>0</v>
      </c>
      <c r="I15" s="444">
        <v>0</v>
      </c>
      <c r="J15" s="447">
        <v>0</v>
      </c>
      <c r="K15" s="438">
        <v>0</v>
      </c>
      <c r="L15" s="438">
        <v>0</v>
      </c>
      <c r="M15" s="444">
        <v>0</v>
      </c>
      <c r="N15" s="447">
        <v>0</v>
      </c>
      <c r="O15" s="438">
        <v>0</v>
      </c>
      <c r="P15" s="438">
        <v>0</v>
      </c>
      <c r="Q15" s="438">
        <v>0</v>
      </c>
      <c r="R15" s="438">
        <v>0</v>
      </c>
      <c r="S15" s="438">
        <v>0</v>
      </c>
      <c r="T15" s="438">
        <v>0</v>
      </c>
      <c r="U15" s="438">
        <v>0</v>
      </c>
      <c r="V15" s="438">
        <v>0</v>
      </c>
      <c r="W15" s="438">
        <v>0</v>
      </c>
      <c r="X15" s="438">
        <v>0</v>
      </c>
      <c r="Y15" s="438">
        <v>0</v>
      </c>
      <c r="Z15" s="438">
        <v>0</v>
      </c>
      <c r="AA15" s="438">
        <v>0</v>
      </c>
      <c r="AB15" s="444">
        <v>0</v>
      </c>
      <c r="AC15" s="452">
        <v>0</v>
      </c>
      <c r="AD15" s="334"/>
    </row>
    <row r="16" spans="1:30" ht="15">
      <c r="B16" s="22">
        <f>'Oil supply projection'!$B16</f>
        <v>2025</v>
      </c>
      <c r="C16" s="438">
        <v>0</v>
      </c>
      <c r="D16" s="438">
        <v>0</v>
      </c>
      <c r="E16" s="438">
        <v>0</v>
      </c>
      <c r="F16" s="444">
        <v>0</v>
      </c>
      <c r="G16" s="447">
        <v>0</v>
      </c>
      <c r="H16" s="438">
        <v>0</v>
      </c>
      <c r="I16" s="444">
        <v>0</v>
      </c>
      <c r="J16" s="447">
        <v>0</v>
      </c>
      <c r="K16" s="438">
        <v>0</v>
      </c>
      <c r="L16" s="438">
        <v>0</v>
      </c>
      <c r="M16" s="444">
        <v>0</v>
      </c>
      <c r="N16" s="447">
        <v>0</v>
      </c>
      <c r="O16" s="438">
        <v>0</v>
      </c>
      <c r="P16" s="438">
        <v>0</v>
      </c>
      <c r="Q16" s="438">
        <v>0</v>
      </c>
      <c r="R16" s="438">
        <v>0</v>
      </c>
      <c r="S16" s="438">
        <v>0</v>
      </c>
      <c r="T16" s="438">
        <v>0</v>
      </c>
      <c r="U16" s="438">
        <v>0</v>
      </c>
      <c r="V16" s="438">
        <v>0</v>
      </c>
      <c r="W16" s="438">
        <v>0</v>
      </c>
      <c r="X16" s="438">
        <v>0</v>
      </c>
      <c r="Y16" s="438">
        <v>0</v>
      </c>
      <c r="Z16" s="438">
        <v>0</v>
      </c>
      <c r="AA16" s="438">
        <v>0</v>
      </c>
      <c r="AB16" s="444">
        <v>0</v>
      </c>
      <c r="AC16" s="452">
        <v>0</v>
      </c>
      <c r="AD16" s="334"/>
    </row>
    <row r="17" spans="2:30" ht="15">
      <c r="B17" s="22">
        <f>'Oil supply projection'!$B17</f>
        <v>2026</v>
      </c>
      <c r="C17" s="438">
        <v>0</v>
      </c>
      <c r="D17" s="438">
        <v>0</v>
      </c>
      <c r="E17" s="438">
        <v>0</v>
      </c>
      <c r="F17" s="444">
        <v>0</v>
      </c>
      <c r="G17" s="447">
        <v>0</v>
      </c>
      <c r="H17" s="438">
        <v>0</v>
      </c>
      <c r="I17" s="444">
        <v>0</v>
      </c>
      <c r="J17" s="447">
        <v>0</v>
      </c>
      <c r="K17" s="438">
        <v>0</v>
      </c>
      <c r="L17" s="438">
        <v>0</v>
      </c>
      <c r="M17" s="444">
        <v>0</v>
      </c>
      <c r="N17" s="447">
        <v>0</v>
      </c>
      <c r="O17" s="438">
        <v>0</v>
      </c>
      <c r="P17" s="438">
        <v>0</v>
      </c>
      <c r="Q17" s="438">
        <v>0</v>
      </c>
      <c r="R17" s="438">
        <v>0</v>
      </c>
      <c r="S17" s="438">
        <v>0</v>
      </c>
      <c r="T17" s="438">
        <v>0</v>
      </c>
      <c r="U17" s="438">
        <v>0</v>
      </c>
      <c r="V17" s="438">
        <v>0</v>
      </c>
      <c r="W17" s="438">
        <v>0</v>
      </c>
      <c r="X17" s="438">
        <v>0</v>
      </c>
      <c r="Y17" s="438">
        <v>0</v>
      </c>
      <c r="Z17" s="438">
        <v>0</v>
      </c>
      <c r="AA17" s="438">
        <v>0</v>
      </c>
      <c r="AB17" s="444">
        <v>0</v>
      </c>
      <c r="AC17" s="452">
        <v>0</v>
      </c>
      <c r="AD17" s="334"/>
    </row>
    <row r="18" spans="2:30" ht="15">
      <c r="B18" s="22">
        <f>'Oil supply projection'!$B18</f>
        <v>2027</v>
      </c>
      <c r="C18" s="438">
        <v>0</v>
      </c>
      <c r="D18" s="438">
        <v>0</v>
      </c>
      <c r="E18" s="438">
        <v>0</v>
      </c>
      <c r="F18" s="444">
        <v>0</v>
      </c>
      <c r="G18" s="447">
        <v>0</v>
      </c>
      <c r="H18" s="438">
        <v>0</v>
      </c>
      <c r="I18" s="444">
        <v>0</v>
      </c>
      <c r="J18" s="447">
        <v>0</v>
      </c>
      <c r="K18" s="438">
        <v>0</v>
      </c>
      <c r="L18" s="438">
        <v>0</v>
      </c>
      <c r="M18" s="444">
        <v>0</v>
      </c>
      <c r="N18" s="447">
        <v>0</v>
      </c>
      <c r="O18" s="438">
        <v>0</v>
      </c>
      <c r="P18" s="438">
        <v>0</v>
      </c>
      <c r="Q18" s="438">
        <v>0</v>
      </c>
      <c r="R18" s="438">
        <v>0</v>
      </c>
      <c r="S18" s="438">
        <v>0</v>
      </c>
      <c r="T18" s="438">
        <v>0</v>
      </c>
      <c r="U18" s="438">
        <v>0</v>
      </c>
      <c r="V18" s="438">
        <v>0</v>
      </c>
      <c r="W18" s="438">
        <v>0</v>
      </c>
      <c r="X18" s="438">
        <v>0</v>
      </c>
      <c r="Y18" s="438">
        <v>0</v>
      </c>
      <c r="Z18" s="438">
        <v>0</v>
      </c>
      <c r="AA18" s="438">
        <v>0</v>
      </c>
      <c r="AB18" s="444">
        <v>0</v>
      </c>
      <c r="AC18" s="452">
        <v>0</v>
      </c>
      <c r="AD18" s="334"/>
    </row>
    <row r="19" spans="2:30" ht="15">
      <c r="B19" s="22">
        <f>'Oil supply projection'!$B19</f>
        <v>2028</v>
      </c>
      <c r="C19" s="438">
        <v>0</v>
      </c>
      <c r="D19" s="438">
        <v>0</v>
      </c>
      <c r="E19" s="438">
        <v>0</v>
      </c>
      <c r="F19" s="444">
        <v>0</v>
      </c>
      <c r="G19" s="447">
        <v>0</v>
      </c>
      <c r="H19" s="438">
        <v>0</v>
      </c>
      <c r="I19" s="444">
        <v>0</v>
      </c>
      <c r="J19" s="447">
        <v>0</v>
      </c>
      <c r="K19" s="438">
        <v>0</v>
      </c>
      <c r="L19" s="438">
        <v>0</v>
      </c>
      <c r="M19" s="444">
        <v>0</v>
      </c>
      <c r="N19" s="447">
        <v>0</v>
      </c>
      <c r="O19" s="438">
        <v>0</v>
      </c>
      <c r="P19" s="438">
        <v>0</v>
      </c>
      <c r="Q19" s="438">
        <v>0</v>
      </c>
      <c r="R19" s="438">
        <v>0</v>
      </c>
      <c r="S19" s="438">
        <v>0</v>
      </c>
      <c r="T19" s="438">
        <v>0</v>
      </c>
      <c r="U19" s="438">
        <v>0</v>
      </c>
      <c r="V19" s="438">
        <v>0</v>
      </c>
      <c r="W19" s="438">
        <v>0</v>
      </c>
      <c r="X19" s="438">
        <v>0</v>
      </c>
      <c r="Y19" s="438">
        <v>0</v>
      </c>
      <c r="Z19" s="438">
        <v>0</v>
      </c>
      <c r="AA19" s="438">
        <v>0</v>
      </c>
      <c r="AB19" s="444">
        <v>0</v>
      </c>
      <c r="AC19" s="452">
        <v>0</v>
      </c>
      <c r="AD19" s="334"/>
    </row>
    <row r="20" spans="2:30" ht="15">
      <c r="B20" s="22">
        <f>'Oil supply projection'!$B20</f>
        <v>2029</v>
      </c>
      <c r="C20" s="438">
        <v>0</v>
      </c>
      <c r="D20" s="438">
        <v>0</v>
      </c>
      <c r="E20" s="438">
        <v>0</v>
      </c>
      <c r="F20" s="444">
        <v>0</v>
      </c>
      <c r="G20" s="447">
        <v>0</v>
      </c>
      <c r="H20" s="438">
        <v>0</v>
      </c>
      <c r="I20" s="444">
        <v>0</v>
      </c>
      <c r="J20" s="447">
        <v>0</v>
      </c>
      <c r="K20" s="438">
        <v>0</v>
      </c>
      <c r="L20" s="438">
        <v>0</v>
      </c>
      <c r="M20" s="444">
        <v>0</v>
      </c>
      <c r="N20" s="447">
        <v>0</v>
      </c>
      <c r="O20" s="438">
        <v>0</v>
      </c>
      <c r="P20" s="438">
        <v>0</v>
      </c>
      <c r="Q20" s="438">
        <v>0</v>
      </c>
      <c r="R20" s="438">
        <v>0</v>
      </c>
      <c r="S20" s="438">
        <v>0</v>
      </c>
      <c r="T20" s="438">
        <v>0</v>
      </c>
      <c r="U20" s="438">
        <v>0</v>
      </c>
      <c r="V20" s="438">
        <v>0</v>
      </c>
      <c r="W20" s="438">
        <v>0</v>
      </c>
      <c r="X20" s="438">
        <v>0</v>
      </c>
      <c r="Y20" s="438">
        <v>0</v>
      </c>
      <c r="Z20" s="438">
        <v>0</v>
      </c>
      <c r="AA20" s="438">
        <v>0</v>
      </c>
      <c r="AB20" s="444">
        <v>0</v>
      </c>
      <c r="AC20" s="452">
        <v>0</v>
      </c>
      <c r="AD20" s="334"/>
    </row>
    <row r="21" spans="2:30" ht="15">
      <c r="B21" s="22">
        <f>'Oil supply projection'!$B21</f>
        <v>2030</v>
      </c>
      <c r="C21" s="438">
        <v>0</v>
      </c>
      <c r="D21" s="438">
        <v>0</v>
      </c>
      <c r="E21" s="438">
        <v>0</v>
      </c>
      <c r="F21" s="444">
        <v>0</v>
      </c>
      <c r="G21" s="447">
        <v>0</v>
      </c>
      <c r="H21" s="438">
        <v>0</v>
      </c>
      <c r="I21" s="444">
        <v>0</v>
      </c>
      <c r="J21" s="447">
        <v>0</v>
      </c>
      <c r="K21" s="438">
        <v>0</v>
      </c>
      <c r="L21" s="438">
        <v>0</v>
      </c>
      <c r="M21" s="444">
        <v>0</v>
      </c>
      <c r="N21" s="447">
        <v>2E-3</v>
      </c>
      <c r="O21" s="438">
        <v>0</v>
      </c>
      <c r="P21" s="438">
        <v>0</v>
      </c>
      <c r="Q21" s="438">
        <v>0</v>
      </c>
      <c r="R21" s="438">
        <v>0</v>
      </c>
      <c r="S21" s="438">
        <v>0</v>
      </c>
      <c r="T21" s="438">
        <v>0</v>
      </c>
      <c r="U21" s="438">
        <v>0</v>
      </c>
      <c r="V21" s="438">
        <v>0</v>
      </c>
      <c r="W21" s="438">
        <v>0</v>
      </c>
      <c r="X21" s="438">
        <v>0</v>
      </c>
      <c r="Y21" s="438">
        <v>0</v>
      </c>
      <c r="Z21" s="438">
        <v>0</v>
      </c>
      <c r="AA21" s="438">
        <v>0</v>
      </c>
      <c r="AB21" s="444">
        <v>0</v>
      </c>
      <c r="AC21" s="452">
        <v>2E-3</v>
      </c>
      <c r="AD21" s="334"/>
    </row>
    <row r="22" spans="2:30" ht="15">
      <c r="B22" s="22">
        <f>'Oil supply projection'!$B22</f>
        <v>2031</v>
      </c>
      <c r="C22" s="438">
        <v>0</v>
      </c>
      <c r="D22" s="438">
        <v>0</v>
      </c>
      <c r="E22" s="438">
        <v>0</v>
      </c>
      <c r="F22" s="444">
        <v>0</v>
      </c>
      <c r="G22" s="447">
        <v>0</v>
      </c>
      <c r="H22" s="438">
        <v>0</v>
      </c>
      <c r="I22" s="444">
        <v>0</v>
      </c>
      <c r="J22" s="447">
        <v>0</v>
      </c>
      <c r="K22" s="438">
        <v>0</v>
      </c>
      <c r="L22" s="438">
        <v>0</v>
      </c>
      <c r="M22" s="444">
        <v>0</v>
      </c>
      <c r="N22" s="447">
        <v>2E-3</v>
      </c>
      <c r="O22" s="438">
        <v>0</v>
      </c>
      <c r="P22" s="438">
        <v>0</v>
      </c>
      <c r="Q22" s="438">
        <v>0</v>
      </c>
      <c r="R22" s="438">
        <v>0</v>
      </c>
      <c r="S22" s="438">
        <v>0</v>
      </c>
      <c r="T22" s="438">
        <v>0</v>
      </c>
      <c r="U22" s="438">
        <v>0</v>
      </c>
      <c r="V22" s="438">
        <v>0</v>
      </c>
      <c r="W22" s="438">
        <v>0</v>
      </c>
      <c r="X22" s="438">
        <v>0</v>
      </c>
      <c r="Y22" s="438">
        <v>0</v>
      </c>
      <c r="Z22" s="438">
        <v>0</v>
      </c>
      <c r="AA22" s="438">
        <v>0</v>
      </c>
      <c r="AB22" s="444">
        <v>0</v>
      </c>
      <c r="AC22" s="452">
        <v>2E-3</v>
      </c>
      <c r="AD22" s="334"/>
    </row>
    <row r="23" spans="2:30" ht="15">
      <c r="B23" s="22">
        <f>'Oil supply projection'!$B23</f>
        <v>2032</v>
      </c>
      <c r="C23" s="438">
        <v>0</v>
      </c>
      <c r="D23" s="438">
        <v>0</v>
      </c>
      <c r="E23" s="438">
        <v>0</v>
      </c>
      <c r="F23" s="444">
        <v>0</v>
      </c>
      <c r="G23" s="447">
        <v>0</v>
      </c>
      <c r="H23" s="438">
        <v>2E-3</v>
      </c>
      <c r="I23" s="444">
        <v>0</v>
      </c>
      <c r="J23" s="447">
        <v>0</v>
      </c>
      <c r="K23" s="438">
        <v>0</v>
      </c>
      <c r="L23" s="438">
        <v>0</v>
      </c>
      <c r="M23" s="444">
        <v>0</v>
      </c>
      <c r="N23" s="447">
        <v>2E-3</v>
      </c>
      <c r="O23" s="438">
        <v>2E-3</v>
      </c>
      <c r="P23" s="438">
        <v>0</v>
      </c>
      <c r="Q23" s="438">
        <v>0</v>
      </c>
      <c r="R23" s="438">
        <v>0</v>
      </c>
      <c r="S23" s="438">
        <v>0</v>
      </c>
      <c r="T23" s="438">
        <v>0</v>
      </c>
      <c r="U23" s="438">
        <v>0</v>
      </c>
      <c r="V23" s="438">
        <v>0</v>
      </c>
      <c r="W23" s="438">
        <v>0</v>
      </c>
      <c r="X23" s="438">
        <v>0</v>
      </c>
      <c r="Y23" s="438">
        <v>0</v>
      </c>
      <c r="Z23" s="438">
        <v>0</v>
      </c>
      <c r="AA23" s="438">
        <v>0</v>
      </c>
      <c r="AB23" s="444">
        <v>0</v>
      </c>
      <c r="AC23" s="452">
        <v>6.0000000000000001E-3</v>
      </c>
      <c r="AD23" s="334"/>
    </row>
    <row r="24" spans="2:30" ht="15">
      <c r="B24" s="22">
        <f>'Oil supply projection'!$B24</f>
        <v>2033</v>
      </c>
      <c r="C24" s="438">
        <v>0</v>
      </c>
      <c r="D24" s="438">
        <v>0</v>
      </c>
      <c r="E24" s="438">
        <v>0</v>
      </c>
      <c r="F24" s="444">
        <v>0</v>
      </c>
      <c r="G24" s="447">
        <v>0</v>
      </c>
      <c r="H24" s="438">
        <v>2E-3</v>
      </c>
      <c r="I24" s="444">
        <v>0</v>
      </c>
      <c r="J24" s="447">
        <v>0</v>
      </c>
      <c r="K24" s="438">
        <v>0</v>
      </c>
      <c r="L24" s="438">
        <v>0</v>
      </c>
      <c r="M24" s="444">
        <v>0</v>
      </c>
      <c r="N24" s="447">
        <v>2E-3</v>
      </c>
      <c r="O24" s="438">
        <v>2E-3</v>
      </c>
      <c r="P24" s="438">
        <v>0</v>
      </c>
      <c r="Q24" s="438">
        <v>0</v>
      </c>
      <c r="R24" s="438">
        <v>0</v>
      </c>
      <c r="S24" s="438">
        <v>0</v>
      </c>
      <c r="T24" s="438">
        <v>0</v>
      </c>
      <c r="U24" s="438">
        <v>0</v>
      </c>
      <c r="V24" s="438">
        <v>0</v>
      </c>
      <c r="W24" s="438">
        <v>0</v>
      </c>
      <c r="X24" s="438">
        <v>0</v>
      </c>
      <c r="Y24" s="438">
        <v>0</v>
      </c>
      <c r="Z24" s="438">
        <v>0</v>
      </c>
      <c r="AA24" s="438">
        <v>0</v>
      </c>
      <c r="AB24" s="444">
        <v>0</v>
      </c>
      <c r="AC24" s="452">
        <v>6.0000000000000001E-3</v>
      </c>
      <c r="AD24" s="334"/>
    </row>
    <row r="25" spans="2:30" ht="15">
      <c r="B25" s="22">
        <f>'Oil supply projection'!$B25</f>
        <v>2034</v>
      </c>
      <c r="C25" s="438">
        <v>0</v>
      </c>
      <c r="D25" s="438">
        <v>0</v>
      </c>
      <c r="E25" s="438">
        <v>0</v>
      </c>
      <c r="F25" s="444">
        <v>0</v>
      </c>
      <c r="G25" s="447">
        <v>0</v>
      </c>
      <c r="H25" s="438">
        <v>2E-3</v>
      </c>
      <c r="I25" s="444">
        <v>0</v>
      </c>
      <c r="J25" s="447">
        <v>0</v>
      </c>
      <c r="K25" s="438">
        <v>0</v>
      </c>
      <c r="L25" s="438">
        <v>0</v>
      </c>
      <c r="M25" s="444">
        <v>0</v>
      </c>
      <c r="N25" s="447">
        <v>2E-3</v>
      </c>
      <c r="O25" s="438">
        <v>2E-3</v>
      </c>
      <c r="P25" s="438">
        <v>0</v>
      </c>
      <c r="Q25" s="438">
        <v>0</v>
      </c>
      <c r="R25" s="438">
        <v>0</v>
      </c>
      <c r="S25" s="438">
        <v>0</v>
      </c>
      <c r="T25" s="438">
        <v>0</v>
      </c>
      <c r="U25" s="438">
        <v>0</v>
      </c>
      <c r="V25" s="438">
        <v>0</v>
      </c>
      <c r="W25" s="438">
        <v>0</v>
      </c>
      <c r="X25" s="438">
        <v>0</v>
      </c>
      <c r="Y25" s="438">
        <v>0</v>
      </c>
      <c r="Z25" s="438">
        <v>0</v>
      </c>
      <c r="AA25" s="438">
        <v>0</v>
      </c>
      <c r="AB25" s="444">
        <v>0</v>
      </c>
      <c r="AC25" s="452">
        <v>6.0000000000000001E-3</v>
      </c>
      <c r="AD25" s="334"/>
    </row>
    <row r="26" spans="2:30" ht="15">
      <c r="B26" s="22">
        <f>'Oil supply projection'!$B26</f>
        <v>2035</v>
      </c>
      <c r="C26" s="438">
        <v>0</v>
      </c>
      <c r="D26" s="438">
        <v>0</v>
      </c>
      <c r="E26" s="438">
        <v>0</v>
      </c>
      <c r="F26" s="444">
        <v>0</v>
      </c>
      <c r="G26" s="447">
        <v>0</v>
      </c>
      <c r="H26" s="438">
        <v>2E-3</v>
      </c>
      <c r="I26" s="444">
        <v>0</v>
      </c>
      <c r="J26" s="447">
        <v>0</v>
      </c>
      <c r="K26" s="438">
        <v>0</v>
      </c>
      <c r="L26" s="438">
        <v>0</v>
      </c>
      <c r="M26" s="444">
        <v>0</v>
      </c>
      <c r="N26" s="447">
        <v>2E-3</v>
      </c>
      <c r="O26" s="438">
        <v>2E-3</v>
      </c>
      <c r="P26" s="438">
        <v>0</v>
      </c>
      <c r="Q26" s="438">
        <v>0</v>
      </c>
      <c r="R26" s="438">
        <v>0</v>
      </c>
      <c r="S26" s="438">
        <v>0</v>
      </c>
      <c r="T26" s="438">
        <v>0</v>
      </c>
      <c r="U26" s="438">
        <v>0</v>
      </c>
      <c r="V26" s="438">
        <v>0</v>
      </c>
      <c r="W26" s="438">
        <v>0</v>
      </c>
      <c r="X26" s="438">
        <v>0</v>
      </c>
      <c r="Y26" s="438">
        <v>0</v>
      </c>
      <c r="Z26" s="438">
        <v>0</v>
      </c>
      <c r="AA26" s="438">
        <v>0</v>
      </c>
      <c r="AB26" s="444">
        <v>0</v>
      </c>
      <c r="AC26" s="452">
        <v>6.0000000000000001E-3</v>
      </c>
      <c r="AD26" s="334"/>
    </row>
    <row r="27" spans="2:30" ht="15">
      <c r="B27" s="22">
        <f>'Oil supply projection'!$B27</f>
        <v>2036</v>
      </c>
      <c r="C27" s="438">
        <v>0</v>
      </c>
      <c r="D27" s="438">
        <v>0</v>
      </c>
      <c r="E27" s="438">
        <v>0</v>
      </c>
      <c r="F27" s="444">
        <v>0</v>
      </c>
      <c r="G27" s="447">
        <v>0</v>
      </c>
      <c r="H27" s="438">
        <v>2E-3</v>
      </c>
      <c r="I27" s="444">
        <v>0</v>
      </c>
      <c r="J27" s="447">
        <v>0</v>
      </c>
      <c r="K27" s="438">
        <v>0</v>
      </c>
      <c r="L27" s="438">
        <v>0</v>
      </c>
      <c r="M27" s="444">
        <v>0</v>
      </c>
      <c r="N27" s="447">
        <v>2E-3</v>
      </c>
      <c r="O27" s="438">
        <v>2E-3</v>
      </c>
      <c r="P27" s="438">
        <v>0</v>
      </c>
      <c r="Q27" s="438">
        <v>0</v>
      </c>
      <c r="R27" s="438">
        <v>0</v>
      </c>
      <c r="S27" s="438">
        <v>0</v>
      </c>
      <c r="T27" s="438">
        <v>0</v>
      </c>
      <c r="U27" s="438">
        <v>0</v>
      </c>
      <c r="V27" s="438">
        <v>0</v>
      </c>
      <c r="W27" s="438">
        <v>0</v>
      </c>
      <c r="X27" s="438">
        <v>0</v>
      </c>
      <c r="Y27" s="438">
        <v>0</v>
      </c>
      <c r="Z27" s="438">
        <v>0</v>
      </c>
      <c r="AA27" s="438">
        <v>0</v>
      </c>
      <c r="AB27" s="444">
        <v>0</v>
      </c>
      <c r="AC27" s="452">
        <v>6.0000000000000001E-3</v>
      </c>
      <c r="AD27" s="334"/>
    </row>
    <row r="28" spans="2:30" ht="15">
      <c r="B28" s="22">
        <f>'Oil supply projection'!$B28</f>
        <v>2037</v>
      </c>
      <c r="C28" s="438">
        <v>0</v>
      </c>
      <c r="D28" s="438">
        <v>0</v>
      </c>
      <c r="E28" s="438">
        <v>0</v>
      </c>
      <c r="F28" s="444">
        <v>0</v>
      </c>
      <c r="G28" s="447">
        <v>0</v>
      </c>
      <c r="H28" s="438">
        <v>2E-3</v>
      </c>
      <c r="I28" s="444">
        <v>0</v>
      </c>
      <c r="J28" s="447">
        <v>0</v>
      </c>
      <c r="K28" s="438">
        <v>0</v>
      </c>
      <c r="L28" s="438">
        <v>0</v>
      </c>
      <c r="M28" s="444">
        <v>0</v>
      </c>
      <c r="N28" s="447">
        <v>2E-3</v>
      </c>
      <c r="O28" s="438">
        <v>2E-3</v>
      </c>
      <c r="P28" s="438">
        <v>0</v>
      </c>
      <c r="Q28" s="438">
        <v>0</v>
      </c>
      <c r="R28" s="438">
        <v>0</v>
      </c>
      <c r="S28" s="438">
        <v>0</v>
      </c>
      <c r="T28" s="438">
        <v>0</v>
      </c>
      <c r="U28" s="438">
        <v>0</v>
      </c>
      <c r="V28" s="438">
        <v>0</v>
      </c>
      <c r="W28" s="438">
        <v>0</v>
      </c>
      <c r="X28" s="438">
        <v>0</v>
      </c>
      <c r="Y28" s="438">
        <v>0</v>
      </c>
      <c r="Z28" s="438">
        <v>0</v>
      </c>
      <c r="AA28" s="438">
        <v>0</v>
      </c>
      <c r="AB28" s="444">
        <v>0</v>
      </c>
      <c r="AC28" s="452">
        <v>6.0000000000000001E-3</v>
      </c>
      <c r="AD28" s="334"/>
    </row>
    <row r="29" spans="2:30" ht="15">
      <c r="B29" s="22">
        <f>'Oil supply projection'!$B29</f>
        <v>2038</v>
      </c>
      <c r="C29" s="438">
        <v>0</v>
      </c>
      <c r="D29" s="438">
        <v>0</v>
      </c>
      <c r="E29" s="438">
        <v>0</v>
      </c>
      <c r="F29" s="444">
        <v>0</v>
      </c>
      <c r="G29" s="447">
        <v>0</v>
      </c>
      <c r="H29" s="438">
        <v>2E-3</v>
      </c>
      <c r="I29" s="444">
        <v>0</v>
      </c>
      <c r="J29" s="447">
        <v>0</v>
      </c>
      <c r="K29" s="438">
        <v>0</v>
      </c>
      <c r="L29" s="438">
        <v>0</v>
      </c>
      <c r="M29" s="444">
        <v>0</v>
      </c>
      <c r="N29" s="447">
        <v>2E-3</v>
      </c>
      <c r="O29" s="438">
        <v>2E-3</v>
      </c>
      <c r="P29" s="438">
        <v>0</v>
      </c>
      <c r="Q29" s="438">
        <v>0</v>
      </c>
      <c r="R29" s="438">
        <v>0</v>
      </c>
      <c r="S29" s="438">
        <v>0</v>
      </c>
      <c r="T29" s="438">
        <v>0</v>
      </c>
      <c r="U29" s="438">
        <v>0</v>
      </c>
      <c r="V29" s="438">
        <v>0</v>
      </c>
      <c r="W29" s="438">
        <v>0</v>
      </c>
      <c r="X29" s="438">
        <v>0</v>
      </c>
      <c r="Y29" s="438">
        <v>0</v>
      </c>
      <c r="Z29" s="438">
        <v>0</v>
      </c>
      <c r="AA29" s="438">
        <v>0</v>
      </c>
      <c r="AB29" s="444">
        <v>0</v>
      </c>
      <c r="AC29" s="452">
        <v>6.0000000000000001E-3</v>
      </c>
      <c r="AD29" s="334"/>
    </row>
    <row r="30" spans="2:30" ht="15">
      <c r="B30" s="22">
        <f>'Oil supply projection'!$B30</f>
        <v>2039</v>
      </c>
      <c r="C30" s="438">
        <v>0</v>
      </c>
      <c r="D30" s="438">
        <v>0</v>
      </c>
      <c r="E30" s="438">
        <v>0</v>
      </c>
      <c r="F30" s="444">
        <v>0</v>
      </c>
      <c r="G30" s="447">
        <v>0</v>
      </c>
      <c r="H30" s="438">
        <v>2E-3</v>
      </c>
      <c r="I30" s="444">
        <v>0</v>
      </c>
      <c r="J30" s="447">
        <v>0</v>
      </c>
      <c r="K30" s="438">
        <v>0</v>
      </c>
      <c r="L30" s="438">
        <v>0</v>
      </c>
      <c r="M30" s="444">
        <v>0</v>
      </c>
      <c r="N30" s="447">
        <v>2E-3</v>
      </c>
      <c r="O30" s="438">
        <v>2E-3</v>
      </c>
      <c r="P30" s="438">
        <v>0</v>
      </c>
      <c r="Q30" s="438">
        <v>0</v>
      </c>
      <c r="R30" s="438">
        <v>0</v>
      </c>
      <c r="S30" s="438">
        <v>0</v>
      </c>
      <c r="T30" s="438">
        <v>0</v>
      </c>
      <c r="U30" s="438">
        <v>0</v>
      </c>
      <c r="V30" s="438">
        <v>0</v>
      </c>
      <c r="W30" s="438">
        <v>0</v>
      </c>
      <c r="X30" s="438">
        <v>0</v>
      </c>
      <c r="Y30" s="438">
        <v>0</v>
      </c>
      <c r="Z30" s="438">
        <v>0</v>
      </c>
      <c r="AA30" s="438">
        <v>0</v>
      </c>
      <c r="AB30" s="444">
        <v>0</v>
      </c>
      <c r="AC30" s="452">
        <v>6.0000000000000001E-3</v>
      </c>
      <c r="AD30" s="334"/>
    </row>
    <row r="31" spans="2:30" ht="15">
      <c r="B31" s="22">
        <f>'Oil supply projection'!$B31</f>
        <v>2040</v>
      </c>
      <c r="C31" s="438">
        <v>0</v>
      </c>
      <c r="D31" s="438">
        <v>0</v>
      </c>
      <c r="E31" s="438">
        <v>0</v>
      </c>
      <c r="F31" s="444">
        <v>0</v>
      </c>
      <c r="G31" s="447">
        <v>0</v>
      </c>
      <c r="H31" s="438">
        <v>2E-3</v>
      </c>
      <c r="I31" s="444">
        <v>0</v>
      </c>
      <c r="J31" s="447">
        <v>0</v>
      </c>
      <c r="K31" s="438">
        <v>0</v>
      </c>
      <c r="L31" s="438">
        <v>0</v>
      </c>
      <c r="M31" s="444">
        <v>0</v>
      </c>
      <c r="N31" s="447">
        <v>2E-3</v>
      </c>
      <c r="O31" s="438">
        <v>2E-3</v>
      </c>
      <c r="P31" s="438">
        <v>0</v>
      </c>
      <c r="Q31" s="438">
        <v>0</v>
      </c>
      <c r="R31" s="438">
        <v>0</v>
      </c>
      <c r="S31" s="438">
        <v>0</v>
      </c>
      <c r="T31" s="438">
        <v>0</v>
      </c>
      <c r="U31" s="438">
        <v>0</v>
      </c>
      <c r="V31" s="438">
        <v>0</v>
      </c>
      <c r="W31" s="438">
        <v>0</v>
      </c>
      <c r="X31" s="438">
        <v>0</v>
      </c>
      <c r="Y31" s="438">
        <v>0</v>
      </c>
      <c r="Z31" s="438">
        <v>0</v>
      </c>
      <c r="AA31" s="438">
        <v>0</v>
      </c>
      <c r="AB31" s="444">
        <v>0</v>
      </c>
      <c r="AC31" s="452">
        <v>6.0000000000000001E-3</v>
      </c>
      <c r="AD31" s="334"/>
    </row>
    <row r="32" spans="2:30" ht="15">
      <c r="B32" s="22">
        <f>'Oil supply projection'!$B32</f>
        <v>2041</v>
      </c>
      <c r="C32" s="438">
        <v>0</v>
      </c>
      <c r="D32" s="438">
        <v>0</v>
      </c>
      <c r="E32" s="438">
        <v>0</v>
      </c>
      <c r="F32" s="444">
        <v>0</v>
      </c>
      <c r="G32" s="447">
        <v>0</v>
      </c>
      <c r="H32" s="438">
        <v>2E-3</v>
      </c>
      <c r="I32" s="444">
        <v>0</v>
      </c>
      <c r="J32" s="447">
        <v>0</v>
      </c>
      <c r="K32" s="438">
        <v>0</v>
      </c>
      <c r="L32" s="438">
        <v>0</v>
      </c>
      <c r="M32" s="444">
        <v>0</v>
      </c>
      <c r="N32" s="447">
        <v>2E-3</v>
      </c>
      <c r="O32" s="438">
        <v>2E-3</v>
      </c>
      <c r="P32" s="438">
        <v>0</v>
      </c>
      <c r="Q32" s="438">
        <v>0</v>
      </c>
      <c r="R32" s="438">
        <v>0</v>
      </c>
      <c r="S32" s="438">
        <v>0</v>
      </c>
      <c r="T32" s="438">
        <v>0</v>
      </c>
      <c r="U32" s="438">
        <v>0</v>
      </c>
      <c r="V32" s="438">
        <v>0</v>
      </c>
      <c r="W32" s="438">
        <v>0</v>
      </c>
      <c r="X32" s="438">
        <v>0</v>
      </c>
      <c r="Y32" s="438">
        <v>0</v>
      </c>
      <c r="Z32" s="438">
        <v>0</v>
      </c>
      <c r="AA32" s="438">
        <v>0</v>
      </c>
      <c r="AB32" s="444">
        <v>0</v>
      </c>
      <c r="AC32" s="452">
        <v>6.0000000000000001E-3</v>
      </c>
    </row>
    <row r="33" spans="2:29" ht="15">
      <c r="B33" s="22">
        <f>'Oil supply projection'!$B33</f>
        <v>2042</v>
      </c>
      <c r="C33" s="438">
        <v>0</v>
      </c>
      <c r="D33" s="438">
        <v>0</v>
      </c>
      <c r="E33" s="438">
        <v>0</v>
      </c>
      <c r="F33" s="444">
        <v>0</v>
      </c>
      <c r="G33" s="447">
        <v>0</v>
      </c>
      <c r="H33" s="438">
        <v>2E-3</v>
      </c>
      <c r="I33" s="444">
        <v>0</v>
      </c>
      <c r="J33" s="447">
        <v>0</v>
      </c>
      <c r="K33" s="438">
        <v>0</v>
      </c>
      <c r="L33" s="438">
        <v>0</v>
      </c>
      <c r="M33" s="444">
        <v>0</v>
      </c>
      <c r="N33" s="447">
        <v>2E-3</v>
      </c>
      <c r="O33" s="438">
        <v>2E-3</v>
      </c>
      <c r="P33" s="438">
        <v>0</v>
      </c>
      <c r="Q33" s="438">
        <v>0</v>
      </c>
      <c r="R33" s="438">
        <v>0</v>
      </c>
      <c r="S33" s="438">
        <v>0</v>
      </c>
      <c r="T33" s="438">
        <v>0</v>
      </c>
      <c r="U33" s="438">
        <v>0</v>
      </c>
      <c r="V33" s="438">
        <v>0</v>
      </c>
      <c r="W33" s="438">
        <v>0</v>
      </c>
      <c r="X33" s="438">
        <v>0</v>
      </c>
      <c r="Y33" s="438">
        <v>0</v>
      </c>
      <c r="Z33" s="438">
        <v>0</v>
      </c>
      <c r="AA33" s="438">
        <v>0</v>
      </c>
      <c r="AB33" s="444">
        <v>0</v>
      </c>
      <c r="AC33" s="452">
        <v>6.0000000000000001E-3</v>
      </c>
    </row>
    <row r="34" spans="2:29" ht="15">
      <c r="B34" s="22">
        <f>'Oil supply projection'!$B34</f>
        <v>2043</v>
      </c>
      <c r="C34" s="438">
        <v>0</v>
      </c>
      <c r="D34" s="438">
        <v>0</v>
      </c>
      <c r="E34" s="438">
        <v>0</v>
      </c>
      <c r="F34" s="444">
        <v>0</v>
      </c>
      <c r="G34" s="447">
        <v>0</v>
      </c>
      <c r="H34" s="438">
        <v>2E-3</v>
      </c>
      <c r="I34" s="444">
        <v>0</v>
      </c>
      <c r="J34" s="447">
        <v>0</v>
      </c>
      <c r="K34" s="438">
        <v>0</v>
      </c>
      <c r="L34" s="438">
        <v>0</v>
      </c>
      <c r="M34" s="444">
        <v>0</v>
      </c>
      <c r="N34" s="447">
        <v>2E-3</v>
      </c>
      <c r="O34" s="438">
        <v>2E-3</v>
      </c>
      <c r="P34" s="438">
        <v>0</v>
      </c>
      <c r="Q34" s="438">
        <v>0</v>
      </c>
      <c r="R34" s="438">
        <v>0</v>
      </c>
      <c r="S34" s="438">
        <v>0</v>
      </c>
      <c r="T34" s="438">
        <v>0</v>
      </c>
      <c r="U34" s="438">
        <v>0</v>
      </c>
      <c r="V34" s="438">
        <v>0</v>
      </c>
      <c r="W34" s="438">
        <v>0</v>
      </c>
      <c r="X34" s="438">
        <v>0</v>
      </c>
      <c r="Y34" s="438">
        <v>0</v>
      </c>
      <c r="Z34" s="438">
        <v>0</v>
      </c>
      <c r="AA34" s="438">
        <v>0</v>
      </c>
      <c r="AB34" s="444">
        <v>0</v>
      </c>
      <c r="AC34" s="452">
        <v>6.0000000000000001E-3</v>
      </c>
    </row>
    <row r="35" spans="2:29" ht="15">
      <c r="B35" s="22">
        <f>'Oil supply projection'!$B35</f>
        <v>2044</v>
      </c>
      <c r="C35" s="438">
        <v>0</v>
      </c>
      <c r="D35" s="438">
        <v>0</v>
      </c>
      <c r="E35" s="438">
        <v>0</v>
      </c>
      <c r="F35" s="444">
        <v>0</v>
      </c>
      <c r="G35" s="447">
        <v>0</v>
      </c>
      <c r="H35" s="438">
        <v>2E-3</v>
      </c>
      <c r="I35" s="444">
        <v>0</v>
      </c>
      <c r="J35" s="447">
        <v>0</v>
      </c>
      <c r="K35" s="438">
        <v>0</v>
      </c>
      <c r="L35" s="438">
        <v>0</v>
      </c>
      <c r="M35" s="444">
        <v>0</v>
      </c>
      <c r="N35" s="447">
        <v>2E-3</v>
      </c>
      <c r="O35" s="438">
        <v>2E-3</v>
      </c>
      <c r="P35" s="438">
        <v>0</v>
      </c>
      <c r="Q35" s="438">
        <v>0</v>
      </c>
      <c r="R35" s="438">
        <v>0</v>
      </c>
      <c r="S35" s="438">
        <v>0</v>
      </c>
      <c r="T35" s="438">
        <v>0</v>
      </c>
      <c r="U35" s="438">
        <v>0</v>
      </c>
      <c r="V35" s="438">
        <v>0</v>
      </c>
      <c r="W35" s="438">
        <v>0</v>
      </c>
      <c r="X35" s="438">
        <v>0</v>
      </c>
      <c r="Y35" s="438">
        <v>0</v>
      </c>
      <c r="Z35" s="438">
        <v>0</v>
      </c>
      <c r="AA35" s="438">
        <v>0</v>
      </c>
      <c r="AB35" s="444">
        <v>0</v>
      </c>
      <c r="AC35" s="452">
        <v>6.0000000000000001E-3</v>
      </c>
    </row>
    <row r="36" spans="2:29" ht="15">
      <c r="B36" s="22">
        <f>'Oil supply projection'!$B36</f>
        <v>2045</v>
      </c>
      <c r="C36" s="438">
        <v>0</v>
      </c>
      <c r="D36" s="438">
        <v>0</v>
      </c>
      <c r="E36" s="438">
        <v>0</v>
      </c>
      <c r="F36" s="444">
        <v>0</v>
      </c>
      <c r="G36" s="447">
        <v>0</v>
      </c>
      <c r="H36" s="438">
        <v>0</v>
      </c>
      <c r="I36" s="444">
        <v>0</v>
      </c>
      <c r="J36" s="447">
        <v>0</v>
      </c>
      <c r="K36" s="438">
        <v>0</v>
      </c>
      <c r="L36" s="438">
        <v>0</v>
      </c>
      <c r="M36" s="444">
        <v>0</v>
      </c>
      <c r="N36" s="447">
        <v>0</v>
      </c>
      <c r="O36" s="438">
        <v>0</v>
      </c>
      <c r="P36" s="438">
        <v>0</v>
      </c>
      <c r="Q36" s="438">
        <v>0</v>
      </c>
      <c r="R36" s="438">
        <v>0</v>
      </c>
      <c r="S36" s="438">
        <v>0</v>
      </c>
      <c r="T36" s="438">
        <v>0</v>
      </c>
      <c r="U36" s="438">
        <v>0</v>
      </c>
      <c r="V36" s="438">
        <v>0</v>
      </c>
      <c r="W36" s="438">
        <v>0</v>
      </c>
      <c r="X36" s="438">
        <v>0</v>
      </c>
      <c r="Y36" s="438">
        <v>0</v>
      </c>
      <c r="Z36" s="438">
        <v>0</v>
      </c>
      <c r="AA36" s="438">
        <v>0</v>
      </c>
      <c r="AB36" s="444">
        <v>0</v>
      </c>
      <c r="AC36" s="452">
        <v>0</v>
      </c>
    </row>
    <row r="37" spans="2:29" ht="15">
      <c r="B37" s="22">
        <f>'Oil supply projection'!$B37</f>
        <v>2046</v>
      </c>
      <c r="C37" s="438">
        <v>0</v>
      </c>
      <c r="D37" s="438">
        <v>0</v>
      </c>
      <c r="E37" s="438">
        <v>0</v>
      </c>
      <c r="F37" s="444">
        <v>0</v>
      </c>
      <c r="G37" s="447">
        <v>0</v>
      </c>
      <c r="H37" s="438">
        <v>0</v>
      </c>
      <c r="I37" s="444">
        <v>0</v>
      </c>
      <c r="J37" s="447">
        <v>0</v>
      </c>
      <c r="K37" s="438">
        <v>0</v>
      </c>
      <c r="L37" s="438">
        <v>0</v>
      </c>
      <c r="M37" s="444">
        <v>0</v>
      </c>
      <c r="N37" s="447">
        <v>0</v>
      </c>
      <c r="O37" s="438">
        <v>0</v>
      </c>
      <c r="P37" s="438">
        <v>0</v>
      </c>
      <c r="Q37" s="438">
        <v>0</v>
      </c>
      <c r="R37" s="438">
        <v>0</v>
      </c>
      <c r="S37" s="438">
        <v>0</v>
      </c>
      <c r="T37" s="438">
        <v>0</v>
      </c>
      <c r="U37" s="438">
        <v>0</v>
      </c>
      <c r="V37" s="438">
        <v>0</v>
      </c>
      <c r="W37" s="438">
        <v>0</v>
      </c>
      <c r="X37" s="438">
        <v>0</v>
      </c>
      <c r="Y37" s="438">
        <v>0</v>
      </c>
      <c r="Z37" s="438">
        <v>0</v>
      </c>
      <c r="AA37" s="438">
        <v>0</v>
      </c>
      <c r="AB37" s="444">
        <v>0</v>
      </c>
      <c r="AC37" s="452">
        <v>0</v>
      </c>
    </row>
    <row r="38" spans="2:29" ht="15">
      <c r="B38" s="22">
        <f>'Oil supply projection'!$B38</f>
        <v>2047</v>
      </c>
      <c r="C38" s="438">
        <v>0</v>
      </c>
      <c r="D38" s="438">
        <v>0</v>
      </c>
      <c r="E38" s="438">
        <v>0</v>
      </c>
      <c r="F38" s="444">
        <v>0</v>
      </c>
      <c r="G38" s="447">
        <v>0</v>
      </c>
      <c r="H38" s="438">
        <v>0</v>
      </c>
      <c r="I38" s="444">
        <v>0</v>
      </c>
      <c r="J38" s="447">
        <v>0</v>
      </c>
      <c r="K38" s="438">
        <v>0</v>
      </c>
      <c r="L38" s="438">
        <v>0</v>
      </c>
      <c r="M38" s="444">
        <v>0</v>
      </c>
      <c r="N38" s="447">
        <v>0</v>
      </c>
      <c r="O38" s="438">
        <v>0</v>
      </c>
      <c r="P38" s="438">
        <v>0</v>
      </c>
      <c r="Q38" s="438">
        <v>0</v>
      </c>
      <c r="R38" s="438">
        <v>0</v>
      </c>
      <c r="S38" s="438">
        <v>0</v>
      </c>
      <c r="T38" s="438">
        <v>0</v>
      </c>
      <c r="U38" s="438">
        <v>0</v>
      </c>
      <c r="V38" s="438">
        <v>0</v>
      </c>
      <c r="W38" s="438">
        <v>0</v>
      </c>
      <c r="X38" s="438">
        <v>0</v>
      </c>
      <c r="Y38" s="438">
        <v>0</v>
      </c>
      <c r="Z38" s="438">
        <v>0</v>
      </c>
      <c r="AA38" s="438">
        <v>0</v>
      </c>
      <c r="AB38" s="444">
        <v>0</v>
      </c>
      <c r="AC38" s="452">
        <v>0</v>
      </c>
    </row>
    <row r="39" spans="2:29" ht="15">
      <c r="B39" s="22">
        <f>'Oil supply projection'!$B39</f>
        <v>2048</v>
      </c>
      <c r="C39" s="438">
        <v>0</v>
      </c>
      <c r="D39" s="438">
        <v>0</v>
      </c>
      <c r="E39" s="438">
        <v>0</v>
      </c>
      <c r="F39" s="444">
        <v>0</v>
      </c>
      <c r="G39" s="447">
        <v>0</v>
      </c>
      <c r="H39" s="438">
        <v>0</v>
      </c>
      <c r="I39" s="444">
        <v>0</v>
      </c>
      <c r="J39" s="447">
        <v>0</v>
      </c>
      <c r="K39" s="438">
        <v>0</v>
      </c>
      <c r="L39" s="438">
        <v>0</v>
      </c>
      <c r="M39" s="444">
        <v>0</v>
      </c>
      <c r="N39" s="447">
        <v>0</v>
      </c>
      <c r="O39" s="438">
        <v>0</v>
      </c>
      <c r="P39" s="438">
        <v>0</v>
      </c>
      <c r="Q39" s="438">
        <v>0</v>
      </c>
      <c r="R39" s="438">
        <v>0</v>
      </c>
      <c r="S39" s="438">
        <v>0</v>
      </c>
      <c r="T39" s="438">
        <v>0</v>
      </c>
      <c r="U39" s="438">
        <v>0</v>
      </c>
      <c r="V39" s="438">
        <v>0</v>
      </c>
      <c r="W39" s="438">
        <v>0</v>
      </c>
      <c r="X39" s="438">
        <v>0</v>
      </c>
      <c r="Y39" s="438">
        <v>0</v>
      </c>
      <c r="Z39" s="438">
        <v>0</v>
      </c>
      <c r="AA39" s="438">
        <v>0</v>
      </c>
      <c r="AB39" s="444">
        <v>0</v>
      </c>
      <c r="AC39" s="452">
        <v>0</v>
      </c>
    </row>
    <row r="40" spans="2:29" ht="15">
      <c r="B40" s="22">
        <f>'Oil supply projection'!$B40</f>
        <v>2049</v>
      </c>
      <c r="C40" s="438">
        <v>0</v>
      </c>
      <c r="D40" s="438">
        <v>0</v>
      </c>
      <c r="E40" s="438">
        <v>0</v>
      </c>
      <c r="F40" s="444">
        <v>0</v>
      </c>
      <c r="G40" s="447">
        <v>0</v>
      </c>
      <c r="H40" s="438">
        <v>0</v>
      </c>
      <c r="I40" s="444">
        <v>0</v>
      </c>
      <c r="J40" s="447">
        <v>0</v>
      </c>
      <c r="K40" s="438">
        <v>0</v>
      </c>
      <c r="L40" s="438">
        <v>0</v>
      </c>
      <c r="M40" s="444">
        <v>0</v>
      </c>
      <c r="N40" s="447">
        <v>0</v>
      </c>
      <c r="O40" s="438">
        <v>0</v>
      </c>
      <c r="P40" s="438">
        <v>0</v>
      </c>
      <c r="Q40" s="438">
        <v>0</v>
      </c>
      <c r="R40" s="438">
        <v>0</v>
      </c>
      <c r="S40" s="438">
        <v>0</v>
      </c>
      <c r="T40" s="438">
        <v>0</v>
      </c>
      <c r="U40" s="438">
        <v>0</v>
      </c>
      <c r="V40" s="438">
        <v>0</v>
      </c>
      <c r="W40" s="438">
        <v>0</v>
      </c>
      <c r="X40" s="438">
        <v>0</v>
      </c>
      <c r="Y40" s="438">
        <v>0</v>
      </c>
      <c r="Z40" s="438">
        <v>0</v>
      </c>
      <c r="AA40" s="438">
        <v>0</v>
      </c>
      <c r="AB40" s="444">
        <v>0</v>
      </c>
      <c r="AC40" s="452">
        <v>0</v>
      </c>
    </row>
    <row r="41" spans="2:29" ht="15">
      <c r="B41" s="22">
        <f>'Oil supply projection'!$B41</f>
        <v>2050</v>
      </c>
      <c r="C41" s="438">
        <v>0</v>
      </c>
      <c r="D41" s="438">
        <v>0</v>
      </c>
      <c r="E41" s="438">
        <v>0</v>
      </c>
      <c r="F41" s="444">
        <v>0</v>
      </c>
      <c r="G41" s="447">
        <v>0</v>
      </c>
      <c r="H41" s="438">
        <v>0</v>
      </c>
      <c r="I41" s="444">
        <v>0</v>
      </c>
      <c r="J41" s="447">
        <v>0</v>
      </c>
      <c r="K41" s="438">
        <v>0</v>
      </c>
      <c r="L41" s="438">
        <v>0</v>
      </c>
      <c r="M41" s="444">
        <v>0</v>
      </c>
      <c r="N41" s="447">
        <v>0</v>
      </c>
      <c r="O41" s="438">
        <v>0</v>
      </c>
      <c r="P41" s="438">
        <v>0</v>
      </c>
      <c r="Q41" s="438">
        <v>0</v>
      </c>
      <c r="R41" s="438">
        <v>0</v>
      </c>
      <c r="S41" s="438">
        <v>0</v>
      </c>
      <c r="T41" s="438">
        <v>0</v>
      </c>
      <c r="U41" s="438">
        <v>0</v>
      </c>
      <c r="V41" s="438">
        <v>0</v>
      </c>
      <c r="W41" s="438">
        <v>0</v>
      </c>
      <c r="X41" s="438">
        <v>0</v>
      </c>
      <c r="Y41" s="438">
        <v>0</v>
      </c>
      <c r="Z41" s="438">
        <v>0</v>
      </c>
      <c r="AA41" s="438">
        <v>0</v>
      </c>
      <c r="AB41" s="444">
        <v>0</v>
      </c>
      <c r="AC41" s="452">
        <v>0</v>
      </c>
    </row>
    <row r="42" spans="2:29" ht="15">
      <c r="B42" s="22">
        <f>'Oil supply projection'!$B42</f>
        <v>2051</v>
      </c>
      <c r="C42" s="438">
        <v>0</v>
      </c>
      <c r="D42" s="438">
        <v>0</v>
      </c>
      <c r="E42" s="438">
        <v>0</v>
      </c>
      <c r="F42" s="444">
        <v>0</v>
      </c>
      <c r="G42" s="447">
        <v>0</v>
      </c>
      <c r="H42" s="438">
        <v>0</v>
      </c>
      <c r="I42" s="444">
        <v>0</v>
      </c>
      <c r="J42" s="447">
        <v>0</v>
      </c>
      <c r="K42" s="438">
        <v>0</v>
      </c>
      <c r="L42" s="438">
        <v>0</v>
      </c>
      <c r="M42" s="444">
        <v>0</v>
      </c>
      <c r="N42" s="447">
        <v>0</v>
      </c>
      <c r="O42" s="438">
        <v>0</v>
      </c>
      <c r="P42" s="438">
        <v>0</v>
      </c>
      <c r="Q42" s="438">
        <v>0</v>
      </c>
      <c r="R42" s="438">
        <v>0</v>
      </c>
      <c r="S42" s="438">
        <v>0</v>
      </c>
      <c r="T42" s="438">
        <v>0</v>
      </c>
      <c r="U42" s="438">
        <v>0</v>
      </c>
      <c r="V42" s="438">
        <v>0</v>
      </c>
      <c r="W42" s="438">
        <v>0</v>
      </c>
      <c r="X42" s="438">
        <v>0</v>
      </c>
      <c r="Y42" s="438">
        <v>0</v>
      </c>
      <c r="Z42" s="438">
        <v>0</v>
      </c>
      <c r="AA42" s="438">
        <v>0</v>
      </c>
      <c r="AB42" s="444">
        <v>0</v>
      </c>
      <c r="AC42" s="452">
        <v>0</v>
      </c>
    </row>
    <row r="43" spans="2:29" ht="15">
      <c r="B43" s="22">
        <f>'Oil supply projection'!$B43</f>
        <v>2052</v>
      </c>
      <c r="C43" s="438">
        <v>0</v>
      </c>
      <c r="D43" s="438">
        <v>0</v>
      </c>
      <c r="E43" s="438">
        <v>0</v>
      </c>
      <c r="F43" s="444">
        <v>0</v>
      </c>
      <c r="G43" s="447">
        <v>0</v>
      </c>
      <c r="H43" s="438">
        <v>0</v>
      </c>
      <c r="I43" s="444">
        <v>0</v>
      </c>
      <c r="J43" s="447">
        <v>0</v>
      </c>
      <c r="K43" s="438">
        <v>0</v>
      </c>
      <c r="L43" s="438">
        <v>0</v>
      </c>
      <c r="M43" s="444">
        <v>0</v>
      </c>
      <c r="N43" s="447">
        <v>0</v>
      </c>
      <c r="O43" s="438">
        <v>0</v>
      </c>
      <c r="P43" s="438">
        <v>0</v>
      </c>
      <c r="Q43" s="438">
        <v>0</v>
      </c>
      <c r="R43" s="438">
        <v>0</v>
      </c>
      <c r="S43" s="438">
        <v>0</v>
      </c>
      <c r="T43" s="438">
        <v>0</v>
      </c>
      <c r="U43" s="438">
        <v>0</v>
      </c>
      <c r="V43" s="438">
        <v>0</v>
      </c>
      <c r="W43" s="438">
        <v>0</v>
      </c>
      <c r="X43" s="438">
        <v>0</v>
      </c>
      <c r="Y43" s="438">
        <v>0</v>
      </c>
      <c r="Z43" s="438">
        <v>0</v>
      </c>
      <c r="AA43" s="438">
        <v>0</v>
      </c>
      <c r="AB43" s="444">
        <v>0</v>
      </c>
      <c r="AC43" s="452">
        <v>0</v>
      </c>
    </row>
    <row r="44" spans="2:29" ht="15">
      <c r="B44" s="22">
        <f>'Oil supply projection'!$B44</f>
        <v>2053</v>
      </c>
      <c r="C44" s="438">
        <v>0</v>
      </c>
      <c r="D44" s="438">
        <v>0</v>
      </c>
      <c r="E44" s="438">
        <v>0</v>
      </c>
      <c r="F44" s="444">
        <v>0</v>
      </c>
      <c r="G44" s="447">
        <v>0</v>
      </c>
      <c r="H44" s="438">
        <v>0</v>
      </c>
      <c r="I44" s="444">
        <v>0</v>
      </c>
      <c r="J44" s="447">
        <v>0</v>
      </c>
      <c r="K44" s="438">
        <v>0</v>
      </c>
      <c r="L44" s="438">
        <v>0</v>
      </c>
      <c r="M44" s="444">
        <v>0</v>
      </c>
      <c r="N44" s="447">
        <v>0</v>
      </c>
      <c r="O44" s="438">
        <v>0</v>
      </c>
      <c r="P44" s="438">
        <v>0</v>
      </c>
      <c r="Q44" s="438">
        <v>0</v>
      </c>
      <c r="R44" s="438">
        <v>0</v>
      </c>
      <c r="S44" s="438">
        <v>0</v>
      </c>
      <c r="T44" s="438">
        <v>0</v>
      </c>
      <c r="U44" s="438">
        <v>0</v>
      </c>
      <c r="V44" s="438">
        <v>0</v>
      </c>
      <c r="W44" s="438">
        <v>0</v>
      </c>
      <c r="X44" s="438">
        <v>0</v>
      </c>
      <c r="Y44" s="438">
        <v>0</v>
      </c>
      <c r="Z44" s="438">
        <v>0</v>
      </c>
      <c r="AA44" s="438">
        <v>0</v>
      </c>
      <c r="AB44" s="444">
        <v>0</v>
      </c>
      <c r="AC44" s="452">
        <v>0</v>
      </c>
    </row>
    <row r="45" spans="2:29" ht="15">
      <c r="B45" s="22">
        <f>'Oil supply projection'!$B45</f>
        <v>2054</v>
      </c>
      <c r="C45" s="438">
        <v>0</v>
      </c>
      <c r="D45" s="438">
        <v>0</v>
      </c>
      <c r="E45" s="438">
        <v>0</v>
      </c>
      <c r="F45" s="444">
        <v>0</v>
      </c>
      <c r="G45" s="447">
        <v>0</v>
      </c>
      <c r="H45" s="438">
        <v>0</v>
      </c>
      <c r="I45" s="444">
        <v>0</v>
      </c>
      <c r="J45" s="447">
        <v>0</v>
      </c>
      <c r="K45" s="438">
        <v>0</v>
      </c>
      <c r="L45" s="438">
        <v>0</v>
      </c>
      <c r="M45" s="444">
        <v>0</v>
      </c>
      <c r="N45" s="447">
        <v>0</v>
      </c>
      <c r="O45" s="438">
        <v>0</v>
      </c>
      <c r="P45" s="438">
        <v>0</v>
      </c>
      <c r="Q45" s="438">
        <v>0</v>
      </c>
      <c r="R45" s="438">
        <v>0</v>
      </c>
      <c r="S45" s="438">
        <v>0</v>
      </c>
      <c r="T45" s="438">
        <v>0</v>
      </c>
      <c r="U45" s="438">
        <v>0</v>
      </c>
      <c r="V45" s="438">
        <v>0</v>
      </c>
      <c r="W45" s="438">
        <v>0</v>
      </c>
      <c r="X45" s="438">
        <v>0</v>
      </c>
      <c r="Y45" s="438">
        <v>0</v>
      </c>
      <c r="Z45" s="438">
        <v>0</v>
      </c>
      <c r="AA45" s="438">
        <v>0</v>
      </c>
      <c r="AB45" s="444">
        <v>0</v>
      </c>
      <c r="AC45" s="452">
        <v>0</v>
      </c>
    </row>
    <row r="46" spans="2:29" ht="15">
      <c r="B46" s="22">
        <f>'Oil supply projection'!$B46</f>
        <v>2055</v>
      </c>
      <c r="C46" s="438">
        <v>0</v>
      </c>
      <c r="D46" s="438">
        <v>0</v>
      </c>
      <c r="E46" s="438">
        <v>0</v>
      </c>
      <c r="F46" s="444">
        <v>0</v>
      </c>
      <c r="G46" s="447">
        <v>0</v>
      </c>
      <c r="H46" s="438">
        <v>0</v>
      </c>
      <c r="I46" s="444">
        <v>0</v>
      </c>
      <c r="J46" s="447">
        <v>0</v>
      </c>
      <c r="K46" s="438">
        <v>0</v>
      </c>
      <c r="L46" s="438">
        <v>0</v>
      </c>
      <c r="M46" s="444">
        <v>0</v>
      </c>
      <c r="N46" s="447">
        <v>0</v>
      </c>
      <c r="O46" s="438">
        <v>0</v>
      </c>
      <c r="P46" s="438">
        <v>0</v>
      </c>
      <c r="Q46" s="438">
        <v>0</v>
      </c>
      <c r="R46" s="438">
        <v>0</v>
      </c>
      <c r="S46" s="438">
        <v>0</v>
      </c>
      <c r="T46" s="438">
        <v>0</v>
      </c>
      <c r="U46" s="438">
        <v>0</v>
      </c>
      <c r="V46" s="438">
        <v>0</v>
      </c>
      <c r="W46" s="438">
        <v>0</v>
      </c>
      <c r="X46" s="438">
        <v>0</v>
      </c>
      <c r="Y46" s="438">
        <v>0</v>
      </c>
      <c r="Z46" s="438">
        <v>0</v>
      </c>
      <c r="AA46" s="438">
        <v>0</v>
      </c>
      <c r="AB46" s="444">
        <v>0</v>
      </c>
      <c r="AC46" s="452">
        <v>0</v>
      </c>
    </row>
    <row r="47" spans="2:29" ht="15">
      <c r="B47" s="22">
        <f>'Oil supply projection'!$B47</f>
        <v>2056</v>
      </c>
      <c r="C47" s="438">
        <v>0</v>
      </c>
      <c r="D47" s="438">
        <v>0</v>
      </c>
      <c r="E47" s="438">
        <v>0</v>
      </c>
      <c r="F47" s="444">
        <v>0</v>
      </c>
      <c r="G47" s="447">
        <v>0</v>
      </c>
      <c r="H47" s="438">
        <v>0</v>
      </c>
      <c r="I47" s="444">
        <v>0</v>
      </c>
      <c r="J47" s="447">
        <v>0</v>
      </c>
      <c r="K47" s="438">
        <v>0</v>
      </c>
      <c r="L47" s="438">
        <v>0</v>
      </c>
      <c r="M47" s="444">
        <v>0</v>
      </c>
      <c r="N47" s="447">
        <v>0</v>
      </c>
      <c r="O47" s="438">
        <v>0</v>
      </c>
      <c r="P47" s="438">
        <v>0</v>
      </c>
      <c r="Q47" s="438">
        <v>0</v>
      </c>
      <c r="R47" s="438">
        <v>0</v>
      </c>
      <c r="S47" s="438">
        <v>0</v>
      </c>
      <c r="T47" s="438">
        <v>0</v>
      </c>
      <c r="U47" s="438">
        <v>0</v>
      </c>
      <c r="V47" s="438">
        <v>0</v>
      </c>
      <c r="W47" s="438">
        <v>0</v>
      </c>
      <c r="X47" s="438">
        <v>0</v>
      </c>
      <c r="Y47" s="438">
        <v>0</v>
      </c>
      <c r="Z47" s="438">
        <v>0</v>
      </c>
      <c r="AA47" s="438">
        <v>0</v>
      </c>
      <c r="AB47" s="444">
        <v>0</v>
      </c>
      <c r="AC47" s="452">
        <v>0</v>
      </c>
    </row>
    <row r="48" spans="2:29" ht="15">
      <c r="B48" s="22">
        <f>'Oil supply projection'!$B48</f>
        <v>2057</v>
      </c>
      <c r="C48" s="438">
        <v>0</v>
      </c>
      <c r="D48" s="438">
        <v>0</v>
      </c>
      <c r="E48" s="438">
        <v>0</v>
      </c>
      <c r="F48" s="444">
        <v>0</v>
      </c>
      <c r="G48" s="447">
        <v>0</v>
      </c>
      <c r="H48" s="438">
        <v>0</v>
      </c>
      <c r="I48" s="444">
        <v>0</v>
      </c>
      <c r="J48" s="447">
        <v>0</v>
      </c>
      <c r="K48" s="438">
        <v>0</v>
      </c>
      <c r="L48" s="438">
        <v>0</v>
      </c>
      <c r="M48" s="444">
        <v>0</v>
      </c>
      <c r="N48" s="447">
        <v>0</v>
      </c>
      <c r="O48" s="438">
        <v>0</v>
      </c>
      <c r="P48" s="438">
        <v>0</v>
      </c>
      <c r="Q48" s="438">
        <v>0</v>
      </c>
      <c r="R48" s="438">
        <v>0</v>
      </c>
      <c r="S48" s="438">
        <v>0</v>
      </c>
      <c r="T48" s="438">
        <v>0</v>
      </c>
      <c r="U48" s="438">
        <v>0</v>
      </c>
      <c r="V48" s="438">
        <v>0</v>
      </c>
      <c r="W48" s="438">
        <v>0</v>
      </c>
      <c r="X48" s="438">
        <v>0</v>
      </c>
      <c r="Y48" s="438">
        <v>0</v>
      </c>
      <c r="Z48" s="438">
        <v>0</v>
      </c>
      <c r="AA48" s="438">
        <v>0</v>
      </c>
      <c r="AB48" s="444">
        <v>0</v>
      </c>
      <c r="AC48" s="452">
        <v>0</v>
      </c>
    </row>
    <row r="49" spans="2:29" ht="15">
      <c r="B49" s="22">
        <f>'Oil supply projection'!$B49</f>
        <v>2058</v>
      </c>
      <c r="C49" s="438">
        <v>0</v>
      </c>
      <c r="D49" s="438">
        <v>0</v>
      </c>
      <c r="E49" s="438">
        <v>0</v>
      </c>
      <c r="F49" s="444">
        <v>0</v>
      </c>
      <c r="G49" s="447">
        <v>0</v>
      </c>
      <c r="H49" s="438">
        <v>0</v>
      </c>
      <c r="I49" s="444">
        <v>0</v>
      </c>
      <c r="J49" s="447">
        <v>0</v>
      </c>
      <c r="K49" s="438">
        <v>0</v>
      </c>
      <c r="L49" s="438">
        <v>0</v>
      </c>
      <c r="M49" s="444">
        <v>0</v>
      </c>
      <c r="N49" s="447">
        <v>0</v>
      </c>
      <c r="O49" s="438">
        <v>0</v>
      </c>
      <c r="P49" s="438">
        <v>0</v>
      </c>
      <c r="Q49" s="438">
        <v>0</v>
      </c>
      <c r="R49" s="438">
        <v>0</v>
      </c>
      <c r="S49" s="438">
        <v>0</v>
      </c>
      <c r="T49" s="438">
        <v>0</v>
      </c>
      <c r="U49" s="438">
        <v>0</v>
      </c>
      <c r="V49" s="438">
        <v>0</v>
      </c>
      <c r="W49" s="438">
        <v>0</v>
      </c>
      <c r="X49" s="438">
        <v>0</v>
      </c>
      <c r="Y49" s="438">
        <v>0</v>
      </c>
      <c r="Z49" s="438">
        <v>0</v>
      </c>
      <c r="AA49" s="438">
        <v>0</v>
      </c>
      <c r="AB49" s="444">
        <v>0</v>
      </c>
      <c r="AC49" s="452">
        <v>0</v>
      </c>
    </row>
    <row r="50" spans="2:29" ht="15">
      <c r="B50" s="22">
        <f>'Oil supply projection'!$B50</f>
        <v>2059</v>
      </c>
      <c r="C50" s="438">
        <v>0</v>
      </c>
      <c r="D50" s="438">
        <v>0</v>
      </c>
      <c r="E50" s="438">
        <v>0</v>
      </c>
      <c r="F50" s="444">
        <v>0</v>
      </c>
      <c r="G50" s="447">
        <v>0</v>
      </c>
      <c r="H50" s="438">
        <v>0</v>
      </c>
      <c r="I50" s="444">
        <v>0</v>
      </c>
      <c r="J50" s="447">
        <v>0</v>
      </c>
      <c r="K50" s="438">
        <v>0</v>
      </c>
      <c r="L50" s="438">
        <v>0</v>
      </c>
      <c r="M50" s="444">
        <v>0</v>
      </c>
      <c r="N50" s="447">
        <v>0</v>
      </c>
      <c r="O50" s="438">
        <v>0</v>
      </c>
      <c r="P50" s="438">
        <v>0</v>
      </c>
      <c r="Q50" s="438">
        <v>0</v>
      </c>
      <c r="R50" s="438">
        <v>0</v>
      </c>
      <c r="S50" s="438">
        <v>0</v>
      </c>
      <c r="T50" s="438">
        <v>0</v>
      </c>
      <c r="U50" s="438">
        <v>0</v>
      </c>
      <c r="V50" s="438">
        <v>0</v>
      </c>
      <c r="W50" s="438">
        <v>0</v>
      </c>
      <c r="X50" s="438">
        <v>0</v>
      </c>
      <c r="Y50" s="438">
        <v>0</v>
      </c>
      <c r="Z50" s="438">
        <v>0</v>
      </c>
      <c r="AA50" s="438">
        <v>0</v>
      </c>
      <c r="AB50" s="444">
        <v>0</v>
      </c>
      <c r="AC50" s="452">
        <v>0</v>
      </c>
    </row>
    <row r="51" spans="2:29" ht="15">
      <c r="B51" s="22">
        <f>'Oil supply projection'!$B51</f>
        <v>2060</v>
      </c>
      <c r="C51" s="438">
        <v>0</v>
      </c>
      <c r="D51" s="438">
        <v>0</v>
      </c>
      <c r="E51" s="438">
        <v>0</v>
      </c>
      <c r="F51" s="444">
        <v>0</v>
      </c>
      <c r="G51" s="447">
        <v>0</v>
      </c>
      <c r="H51" s="438">
        <v>0</v>
      </c>
      <c r="I51" s="444">
        <v>0</v>
      </c>
      <c r="J51" s="447">
        <v>0</v>
      </c>
      <c r="K51" s="438">
        <v>0</v>
      </c>
      <c r="L51" s="438">
        <v>0</v>
      </c>
      <c r="M51" s="444">
        <v>0</v>
      </c>
      <c r="N51" s="447">
        <v>0</v>
      </c>
      <c r="O51" s="438">
        <v>0</v>
      </c>
      <c r="P51" s="438">
        <v>0</v>
      </c>
      <c r="Q51" s="438">
        <v>0</v>
      </c>
      <c r="R51" s="438">
        <v>0</v>
      </c>
      <c r="S51" s="438">
        <v>0</v>
      </c>
      <c r="T51" s="438">
        <v>0</v>
      </c>
      <c r="U51" s="438">
        <v>0</v>
      </c>
      <c r="V51" s="438">
        <v>0</v>
      </c>
      <c r="W51" s="438">
        <v>0</v>
      </c>
      <c r="X51" s="438">
        <v>0</v>
      </c>
      <c r="Y51" s="438">
        <v>0</v>
      </c>
      <c r="Z51" s="438">
        <v>0</v>
      </c>
      <c r="AA51" s="438">
        <v>0</v>
      </c>
      <c r="AB51" s="444">
        <v>0</v>
      </c>
      <c r="AC51" s="452">
        <v>0</v>
      </c>
    </row>
    <row r="52" spans="2:29" ht="15">
      <c r="B52" s="22">
        <f>'Oil supply projection'!$B52</f>
        <v>2061</v>
      </c>
      <c r="C52" s="438">
        <v>0</v>
      </c>
      <c r="D52" s="438">
        <v>0</v>
      </c>
      <c r="E52" s="438">
        <v>0</v>
      </c>
      <c r="F52" s="444">
        <v>0</v>
      </c>
      <c r="G52" s="447">
        <v>0</v>
      </c>
      <c r="H52" s="438">
        <v>0</v>
      </c>
      <c r="I52" s="444">
        <v>0</v>
      </c>
      <c r="J52" s="447">
        <v>0</v>
      </c>
      <c r="K52" s="438">
        <v>0</v>
      </c>
      <c r="L52" s="438">
        <v>0</v>
      </c>
      <c r="M52" s="444">
        <v>0</v>
      </c>
      <c r="N52" s="447">
        <v>0</v>
      </c>
      <c r="O52" s="438">
        <v>0</v>
      </c>
      <c r="P52" s="438">
        <v>0</v>
      </c>
      <c r="Q52" s="438">
        <v>0</v>
      </c>
      <c r="R52" s="438">
        <v>0</v>
      </c>
      <c r="S52" s="438">
        <v>0</v>
      </c>
      <c r="T52" s="438">
        <v>0</v>
      </c>
      <c r="U52" s="438">
        <v>0</v>
      </c>
      <c r="V52" s="438">
        <v>0</v>
      </c>
      <c r="W52" s="438">
        <v>0</v>
      </c>
      <c r="X52" s="438">
        <v>0</v>
      </c>
      <c r="Y52" s="438">
        <v>0</v>
      </c>
      <c r="Z52" s="438">
        <v>0</v>
      </c>
      <c r="AA52" s="438">
        <v>0</v>
      </c>
      <c r="AB52" s="444">
        <v>0</v>
      </c>
      <c r="AC52" s="452">
        <v>0</v>
      </c>
    </row>
    <row r="53" spans="2:29" ht="15">
      <c r="B53" s="22">
        <f>'Oil supply projection'!$B53</f>
        <v>2062</v>
      </c>
      <c r="C53" s="438">
        <v>0</v>
      </c>
      <c r="D53" s="438">
        <v>0</v>
      </c>
      <c r="E53" s="438">
        <v>0</v>
      </c>
      <c r="F53" s="444">
        <v>0</v>
      </c>
      <c r="G53" s="447">
        <v>0</v>
      </c>
      <c r="H53" s="438">
        <v>0</v>
      </c>
      <c r="I53" s="444">
        <v>0</v>
      </c>
      <c r="J53" s="447">
        <v>0</v>
      </c>
      <c r="K53" s="438">
        <v>0</v>
      </c>
      <c r="L53" s="438">
        <v>0</v>
      </c>
      <c r="M53" s="444">
        <v>0</v>
      </c>
      <c r="N53" s="447">
        <v>0</v>
      </c>
      <c r="O53" s="438">
        <v>0</v>
      </c>
      <c r="P53" s="438">
        <v>0</v>
      </c>
      <c r="Q53" s="438">
        <v>0</v>
      </c>
      <c r="R53" s="438">
        <v>0</v>
      </c>
      <c r="S53" s="438">
        <v>0</v>
      </c>
      <c r="T53" s="438">
        <v>0</v>
      </c>
      <c r="U53" s="438">
        <v>0</v>
      </c>
      <c r="V53" s="438">
        <v>0</v>
      </c>
      <c r="W53" s="438">
        <v>0</v>
      </c>
      <c r="X53" s="438">
        <v>0</v>
      </c>
      <c r="Y53" s="438">
        <v>0</v>
      </c>
      <c r="Z53" s="438">
        <v>0</v>
      </c>
      <c r="AA53" s="438">
        <v>0</v>
      </c>
      <c r="AB53" s="444">
        <v>0</v>
      </c>
      <c r="AC53" s="452">
        <v>0</v>
      </c>
    </row>
    <row r="54" spans="2:29" ht="15">
      <c r="B54" s="22">
        <f>'Oil supply projection'!$B54</f>
        <v>2063</v>
      </c>
      <c r="C54" s="438">
        <v>0</v>
      </c>
      <c r="D54" s="438">
        <v>0</v>
      </c>
      <c r="E54" s="438">
        <v>0</v>
      </c>
      <c r="F54" s="444">
        <v>0</v>
      </c>
      <c r="G54" s="447">
        <v>0</v>
      </c>
      <c r="H54" s="438">
        <v>0</v>
      </c>
      <c r="I54" s="444">
        <v>0</v>
      </c>
      <c r="J54" s="447">
        <v>0</v>
      </c>
      <c r="K54" s="438">
        <v>0</v>
      </c>
      <c r="L54" s="438">
        <v>0</v>
      </c>
      <c r="M54" s="444">
        <v>0</v>
      </c>
      <c r="N54" s="447">
        <v>0</v>
      </c>
      <c r="O54" s="438">
        <v>0</v>
      </c>
      <c r="P54" s="438">
        <v>0</v>
      </c>
      <c r="Q54" s="438">
        <v>0</v>
      </c>
      <c r="R54" s="438">
        <v>0</v>
      </c>
      <c r="S54" s="438">
        <v>0</v>
      </c>
      <c r="T54" s="438">
        <v>0</v>
      </c>
      <c r="U54" s="438">
        <v>0</v>
      </c>
      <c r="V54" s="438">
        <v>0</v>
      </c>
      <c r="W54" s="438">
        <v>0</v>
      </c>
      <c r="X54" s="438">
        <v>0</v>
      </c>
      <c r="Y54" s="438">
        <v>0</v>
      </c>
      <c r="Z54" s="438">
        <v>0</v>
      </c>
      <c r="AA54" s="438">
        <v>0</v>
      </c>
      <c r="AB54" s="444">
        <v>0</v>
      </c>
      <c r="AC54" s="452">
        <v>0</v>
      </c>
    </row>
    <row r="55" spans="2:29" ht="15">
      <c r="B55" s="22">
        <f>'Oil supply projection'!$B55</f>
        <v>2064</v>
      </c>
      <c r="C55" s="438">
        <v>0</v>
      </c>
      <c r="D55" s="438">
        <v>0</v>
      </c>
      <c r="E55" s="438">
        <v>0</v>
      </c>
      <c r="F55" s="444">
        <v>0</v>
      </c>
      <c r="G55" s="447">
        <v>0</v>
      </c>
      <c r="H55" s="438">
        <v>0</v>
      </c>
      <c r="I55" s="444">
        <v>0</v>
      </c>
      <c r="J55" s="447">
        <v>0</v>
      </c>
      <c r="K55" s="438">
        <v>0</v>
      </c>
      <c r="L55" s="438">
        <v>0</v>
      </c>
      <c r="M55" s="444">
        <v>0</v>
      </c>
      <c r="N55" s="447">
        <v>0</v>
      </c>
      <c r="O55" s="438">
        <v>0</v>
      </c>
      <c r="P55" s="438">
        <v>0</v>
      </c>
      <c r="Q55" s="438">
        <v>0</v>
      </c>
      <c r="R55" s="438">
        <v>0</v>
      </c>
      <c r="S55" s="438">
        <v>0</v>
      </c>
      <c r="T55" s="438">
        <v>0</v>
      </c>
      <c r="U55" s="438">
        <v>0</v>
      </c>
      <c r="V55" s="438">
        <v>0</v>
      </c>
      <c r="W55" s="438">
        <v>0</v>
      </c>
      <c r="X55" s="438">
        <v>0</v>
      </c>
      <c r="Y55" s="438">
        <v>0</v>
      </c>
      <c r="Z55" s="438">
        <v>0</v>
      </c>
      <c r="AA55" s="438">
        <v>0</v>
      </c>
      <c r="AB55" s="444">
        <v>0</v>
      </c>
      <c r="AC55" s="452">
        <v>0</v>
      </c>
    </row>
    <row r="56" spans="2:29" ht="15">
      <c r="B56" s="22">
        <f>'Oil supply projection'!$B56</f>
        <v>2065</v>
      </c>
      <c r="C56" s="438">
        <v>0</v>
      </c>
      <c r="D56" s="438">
        <v>0</v>
      </c>
      <c r="E56" s="438">
        <v>0</v>
      </c>
      <c r="F56" s="444">
        <v>0</v>
      </c>
      <c r="G56" s="447">
        <v>0</v>
      </c>
      <c r="H56" s="438">
        <v>0</v>
      </c>
      <c r="I56" s="444">
        <v>0</v>
      </c>
      <c r="J56" s="447">
        <v>0</v>
      </c>
      <c r="K56" s="438">
        <v>0</v>
      </c>
      <c r="L56" s="438">
        <v>0</v>
      </c>
      <c r="M56" s="444">
        <v>0</v>
      </c>
      <c r="N56" s="447">
        <v>0</v>
      </c>
      <c r="O56" s="438">
        <v>0</v>
      </c>
      <c r="P56" s="438">
        <v>0</v>
      </c>
      <c r="Q56" s="438">
        <v>0</v>
      </c>
      <c r="R56" s="438">
        <v>0</v>
      </c>
      <c r="S56" s="438">
        <v>0</v>
      </c>
      <c r="T56" s="438">
        <v>0</v>
      </c>
      <c r="U56" s="438">
        <v>0</v>
      </c>
      <c r="V56" s="438">
        <v>0</v>
      </c>
      <c r="W56" s="438">
        <v>0</v>
      </c>
      <c r="X56" s="438">
        <v>0</v>
      </c>
      <c r="Y56" s="438">
        <v>0</v>
      </c>
      <c r="Z56" s="438">
        <v>0</v>
      </c>
      <c r="AA56" s="438">
        <v>0</v>
      </c>
      <c r="AB56" s="444">
        <v>0</v>
      </c>
      <c r="AC56" s="452">
        <v>0</v>
      </c>
    </row>
    <row r="57" spans="2:29" ht="15">
      <c r="B57" s="22">
        <f>'Oil supply projection'!$B57</f>
        <v>2066</v>
      </c>
      <c r="C57" s="438">
        <v>0</v>
      </c>
      <c r="D57" s="438">
        <v>0</v>
      </c>
      <c r="E57" s="438">
        <v>0</v>
      </c>
      <c r="F57" s="444">
        <v>0</v>
      </c>
      <c r="G57" s="447">
        <v>0</v>
      </c>
      <c r="H57" s="438">
        <v>0</v>
      </c>
      <c r="I57" s="444">
        <v>0</v>
      </c>
      <c r="J57" s="447">
        <v>0</v>
      </c>
      <c r="K57" s="438">
        <v>0</v>
      </c>
      <c r="L57" s="438">
        <v>0</v>
      </c>
      <c r="M57" s="444">
        <v>0</v>
      </c>
      <c r="N57" s="447">
        <v>0</v>
      </c>
      <c r="O57" s="438">
        <v>0</v>
      </c>
      <c r="P57" s="438">
        <v>0</v>
      </c>
      <c r="Q57" s="438">
        <v>0</v>
      </c>
      <c r="R57" s="438">
        <v>0</v>
      </c>
      <c r="S57" s="438">
        <v>0</v>
      </c>
      <c r="T57" s="438">
        <v>0</v>
      </c>
      <c r="U57" s="438">
        <v>0</v>
      </c>
      <c r="V57" s="438">
        <v>0</v>
      </c>
      <c r="W57" s="438">
        <v>0</v>
      </c>
      <c r="X57" s="438">
        <v>0</v>
      </c>
      <c r="Y57" s="438">
        <v>0</v>
      </c>
      <c r="Z57" s="438">
        <v>0</v>
      </c>
      <c r="AA57" s="438">
        <v>0</v>
      </c>
      <c r="AB57" s="444">
        <v>0</v>
      </c>
      <c r="AC57" s="452">
        <v>0</v>
      </c>
    </row>
    <row r="58" spans="2:29" ht="15">
      <c r="B58" s="22">
        <f>'Oil supply projection'!$B58</f>
        <v>2067</v>
      </c>
      <c r="C58" s="438">
        <v>0</v>
      </c>
      <c r="D58" s="438">
        <v>0</v>
      </c>
      <c r="E58" s="438">
        <v>0</v>
      </c>
      <c r="F58" s="444">
        <v>0</v>
      </c>
      <c r="G58" s="447">
        <v>0</v>
      </c>
      <c r="H58" s="438">
        <v>0</v>
      </c>
      <c r="I58" s="444">
        <v>0</v>
      </c>
      <c r="J58" s="447">
        <v>0</v>
      </c>
      <c r="K58" s="438">
        <v>0</v>
      </c>
      <c r="L58" s="438">
        <v>0</v>
      </c>
      <c r="M58" s="444">
        <v>0</v>
      </c>
      <c r="N58" s="447">
        <v>0</v>
      </c>
      <c r="O58" s="438">
        <v>0</v>
      </c>
      <c r="P58" s="438">
        <v>0</v>
      </c>
      <c r="Q58" s="438">
        <v>0</v>
      </c>
      <c r="R58" s="438">
        <v>0</v>
      </c>
      <c r="S58" s="438">
        <v>0</v>
      </c>
      <c r="T58" s="438">
        <v>0</v>
      </c>
      <c r="U58" s="438">
        <v>0</v>
      </c>
      <c r="V58" s="438">
        <v>0</v>
      </c>
      <c r="W58" s="438">
        <v>0</v>
      </c>
      <c r="X58" s="438">
        <v>0</v>
      </c>
      <c r="Y58" s="438">
        <v>0</v>
      </c>
      <c r="Z58" s="438">
        <v>0</v>
      </c>
      <c r="AA58" s="438">
        <v>0</v>
      </c>
      <c r="AB58" s="444">
        <v>0</v>
      </c>
      <c r="AC58" s="452">
        <v>0</v>
      </c>
    </row>
    <row r="59" spans="2:29" ht="15">
      <c r="B59" s="22">
        <f>'Oil supply projection'!$B59</f>
        <v>2068</v>
      </c>
      <c r="C59" s="438">
        <v>0</v>
      </c>
      <c r="D59" s="438">
        <v>0</v>
      </c>
      <c r="E59" s="438">
        <v>0</v>
      </c>
      <c r="F59" s="444">
        <v>0</v>
      </c>
      <c r="G59" s="447">
        <v>0</v>
      </c>
      <c r="H59" s="438">
        <v>0</v>
      </c>
      <c r="I59" s="444">
        <v>0</v>
      </c>
      <c r="J59" s="447">
        <v>0</v>
      </c>
      <c r="K59" s="438">
        <v>0</v>
      </c>
      <c r="L59" s="438">
        <v>0</v>
      </c>
      <c r="M59" s="444">
        <v>0</v>
      </c>
      <c r="N59" s="447">
        <v>0</v>
      </c>
      <c r="O59" s="438">
        <v>0</v>
      </c>
      <c r="P59" s="438">
        <v>0</v>
      </c>
      <c r="Q59" s="438">
        <v>0</v>
      </c>
      <c r="R59" s="438">
        <v>0</v>
      </c>
      <c r="S59" s="438">
        <v>0</v>
      </c>
      <c r="T59" s="438">
        <v>0</v>
      </c>
      <c r="U59" s="438">
        <v>0</v>
      </c>
      <c r="V59" s="438">
        <v>0</v>
      </c>
      <c r="W59" s="438">
        <v>0</v>
      </c>
      <c r="X59" s="438">
        <v>0</v>
      </c>
      <c r="Y59" s="438">
        <v>0</v>
      </c>
      <c r="Z59" s="438">
        <v>0</v>
      </c>
      <c r="AA59" s="438">
        <v>0</v>
      </c>
      <c r="AB59" s="444">
        <v>0</v>
      </c>
      <c r="AC59" s="452">
        <v>0</v>
      </c>
    </row>
    <row r="60" spans="2:29" ht="15">
      <c r="B60" s="22">
        <f>'Oil supply projection'!$B60</f>
        <v>2069</v>
      </c>
      <c r="C60" s="438">
        <v>0</v>
      </c>
      <c r="D60" s="438">
        <v>0</v>
      </c>
      <c r="E60" s="438">
        <v>0</v>
      </c>
      <c r="F60" s="444">
        <v>0</v>
      </c>
      <c r="G60" s="447">
        <v>0</v>
      </c>
      <c r="H60" s="438">
        <v>0</v>
      </c>
      <c r="I60" s="444">
        <v>0</v>
      </c>
      <c r="J60" s="447">
        <v>0</v>
      </c>
      <c r="K60" s="438">
        <v>0</v>
      </c>
      <c r="L60" s="438">
        <v>0</v>
      </c>
      <c r="M60" s="444">
        <v>0</v>
      </c>
      <c r="N60" s="447">
        <v>0</v>
      </c>
      <c r="O60" s="438">
        <v>0</v>
      </c>
      <c r="P60" s="438">
        <v>0</v>
      </c>
      <c r="Q60" s="438">
        <v>0</v>
      </c>
      <c r="R60" s="438">
        <v>0</v>
      </c>
      <c r="S60" s="438">
        <v>0</v>
      </c>
      <c r="T60" s="438">
        <v>0</v>
      </c>
      <c r="U60" s="438">
        <v>0</v>
      </c>
      <c r="V60" s="438">
        <v>0</v>
      </c>
      <c r="W60" s="438">
        <v>0</v>
      </c>
      <c r="X60" s="438">
        <v>0</v>
      </c>
      <c r="Y60" s="438">
        <v>0</v>
      </c>
      <c r="Z60" s="438">
        <v>0</v>
      </c>
      <c r="AA60" s="438">
        <v>0</v>
      </c>
      <c r="AB60" s="444">
        <v>0</v>
      </c>
      <c r="AC60" s="452">
        <v>0</v>
      </c>
    </row>
    <row r="61" spans="2:29" ht="15">
      <c r="B61" s="22">
        <f>'Oil supply projection'!$B61</f>
        <v>2070</v>
      </c>
      <c r="C61" s="438">
        <v>0</v>
      </c>
      <c r="D61" s="438">
        <v>0</v>
      </c>
      <c r="E61" s="438">
        <v>0</v>
      </c>
      <c r="F61" s="444">
        <v>0</v>
      </c>
      <c r="G61" s="447">
        <v>0</v>
      </c>
      <c r="H61" s="438">
        <v>0</v>
      </c>
      <c r="I61" s="444">
        <v>0</v>
      </c>
      <c r="J61" s="447">
        <v>0</v>
      </c>
      <c r="K61" s="438">
        <v>0</v>
      </c>
      <c r="L61" s="438">
        <v>0</v>
      </c>
      <c r="M61" s="444">
        <v>0</v>
      </c>
      <c r="N61" s="447">
        <v>0</v>
      </c>
      <c r="O61" s="438">
        <v>0</v>
      </c>
      <c r="P61" s="438">
        <v>0</v>
      </c>
      <c r="Q61" s="438">
        <v>0</v>
      </c>
      <c r="R61" s="438">
        <v>0</v>
      </c>
      <c r="S61" s="438">
        <v>0</v>
      </c>
      <c r="T61" s="438">
        <v>0</v>
      </c>
      <c r="U61" s="438">
        <v>0</v>
      </c>
      <c r="V61" s="438">
        <v>0</v>
      </c>
      <c r="W61" s="438">
        <v>0</v>
      </c>
      <c r="X61" s="438">
        <v>0</v>
      </c>
      <c r="Y61" s="438">
        <v>0</v>
      </c>
      <c r="Z61" s="438">
        <v>0</v>
      </c>
      <c r="AA61" s="438">
        <v>0</v>
      </c>
      <c r="AB61" s="444">
        <v>0</v>
      </c>
      <c r="AC61" s="452">
        <v>0</v>
      </c>
    </row>
    <row r="62" spans="2:29" ht="15">
      <c r="B62" s="22">
        <f>'Oil supply projection'!$B62</f>
        <v>2071</v>
      </c>
      <c r="C62" s="438">
        <v>0</v>
      </c>
      <c r="D62" s="438">
        <v>0</v>
      </c>
      <c r="E62" s="438">
        <v>0</v>
      </c>
      <c r="F62" s="444">
        <v>0</v>
      </c>
      <c r="G62" s="447">
        <v>0</v>
      </c>
      <c r="H62" s="438">
        <v>0</v>
      </c>
      <c r="I62" s="444">
        <v>0</v>
      </c>
      <c r="J62" s="447">
        <v>0</v>
      </c>
      <c r="K62" s="438">
        <v>0</v>
      </c>
      <c r="L62" s="438">
        <v>0</v>
      </c>
      <c r="M62" s="444">
        <v>0</v>
      </c>
      <c r="N62" s="447">
        <v>0</v>
      </c>
      <c r="O62" s="438">
        <v>0</v>
      </c>
      <c r="P62" s="438">
        <v>0</v>
      </c>
      <c r="Q62" s="438">
        <v>0</v>
      </c>
      <c r="R62" s="438">
        <v>0</v>
      </c>
      <c r="S62" s="438">
        <v>0</v>
      </c>
      <c r="T62" s="438">
        <v>0</v>
      </c>
      <c r="U62" s="438">
        <v>0</v>
      </c>
      <c r="V62" s="438">
        <v>0</v>
      </c>
      <c r="W62" s="438">
        <v>0</v>
      </c>
      <c r="X62" s="438">
        <v>0</v>
      </c>
      <c r="Y62" s="438">
        <v>0</v>
      </c>
      <c r="Z62" s="438">
        <v>0</v>
      </c>
      <c r="AA62" s="438">
        <v>0</v>
      </c>
      <c r="AB62" s="444">
        <v>0</v>
      </c>
      <c r="AC62" s="452">
        <v>0</v>
      </c>
    </row>
    <row r="63" spans="2:29" ht="15">
      <c r="B63" s="22">
        <f>'Oil supply projection'!$B63</f>
        <v>2072</v>
      </c>
      <c r="C63" s="438">
        <v>0</v>
      </c>
      <c r="D63" s="438">
        <v>0</v>
      </c>
      <c r="E63" s="438">
        <v>0</v>
      </c>
      <c r="F63" s="444">
        <v>0</v>
      </c>
      <c r="G63" s="447">
        <v>0</v>
      </c>
      <c r="H63" s="438">
        <v>0</v>
      </c>
      <c r="I63" s="444">
        <v>0</v>
      </c>
      <c r="J63" s="447">
        <v>0</v>
      </c>
      <c r="K63" s="438">
        <v>0</v>
      </c>
      <c r="L63" s="438">
        <v>0</v>
      </c>
      <c r="M63" s="444">
        <v>0</v>
      </c>
      <c r="N63" s="447">
        <v>0</v>
      </c>
      <c r="O63" s="438">
        <v>0</v>
      </c>
      <c r="P63" s="438">
        <v>0</v>
      </c>
      <c r="Q63" s="438">
        <v>0</v>
      </c>
      <c r="R63" s="438">
        <v>0</v>
      </c>
      <c r="S63" s="438">
        <v>0</v>
      </c>
      <c r="T63" s="438">
        <v>0</v>
      </c>
      <c r="U63" s="438">
        <v>0</v>
      </c>
      <c r="V63" s="438">
        <v>0</v>
      </c>
      <c r="W63" s="438">
        <v>0</v>
      </c>
      <c r="X63" s="438">
        <v>0</v>
      </c>
      <c r="Y63" s="438">
        <v>0</v>
      </c>
      <c r="Z63" s="438">
        <v>0</v>
      </c>
      <c r="AA63" s="438">
        <v>0</v>
      </c>
      <c r="AB63" s="444">
        <v>0</v>
      </c>
      <c r="AC63" s="452">
        <v>0</v>
      </c>
    </row>
    <row r="64" spans="2:29" ht="15">
      <c r="B64" s="22">
        <f>'Oil supply projection'!$B64</f>
        <v>2073</v>
      </c>
      <c r="C64" s="438">
        <v>0</v>
      </c>
      <c r="D64" s="438">
        <v>0</v>
      </c>
      <c r="E64" s="438">
        <v>0</v>
      </c>
      <c r="F64" s="444">
        <v>0</v>
      </c>
      <c r="G64" s="447">
        <v>0</v>
      </c>
      <c r="H64" s="438">
        <v>0</v>
      </c>
      <c r="I64" s="444">
        <v>0</v>
      </c>
      <c r="J64" s="447">
        <v>0</v>
      </c>
      <c r="K64" s="438">
        <v>0</v>
      </c>
      <c r="L64" s="438">
        <v>0</v>
      </c>
      <c r="M64" s="444">
        <v>0</v>
      </c>
      <c r="N64" s="447">
        <v>0</v>
      </c>
      <c r="O64" s="438">
        <v>0</v>
      </c>
      <c r="P64" s="438">
        <v>0</v>
      </c>
      <c r="Q64" s="438">
        <v>0</v>
      </c>
      <c r="R64" s="438">
        <v>0</v>
      </c>
      <c r="S64" s="438">
        <v>0</v>
      </c>
      <c r="T64" s="438">
        <v>0</v>
      </c>
      <c r="U64" s="438">
        <v>0</v>
      </c>
      <c r="V64" s="438">
        <v>0</v>
      </c>
      <c r="W64" s="438">
        <v>0</v>
      </c>
      <c r="X64" s="438">
        <v>0</v>
      </c>
      <c r="Y64" s="438">
        <v>0</v>
      </c>
      <c r="Z64" s="438">
        <v>0</v>
      </c>
      <c r="AA64" s="438">
        <v>0</v>
      </c>
      <c r="AB64" s="444">
        <v>0</v>
      </c>
      <c r="AC64" s="452">
        <v>0</v>
      </c>
    </row>
    <row r="65" spans="2:29" ht="15">
      <c r="B65" s="22">
        <f>'Oil supply projection'!$B65</f>
        <v>2074</v>
      </c>
      <c r="C65" s="438">
        <v>0</v>
      </c>
      <c r="D65" s="438">
        <v>0</v>
      </c>
      <c r="E65" s="438">
        <v>0</v>
      </c>
      <c r="F65" s="444">
        <v>0</v>
      </c>
      <c r="G65" s="447">
        <v>0</v>
      </c>
      <c r="H65" s="438">
        <v>0</v>
      </c>
      <c r="I65" s="444">
        <v>0</v>
      </c>
      <c r="J65" s="447">
        <v>0</v>
      </c>
      <c r="K65" s="438">
        <v>0</v>
      </c>
      <c r="L65" s="438">
        <v>0</v>
      </c>
      <c r="M65" s="444">
        <v>0</v>
      </c>
      <c r="N65" s="447">
        <v>0</v>
      </c>
      <c r="O65" s="438">
        <v>0</v>
      </c>
      <c r="P65" s="438">
        <v>0</v>
      </c>
      <c r="Q65" s="438">
        <v>0</v>
      </c>
      <c r="R65" s="438">
        <v>0</v>
      </c>
      <c r="S65" s="438">
        <v>0</v>
      </c>
      <c r="T65" s="438">
        <v>0</v>
      </c>
      <c r="U65" s="438">
        <v>0</v>
      </c>
      <c r="V65" s="438">
        <v>0</v>
      </c>
      <c r="W65" s="438">
        <v>0</v>
      </c>
      <c r="X65" s="438">
        <v>0</v>
      </c>
      <c r="Y65" s="438">
        <v>0</v>
      </c>
      <c r="Z65" s="438">
        <v>0</v>
      </c>
      <c r="AA65" s="438">
        <v>0</v>
      </c>
      <c r="AB65" s="444">
        <v>0</v>
      </c>
      <c r="AC65" s="452">
        <v>0</v>
      </c>
    </row>
    <row r="66" spans="2:29" ht="15">
      <c r="B66" s="22">
        <f>'Oil supply projection'!$B66</f>
        <v>2075</v>
      </c>
      <c r="C66" s="438">
        <v>0</v>
      </c>
      <c r="D66" s="438">
        <v>0</v>
      </c>
      <c r="E66" s="438">
        <v>0</v>
      </c>
      <c r="F66" s="444">
        <v>0</v>
      </c>
      <c r="G66" s="447">
        <v>0</v>
      </c>
      <c r="H66" s="438">
        <v>0</v>
      </c>
      <c r="I66" s="444">
        <v>0</v>
      </c>
      <c r="J66" s="447">
        <v>0</v>
      </c>
      <c r="K66" s="438">
        <v>0</v>
      </c>
      <c r="L66" s="438">
        <v>0</v>
      </c>
      <c r="M66" s="444">
        <v>0</v>
      </c>
      <c r="N66" s="447">
        <v>0</v>
      </c>
      <c r="O66" s="438">
        <v>0</v>
      </c>
      <c r="P66" s="438">
        <v>0</v>
      </c>
      <c r="Q66" s="438">
        <v>0</v>
      </c>
      <c r="R66" s="438">
        <v>0</v>
      </c>
      <c r="S66" s="438">
        <v>0</v>
      </c>
      <c r="T66" s="438">
        <v>0</v>
      </c>
      <c r="U66" s="438">
        <v>0</v>
      </c>
      <c r="V66" s="438">
        <v>0</v>
      </c>
      <c r="W66" s="438">
        <v>0</v>
      </c>
      <c r="X66" s="438">
        <v>0</v>
      </c>
      <c r="Y66" s="438">
        <v>0</v>
      </c>
      <c r="Z66" s="438">
        <v>0</v>
      </c>
      <c r="AA66" s="438">
        <v>0</v>
      </c>
      <c r="AB66" s="444">
        <v>0</v>
      </c>
      <c r="AC66" s="452">
        <v>0</v>
      </c>
    </row>
    <row r="67" spans="2:29" ht="15">
      <c r="B67" s="22">
        <f>'Oil supply projection'!$B67</f>
        <v>2076</v>
      </c>
      <c r="C67" s="438">
        <v>0</v>
      </c>
      <c r="D67" s="438">
        <v>0</v>
      </c>
      <c r="E67" s="438">
        <v>0</v>
      </c>
      <c r="F67" s="444">
        <v>0</v>
      </c>
      <c r="G67" s="447">
        <v>0</v>
      </c>
      <c r="H67" s="438">
        <v>0</v>
      </c>
      <c r="I67" s="444">
        <v>0</v>
      </c>
      <c r="J67" s="447">
        <v>0</v>
      </c>
      <c r="K67" s="438">
        <v>0</v>
      </c>
      <c r="L67" s="438">
        <v>0</v>
      </c>
      <c r="M67" s="444">
        <v>0</v>
      </c>
      <c r="N67" s="447">
        <v>0</v>
      </c>
      <c r="O67" s="438">
        <v>0</v>
      </c>
      <c r="P67" s="438">
        <v>0</v>
      </c>
      <c r="Q67" s="438">
        <v>0</v>
      </c>
      <c r="R67" s="438">
        <v>0</v>
      </c>
      <c r="S67" s="438">
        <v>0</v>
      </c>
      <c r="T67" s="438">
        <v>0</v>
      </c>
      <c r="U67" s="438">
        <v>0</v>
      </c>
      <c r="V67" s="438">
        <v>0</v>
      </c>
      <c r="W67" s="438">
        <v>0</v>
      </c>
      <c r="X67" s="438">
        <v>0</v>
      </c>
      <c r="Y67" s="438">
        <v>0</v>
      </c>
      <c r="Z67" s="438">
        <v>0</v>
      </c>
      <c r="AA67" s="438">
        <v>0</v>
      </c>
      <c r="AB67" s="444">
        <v>0</v>
      </c>
      <c r="AC67" s="452">
        <v>0</v>
      </c>
    </row>
    <row r="68" spans="2:29" ht="15">
      <c r="B68" s="22">
        <f>'Oil supply projection'!$B68</f>
        <v>2077</v>
      </c>
      <c r="C68" s="438">
        <v>0</v>
      </c>
      <c r="D68" s="438">
        <v>0</v>
      </c>
      <c r="E68" s="438">
        <v>0</v>
      </c>
      <c r="F68" s="444">
        <v>0</v>
      </c>
      <c r="G68" s="447">
        <v>0</v>
      </c>
      <c r="H68" s="438">
        <v>0</v>
      </c>
      <c r="I68" s="444">
        <v>0</v>
      </c>
      <c r="J68" s="447">
        <v>0</v>
      </c>
      <c r="K68" s="438">
        <v>0</v>
      </c>
      <c r="L68" s="438">
        <v>0</v>
      </c>
      <c r="M68" s="444">
        <v>0</v>
      </c>
      <c r="N68" s="447">
        <v>0</v>
      </c>
      <c r="O68" s="438">
        <v>0</v>
      </c>
      <c r="P68" s="438">
        <v>0</v>
      </c>
      <c r="Q68" s="438">
        <v>0</v>
      </c>
      <c r="R68" s="438">
        <v>0</v>
      </c>
      <c r="S68" s="438">
        <v>0</v>
      </c>
      <c r="T68" s="438">
        <v>0</v>
      </c>
      <c r="U68" s="438">
        <v>0</v>
      </c>
      <c r="V68" s="438">
        <v>0</v>
      </c>
      <c r="W68" s="438">
        <v>0</v>
      </c>
      <c r="X68" s="438">
        <v>0</v>
      </c>
      <c r="Y68" s="438">
        <v>0</v>
      </c>
      <c r="Z68" s="438">
        <v>0</v>
      </c>
      <c r="AA68" s="438">
        <v>0</v>
      </c>
      <c r="AB68" s="444">
        <v>0</v>
      </c>
      <c r="AC68" s="452">
        <v>0</v>
      </c>
    </row>
    <row r="69" spans="2:29" ht="15">
      <c r="B69" s="22">
        <f>'Oil supply projection'!$B69</f>
        <v>2078</v>
      </c>
      <c r="C69" s="438">
        <v>0</v>
      </c>
      <c r="D69" s="438">
        <v>0</v>
      </c>
      <c r="E69" s="438">
        <v>0</v>
      </c>
      <c r="F69" s="444">
        <v>0</v>
      </c>
      <c r="G69" s="447">
        <v>0</v>
      </c>
      <c r="H69" s="438">
        <v>0</v>
      </c>
      <c r="I69" s="444">
        <v>0</v>
      </c>
      <c r="J69" s="447">
        <v>0</v>
      </c>
      <c r="K69" s="438">
        <v>0</v>
      </c>
      <c r="L69" s="438">
        <v>0</v>
      </c>
      <c r="M69" s="444">
        <v>0</v>
      </c>
      <c r="N69" s="447">
        <v>0</v>
      </c>
      <c r="O69" s="438">
        <v>0</v>
      </c>
      <c r="P69" s="438">
        <v>0</v>
      </c>
      <c r="Q69" s="438">
        <v>0</v>
      </c>
      <c r="R69" s="438">
        <v>0</v>
      </c>
      <c r="S69" s="438">
        <v>0</v>
      </c>
      <c r="T69" s="438">
        <v>0</v>
      </c>
      <c r="U69" s="438">
        <v>0</v>
      </c>
      <c r="V69" s="438">
        <v>0</v>
      </c>
      <c r="W69" s="438">
        <v>0</v>
      </c>
      <c r="X69" s="438">
        <v>0</v>
      </c>
      <c r="Y69" s="438">
        <v>0</v>
      </c>
      <c r="Z69" s="438">
        <v>0</v>
      </c>
      <c r="AA69" s="438">
        <v>0</v>
      </c>
      <c r="AB69" s="444">
        <v>0</v>
      </c>
      <c r="AC69" s="452">
        <v>0</v>
      </c>
    </row>
    <row r="70" spans="2:29" ht="15">
      <c r="B70" s="22">
        <f>'Oil supply projection'!$B70</f>
        <v>2079</v>
      </c>
      <c r="C70" s="438">
        <v>0</v>
      </c>
      <c r="D70" s="438">
        <v>0</v>
      </c>
      <c r="E70" s="438">
        <v>0</v>
      </c>
      <c r="F70" s="444">
        <v>0</v>
      </c>
      <c r="G70" s="447">
        <v>0</v>
      </c>
      <c r="H70" s="438">
        <v>0</v>
      </c>
      <c r="I70" s="444">
        <v>0</v>
      </c>
      <c r="J70" s="447">
        <v>0</v>
      </c>
      <c r="K70" s="438">
        <v>0</v>
      </c>
      <c r="L70" s="438">
        <v>0</v>
      </c>
      <c r="M70" s="444">
        <v>0</v>
      </c>
      <c r="N70" s="447">
        <v>0</v>
      </c>
      <c r="O70" s="438">
        <v>0</v>
      </c>
      <c r="P70" s="438">
        <v>0</v>
      </c>
      <c r="Q70" s="438">
        <v>0</v>
      </c>
      <c r="R70" s="438">
        <v>0</v>
      </c>
      <c r="S70" s="438">
        <v>0</v>
      </c>
      <c r="T70" s="438">
        <v>0</v>
      </c>
      <c r="U70" s="438">
        <v>0</v>
      </c>
      <c r="V70" s="438">
        <v>0</v>
      </c>
      <c r="W70" s="438">
        <v>0</v>
      </c>
      <c r="X70" s="438">
        <v>0</v>
      </c>
      <c r="Y70" s="438">
        <v>0</v>
      </c>
      <c r="Z70" s="438">
        <v>0</v>
      </c>
      <c r="AA70" s="438">
        <v>0</v>
      </c>
      <c r="AB70" s="444">
        <v>0</v>
      </c>
      <c r="AC70" s="452">
        <v>0</v>
      </c>
    </row>
    <row r="71" spans="2:29" ht="15">
      <c r="B71" s="22">
        <f>'Oil supply projection'!$B71</f>
        <v>2080</v>
      </c>
      <c r="C71" s="438">
        <v>0</v>
      </c>
      <c r="D71" s="438">
        <v>0</v>
      </c>
      <c r="E71" s="438">
        <v>0</v>
      </c>
      <c r="F71" s="444">
        <v>0</v>
      </c>
      <c r="G71" s="447">
        <v>0</v>
      </c>
      <c r="H71" s="438">
        <v>0</v>
      </c>
      <c r="I71" s="444">
        <v>0</v>
      </c>
      <c r="J71" s="447">
        <v>0</v>
      </c>
      <c r="K71" s="438">
        <v>0</v>
      </c>
      <c r="L71" s="438">
        <v>0</v>
      </c>
      <c r="M71" s="444">
        <v>0</v>
      </c>
      <c r="N71" s="447">
        <v>0</v>
      </c>
      <c r="O71" s="438">
        <v>0</v>
      </c>
      <c r="P71" s="438">
        <v>0</v>
      </c>
      <c r="Q71" s="438">
        <v>0</v>
      </c>
      <c r="R71" s="438">
        <v>0</v>
      </c>
      <c r="S71" s="438">
        <v>0</v>
      </c>
      <c r="T71" s="438">
        <v>0</v>
      </c>
      <c r="U71" s="438">
        <v>0</v>
      </c>
      <c r="V71" s="438">
        <v>0</v>
      </c>
      <c r="W71" s="438">
        <v>0</v>
      </c>
      <c r="X71" s="438">
        <v>0</v>
      </c>
      <c r="Y71" s="438">
        <v>0</v>
      </c>
      <c r="Z71" s="438">
        <v>0</v>
      </c>
      <c r="AA71" s="438">
        <v>0</v>
      </c>
      <c r="AB71" s="444">
        <v>0</v>
      </c>
      <c r="AC71" s="452">
        <v>0</v>
      </c>
    </row>
    <row r="72" spans="2:29" ht="15">
      <c r="B72" s="22">
        <f>'Oil supply projection'!$B72</f>
        <v>2081</v>
      </c>
      <c r="C72" s="438">
        <v>0</v>
      </c>
      <c r="D72" s="438">
        <v>0</v>
      </c>
      <c r="E72" s="438">
        <v>0</v>
      </c>
      <c r="F72" s="444">
        <v>0</v>
      </c>
      <c r="G72" s="447">
        <v>0</v>
      </c>
      <c r="H72" s="438">
        <v>0</v>
      </c>
      <c r="I72" s="444">
        <v>0</v>
      </c>
      <c r="J72" s="447">
        <v>0</v>
      </c>
      <c r="K72" s="438">
        <v>0</v>
      </c>
      <c r="L72" s="438">
        <v>0</v>
      </c>
      <c r="M72" s="444">
        <v>0</v>
      </c>
      <c r="N72" s="447">
        <v>0</v>
      </c>
      <c r="O72" s="438">
        <v>0</v>
      </c>
      <c r="P72" s="438">
        <v>0</v>
      </c>
      <c r="Q72" s="438">
        <v>0</v>
      </c>
      <c r="R72" s="438">
        <v>0</v>
      </c>
      <c r="S72" s="438">
        <v>0</v>
      </c>
      <c r="T72" s="438">
        <v>0</v>
      </c>
      <c r="U72" s="438">
        <v>0</v>
      </c>
      <c r="V72" s="438">
        <v>0</v>
      </c>
      <c r="W72" s="438">
        <v>0</v>
      </c>
      <c r="X72" s="438">
        <v>0</v>
      </c>
      <c r="Y72" s="438">
        <v>0</v>
      </c>
      <c r="Z72" s="438">
        <v>0</v>
      </c>
      <c r="AA72" s="438">
        <v>0</v>
      </c>
      <c r="AB72" s="444">
        <v>0</v>
      </c>
      <c r="AC72" s="452">
        <v>0</v>
      </c>
    </row>
    <row r="73" spans="2:29" ht="15">
      <c r="B73" s="22">
        <f>'Oil supply projection'!$B73</f>
        <v>2082</v>
      </c>
      <c r="C73" s="438">
        <v>0</v>
      </c>
      <c r="D73" s="438">
        <v>0</v>
      </c>
      <c r="E73" s="438">
        <v>0</v>
      </c>
      <c r="F73" s="444">
        <v>0</v>
      </c>
      <c r="G73" s="447">
        <v>0</v>
      </c>
      <c r="H73" s="438">
        <v>0</v>
      </c>
      <c r="I73" s="444">
        <v>0</v>
      </c>
      <c r="J73" s="447">
        <v>0</v>
      </c>
      <c r="K73" s="438">
        <v>0</v>
      </c>
      <c r="L73" s="438">
        <v>0</v>
      </c>
      <c r="M73" s="444">
        <v>0</v>
      </c>
      <c r="N73" s="447">
        <v>0</v>
      </c>
      <c r="O73" s="438">
        <v>0</v>
      </c>
      <c r="P73" s="438">
        <v>0</v>
      </c>
      <c r="Q73" s="438">
        <v>0</v>
      </c>
      <c r="R73" s="438">
        <v>0</v>
      </c>
      <c r="S73" s="438">
        <v>0</v>
      </c>
      <c r="T73" s="438">
        <v>0</v>
      </c>
      <c r="U73" s="438">
        <v>0</v>
      </c>
      <c r="V73" s="438">
        <v>0</v>
      </c>
      <c r="W73" s="438">
        <v>0</v>
      </c>
      <c r="X73" s="438">
        <v>0</v>
      </c>
      <c r="Y73" s="438">
        <v>0</v>
      </c>
      <c r="Z73" s="438">
        <v>0</v>
      </c>
      <c r="AA73" s="438">
        <v>0</v>
      </c>
      <c r="AB73" s="444">
        <v>0</v>
      </c>
      <c r="AC73" s="452">
        <v>0</v>
      </c>
    </row>
    <row r="74" spans="2:29" ht="15">
      <c r="B74" s="22">
        <f>'Oil supply projection'!$B74</f>
        <v>2083</v>
      </c>
      <c r="C74" s="438">
        <v>0</v>
      </c>
      <c r="D74" s="438">
        <v>0</v>
      </c>
      <c r="E74" s="438">
        <v>0</v>
      </c>
      <c r="F74" s="444">
        <v>0</v>
      </c>
      <c r="G74" s="447">
        <v>0</v>
      </c>
      <c r="H74" s="438">
        <v>0</v>
      </c>
      <c r="I74" s="444">
        <v>0</v>
      </c>
      <c r="J74" s="447">
        <v>0</v>
      </c>
      <c r="K74" s="438">
        <v>0</v>
      </c>
      <c r="L74" s="438">
        <v>0</v>
      </c>
      <c r="M74" s="444">
        <v>0</v>
      </c>
      <c r="N74" s="447">
        <v>0</v>
      </c>
      <c r="O74" s="438">
        <v>0</v>
      </c>
      <c r="P74" s="438">
        <v>0</v>
      </c>
      <c r="Q74" s="438">
        <v>0</v>
      </c>
      <c r="R74" s="438">
        <v>0</v>
      </c>
      <c r="S74" s="438">
        <v>0</v>
      </c>
      <c r="T74" s="438">
        <v>0</v>
      </c>
      <c r="U74" s="438">
        <v>0</v>
      </c>
      <c r="V74" s="438">
        <v>0</v>
      </c>
      <c r="W74" s="438">
        <v>0</v>
      </c>
      <c r="X74" s="438">
        <v>0</v>
      </c>
      <c r="Y74" s="438">
        <v>0</v>
      </c>
      <c r="Z74" s="438">
        <v>0</v>
      </c>
      <c r="AA74" s="438">
        <v>0</v>
      </c>
      <c r="AB74" s="444">
        <v>0</v>
      </c>
      <c r="AC74" s="452">
        <v>0</v>
      </c>
    </row>
    <row r="75" spans="2:29" ht="15">
      <c r="B75" s="22">
        <f>'Oil supply projection'!$B75</f>
        <v>2084</v>
      </c>
      <c r="C75" s="438">
        <v>0</v>
      </c>
      <c r="D75" s="438">
        <v>0</v>
      </c>
      <c r="E75" s="438">
        <v>0</v>
      </c>
      <c r="F75" s="444">
        <v>0</v>
      </c>
      <c r="G75" s="447">
        <v>0</v>
      </c>
      <c r="H75" s="438">
        <v>0</v>
      </c>
      <c r="I75" s="444">
        <v>0</v>
      </c>
      <c r="J75" s="447">
        <v>0</v>
      </c>
      <c r="K75" s="438">
        <v>0</v>
      </c>
      <c r="L75" s="438">
        <v>0</v>
      </c>
      <c r="M75" s="444">
        <v>0</v>
      </c>
      <c r="N75" s="447">
        <v>0</v>
      </c>
      <c r="O75" s="438">
        <v>0</v>
      </c>
      <c r="P75" s="438">
        <v>0</v>
      </c>
      <c r="Q75" s="438">
        <v>0</v>
      </c>
      <c r="R75" s="438">
        <v>0</v>
      </c>
      <c r="S75" s="438">
        <v>0</v>
      </c>
      <c r="T75" s="438">
        <v>0</v>
      </c>
      <c r="U75" s="438">
        <v>0</v>
      </c>
      <c r="V75" s="438">
        <v>0</v>
      </c>
      <c r="W75" s="438">
        <v>0</v>
      </c>
      <c r="X75" s="438">
        <v>0</v>
      </c>
      <c r="Y75" s="438">
        <v>0</v>
      </c>
      <c r="Z75" s="438">
        <v>0</v>
      </c>
      <c r="AA75" s="438">
        <v>0</v>
      </c>
      <c r="AB75" s="444">
        <v>0</v>
      </c>
      <c r="AC75" s="452">
        <v>0</v>
      </c>
    </row>
    <row r="76" spans="2:29" ht="15">
      <c r="B76" s="22">
        <f>'Oil supply projection'!$B76</f>
        <v>2085</v>
      </c>
      <c r="C76" s="438">
        <v>0</v>
      </c>
      <c r="D76" s="438">
        <v>0</v>
      </c>
      <c r="E76" s="438">
        <v>0</v>
      </c>
      <c r="F76" s="444">
        <v>0</v>
      </c>
      <c r="G76" s="447">
        <v>0</v>
      </c>
      <c r="H76" s="438">
        <v>0</v>
      </c>
      <c r="I76" s="444">
        <v>0</v>
      </c>
      <c r="J76" s="447">
        <v>0</v>
      </c>
      <c r="K76" s="438">
        <v>0</v>
      </c>
      <c r="L76" s="438">
        <v>0</v>
      </c>
      <c r="M76" s="444">
        <v>0</v>
      </c>
      <c r="N76" s="447">
        <v>0</v>
      </c>
      <c r="O76" s="438">
        <v>0</v>
      </c>
      <c r="P76" s="438">
        <v>0</v>
      </c>
      <c r="Q76" s="438">
        <v>0</v>
      </c>
      <c r="R76" s="438">
        <v>0</v>
      </c>
      <c r="S76" s="438">
        <v>0</v>
      </c>
      <c r="T76" s="438">
        <v>0</v>
      </c>
      <c r="U76" s="438">
        <v>0</v>
      </c>
      <c r="V76" s="438">
        <v>0</v>
      </c>
      <c r="W76" s="438">
        <v>0</v>
      </c>
      <c r="X76" s="438">
        <v>0</v>
      </c>
      <c r="Y76" s="438">
        <v>0</v>
      </c>
      <c r="Z76" s="438">
        <v>0</v>
      </c>
      <c r="AA76" s="438">
        <v>0</v>
      </c>
      <c r="AB76" s="444">
        <v>0</v>
      </c>
      <c r="AC76" s="452">
        <v>0</v>
      </c>
    </row>
    <row r="77" spans="2:29" ht="15">
      <c r="B77" s="22">
        <f>'Oil supply projection'!$B77</f>
        <v>2086</v>
      </c>
      <c r="C77" s="438">
        <v>0</v>
      </c>
      <c r="D77" s="438">
        <v>0</v>
      </c>
      <c r="E77" s="438">
        <v>0</v>
      </c>
      <c r="F77" s="444">
        <v>0</v>
      </c>
      <c r="G77" s="447">
        <v>0</v>
      </c>
      <c r="H77" s="438">
        <v>0</v>
      </c>
      <c r="I77" s="444">
        <v>0</v>
      </c>
      <c r="J77" s="447">
        <v>0</v>
      </c>
      <c r="K77" s="438">
        <v>0</v>
      </c>
      <c r="L77" s="438">
        <v>0</v>
      </c>
      <c r="M77" s="444">
        <v>0</v>
      </c>
      <c r="N77" s="447">
        <v>0</v>
      </c>
      <c r="O77" s="438">
        <v>0</v>
      </c>
      <c r="P77" s="438">
        <v>0</v>
      </c>
      <c r="Q77" s="438">
        <v>0</v>
      </c>
      <c r="R77" s="438">
        <v>0</v>
      </c>
      <c r="S77" s="438">
        <v>0</v>
      </c>
      <c r="T77" s="438">
        <v>0</v>
      </c>
      <c r="U77" s="438">
        <v>0</v>
      </c>
      <c r="V77" s="438">
        <v>0</v>
      </c>
      <c r="W77" s="438">
        <v>0</v>
      </c>
      <c r="X77" s="438">
        <v>0</v>
      </c>
      <c r="Y77" s="438">
        <v>0</v>
      </c>
      <c r="Z77" s="438">
        <v>0</v>
      </c>
      <c r="AA77" s="438">
        <v>0</v>
      </c>
      <c r="AB77" s="444">
        <v>0</v>
      </c>
      <c r="AC77" s="452">
        <v>0</v>
      </c>
    </row>
    <row r="78" spans="2:29" ht="15">
      <c r="B78" s="22">
        <f>'Oil supply projection'!$B78</f>
        <v>2087</v>
      </c>
      <c r="C78" s="438">
        <v>0</v>
      </c>
      <c r="D78" s="438">
        <v>0</v>
      </c>
      <c r="E78" s="438">
        <v>0</v>
      </c>
      <c r="F78" s="444">
        <v>0</v>
      </c>
      <c r="G78" s="447">
        <v>0</v>
      </c>
      <c r="H78" s="438">
        <v>0</v>
      </c>
      <c r="I78" s="444">
        <v>0</v>
      </c>
      <c r="J78" s="447">
        <v>0</v>
      </c>
      <c r="K78" s="438">
        <v>0</v>
      </c>
      <c r="L78" s="438">
        <v>0</v>
      </c>
      <c r="M78" s="444">
        <v>0</v>
      </c>
      <c r="N78" s="447">
        <v>0</v>
      </c>
      <c r="O78" s="438">
        <v>0</v>
      </c>
      <c r="P78" s="438">
        <v>0</v>
      </c>
      <c r="Q78" s="438">
        <v>0</v>
      </c>
      <c r="R78" s="438">
        <v>0</v>
      </c>
      <c r="S78" s="438">
        <v>0</v>
      </c>
      <c r="T78" s="438">
        <v>0</v>
      </c>
      <c r="U78" s="438">
        <v>0</v>
      </c>
      <c r="V78" s="438">
        <v>0</v>
      </c>
      <c r="W78" s="438">
        <v>0</v>
      </c>
      <c r="X78" s="438">
        <v>0</v>
      </c>
      <c r="Y78" s="438">
        <v>0</v>
      </c>
      <c r="Z78" s="438">
        <v>0</v>
      </c>
      <c r="AA78" s="438">
        <v>0</v>
      </c>
      <c r="AB78" s="444">
        <v>0</v>
      </c>
      <c r="AC78" s="452">
        <v>0</v>
      </c>
    </row>
    <row r="79" spans="2:29" ht="15">
      <c r="B79" s="22">
        <f>'Oil supply projection'!$B79</f>
        <v>2088</v>
      </c>
      <c r="C79" s="438">
        <v>0</v>
      </c>
      <c r="D79" s="438">
        <v>0</v>
      </c>
      <c r="E79" s="438">
        <v>0</v>
      </c>
      <c r="F79" s="444">
        <v>0</v>
      </c>
      <c r="G79" s="447">
        <v>0</v>
      </c>
      <c r="H79" s="438">
        <v>0</v>
      </c>
      <c r="I79" s="444">
        <v>0</v>
      </c>
      <c r="J79" s="447">
        <v>0</v>
      </c>
      <c r="K79" s="438">
        <v>0</v>
      </c>
      <c r="L79" s="438">
        <v>0</v>
      </c>
      <c r="M79" s="444">
        <v>0</v>
      </c>
      <c r="N79" s="447">
        <v>0</v>
      </c>
      <c r="O79" s="438">
        <v>0</v>
      </c>
      <c r="P79" s="438">
        <v>0</v>
      </c>
      <c r="Q79" s="438">
        <v>0</v>
      </c>
      <c r="R79" s="438">
        <v>0</v>
      </c>
      <c r="S79" s="438">
        <v>0</v>
      </c>
      <c r="T79" s="438">
        <v>0</v>
      </c>
      <c r="U79" s="438">
        <v>0</v>
      </c>
      <c r="V79" s="438">
        <v>0</v>
      </c>
      <c r="W79" s="438">
        <v>0</v>
      </c>
      <c r="X79" s="438">
        <v>0</v>
      </c>
      <c r="Y79" s="438">
        <v>0</v>
      </c>
      <c r="Z79" s="438">
        <v>0</v>
      </c>
      <c r="AA79" s="438">
        <v>0</v>
      </c>
      <c r="AB79" s="444">
        <v>0</v>
      </c>
      <c r="AC79" s="452">
        <v>0</v>
      </c>
    </row>
    <row r="80" spans="2:29" ht="15">
      <c r="B80" s="22">
        <f>'Oil supply projection'!$B80</f>
        <v>2089</v>
      </c>
      <c r="C80" s="438">
        <v>0</v>
      </c>
      <c r="D80" s="438">
        <v>0</v>
      </c>
      <c r="E80" s="438">
        <v>0</v>
      </c>
      <c r="F80" s="444">
        <v>0</v>
      </c>
      <c r="G80" s="447">
        <v>0</v>
      </c>
      <c r="H80" s="438">
        <v>0</v>
      </c>
      <c r="I80" s="444">
        <v>0</v>
      </c>
      <c r="J80" s="447">
        <v>0</v>
      </c>
      <c r="K80" s="438">
        <v>0</v>
      </c>
      <c r="L80" s="438">
        <v>0</v>
      </c>
      <c r="M80" s="444">
        <v>0</v>
      </c>
      <c r="N80" s="447">
        <v>0</v>
      </c>
      <c r="O80" s="438">
        <v>0</v>
      </c>
      <c r="P80" s="438">
        <v>0</v>
      </c>
      <c r="Q80" s="438">
        <v>0</v>
      </c>
      <c r="R80" s="438">
        <v>0</v>
      </c>
      <c r="S80" s="438">
        <v>0</v>
      </c>
      <c r="T80" s="438">
        <v>0</v>
      </c>
      <c r="U80" s="438">
        <v>0</v>
      </c>
      <c r="V80" s="438">
        <v>0</v>
      </c>
      <c r="W80" s="438">
        <v>0</v>
      </c>
      <c r="X80" s="438">
        <v>0</v>
      </c>
      <c r="Y80" s="438">
        <v>0</v>
      </c>
      <c r="Z80" s="438">
        <v>0</v>
      </c>
      <c r="AA80" s="438">
        <v>0</v>
      </c>
      <c r="AB80" s="444">
        <v>0</v>
      </c>
      <c r="AC80" s="452">
        <v>0</v>
      </c>
    </row>
    <row r="81" spans="2:29" ht="15">
      <c r="B81" s="22">
        <f>'Oil supply projection'!$B81</f>
        <v>2090</v>
      </c>
      <c r="C81" s="438">
        <v>0</v>
      </c>
      <c r="D81" s="438">
        <v>0</v>
      </c>
      <c r="E81" s="438">
        <v>0</v>
      </c>
      <c r="F81" s="444">
        <v>0</v>
      </c>
      <c r="G81" s="447">
        <v>0</v>
      </c>
      <c r="H81" s="438">
        <v>0</v>
      </c>
      <c r="I81" s="444">
        <v>0</v>
      </c>
      <c r="J81" s="447">
        <v>0</v>
      </c>
      <c r="K81" s="438">
        <v>0</v>
      </c>
      <c r="L81" s="438">
        <v>0</v>
      </c>
      <c r="M81" s="444">
        <v>0</v>
      </c>
      <c r="N81" s="447">
        <v>0</v>
      </c>
      <c r="O81" s="438">
        <v>0</v>
      </c>
      <c r="P81" s="438">
        <v>0</v>
      </c>
      <c r="Q81" s="438">
        <v>0</v>
      </c>
      <c r="R81" s="438">
        <v>0</v>
      </c>
      <c r="S81" s="438">
        <v>0</v>
      </c>
      <c r="T81" s="438">
        <v>0</v>
      </c>
      <c r="U81" s="438">
        <v>0</v>
      </c>
      <c r="V81" s="438">
        <v>0</v>
      </c>
      <c r="W81" s="438">
        <v>0</v>
      </c>
      <c r="X81" s="438">
        <v>0</v>
      </c>
      <c r="Y81" s="438">
        <v>0</v>
      </c>
      <c r="Z81" s="438">
        <v>0</v>
      </c>
      <c r="AA81" s="438">
        <v>0</v>
      </c>
      <c r="AB81" s="444">
        <v>0</v>
      </c>
      <c r="AC81" s="452">
        <v>0</v>
      </c>
    </row>
    <row r="82" spans="2:29" ht="15">
      <c r="B82" s="22">
        <f>'Oil supply projection'!$B82</f>
        <v>2091</v>
      </c>
      <c r="C82" s="438">
        <v>0</v>
      </c>
      <c r="D82" s="438">
        <v>0</v>
      </c>
      <c r="E82" s="438">
        <v>0</v>
      </c>
      <c r="F82" s="444">
        <v>0</v>
      </c>
      <c r="G82" s="447">
        <v>0</v>
      </c>
      <c r="H82" s="438">
        <v>0</v>
      </c>
      <c r="I82" s="444">
        <v>0</v>
      </c>
      <c r="J82" s="447">
        <v>0</v>
      </c>
      <c r="K82" s="438">
        <v>0</v>
      </c>
      <c r="L82" s="438">
        <v>0</v>
      </c>
      <c r="M82" s="444">
        <v>0</v>
      </c>
      <c r="N82" s="447">
        <v>0</v>
      </c>
      <c r="O82" s="438">
        <v>0</v>
      </c>
      <c r="P82" s="438">
        <v>0</v>
      </c>
      <c r="Q82" s="438">
        <v>0</v>
      </c>
      <c r="R82" s="438">
        <v>0</v>
      </c>
      <c r="S82" s="438">
        <v>0</v>
      </c>
      <c r="T82" s="438">
        <v>0</v>
      </c>
      <c r="U82" s="438">
        <v>0</v>
      </c>
      <c r="V82" s="438">
        <v>0</v>
      </c>
      <c r="W82" s="438">
        <v>0</v>
      </c>
      <c r="X82" s="438">
        <v>0</v>
      </c>
      <c r="Y82" s="438">
        <v>0</v>
      </c>
      <c r="Z82" s="438">
        <v>0</v>
      </c>
      <c r="AA82" s="438">
        <v>0</v>
      </c>
      <c r="AB82" s="444">
        <v>0</v>
      </c>
      <c r="AC82" s="452">
        <v>0</v>
      </c>
    </row>
    <row r="83" spans="2:29" ht="15">
      <c r="B83" s="22">
        <f>'Oil supply projection'!$B83</f>
        <v>2092</v>
      </c>
      <c r="C83" s="438">
        <v>0</v>
      </c>
      <c r="D83" s="438">
        <v>0</v>
      </c>
      <c r="E83" s="438">
        <v>0</v>
      </c>
      <c r="F83" s="444">
        <v>0</v>
      </c>
      <c r="G83" s="447">
        <v>0</v>
      </c>
      <c r="H83" s="438">
        <v>0</v>
      </c>
      <c r="I83" s="444">
        <v>0</v>
      </c>
      <c r="J83" s="447">
        <v>0</v>
      </c>
      <c r="K83" s="438">
        <v>0</v>
      </c>
      <c r="L83" s="438">
        <v>0</v>
      </c>
      <c r="M83" s="444">
        <v>0</v>
      </c>
      <c r="N83" s="447">
        <v>0</v>
      </c>
      <c r="O83" s="438">
        <v>0</v>
      </c>
      <c r="P83" s="438">
        <v>0</v>
      </c>
      <c r="Q83" s="438">
        <v>0</v>
      </c>
      <c r="R83" s="438">
        <v>0</v>
      </c>
      <c r="S83" s="438">
        <v>0</v>
      </c>
      <c r="T83" s="438">
        <v>0</v>
      </c>
      <c r="U83" s="438">
        <v>0</v>
      </c>
      <c r="V83" s="438">
        <v>0</v>
      </c>
      <c r="W83" s="438">
        <v>0</v>
      </c>
      <c r="X83" s="438">
        <v>0</v>
      </c>
      <c r="Y83" s="438">
        <v>0</v>
      </c>
      <c r="Z83" s="438">
        <v>0</v>
      </c>
      <c r="AA83" s="438">
        <v>0</v>
      </c>
      <c r="AB83" s="444">
        <v>0</v>
      </c>
      <c r="AC83" s="452">
        <v>0</v>
      </c>
    </row>
    <row r="84" spans="2:29" ht="15">
      <c r="B84" s="22">
        <f>'Oil supply projection'!$B84</f>
        <v>2093</v>
      </c>
      <c r="C84" s="445">
        <v>0</v>
      </c>
      <c r="D84" s="445">
        <v>0</v>
      </c>
      <c r="E84" s="445">
        <v>0</v>
      </c>
      <c r="F84" s="446">
        <v>0</v>
      </c>
      <c r="G84" s="448">
        <v>0</v>
      </c>
      <c r="H84" s="445">
        <v>0</v>
      </c>
      <c r="I84" s="446">
        <v>0</v>
      </c>
      <c r="J84" s="448">
        <v>0</v>
      </c>
      <c r="K84" s="445">
        <v>0</v>
      </c>
      <c r="L84" s="445">
        <v>0</v>
      </c>
      <c r="M84" s="446">
        <v>0</v>
      </c>
      <c r="N84" s="448">
        <v>0</v>
      </c>
      <c r="O84" s="445">
        <v>0</v>
      </c>
      <c r="P84" s="445">
        <v>0</v>
      </c>
      <c r="Q84" s="445">
        <v>0</v>
      </c>
      <c r="R84" s="445">
        <v>0</v>
      </c>
      <c r="S84" s="445">
        <v>0</v>
      </c>
      <c r="T84" s="445">
        <v>0</v>
      </c>
      <c r="U84" s="445">
        <v>0</v>
      </c>
      <c r="V84" s="445">
        <v>0</v>
      </c>
      <c r="W84" s="445">
        <v>0</v>
      </c>
      <c r="X84" s="445">
        <v>0</v>
      </c>
      <c r="Y84" s="445">
        <v>0</v>
      </c>
      <c r="Z84" s="445">
        <v>0</v>
      </c>
      <c r="AA84" s="445">
        <v>0</v>
      </c>
      <c r="AB84" s="446">
        <v>0</v>
      </c>
      <c r="AC84" s="453">
        <v>0</v>
      </c>
    </row>
  </sheetData>
  <mergeCells count="2">
    <mergeCell ref="AC6:AC8"/>
    <mergeCell ref="A1:B1"/>
  </mergeCells>
  <phoneticPr fontId="29" type="noConversion"/>
  <conditionalFormatting sqref="C10:AC84">
    <cfRule type="cellIs" dxfId="102" priority="1" operator="equal">
      <formula>0</formula>
    </cfRule>
  </conditionalFormatting>
  <hyperlinks>
    <hyperlink ref="A1" location="'Table of Contents'!A1" tooltip="Click here to return to the Table of Contents tab" display="Return to Table of Contents" xr:uid="{00000000-0004-0000-1700-000000000000}"/>
  </hyperlinks>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69635" r:id="rId4" name="Button 3">
              <controlPr defaultSize="0" print="0" autoFill="0" autoPict="0" macro="[0]!scenario_import">
                <anchor moveWithCells="1" sizeWithCells="1">
                  <from>
                    <xdr:col>7</xdr:col>
                    <xdr:colOff>0</xdr:colOff>
                    <xdr:row>2</xdr:row>
                    <xdr:rowOff>76200</xdr:rowOff>
                  </from>
                  <to>
                    <xdr:col>8</xdr:col>
                    <xdr:colOff>666750</xdr:colOff>
                    <xdr:row>4</xdr:row>
                    <xdr:rowOff>114300</xdr:rowOff>
                  </to>
                </anchor>
              </controlPr>
            </control>
          </mc:Choice>
        </mc:AlternateContent>
        <mc:AlternateContent xmlns:mc="http://schemas.openxmlformats.org/markup-compatibility/2006">
          <mc:Choice Requires="x14">
            <control shapeId="69636" r:id="rId5" name="Button 4">
              <controlPr defaultSize="0" print="0" autoFill="0" autoPict="0" macro="[0]!scenario_clear">
                <anchor moveWithCells="1" sizeWithCells="1">
                  <from>
                    <xdr:col>9</xdr:col>
                    <xdr:colOff>323850</xdr:colOff>
                    <xdr:row>2</xdr:row>
                    <xdr:rowOff>95250</xdr:rowOff>
                  </from>
                  <to>
                    <xdr:col>10</xdr:col>
                    <xdr:colOff>447675</xdr:colOff>
                    <xdr:row>4</xdr:row>
                    <xdr:rowOff>57150</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9">
    <tabColor indexed="46"/>
  </sheetPr>
  <dimension ref="A1:AB85"/>
  <sheetViews>
    <sheetView zoomScale="70" zoomScaleNormal="70" workbookViewId="0">
      <pane xSplit="2" ySplit="9" topLeftCell="C10" activePane="bottomRight" state="frozen"/>
      <selection pane="topRight" activeCell="C1" sqref="C1"/>
      <selection pane="bottomLeft" activeCell="A10" sqref="A10"/>
      <selection pane="bottomRight" activeCell="B6" sqref="B6"/>
    </sheetView>
  </sheetViews>
  <sheetFormatPr defaultColWidth="9.28515625" defaultRowHeight="12.75"/>
  <cols>
    <col min="1" max="1" width="15.5703125" style="85" customWidth="1"/>
    <col min="2" max="2" width="14.7109375" style="85" customWidth="1"/>
    <col min="3" max="9" width="10.7109375" style="85" customWidth="1"/>
    <col min="10" max="12" width="12.5703125" style="85" customWidth="1"/>
    <col min="13" max="13" width="13.5703125" style="85" customWidth="1"/>
    <col min="14" max="16" width="10.7109375" style="85" customWidth="1"/>
    <col min="17" max="17" width="11.5703125" style="85" customWidth="1"/>
    <col min="18" max="28" width="10.7109375" style="85" customWidth="1"/>
    <col min="29" max="16384" width="9.28515625" style="85"/>
  </cols>
  <sheetData>
    <row r="1" spans="1:28" ht="15.75" thickBot="1">
      <c r="A1" s="701" t="s">
        <v>27</v>
      </c>
      <c r="B1" s="702"/>
      <c r="C1" s="180"/>
      <c r="D1" s="180"/>
      <c r="E1" s="86"/>
      <c r="F1" s="181"/>
    </row>
    <row r="2" spans="1:28" ht="15">
      <c r="C2" s="86"/>
      <c r="D2" s="86"/>
      <c r="E2" s="86"/>
    </row>
    <row r="3" spans="1:28" ht="18">
      <c r="C3" s="37" t="s">
        <v>511</v>
      </c>
      <c r="D3" s="88"/>
      <c r="E3" s="88"/>
      <c r="F3" s="89"/>
      <c r="G3" s="89"/>
      <c r="H3" s="89"/>
      <c r="I3" s="89"/>
      <c r="J3" s="89"/>
      <c r="K3" s="89"/>
      <c r="L3" s="89"/>
      <c r="M3" s="89"/>
    </row>
    <row r="4" spans="1:28" ht="18">
      <c r="B4" s="37"/>
      <c r="C4" s="251" t="s">
        <v>508</v>
      </c>
      <c r="D4" s="252"/>
      <c r="F4" s="317" t="str">
        <f>scenario_name</f>
        <v>GenericE&amp;DtemplateCIandGOA</v>
      </c>
      <c r="G4" s="89"/>
      <c r="H4" s="89"/>
      <c r="I4" s="89"/>
    </row>
    <row r="5" spans="1:28" ht="15">
      <c r="C5" s="86"/>
      <c r="D5" s="86"/>
    </row>
    <row r="6" spans="1:28" s="84" customFormat="1" ht="12.75" customHeight="1">
      <c r="B6" s="192"/>
      <c r="C6" s="191" t="s">
        <v>490</v>
      </c>
      <c r="D6" s="184"/>
      <c r="E6" s="184"/>
      <c r="F6" s="185"/>
      <c r="G6" s="183" t="s">
        <v>491</v>
      </c>
      <c r="H6" s="184"/>
      <c r="I6" s="185"/>
      <c r="J6" s="183" t="s">
        <v>492</v>
      </c>
      <c r="K6" s="184"/>
      <c r="L6" s="184"/>
      <c r="M6" s="189"/>
      <c r="N6" s="183" t="s">
        <v>493</v>
      </c>
      <c r="O6" s="184"/>
      <c r="P6" s="184"/>
      <c r="Q6" s="191"/>
      <c r="R6" s="191"/>
      <c r="S6" s="184"/>
      <c r="T6" s="184"/>
      <c r="U6" s="191"/>
      <c r="V6" s="191"/>
      <c r="W6" s="184"/>
      <c r="X6" s="184"/>
      <c r="Y6" s="191"/>
      <c r="Z6" s="191"/>
      <c r="AA6" s="184"/>
      <c r="AB6" s="185"/>
    </row>
    <row r="7" spans="1:28" s="84" customFormat="1" ht="12.75" customHeight="1">
      <c r="B7" s="193"/>
      <c r="C7" s="74"/>
      <c r="D7" s="187"/>
      <c r="E7" s="187"/>
      <c r="F7" s="188"/>
      <c r="G7" s="186"/>
      <c r="H7" s="187"/>
      <c r="I7" s="188"/>
      <c r="J7" s="186"/>
      <c r="K7" s="187"/>
      <c r="L7" s="187"/>
      <c r="M7" s="190"/>
      <c r="N7" s="186"/>
      <c r="O7" s="187"/>
      <c r="P7" s="187"/>
      <c r="Q7" s="74"/>
      <c r="R7" s="74"/>
      <c r="S7" s="187"/>
      <c r="T7" s="187"/>
      <c r="U7" s="74"/>
      <c r="V7" s="74"/>
      <c r="W7" s="187"/>
      <c r="X7" s="187"/>
      <c r="Y7" s="74"/>
      <c r="Z7" s="74"/>
      <c r="AA7" s="187"/>
      <c r="AB7" s="188"/>
    </row>
    <row r="8" spans="1:28" ht="48" customHeight="1">
      <c r="B8" s="193"/>
      <c r="C8" s="654" t="s">
        <v>158</v>
      </c>
      <c r="D8" s="650" t="s">
        <v>166</v>
      </c>
      <c r="E8" s="650" t="s">
        <v>171</v>
      </c>
      <c r="F8" s="132" t="s">
        <v>173</v>
      </c>
      <c r="G8" s="654" t="s">
        <v>180</v>
      </c>
      <c r="H8" s="650" t="s">
        <v>186</v>
      </c>
      <c r="I8" s="132" t="s">
        <v>191</v>
      </c>
      <c r="J8" s="654" t="s">
        <v>197</v>
      </c>
      <c r="K8" s="650" t="s">
        <v>199</v>
      </c>
      <c r="L8" s="650" t="s">
        <v>201</v>
      </c>
      <c r="M8" s="132" t="s">
        <v>494</v>
      </c>
      <c r="N8" s="654" t="s">
        <v>208</v>
      </c>
      <c r="O8" s="650" t="s">
        <v>211</v>
      </c>
      <c r="P8" s="650" t="s">
        <v>213</v>
      </c>
      <c r="Q8" s="650" t="s">
        <v>215</v>
      </c>
      <c r="R8" s="650" t="s">
        <v>219</v>
      </c>
      <c r="S8" s="650" t="s">
        <v>222</v>
      </c>
      <c r="T8" s="650" t="s">
        <v>224</v>
      </c>
      <c r="U8" s="650" t="s">
        <v>228</v>
      </c>
      <c r="V8" s="650" t="s">
        <v>231</v>
      </c>
      <c r="W8" s="650" t="s">
        <v>232</v>
      </c>
      <c r="X8" s="650" t="s">
        <v>235</v>
      </c>
      <c r="Y8" s="650" t="s">
        <v>237</v>
      </c>
      <c r="Z8" s="650" t="s">
        <v>239</v>
      </c>
      <c r="AA8" s="650" t="s">
        <v>242</v>
      </c>
      <c r="AB8" s="132" t="s">
        <v>245</v>
      </c>
    </row>
    <row r="9" spans="1:28" ht="21.75" customHeight="1" thickBot="1">
      <c r="B9" s="153" t="s">
        <v>268</v>
      </c>
      <c r="C9" s="143" t="s">
        <v>512</v>
      </c>
      <c r="D9" s="96" t="s">
        <v>512</v>
      </c>
      <c r="E9" s="96" t="s">
        <v>512</v>
      </c>
      <c r="F9" s="144" t="s">
        <v>512</v>
      </c>
      <c r="G9" s="143" t="s">
        <v>512</v>
      </c>
      <c r="H9" s="96" t="s">
        <v>512</v>
      </c>
      <c r="I9" s="144" t="s">
        <v>512</v>
      </c>
      <c r="J9" s="143" t="s">
        <v>512</v>
      </c>
      <c r="K9" s="96" t="s">
        <v>512</v>
      </c>
      <c r="L9" s="96" t="s">
        <v>512</v>
      </c>
      <c r="M9" s="144" t="s">
        <v>512</v>
      </c>
      <c r="N9" s="143" t="s">
        <v>512</v>
      </c>
      <c r="O9" s="96" t="s">
        <v>512</v>
      </c>
      <c r="P9" s="96" t="s">
        <v>512</v>
      </c>
      <c r="Q9" s="96" t="s">
        <v>512</v>
      </c>
      <c r="R9" s="96" t="s">
        <v>512</v>
      </c>
      <c r="S9" s="96" t="s">
        <v>512</v>
      </c>
      <c r="T9" s="96" t="s">
        <v>512</v>
      </c>
      <c r="U9" s="96" t="s">
        <v>512</v>
      </c>
      <c r="V9" s="96" t="s">
        <v>512</v>
      </c>
      <c r="W9" s="96" t="s">
        <v>512</v>
      </c>
      <c r="X9" s="96" t="s">
        <v>512</v>
      </c>
      <c r="Y9" s="96" t="s">
        <v>512</v>
      </c>
      <c r="Z9" s="96" t="s">
        <v>512</v>
      </c>
      <c r="AA9" s="96" t="s">
        <v>512</v>
      </c>
      <c r="AB9" s="144" t="s">
        <v>512</v>
      </c>
    </row>
    <row r="10" spans="1:28" ht="15.75" thickTop="1">
      <c r="B10" s="22">
        <f>'Oil supply projection'!$B10</f>
        <v>2019</v>
      </c>
      <c r="C10" s="454">
        <f t="array" ref="C10:C84">IF(ISERROR((365*sim_sup_oil_ocs_atn+sim_sup_gas_ocs_atn*gas_boe)/(365*sim_sup_oil_ocs+sim_sup_gas_ocs*gas_boe)),0,(365*sim_sup_oil_ocs_atn+sim_sup_gas_ocs_atn*gas_boe)/(365*sim_sup_oil_ocs+sim_sup_gas_ocs*gas_boe))</f>
        <v>0</v>
      </c>
      <c r="D10" s="454">
        <f t="array" ref="D10:D84">IF(ISERROR((365*sim_sup_oil_ocs_atm+sim_sup_gas_ocs_atm*gas_boe)/(365*sim_sup_oil_ocs+sim_sup_gas_ocs*gas_boe)),0,(365*sim_sup_oil_ocs_atm+sim_sup_gas_ocs_atm*gas_boe)/(365*sim_sup_oil_ocs+sim_sup_gas_ocs*gas_boe))</f>
        <v>0</v>
      </c>
      <c r="E10" s="454">
        <f t="array" ref="E10:E84">IF(ISERROR((365*sim_sup_oil_ocs_ats+sim_sup_gas_ocs_ats*gas_boe)/(365*sim_sup_oil_ocs+sim_sup_gas_ocs*gas_boe)),0,(365*sim_sup_oil_ocs_ats+sim_sup_gas_ocs_ats*gas_boe)/(365*sim_sup_oil_ocs+sim_sup_gas_ocs*gas_boe))</f>
        <v>0</v>
      </c>
      <c r="F10" s="456">
        <f t="array" ref="F10:F84">IF(ISERROR((365*sim_sup_oil_ocs_atf+sim_sup_gas_ocs_atf*gas_boe)/(365*sim_sup_oil_ocs+sim_sup_gas_ocs*gas_boe)),0,(365*sim_sup_oil_ocs_atf+sim_sup_gas_ocs_atf*gas_boe)/(365*sim_sup_oil_ocs+sim_sup_gas_ocs*gas_boe))</f>
        <v>0</v>
      </c>
      <c r="G10" s="458">
        <f t="array" ref="G10:G84">IF(ISERROR((365*sim_sup_oil_ocs_gme+sim_sup_gas_ocs_gme*gas_boe)/(365*sim_sup_oil_ocs+sim_sup_gas_ocs*gas_boe)),0,(365*sim_sup_oil_ocs_gme+sim_sup_gas_ocs_gme*gas_boe)/(365*sim_sup_oil_ocs+sim_sup_gas_ocs*gas_boe))</f>
        <v>0</v>
      </c>
      <c r="H10" s="454">
        <f t="array" ref="H10:H84">IF(ISERROR((365*sim_sup_oil_ocs_gmc+sim_sup_gas_ocs_gmc*gas_boe)/(365*sim_sup_oil_ocs+sim_sup_gas_ocs*gas_boe)),0,(365*sim_sup_oil_ocs_gmc+sim_sup_gas_ocs_gmc*gas_boe)/(365*sim_sup_oil_ocs+sim_sup_gas_ocs*gas_boe))</f>
        <v>0</v>
      </c>
      <c r="I10" s="456">
        <f t="array" ref="I10:I84">IF(ISERROR((365*sim_sup_oil_ocs_gmw+sim_sup_gas_ocs_gmw*gas_boe)/(365*sim_sup_oil_ocs+sim_sup_gas_ocs*gas_boe)),0,(365*sim_sup_oil_ocs_gmw+sim_sup_gas_ocs_gmw*gas_boe)/(365*sim_sup_oil_ocs+sim_sup_gas_ocs*gas_boe))</f>
        <v>0</v>
      </c>
      <c r="J10" s="458">
        <f t="array" ref="J10:J84">IF(ISERROR((365*sim_sup_oil_ocs_pas+sim_sup_gas_ocs_pas*gas_boe)/(365*sim_sup_oil_ocs+sim_sup_gas_ocs*gas_boe)),0,(365*sim_sup_oil_ocs_pas+sim_sup_gas_ocs_pas*gas_boe)/(365*sim_sup_oil_ocs+sim_sup_gas_ocs*gas_boe))</f>
        <v>0</v>
      </c>
      <c r="K10" s="454">
        <f t="array" ref="K10:K84">IF(ISERROR((365*sim_sup_oil_ocs_pac+sim_sup_gas_ocs_pac*gas_boe)/(365*sim_sup_oil_ocs+sim_sup_gas_ocs*gas_boe)),0,(365*sim_sup_oil_ocs_pac+sim_sup_gas_ocs_pac*gas_boe)/(365*sim_sup_oil_ocs+sim_sup_gas_ocs*gas_boe))</f>
        <v>0</v>
      </c>
      <c r="L10" s="454">
        <f t="array" ref="L10:L84">IF(ISERROR((365*sim_sup_oil_ocs_pan+sim_sup_gas_ocs_pan*gas_boe)/(365*sim_sup_oil_ocs+sim_sup_gas_ocs*gas_boe)),0,(365*sim_sup_oil_ocs_pan+sim_sup_gas_ocs_pan*gas_boe)/(365*sim_sup_oil_ocs+sim_sup_gas_ocs*gas_boe))</f>
        <v>0</v>
      </c>
      <c r="M10" s="456">
        <f t="array" ref="M10:M84">IF(ISERROR((365*sim_sup_oil_ocs_paw+sim_sup_gas_ocs_paw*gas_boe)/(365*sim_sup_oil_ocs+sim_sup_gas_ocs*gas_boe)),0,(365*sim_sup_oil_ocs_paw+sim_sup_gas_ocs_paw*gas_boe)/(365*sim_sup_oil_ocs+sim_sup_gas_ocs*gas_boe))</f>
        <v>0</v>
      </c>
      <c r="N10" s="458">
        <f t="array" ref="N10:N84">IF(ISERROR((365*sim_sup_oil_ocs_goa+sim_sup_gas_ocs_goa*gas_boe)/(365*sim_sup_oil_ocs+sim_sup_gas_ocs*gas_boe)),0,(365*sim_sup_oil_ocs_goa+sim_sup_gas_ocs_goa*gas_boe)/(365*sim_sup_oil_ocs+sim_sup_gas_ocs*gas_boe))</f>
        <v>0</v>
      </c>
      <c r="O10" s="454">
        <f t="array" ref="O10:O84">IF(ISERROR((365*sim_sup_oil_ocs_coo+sim_sup_gas_ocs_coo*gas_boe)/(365*sim_sup_oil_ocs+sim_sup_gas_ocs*gas_boe)),0,(365*sim_sup_oil_ocs_coo+sim_sup_gas_ocs_coo*gas_boe)/(365*sim_sup_oil_ocs+sim_sup_gas_ocs*gas_boe))</f>
        <v>0</v>
      </c>
      <c r="P10" s="454">
        <f t="array" ref="P10:P84">IF(ISERROR((365*sim_sup_oil_ocs_kod+sim_sup_gas_ocs_kod*gas_boe)/(365*sim_sup_oil_ocs+sim_sup_gas_ocs*gas_boe)),0,(365*sim_sup_oil_ocs_kod+sim_sup_gas_ocs_kod*gas_boe)/(365*sim_sup_oil_ocs+sim_sup_gas_ocs*gas_boe))</f>
        <v>0</v>
      </c>
      <c r="Q10" s="454">
        <f t="array" ref="Q10:Q84">IF(ISERROR((365*sim_sup_oil_ocs_shu+sim_sup_gas_ocs_shu*gas_boe)/(365*sim_sup_oil_ocs+sim_sup_gas_ocs*gas_boe)),0,(365*sim_sup_oil_ocs_shu+sim_sup_gas_ocs_shu*gas_boe)/(365*sim_sup_oil_ocs+sim_sup_gas_ocs*gas_boe))</f>
        <v>0</v>
      </c>
      <c r="R10" s="454">
        <f t="array" ref="R10:R84">IF(ISERROR((365*sim_sup_oil_ocs_nab+sim_sup_gas_ocs_nab*gas_boe)/(365*sim_sup_oil_ocs+sim_sup_gas_ocs*gas_boe)),0,(365*sim_sup_oil_ocs_nab+sim_sup_gas_ocs_nab*gas_boe)/(365*sim_sup_oil_ocs+sim_sup_gas_ocs*gas_boe))</f>
        <v>0</v>
      </c>
      <c r="S10" s="454">
        <f t="array" ref="S10:S84">IF(ISERROR((365*sim_sup_oil_ocs_ala+sim_sup_gas_ocs_ala*gas_boe)/(365*sim_sup_oil_ocs+sim_sup_gas_ocs*gas_boe)),0,(365*sim_sup_oil_ocs_ala+sim_sup_gas_ocs_ala*gas_boe)/(365*sim_sup_oil_ocs+sim_sup_gas_ocs*gas_boe))</f>
        <v>0</v>
      </c>
      <c r="T10" s="454">
        <f t="array" ref="T10:T84">IF(ISERROR((365*sim_sup_oil_ocs_sgb+sim_sup_gas_ocs_sgb*gas_boe)/(365*sim_sup_oil_ocs+sim_sup_gas_ocs*gas_boe)),0,(365*sim_sup_oil_ocs_sgb+sim_sup_gas_ocs_sgb*gas_boe)/(365*sim_sup_oil_ocs+sim_sup_gas_ocs*gas_boe))</f>
        <v>0</v>
      </c>
      <c r="U10" s="454">
        <f t="array" ref="U10:U84">IF(ISERROR((365*sim_sup_oil_ocs_smh+sim_sup_gas_ocs_smh*gas_boe)/(365*sim_sup_oil_ocs+sim_sup_gas_ocs*gas_boe)),0,(365*sim_sup_oil_ocs_smh+sim_sup_gas_ocs_smh*gas_boe)/(365*sim_sup_oil_ocs+sim_sup_gas_ocs*gas_boe))</f>
        <v>0</v>
      </c>
      <c r="V10" s="454">
        <f t="array" ref="V10:V84">IF(ISERROR((365*sim_sup_oil_ocs_bow+sim_sup_gas_ocs_bow*gas_boe)/(365*sim_sup_oil_ocs+sim_sup_gas_ocs*gas_boe)),0,(365*sim_sup_oil_ocs_bow+sim_sup_gas_ocs_bow*gas_boe)/(365*sim_sup_oil_ocs+sim_sup_gas_ocs*gas_boe))</f>
        <v>0</v>
      </c>
      <c r="W10" s="454">
        <f t="array" ref="W10:W84">IF(ISERROR((365*sim_sup_oil_ocs_alb+sim_sup_gas_ocs_alb*gas_boe)/(365*sim_sup_oil_ocs+sim_sup_gas_ocs*gas_boe)),0,(365*sim_sup_oil_ocs_alb+sim_sup_gas_ocs_alb*gas_boe)/(365*sim_sup_oil_ocs+sim_sup_gas_ocs*gas_boe))</f>
        <v>0</v>
      </c>
      <c r="X10" s="454">
        <f t="array" ref="X10:X84">IF(ISERROR((365*sim_sup_oil_ocs_nav+sim_sup_gas_ocs_nav*gas_boe)/(365*sim_sup_oil_ocs+sim_sup_gas_ocs*gas_boe)),0,(365*sim_sup_oil_ocs_nav+sim_sup_gas_ocs_nav*gas_boe)/(365*sim_sup_oil_ocs+sim_sup_gas_ocs*gas_boe))</f>
        <v>0</v>
      </c>
      <c r="Y10" s="454">
        <f t="array" ref="Y10:Y84">IF(ISERROR((365*sim_sup_oil_ocs_nor+sim_sup_gas_ocs_nor*gas_boe)/(365*sim_sup_oil_ocs+sim_sup_gas_ocs*gas_boe)),0,(365*sim_sup_oil_ocs_nor+sim_sup_gas_ocs_nor*gas_boe)/(365*sim_sup_oil_ocs+sim_sup_gas_ocs*gas_boe))</f>
        <v>0</v>
      </c>
      <c r="Z10" s="454">
        <f t="array" ref="Z10:Z84">IF(ISERROR((365*sim_sup_oil_ocs_hop+sim_sup_gas_ocs_hop*gas_boe)/(365*sim_sup_oil_ocs+sim_sup_gas_ocs*gas_boe)),0,(365*sim_sup_oil_ocs_hop+sim_sup_gas_ocs_hop*gas_boe)/(365*sim_sup_oil_ocs+sim_sup_gas_ocs*gas_boe))</f>
        <v>0</v>
      </c>
      <c r="AA10" s="454">
        <f t="array" ref="AA10:AA84">IF(ISERROR((365*sim_sup_oil_ocs_chu+sim_sup_gas_ocs_chu*gas_boe)/(365*sim_sup_oil_ocs+sim_sup_gas_ocs*gas_boe)),0,(365*sim_sup_oil_ocs_chu+sim_sup_gas_ocs_chu*gas_boe)/(365*sim_sup_oil_ocs+sim_sup_gas_ocs*gas_boe))</f>
        <v>0</v>
      </c>
      <c r="AB10" s="456">
        <f t="array" ref="AB10:AB84">IF(ISERROR((365*sim_sup_oil_ocs_bea+sim_sup_gas_ocs_bea*gas_boe)/(365*sim_sup_oil_ocs+sim_sup_gas_ocs*gas_boe)),0,(365*sim_sup_oil_ocs_bea+sim_sup_gas_ocs_bea*gas_boe)/(365*sim_sup_oil_ocs+sim_sup_gas_ocs*gas_boe))</f>
        <v>0</v>
      </c>
    </row>
    <row r="11" spans="1:28" ht="15">
      <c r="B11" s="22">
        <f>'Oil supply projection'!$B11</f>
        <v>2020</v>
      </c>
      <c r="C11" s="454">
        <v>0</v>
      </c>
      <c r="D11" s="454">
        <v>0</v>
      </c>
      <c r="E11" s="454">
        <v>0</v>
      </c>
      <c r="F11" s="456">
        <v>0</v>
      </c>
      <c r="G11" s="458">
        <v>0</v>
      </c>
      <c r="H11" s="454">
        <v>0</v>
      </c>
      <c r="I11" s="456">
        <v>0</v>
      </c>
      <c r="J11" s="458">
        <v>0</v>
      </c>
      <c r="K11" s="454">
        <v>0</v>
      </c>
      <c r="L11" s="454">
        <v>0</v>
      </c>
      <c r="M11" s="456">
        <v>0</v>
      </c>
      <c r="N11" s="458">
        <v>0</v>
      </c>
      <c r="O11" s="454">
        <v>0</v>
      </c>
      <c r="P11" s="454">
        <v>0</v>
      </c>
      <c r="Q11" s="454">
        <v>0</v>
      </c>
      <c r="R11" s="454">
        <v>0</v>
      </c>
      <c r="S11" s="454">
        <v>0</v>
      </c>
      <c r="T11" s="454">
        <v>0</v>
      </c>
      <c r="U11" s="454">
        <v>0</v>
      </c>
      <c r="V11" s="454">
        <v>0</v>
      </c>
      <c r="W11" s="454">
        <v>0</v>
      </c>
      <c r="X11" s="454">
        <v>0</v>
      </c>
      <c r="Y11" s="454">
        <v>0</v>
      </c>
      <c r="Z11" s="454">
        <v>0</v>
      </c>
      <c r="AA11" s="454">
        <v>0</v>
      </c>
      <c r="AB11" s="456">
        <v>0</v>
      </c>
    </row>
    <row r="12" spans="1:28" ht="15">
      <c r="B12" s="22">
        <f>'Oil supply projection'!$B12</f>
        <v>2021</v>
      </c>
      <c r="C12" s="454">
        <v>0</v>
      </c>
      <c r="D12" s="454">
        <v>0</v>
      </c>
      <c r="E12" s="454">
        <v>0</v>
      </c>
      <c r="F12" s="456">
        <v>0</v>
      </c>
      <c r="G12" s="458">
        <v>0</v>
      </c>
      <c r="H12" s="454">
        <v>0</v>
      </c>
      <c r="I12" s="456">
        <v>0</v>
      </c>
      <c r="J12" s="458">
        <v>0</v>
      </c>
      <c r="K12" s="454">
        <v>0</v>
      </c>
      <c r="L12" s="454">
        <v>0</v>
      </c>
      <c r="M12" s="456">
        <v>0</v>
      </c>
      <c r="N12" s="458">
        <v>0</v>
      </c>
      <c r="O12" s="454">
        <v>0</v>
      </c>
      <c r="P12" s="454">
        <v>0</v>
      </c>
      <c r="Q12" s="454">
        <v>0</v>
      </c>
      <c r="R12" s="454">
        <v>0</v>
      </c>
      <c r="S12" s="454">
        <v>0</v>
      </c>
      <c r="T12" s="454">
        <v>0</v>
      </c>
      <c r="U12" s="454">
        <v>0</v>
      </c>
      <c r="V12" s="454">
        <v>0</v>
      </c>
      <c r="W12" s="454">
        <v>0</v>
      </c>
      <c r="X12" s="454">
        <v>0</v>
      </c>
      <c r="Y12" s="454">
        <v>0</v>
      </c>
      <c r="Z12" s="454">
        <v>0</v>
      </c>
      <c r="AA12" s="454">
        <v>0</v>
      </c>
      <c r="AB12" s="456">
        <v>0</v>
      </c>
    </row>
    <row r="13" spans="1:28" ht="15">
      <c r="B13" s="22">
        <f>'Oil supply projection'!$B13</f>
        <v>2022</v>
      </c>
      <c r="C13" s="454">
        <v>0</v>
      </c>
      <c r="D13" s="454">
        <v>0</v>
      </c>
      <c r="E13" s="454">
        <v>0</v>
      </c>
      <c r="F13" s="456">
        <v>0</v>
      </c>
      <c r="G13" s="458">
        <v>0</v>
      </c>
      <c r="H13" s="454">
        <v>0</v>
      </c>
      <c r="I13" s="456">
        <v>0</v>
      </c>
      <c r="J13" s="458">
        <v>0</v>
      </c>
      <c r="K13" s="454">
        <v>0</v>
      </c>
      <c r="L13" s="454">
        <v>0</v>
      </c>
      <c r="M13" s="456">
        <v>0</v>
      </c>
      <c r="N13" s="458">
        <v>0</v>
      </c>
      <c r="O13" s="454">
        <v>0</v>
      </c>
      <c r="P13" s="454">
        <v>0</v>
      </c>
      <c r="Q13" s="454">
        <v>0</v>
      </c>
      <c r="R13" s="454">
        <v>0</v>
      </c>
      <c r="S13" s="454">
        <v>0</v>
      </c>
      <c r="T13" s="454">
        <v>0</v>
      </c>
      <c r="U13" s="454">
        <v>0</v>
      </c>
      <c r="V13" s="454">
        <v>0</v>
      </c>
      <c r="W13" s="454">
        <v>0</v>
      </c>
      <c r="X13" s="454">
        <v>0</v>
      </c>
      <c r="Y13" s="454">
        <v>0</v>
      </c>
      <c r="Z13" s="454">
        <v>0</v>
      </c>
      <c r="AA13" s="454">
        <v>0</v>
      </c>
      <c r="AB13" s="456">
        <v>0</v>
      </c>
    </row>
    <row r="14" spans="1:28" ht="15">
      <c r="B14" s="22">
        <f>'Oil supply projection'!$B14</f>
        <v>2023</v>
      </c>
      <c r="C14" s="454">
        <v>0</v>
      </c>
      <c r="D14" s="454">
        <v>0</v>
      </c>
      <c r="E14" s="454">
        <v>0</v>
      </c>
      <c r="F14" s="456">
        <v>0</v>
      </c>
      <c r="G14" s="458">
        <v>0</v>
      </c>
      <c r="H14" s="454">
        <v>0</v>
      </c>
      <c r="I14" s="456">
        <v>0</v>
      </c>
      <c r="J14" s="458">
        <v>0</v>
      </c>
      <c r="K14" s="454">
        <v>0</v>
      </c>
      <c r="L14" s="454">
        <v>0</v>
      </c>
      <c r="M14" s="456">
        <v>0</v>
      </c>
      <c r="N14" s="458">
        <v>0</v>
      </c>
      <c r="O14" s="454">
        <v>0</v>
      </c>
      <c r="P14" s="454">
        <v>0</v>
      </c>
      <c r="Q14" s="454">
        <v>0</v>
      </c>
      <c r="R14" s="454">
        <v>0</v>
      </c>
      <c r="S14" s="454">
        <v>0</v>
      </c>
      <c r="T14" s="454">
        <v>0</v>
      </c>
      <c r="U14" s="454">
        <v>0</v>
      </c>
      <c r="V14" s="454">
        <v>0</v>
      </c>
      <c r="W14" s="454">
        <v>0</v>
      </c>
      <c r="X14" s="454">
        <v>0</v>
      </c>
      <c r="Y14" s="454">
        <v>0</v>
      </c>
      <c r="Z14" s="454">
        <v>0</v>
      </c>
      <c r="AA14" s="454">
        <v>0</v>
      </c>
      <c r="AB14" s="456">
        <v>0</v>
      </c>
    </row>
    <row r="15" spans="1:28" ht="15">
      <c r="B15" s="22">
        <f>'Oil supply projection'!$B15</f>
        <v>2024</v>
      </c>
      <c r="C15" s="454">
        <v>0</v>
      </c>
      <c r="D15" s="454">
        <v>0</v>
      </c>
      <c r="E15" s="454">
        <v>0</v>
      </c>
      <c r="F15" s="456">
        <v>0</v>
      </c>
      <c r="G15" s="458">
        <v>0</v>
      </c>
      <c r="H15" s="454">
        <v>0</v>
      </c>
      <c r="I15" s="456">
        <v>0</v>
      </c>
      <c r="J15" s="458">
        <v>0</v>
      </c>
      <c r="K15" s="454">
        <v>0</v>
      </c>
      <c r="L15" s="454">
        <v>0</v>
      </c>
      <c r="M15" s="456">
        <v>0</v>
      </c>
      <c r="N15" s="458">
        <v>0</v>
      </c>
      <c r="O15" s="454">
        <v>0</v>
      </c>
      <c r="P15" s="454">
        <v>0</v>
      </c>
      <c r="Q15" s="454">
        <v>0</v>
      </c>
      <c r="R15" s="454">
        <v>0</v>
      </c>
      <c r="S15" s="454">
        <v>0</v>
      </c>
      <c r="T15" s="454">
        <v>0</v>
      </c>
      <c r="U15" s="454">
        <v>0</v>
      </c>
      <c r="V15" s="454">
        <v>0</v>
      </c>
      <c r="W15" s="454">
        <v>0</v>
      </c>
      <c r="X15" s="454">
        <v>0</v>
      </c>
      <c r="Y15" s="454">
        <v>0</v>
      </c>
      <c r="Z15" s="454">
        <v>0</v>
      </c>
      <c r="AA15" s="454">
        <v>0</v>
      </c>
      <c r="AB15" s="456">
        <v>0</v>
      </c>
    </row>
    <row r="16" spans="1:28" ht="15">
      <c r="B16" s="22">
        <f>'Oil supply projection'!$B16</f>
        <v>2025</v>
      </c>
      <c r="C16" s="454">
        <v>0</v>
      </c>
      <c r="D16" s="454">
        <v>0</v>
      </c>
      <c r="E16" s="454">
        <v>0</v>
      </c>
      <c r="F16" s="456">
        <v>0</v>
      </c>
      <c r="G16" s="458">
        <v>0</v>
      </c>
      <c r="H16" s="454">
        <v>0</v>
      </c>
      <c r="I16" s="456">
        <v>0</v>
      </c>
      <c r="J16" s="458">
        <v>0</v>
      </c>
      <c r="K16" s="454">
        <v>0</v>
      </c>
      <c r="L16" s="454">
        <v>0</v>
      </c>
      <c r="M16" s="456">
        <v>0</v>
      </c>
      <c r="N16" s="458">
        <v>0</v>
      </c>
      <c r="O16" s="454">
        <v>0</v>
      </c>
      <c r="P16" s="454">
        <v>0</v>
      </c>
      <c r="Q16" s="454">
        <v>0</v>
      </c>
      <c r="R16" s="454">
        <v>0</v>
      </c>
      <c r="S16" s="454">
        <v>0</v>
      </c>
      <c r="T16" s="454">
        <v>0</v>
      </c>
      <c r="U16" s="454">
        <v>0</v>
      </c>
      <c r="V16" s="454">
        <v>0</v>
      </c>
      <c r="W16" s="454">
        <v>0</v>
      </c>
      <c r="X16" s="454">
        <v>0</v>
      </c>
      <c r="Y16" s="454">
        <v>0</v>
      </c>
      <c r="Z16" s="454">
        <v>0</v>
      </c>
      <c r="AA16" s="454">
        <v>0</v>
      </c>
      <c r="AB16" s="456">
        <v>0</v>
      </c>
    </row>
    <row r="17" spans="2:28" ht="15">
      <c r="B17" s="22">
        <f>'Oil supply projection'!$B17</f>
        <v>2026</v>
      </c>
      <c r="C17" s="454">
        <v>0</v>
      </c>
      <c r="D17" s="454">
        <v>0</v>
      </c>
      <c r="E17" s="454">
        <v>0</v>
      </c>
      <c r="F17" s="456">
        <v>0</v>
      </c>
      <c r="G17" s="458">
        <v>0</v>
      </c>
      <c r="H17" s="454">
        <v>0</v>
      </c>
      <c r="I17" s="456">
        <v>0</v>
      </c>
      <c r="J17" s="458">
        <v>0</v>
      </c>
      <c r="K17" s="454">
        <v>0</v>
      </c>
      <c r="L17" s="454">
        <v>0</v>
      </c>
      <c r="M17" s="456">
        <v>0</v>
      </c>
      <c r="N17" s="458">
        <v>0</v>
      </c>
      <c r="O17" s="454">
        <v>0</v>
      </c>
      <c r="P17" s="454">
        <v>0</v>
      </c>
      <c r="Q17" s="454">
        <v>0</v>
      </c>
      <c r="R17" s="454">
        <v>0</v>
      </c>
      <c r="S17" s="454">
        <v>0</v>
      </c>
      <c r="T17" s="454">
        <v>0</v>
      </c>
      <c r="U17" s="454">
        <v>0</v>
      </c>
      <c r="V17" s="454">
        <v>0</v>
      </c>
      <c r="W17" s="454">
        <v>0</v>
      </c>
      <c r="X17" s="454">
        <v>0</v>
      </c>
      <c r="Y17" s="454">
        <v>0</v>
      </c>
      <c r="Z17" s="454">
        <v>0</v>
      </c>
      <c r="AA17" s="454">
        <v>0</v>
      </c>
      <c r="AB17" s="456">
        <v>0</v>
      </c>
    </row>
    <row r="18" spans="2:28" ht="15">
      <c r="B18" s="22">
        <f>'Oil supply projection'!$B18</f>
        <v>2027</v>
      </c>
      <c r="C18" s="454">
        <v>0</v>
      </c>
      <c r="D18" s="454">
        <v>0</v>
      </c>
      <c r="E18" s="454">
        <v>0</v>
      </c>
      <c r="F18" s="456">
        <v>0</v>
      </c>
      <c r="G18" s="458">
        <v>0</v>
      </c>
      <c r="H18" s="454">
        <v>0</v>
      </c>
      <c r="I18" s="456">
        <v>0</v>
      </c>
      <c r="J18" s="458">
        <v>0</v>
      </c>
      <c r="K18" s="454">
        <v>0</v>
      </c>
      <c r="L18" s="454">
        <v>0</v>
      </c>
      <c r="M18" s="456">
        <v>0</v>
      </c>
      <c r="N18" s="458">
        <v>0</v>
      </c>
      <c r="O18" s="454">
        <v>0</v>
      </c>
      <c r="P18" s="454">
        <v>0</v>
      </c>
      <c r="Q18" s="454">
        <v>0</v>
      </c>
      <c r="R18" s="454">
        <v>0</v>
      </c>
      <c r="S18" s="454">
        <v>0</v>
      </c>
      <c r="T18" s="454">
        <v>0</v>
      </c>
      <c r="U18" s="454">
        <v>0</v>
      </c>
      <c r="V18" s="454">
        <v>0</v>
      </c>
      <c r="W18" s="454">
        <v>0</v>
      </c>
      <c r="X18" s="454">
        <v>0</v>
      </c>
      <c r="Y18" s="454">
        <v>0</v>
      </c>
      <c r="Z18" s="454">
        <v>0</v>
      </c>
      <c r="AA18" s="454">
        <v>0</v>
      </c>
      <c r="AB18" s="456">
        <v>0</v>
      </c>
    </row>
    <row r="19" spans="2:28" ht="15">
      <c r="B19" s="22">
        <f>'Oil supply projection'!$B19</f>
        <v>2028</v>
      </c>
      <c r="C19" s="454">
        <v>0</v>
      </c>
      <c r="D19" s="454">
        <v>0</v>
      </c>
      <c r="E19" s="454">
        <v>0</v>
      </c>
      <c r="F19" s="456">
        <v>0</v>
      </c>
      <c r="G19" s="458">
        <v>0</v>
      </c>
      <c r="H19" s="454">
        <v>0</v>
      </c>
      <c r="I19" s="456">
        <v>0</v>
      </c>
      <c r="J19" s="458">
        <v>0</v>
      </c>
      <c r="K19" s="454">
        <v>0</v>
      </c>
      <c r="L19" s="454">
        <v>0</v>
      </c>
      <c r="M19" s="456">
        <v>0</v>
      </c>
      <c r="N19" s="458">
        <v>0</v>
      </c>
      <c r="O19" s="454">
        <v>0</v>
      </c>
      <c r="P19" s="454">
        <v>0</v>
      </c>
      <c r="Q19" s="454">
        <v>0</v>
      </c>
      <c r="R19" s="454">
        <v>0</v>
      </c>
      <c r="S19" s="454">
        <v>0</v>
      </c>
      <c r="T19" s="454">
        <v>0</v>
      </c>
      <c r="U19" s="454">
        <v>0</v>
      </c>
      <c r="V19" s="454">
        <v>0</v>
      </c>
      <c r="W19" s="454">
        <v>0</v>
      </c>
      <c r="X19" s="454">
        <v>0</v>
      </c>
      <c r="Y19" s="454">
        <v>0</v>
      </c>
      <c r="Z19" s="454">
        <v>0</v>
      </c>
      <c r="AA19" s="454">
        <v>0</v>
      </c>
      <c r="AB19" s="456">
        <v>0</v>
      </c>
    </row>
    <row r="20" spans="2:28" ht="15">
      <c r="B20" s="22">
        <f>'Oil supply projection'!$B20</f>
        <v>2029</v>
      </c>
      <c r="C20" s="454">
        <v>0</v>
      </c>
      <c r="D20" s="454">
        <v>0</v>
      </c>
      <c r="E20" s="454">
        <v>0</v>
      </c>
      <c r="F20" s="456">
        <v>0</v>
      </c>
      <c r="G20" s="458">
        <v>0</v>
      </c>
      <c r="H20" s="454">
        <v>0</v>
      </c>
      <c r="I20" s="456">
        <v>0</v>
      </c>
      <c r="J20" s="458">
        <v>0</v>
      </c>
      <c r="K20" s="454">
        <v>0</v>
      </c>
      <c r="L20" s="454">
        <v>0</v>
      </c>
      <c r="M20" s="456">
        <v>0</v>
      </c>
      <c r="N20" s="458">
        <v>0</v>
      </c>
      <c r="O20" s="454">
        <v>0</v>
      </c>
      <c r="P20" s="454">
        <v>0</v>
      </c>
      <c r="Q20" s="454">
        <v>0</v>
      </c>
      <c r="R20" s="454">
        <v>0</v>
      </c>
      <c r="S20" s="454">
        <v>0</v>
      </c>
      <c r="T20" s="454">
        <v>0</v>
      </c>
      <c r="U20" s="454">
        <v>0</v>
      </c>
      <c r="V20" s="454">
        <v>0</v>
      </c>
      <c r="W20" s="454">
        <v>0</v>
      </c>
      <c r="X20" s="454">
        <v>0</v>
      </c>
      <c r="Y20" s="454">
        <v>0</v>
      </c>
      <c r="Z20" s="454">
        <v>0</v>
      </c>
      <c r="AA20" s="454">
        <v>0</v>
      </c>
      <c r="AB20" s="456">
        <v>0</v>
      </c>
    </row>
    <row r="21" spans="2:28" ht="15">
      <c r="B21" s="22">
        <f>'Oil supply projection'!$B21</f>
        <v>2030</v>
      </c>
      <c r="C21" s="454">
        <v>0</v>
      </c>
      <c r="D21" s="454">
        <v>0</v>
      </c>
      <c r="E21" s="454">
        <v>0</v>
      </c>
      <c r="F21" s="456">
        <v>0</v>
      </c>
      <c r="G21" s="458">
        <v>0</v>
      </c>
      <c r="H21" s="454">
        <v>0</v>
      </c>
      <c r="I21" s="456">
        <v>0</v>
      </c>
      <c r="J21" s="458">
        <v>0</v>
      </c>
      <c r="K21" s="454">
        <v>0</v>
      </c>
      <c r="L21" s="454">
        <v>0</v>
      </c>
      <c r="M21" s="456">
        <v>0</v>
      </c>
      <c r="N21" s="458">
        <v>1</v>
      </c>
      <c r="O21" s="454">
        <v>0</v>
      </c>
      <c r="P21" s="454">
        <v>0</v>
      </c>
      <c r="Q21" s="454">
        <v>0</v>
      </c>
      <c r="R21" s="454">
        <v>0</v>
      </c>
      <c r="S21" s="454">
        <v>0</v>
      </c>
      <c r="T21" s="454">
        <v>0</v>
      </c>
      <c r="U21" s="454">
        <v>0</v>
      </c>
      <c r="V21" s="454">
        <v>0</v>
      </c>
      <c r="W21" s="454">
        <v>0</v>
      </c>
      <c r="X21" s="454">
        <v>0</v>
      </c>
      <c r="Y21" s="454">
        <v>0</v>
      </c>
      <c r="Z21" s="454">
        <v>0</v>
      </c>
      <c r="AA21" s="454">
        <v>0</v>
      </c>
      <c r="AB21" s="456">
        <v>0</v>
      </c>
    </row>
    <row r="22" spans="2:28" ht="15">
      <c r="B22" s="22">
        <f>'Oil supply projection'!$B22</f>
        <v>2031</v>
      </c>
      <c r="C22" s="454">
        <v>0</v>
      </c>
      <c r="D22" s="454">
        <v>0</v>
      </c>
      <c r="E22" s="454">
        <v>0</v>
      </c>
      <c r="F22" s="456">
        <v>0</v>
      </c>
      <c r="G22" s="458">
        <v>0</v>
      </c>
      <c r="H22" s="454">
        <v>0</v>
      </c>
      <c r="I22" s="456">
        <v>0</v>
      </c>
      <c r="J22" s="458">
        <v>0</v>
      </c>
      <c r="K22" s="454">
        <v>0</v>
      </c>
      <c r="L22" s="454">
        <v>0</v>
      </c>
      <c r="M22" s="456">
        <v>0</v>
      </c>
      <c r="N22" s="458">
        <v>1</v>
      </c>
      <c r="O22" s="454">
        <v>0</v>
      </c>
      <c r="P22" s="454">
        <v>0</v>
      </c>
      <c r="Q22" s="454">
        <v>0</v>
      </c>
      <c r="R22" s="454">
        <v>0</v>
      </c>
      <c r="S22" s="454">
        <v>0</v>
      </c>
      <c r="T22" s="454">
        <v>0</v>
      </c>
      <c r="U22" s="454">
        <v>0</v>
      </c>
      <c r="V22" s="454">
        <v>0</v>
      </c>
      <c r="W22" s="454">
        <v>0</v>
      </c>
      <c r="X22" s="454">
        <v>0</v>
      </c>
      <c r="Y22" s="454">
        <v>0</v>
      </c>
      <c r="Z22" s="454">
        <v>0</v>
      </c>
      <c r="AA22" s="454">
        <v>0</v>
      </c>
      <c r="AB22" s="456">
        <v>0</v>
      </c>
    </row>
    <row r="23" spans="2:28" ht="15">
      <c r="B23" s="22">
        <f>'Oil supply projection'!$B23</f>
        <v>2032</v>
      </c>
      <c r="C23" s="454">
        <v>0</v>
      </c>
      <c r="D23" s="454">
        <v>0</v>
      </c>
      <c r="E23" s="454">
        <v>0</v>
      </c>
      <c r="F23" s="456">
        <v>0</v>
      </c>
      <c r="G23" s="458">
        <v>0</v>
      </c>
      <c r="H23" s="454">
        <v>0.41596823996471105</v>
      </c>
      <c r="I23" s="456">
        <v>0</v>
      </c>
      <c r="J23" s="458">
        <v>0</v>
      </c>
      <c r="K23" s="454">
        <v>0</v>
      </c>
      <c r="L23" s="454">
        <v>0</v>
      </c>
      <c r="M23" s="456">
        <v>0</v>
      </c>
      <c r="N23" s="458">
        <v>0.2920158800176445</v>
      </c>
      <c r="O23" s="454">
        <v>0.2920158800176445</v>
      </c>
      <c r="P23" s="454">
        <v>0</v>
      </c>
      <c r="Q23" s="454">
        <v>0</v>
      </c>
      <c r="R23" s="454">
        <v>0</v>
      </c>
      <c r="S23" s="454">
        <v>0</v>
      </c>
      <c r="T23" s="454">
        <v>0</v>
      </c>
      <c r="U23" s="454">
        <v>0</v>
      </c>
      <c r="V23" s="454">
        <v>0</v>
      </c>
      <c r="W23" s="454">
        <v>0</v>
      </c>
      <c r="X23" s="454">
        <v>0</v>
      </c>
      <c r="Y23" s="454">
        <v>0</v>
      </c>
      <c r="Z23" s="454">
        <v>0</v>
      </c>
      <c r="AA23" s="454">
        <v>0</v>
      </c>
      <c r="AB23" s="456">
        <v>0</v>
      </c>
    </row>
    <row r="24" spans="2:28" ht="15">
      <c r="B24" s="22">
        <f>'Oil supply projection'!$B24</f>
        <v>2033</v>
      </c>
      <c r="C24" s="454">
        <v>0</v>
      </c>
      <c r="D24" s="454">
        <v>0</v>
      </c>
      <c r="E24" s="454">
        <v>0</v>
      </c>
      <c r="F24" s="456">
        <v>0</v>
      </c>
      <c r="G24" s="458">
        <v>0</v>
      </c>
      <c r="H24" s="454">
        <v>0.41596823996471105</v>
      </c>
      <c r="I24" s="456">
        <v>0</v>
      </c>
      <c r="J24" s="458">
        <v>0</v>
      </c>
      <c r="K24" s="454">
        <v>0</v>
      </c>
      <c r="L24" s="454">
        <v>0</v>
      </c>
      <c r="M24" s="456">
        <v>0</v>
      </c>
      <c r="N24" s="458">
        <v>0.2920158800176445</v>
      </c>
      <c r="O24" s="454">
        <v>0.2920158800176445</v>
      </c>
      <c r="P24" s="454">
        <v>0</v>
      </c>
      <c r="Q24" s="454">
        <v>0</v>
      </c>
      <c r="R24" s="454">
        <v>0</v>
      </c>
      <c r="S24" s="454">
        <v>0</v>
      </c>
      <c r="T24" s="454">
        <v>0</v>
      </c>
      <c r="U24" s="454">
        <v>0</v>
      </c>
      <c r="V24" s="454">
        <v>0</v>
      </c>
      <c r="W24" s="454">
        <v>0</v>
      </c>
      <c r="X24" s="454">
        <v>0</v>
      </c>
      <c r="Y24" s="454">
        <v>0</v>
      </c>
      <c r="Z24" s="454">
        <v>0</v>
      </c>
      <c r="AA24" s="454">
        <v>0</v>
      </c>
      <c r="AB24" s="456">
        <v>0</v>
      </c>
    </row>
    <row r="25" spans="2:28" ht="15">
      <c r="B25" s="22">
        <f>'Oil supply projection'!$B25</f>
        <v>2034</v>
      </c>
      <c r="C25" s="454">
        <v>0</v>
      </c>
      <c r="D25" s="454">
        <v>0</v>
      </c>
      <c r="E25" s="454">
        <v>0</v>
      </c>
      <c r="F25" s="456">
        <v>0</v>
      </c>
      <c r="G25" s="458">
        <v>0</v>
      </c>
      <c r="H25" s="454">
        <v>0.41596823996471105</v>
      </c>
      <c r="I25" s="456">
        <v>0</v>
      </c>
      <c r="J25" s="458">
        <v>0</v>
      </c>
      <c r="K25" s="454">
        <v>0</v>
      </c>
      <c r="L25" s="454">
        <v>0</v>
      </c>
      <c r="M25" s="456">
        <v>0</v>
      </c>
      <c r="N25" s="458">
        <v>0.2920158800176445</v>
      </c>
      <c r="O25" s="454">
        <v>0.2920158800176445</v>
      </c>
      <c r="P25" s="454">
        <v>0</v>
      </c>
      <c r="Q25" s="454">
        <v>0</v>
      </c>
      <c r="R25" s="454">
        <v>0</v>
      </c>
      <c r="S25" s="454">
        <v>0</v>
      </c>
      <c r="T25" s="454">
        <v>0</v>
      </c>
      <c r="U25" s="454">
        <v>0</v>
      </c>
      <c r="V25" s="454">
        <v>0</v>
      </c>
      <c r="W25" s="454">
        <v>0</v>
      </c>
      <c r="X25" s="454">
        <v>0</v>
      </c>
      <c r="Y25" s="454">
        <v>0</v>
      </c>
      <c r="Z25" s="454">
        <v>0</v>
      </c>
      <c r="AA25" s="454">
        <v>0</v>
      </c>
      <c r="AB25" s="456">
        <v>0</v>
      </c>
    </row>
    <row r="26" spans="2:28" ht="15">
      <c r="B26" s="22">
        <f>'Oil supply projection'!$B26</f>
        <v>2035</v>
      </c>
      <c r="C26" s="454">
        <v>0</v>
      </c>
      <c r="D26" s="454">
        <v>0</v>
      </c>
      <c r="E26" s="454">
        <v>0</v>
      </c>
      <c r="F26" s="456">
        <v>0</v>
      </c>
      <c r="G26" s="458">
        <v>0</v>
      </c>
      <c r="H26" s="454">
        <v>0.41596823996471105</v>
      </c>
      <c r="I26" s="456">
        <v>0</v>
      </c>
      <c r="J26" s="458">
        <v>0</v>
      </c>
      <c r="K26" s="454">
        <v>0</v>
      </c>
      <c r="L26" s="454">
        <v>0</v>
      </c>
      <c r="M26" s="456">
        <v>0</v>
      </c>
      <c r="N26" s="458">
        <v>0.2920158800176445</v>
      </c>
      <c r="O26" s="454">
        <v>0.2920158800176445</v>
      </c>
      <c r="P26" s="454">
        <v>0</v>
      </c>
      <c r="Q26" s="454">
        <v>0</v>
      </c>
      <c r="R26" s="454">
        <v>0</v>
      </c>
      <c r="S26" s="454">
        <v>0</v>
      </c>
      <c r="T26" s="454">
        <v>0</v>
      </c>
      <c r="U26" s="454">
        <v>0</v>
      </c>
      <c r="V26" s="454">
        <v>0</v>
      </c>
      <c r="W26" s="454">
        <v>0</v>
      </c>
      <c r="X26" s="454">
        <v>0</v>
      </c>
      <c r="Y26" s="454">
        <v>0</v>
      </c>
      <c r="Z26" s="454">
        <v>0</v>
      </c>
      <c r="AA26" s="454">
        <v>0</v>
      </c>
      <c r="AB26" s="456">
        <v>0</v>
      </c>
    </row>
    <row r="27" spans="2:28" ht="15">
      <c r="B27" s="22">
        <f>'Oil supply projection'!$B27</f>
        <v>2036</v>
      </c>
      <c r="C27" s="454">
        <v>0</v>
      </c>
      <c r="D27" s="454">
        <v>0</v>
      </c>
      <c r="E27" s="454">
        <v>0</v>
      </c>
      <c r="F27" s="456">
        <v>0</v>
      </c>
      <c r="G27" s="458">
        <v>0</v>
      </c>
      <c r="H27" s="454">
        <v>0.41596823996471105</v>
      </c>
      <c r="I27" s="456">
        <v>0</v>
      </c>
      <c r="J27" s="458">
        <v>0</v>
      </c>
      <c r="K27" s="454">
        <v>0</v>
      </c>
      <c r="L27" s="454">
        <v>0</v>
      </c>
      <c r="M27" s="456">
        <v>0</v>
      </c>
      <c r="N27" s="458">
        <v>0.2920158800176445</v>
      </c>
      <c r="O27" s="454">
        <v>0.2920158800176445</v>
      </c>
      <c r="P27" s="454">
        <v>0</v>
      </c>
      <c r="Q27" s="454">
        <v>0</v>
      </c>
      <c r="R27" s="454">
        <v>0</v>
      </c>
      <c r="S27" s="454">
        <v>0</v>
      </c>
      <c r="T27" s="454">
        <v>0</v>
      </c>
      <c r="U27" s="454">
        <v>0</v>
      </c>
      <c r="V27" s="454">
        <v>0</v>
      </c>
      <c r="W27" s="454">
        <v>0</v>
      </c>
      <c r="X27" s="454">
        <v>0</v>
      </c>
      <c r="Y27" s="454">
        <v>0</v>
      </c>
      <c r="Z27" s="454">
        <v>0</v>
      </c>
      <c r="AA27" s="454">
        <v>0</v>
      </c>
      <c r="AB27" s="456">
        <v>0</v>
      </c>
    </row>
    <row r="28" spans="2:28" ht="15">
      <c r="B28" s="22">
        <f>'Oil supply projection'!$B28</f>
        <v>2037</v>
      </c>
      <c r="C28" s="454">
        <v>0</v>
      </c>
      <c r="D28" s="454">
        <v>0</v>
      </c>
      <c r="E28" s="454">
        <v>0</v>
      </c>
      <c r="F28" s="456">
        <v>0</v>
      </c>
      <c r="G28" s="458">
        <v>0</v>
      </c>
      <c r="H28" s="454">
        <v>0.41596823996471105</v>
      </c>
      <c r="I28" s="456">
        <v>0</v>
      </c>
      <c r="J28" s="458">
        <v>0</v>
      </c>
      <c r="K28" s="454">
        <v>0</v>
      </c>
      <c r="L28" s="454">
        <v>0</v>
      </c>
      <c r="M28" s="456">
        <v>0</v>
      </c>
      <c r="N28" s="458">
        <v>0.2920158800176445</v>
      </c>
      <c r="O28" s="454">
        <v>0.2920158800176445</v>
      </c>
      <c r="P28" s="454">
        <v>0</v>
      </c>
      <c r="Q28" s="454">
        <v>0</v>
      </c>
      <c r="R28" s="454">
        <v>0</v>
      </c>
      <c r="S28" s="454">
        <v>0</v>
      </c>
      <c r="T28" s="454">
        <v>0</v>
      </c>
      <c r="U28" s="454">
        <v>0</v>
      </c>
      <c r="V28" s="454">
        <v>0</v>
      </c>
      <c r="W28" s="454">
        <v>0</v>
      </c>
      <c r="X28" s="454">
        <v>0</v>
      </c>
      <c r="Y28" s="454">
        <v>0</v>
      </c>
      <c r="Z28" s="454">
        <v>0</v>
      </c>
      <c r="AA28" s="454">
        <v>0</v>
      </c>
      <c r="AB28" s="456">
        <v>0</v>
      </c>
    </row>
    <row r="29" spans="2:28" ht="15">
      <c r="B29" s="22">
        <f>'Oil supply projection'!$B29</f>
        <v>2038</v>
      </c>
      <c r="C29" s="454">
        <v>0</v>
      </c>
      <c r="D29" s="454">
        <v>0</v>
      </c>
      <c r="E29" s="454">
        <v>0</v>
      </c>
      <c r="F29" s="456">
        <v>0</v>
      </c>
      <c r="G29" s="458">
        <v>0</v>
      </c>
      <c r="H29" s="454">
        <v>0.41596823996471105</v>
      </c>
      <c r="I29" s="456">
        <v>0</v>
      </c>
      <c r="J29" s="458">
        <v>0</v>
      </c>
      <c r="K29" s="454">
        <v>0</v>
      </c>
      <c r="L29" s="454">
        <v>0</v>
      </c>
      <c r="M29" s="456">
        <v>0</v>
      </c>
      <c r="N29" s="458">
        <v>0.2920158800176445</v>
      </c>
      <c r="O29" s="454">
        <v>0.2920158800176445</v>
      </c>
      <c r="P29" s="454">
        <v>0</v>
      </c>
      <c r="Q29" s="454">
        <v>0</v>
      </c>
      <c r="R29" s="454">
        <v>0</v>
      </c>
      <c r="S29" s="454">
        <v>0</v>
      </c>
      <c r="T29" s="454">
        <v>0</v>
      </c>
      <c r="U29" s="454">
        <v>0</v>
      </c>
      <c r="V29" s="454">
        <v>0</v>
      </c>
      <c r="W29" s="454">
        <v>0</v>
      </c>
      <c r="X29" s="454">
        <v>0</v>
      </c>
      <c r="Y29" s="454">
        <v>0</v>
      </c>
      <c r="Z29" s="454">
        <v>0</v>
      </c>
      <c r="AA29" s="454">
        <v>0</v>
      </c>
      <c r="AB29" s="456">
        <v>0</v>
      </c>
    </row>
    <row r="30" spans="2:28" ht="15">
      <c r="B30" s="22">
        <f>'Oil supply projection'!$B30</f>
        <v>2039</v>
      </c>
      <c r="C30" s="454">
        <v>0</v>
      </c>
      <c r="D30" s="454">
        <v>0</v>
      </c>
      <c r="E30" s="454">
        <v>0</v>
      </c>
      <c r="F30" s="456">
        <v>0</v>
      </c>
      <c r="G30" s="458">
        <v>0</v>
      </c>
      <c r="H30" s="454">
        <v>0.41596823996471105</v>
      </c>
      <c r="I30" s="456">
        <v>0</v>
      </c>
      <c r="J30" s="458">
        <v>0</v>
      </c>
      <c r="K30" s="454">
        <v>0</v>
      </c>
      <c r="L30" s="454">
        <v>0</v>
      </c>
      <c r="M30" s="456">
        <v>0</v>
      </c>
      <c r="N30" s="458">
        <v>0.2920158800176445</v>
      </c>
      <c r="O30" s="454">
        <v>0.2920158800176445</v>
      </c>
      <c r="P30" s="454">
        <v>0</v>
      </c>
      <c r="Q30" s="454">
        <v>0</v>
      </c>
      <c r="R30" s="454">
        <v>0</v>
      </c>
      <c r="S30" s="454">
        <v>0</v>
      </c>
      <c r="T30" s="454">
        <v>0</v>
      </c>
      <c r="U30" s="454">
        <v>0</v>
      </c>
      <c r="V30" s="454">
        <v>0</v>
      </c>
      <c r="W30" s="454">
        <v>0</v>
      </c>
      <c r="X30" s="454">
        <v>0</v>
      </c>
      <c r="Y30" s="454">
        <v>0</v>
      </c>
      <c r="Z30" s="454">
        <v>0</v>
      </c>
      <c r="AA30" s="454">
        <v>0</v>
      </c>
      <c r="AB30" s="456">
        <v>0</v>
      </c>
    </row>
    <row r="31" spans="2:28" ht="15">
      <c r="B31" s="22">
        <f>'Oil supply projection'!$B31</f>
        <v>2040</v>
      </c>
      <c r="C31" s="454">
        <v>0</v>
      </c>
      <c r="D31" s="454">
        <v>0</v>
      </c>
      <c r="E31" s="454">
        <v>0</v>
      </c>
      <c r="F31" s="456">
        <v>0</v>
      </c>
      <c r="G31" s="458">
        <v>0</v>
      </c>
      <c r="H31" s="454">
        <v>0.41596823996471105</v>
      </c>
      <c r="I31" s="456">
        <v>0</v>
      </c>
      <c r="J31" s="458">
        <v>0</v>
      </c>
      <c r="K31" s="454">
        <v>0</v>
      </c>
      <c r="L31" s="454">
        <v>0</v>
      </c>
      <c r="M31" s="456">
        <v>0</v>
      </c>
      <c r="N31" s="458">
        <v>0.2920158800176445</v>
      </c>
      <c r="O31" s="454">
        <v>0.2920158800176445</v>
      </c>
      <c r="P31" s="454">
        <v>0</v>
      </c>
      <c r="Q31" s="454">
        <v>0</v>
      </c>
      <c r="R31" s="454">
        <v>0</v>
      </c>
      <c r="S31" s="454">
        <v>0</v>
      </c>
      <c r="T31" s="454">
        <v>0</v>
      </c>
      <c r="U31" s="454">
        <v>0</v>
      </c>
      <c r="V31" s="454">
        <v>0</v>
      </c>
      <c r="W31" s="454">
        <v>0</v>
      </c>
      <c r="X31" s="454">
        <v>0</v>
      </c>
      <c r="Y31" s="454">
        <v>0</v>
      </c>
      <c r="Z31" s="454">
        <v>0</v>
      </c>
      <c r="AA31" s="454">
        <v>0</v>
      </c>
      <c r="AB31" s="456">
        <v>0</v>
      </c>
    </row>
    <row r="32" spans="2:28" ht="15">
      <c r="B32" s="22">
        <f>'Oil supply projection'!$B32</f>
        <v>2041</v>
      </c>
      <c r="C32" s="454">
        <v>0</v>
      </c>
      <c r="D32" s="454">
        <v>0</v>
      </c>
      <c r="E32" s="454">
        <v>0</v>
      </c>
      <c r="F32" s="456">
        <v>0</v>
      </c>
      <c r="G32" s="458">
        <v>0</v>
      </c>
      <c r="H32" s="454">
        <v>0.41596823996471105</v>
      </c>
      <c r="I32" s="456">
        <v>0</v>
      </c>
      <c r="J32" s="458">
        <v>0</v>
      </c>
      <c r="K32" s="454">
        <v>0</v>
      </c>
      <c r="L32" s="454">
        <v>0</v>
      </c>
      <c r="M32" s="456">
        <v>0</v>
      </c>
      <c r="N32" s="458">
        <v>0.2920158800176445</v>
      </c>
      <c r="O32" s="454">
        <v>0.2920158800176445</v>
      </c>
      <c r="P32" s="454">
        <v>0</v>
      </c>
      <c r="Q32" s="454">
        <v>0</v>
      </c>
      <c r="R32" s="454">
        <v>0</v>
      </c>
      <c r="S32" s="454">
        <v>0</v>
      </c>
      <c r="T32" s="454">
        <v>0</v>
      </c>
      <c r="U32" s="454">
        <v>0</v>
      </c>
      <c r="V32" s="454">
        <v>0</v>
      </c>
      <c r="W32" s="454">
        <v>0</v>
      </c>
      <c r="X32" s="454">
        <v>0</v>
      </c>
      <c r="Y32" s="454">
        <v>0</v>
      </c>
      <c r="Z32" s="454">
        <v>0</v>
      </c>
      <c r="AA32" s="454">
        <v>0</v>
      </c>
      <c r="AB32" s="456">
        <v>0</v>
      </c>
    </row>
    <row r="33" spans="2:28" ht="15">
      <c r="B33" s="22">
        <f>'Oil supply projection'!$B33</f>
        <v>2042</v>
      </c>
      <c r="C33" s="454">
        <v>0</v>
      </c>
      <c r="D33" s="454">
        <v>0</v>
      </c>
      <c r="E33" s="454">
        <v>0</v>
      </c>
      <c r="F33" s="456">
        <v>0</v>
      </c>
      <c r="G33" s="458">
        <v>0</v>
      </c>
      <c r="H33" s="454">
        <v>0.41596823996471105</v>
      </c>
      <c r="I33" s="456">
        <v>0</v>
      </c>
      <c r="J33" s="458">
        <v>0</v>
      </c>
      <c r="K33" s="454">
        <v>0</v>
      </c>
      <c r="L33" s="454">
        <v>0</v>
      </c>
      <c r="M33" s="456">
        <v>0</v>
      </c>
      <c r="N33" s="458">
        <v>0.2920158800176445</v>
      </c>
      <c r="O33" s="454">
        <v>0.2920158800176445</v>
      </c>
      <c r="P33" s="454">
        <v>0</v>
      </c>
      <c r="Q33" s="454">
        <v>0</v>
      </c>
      <c r="R33" s="454">
        <v>0</v>
      </c>
      <c r="S33" s="454">
        <v>0</v>
      </c>
      <c r="T33" s="454">
        <v>0</v>
      </c>
      <c r="U33" s="454">
        <v>0</v>
      </c>
      <c r="V33" s="454">
        <v>0</v>
      </c>
      <c r="W33" s="454">
        <v>0</v>
      </c>
      <c r="X33" s="454">
        <v>0</v>
      </c>
      <c r="Y33" s="454">
        <v>0</v>
      </c>
      <c r="Z33" s="454">
        <v>0</v>
      </c>
      <c r="AA33" s="454">
        <v>0</v>
      </c>
      <c r="AB33" s="456">
        <v>0</v>
      </c>
    </row>
    <row r="34" spans="2:28" ht="15">
      <c r="B34" s="22">
        <f>'Oil supply projection'!$B34</f>
        <v>2043</v>
      </c>
      <c r="C34" s="454">
        <v>0</v>
      </c>
      <c r="D34" s="454">
        <v>0</v>
      </c>
      <c r="E34" s="454">
        <v>0</v>
      </c>
      <c r="F34" s="456">
        <v>0</v>
      </c>
      <c r="G34" s="458">
        <v>0</v>
      </c>
      <c r="H34" s="454">
        <v>0.41596823996471105</v>
      </c>
      <c r="I34" s="456">
        <v>0</v>
      </c>
      <c r="J34" s="458">
        <v>0</v>
      </c>
      <c r="K34" s="454">
        <v>0</v>
      </c>
      <c r="L34" s="454">
        <v>0</v>
      </c>
      <c r="M34" s="456">
        <v>0</v>
      </c>
      <c r="N34" s="458">
        <v>0.2920158800176445</v>
      </c>
      <c r="O34" s="454">
        <v>0.2920158800176445</v>
      </c>
      <c r="P34" s="454">
        <v>0</v>
      </c>
      <c r="Q34" s="454">
        <v>0</v>
      </c>
      <c r="R34" s="454">
        <v>0</v>
      </c>
      <c r="S34" s="454">
        <v>0</v>
      </c>
      <c r="T34" s="454">
        <v>0</v>
      </c>
      <c r="U34" s="454">
        <v>0</v>
      </c>
      <c r="V34" s="454">
        <v>0</v>
      </c>
      <c r="W34" s="454">
        <v>0</v>
      </c>
      <c r="X34" s="454">
        <v>0</v>
      </c>
      <c r="Y34" s="454">
        <v>0</v>
      </c>
      <c r="Z34" s="454">
        <v>0</v>
      </c>
      <c r="AA34" s="454">
        <v>0</v>
      </c>
      <c r="AB34" s="456">
        <v>0</v>
      </c>
    </row>
    <row r="35" spans="2:28" ht="15">
      <c r="B35" s="22">
        <f>'Oil supply projection'!$B35</f>
        <v>2044</v>
      </c>
      <c r="C35" s="454">
        <v>0</v>
      </c>
      <c r="D35" s="454">
        <v>0</v>
      </c>
      <c r="E35" s="454">
        <v>0</v>
      </c>
      <c r="F35" s="456">
        <v>0</v>
      </c>
      <c r="G35" s="458">
        <v>0</v>
      </c>
      <c r="H35" s="454">
        <v>0.41596823996471105</v>
      </c>
      <c r="I35" s="456">
        <v>0</v>
      </c>
      <c r="J35" s="458">
        <v>0</v>
      </c>
      <c r="K35" s="454">
        <v>0</v>
      </c>
      <c r="L35" s="454">
        <v>0</v>
      </c>
      <c r="M35" s="456">
        <v>0</v>
      </c>
      <c r="N35" s="458">
        <v>0.2920158800176445</v>
      </c>
      <c r="O35" s="454">
        <v>0.2920158800176445</v>
      </c>
      <c r="P35" s="454">
        <v>0</v>
      </c>
      <c r="Q35" s="454">
        <v>0</v>
      </c>
      <c r="R35" s="454">
        <v>0</v>
      </c>
      <c r="S35" s="454">
        <v>0</v>
      </c>
      <c r="T35" s="454">
        <v>0</v>
      </c>
      <c r="U35" s="454">
        <v>0</v>
      </c>
      <c r="V35" s="454">
        <v>0</v>
      </c>
      <c r="W35" s="454">
        <v>0</v>
      </c>
      <c r="X35" s="454">
        <v>0</v>
      </c>
      <c r="Y35" s="454">
        <v>0</v>
      </c>
      <c r="Z35" s="454">
        <v>0</v>
      </c>
      <c r="AA35" s="454">
        <v>0</v>
      </c>
      <c r="AB35" s="456">
        <v>0</v>
      </c>
    </row>
    <row r="36" spans="2:28" ht="15">
      <c r="B36" s="22">
        <f>'Oil supply projection'!$B36</f>
        <v>2045</v>
      </c>
      <c r="C36" s="454">
        <v>0</v>
      </c>
      <c r="D36" s="454">
        <v>0</v>
      </c>
      <c r="E36" s="454">
        <v>0</v>
      </c>
      <c r="F36" s="456">
        <v>0</v>
      </c>
      <c r="G36" s="458">
        <v>0</v>
      </c>
      <c r="H36" s="454">
        <v>0</v>
      </c>
      <c r="I36" s="456">
        <v>0</v>
      </c>
      <c r="J36" s="458">
        <v>0</v>
      </c>
      <c r="K36" s="454">
        <v>0</v>
      </c>
      <c r="L36" s="454">
        <v>0</v>
      </c>
      <c r="M36" s="456">
        <v>0</v>
      </c>
      <c r="N36" s="458">
        <v>0</v>
      </c>
      <c r="O36" s="454">
        <v>0</v>
      </c>
      <c r="P36" s="454">
        <v>0</v>
      </c>
      <c r="Q36" s="454">
        <v>0</v>
      </c>
      <c r="R36" s="454">
        <v>0</v>
      </c>
      <c r="S36" s="454">
        <v>0</v>
      </c>
      <c r="T36" s="454">
        <v>0</v>
      </c>
      <c r="U36" s="454">
        <v>0</v>
      </c>
      <c r="V36" s="454">
        <v>0</v>
      </c>
      <c r="W36" s="454">
        <v>0</v>
      </c>
      <c r="X36" s="454">
        <v>0</v>
      </c>
      <c r="Y36" s="454">
        <v>0</v>
      </c>
      <c r="Z36" s="454">
        <v>0</v>
      </c>
      <c r="AA36" s="454">
        <v>0</v>
      </c>
      <c r="AB36" s="456">
        <v>0</v>
      </c>
    </row>
    <row r="37" spans="2:28" ht="15">
      <c r="B37" s="22">
        <f>'Oil supply projection'!$B37</f>
        <v>2046</v>
      </c>
      <c r="C37" s="454">
        <v>0</v>
      </c>
      <c r="D37" s="454">
        <v>0</v>
      </c>
      <c r="E37" s="454">
        <v>0</v>
      </c>
      <c r="F37" s="456">
        <v>0</v>
      </c>
      <c r="G37" s="458">
        <v>0</v>
      </c>
      <c r="H37" s="454">
        <v>0</v>
      </c>
      <c r="I37" s="456">
        <v>0</v>
      </c>
      <c r="J37" s="458">
        <v>0</v>
      </c>
      <c r="K37" s="454">
        <v>0</v>
      </c>
      <c r="L37" s="454">
        <v>0</v>
      </c>
      <c r="M37" s="456">
        <v>0</v>
      </c>
      <c r="N37" s="458">
        <v>0</v>
      </c>
      <c r="O37" s="454">
        <v>0</v>
      </c>
      <c r="P37" s="454">
        <v>0</v>
      </c>
      <c r="Q37" s="454">
        <v>0</v>
      </c>
      <c r="R37" s="454">
        <v>0</v>
      </c>
      <c r="S37" s="454">
        <v>0</v>
      </c>
      <c r="T37" s="454">
        <v>0</v>
      </c>
      <c r="U37" s="454">
        <v>0</v>
      </c>
      <c r="V37" s="454">
        <v>0</v>
      </c>
      <c r="W37" s="454">
        <v>0</v>
      </c>
      <c r="X37" s="454">
        <v>0</v>
      </c>
      <c r="Y37" s="454">
        <v>0</v>
      </c>
      <c r="Z37" s="454">
        <v>0</v>
      </c>
      <c r="AA37" s="454">
        <v>0</v>
      </c>
      <c r="AB37" s="456">
        <v>0</v>
      </c>
    </row>
    <row r="38" spans="2:28" ht="15">
      <c r="B38" s="22">
        <f>'Oil supply projection'!$B38</f>
        <v>2047</v>
      </c>
      <c r="C38" s="454">
        <v>0</v>
      </c>
      <c r="D38" s="454">
        <v>0</v>
      </c>
      <c r="E38" s="454">
        <v>0</v>
      </c>
      <c r="F38" s="456">
        <v>0</v>
      </c>
      <c r="G38" s="458">
        <v>0</v>
      </c>
      <c r="H38" s="454">
        <v>0</v>
      </c>
      <c r="I38" s="456">
        <v>0</v>
      </c>
      <c r="J38" s="458">
        <v>0</v>
      </c>
      <c r="K38" s="454">
        <v>0</v>
      </c>
      <c r="L38" s="454">
        <v>0</v>
      </c>
      <c r="M38" s="456">
        <v>0</v>
      </c>
      <c r="N38" s="458">
        <v>0</v>
      </c>
      <c r="O38" s="454">
        <v>0</v>
      </c>
      <c r="P38" s="454">
        <v>0</v>
      </c>
      <c r="Q38" s="454">
        <v>0</v>
      </c>
      <c r="R38" s="454">
        <v>0</v>
      </c>
      <c r="S38" s="454">
        <v>0</v>
      </c>
      <c r="T38" s="454">
        <v>0</v>
      </c>
      <c r="U38" s="454">
        <v>0</v>
      </c>
      <c r="V38" s="454">
        <v>0</v>
      </c>
      <c r="W38" s="454">
        <v>0</v>
      </c>
      <c r="X38" s="454">
        <v>0</v>
      </c>
      <c r="Y38" s="454">
        <v>0</v>
      </c>
      <c r="Z38" s="454">
        <v>0</v>
      </c>
      <c r="AA38" s="454">
        <v>0</v>
      </c>
      <c r="AB38" s="456">
        <v>0</v>
      </c>
    </row>
    <row r="39" spans="2:28" ht="15">
      <c r="B39" s="22">
        <f>'Oil supply projection'!$B39</f>
        <v>2048</v>
      </c>
      <c r="C39" s="454">
        <v>0</v>
      </c>
      <c r="D39" s="454">
        <v>0</v>
      </c>
      <c r="E39" s="454">
        <v>0</v>
      </c>
      <c r="F39" s="456">
        <v>0</v>
      </c>
      <c r="G39" s="458">
        <v>0</v>
      </c>
      <c r="H39" s="454">
        <v>0</v>
      </c>
      <c r="I39" s="456">
        <v>0</v>
      </c>
      <c r="J39" s="458">
        <v>0</v>
      </c>
      <c r="K39" s="454">
        <v>0</v>
      </c>
      <c r="L39" s="454">
        <v>0</v>
      </c>
      <c r="M39" s="456">
        <v>0</v>
      </c>
      <c r="N39" s="458">
        <v>0</v>
      </c>
      <c r="O39" s="454">
        <v>0</v>
      </c>
      <c r="P39" s="454">
        <v>0</v>
      </c>
      <c r="Q39" s="454">
        <v>0</v>
      </c>
      <c r="R39" s="454">
        <v>0</v>
      </c>
      <c r="S39" s="454">
        <v>0</v>
      </c>
      <c r="T39" s="454">
        <v>0</v>
      </c>
      <c r="U39" s="454">
        <v>0</v>
      </c>
      <c r="V39" s="454">
        <v>0</v>
      </c>
      <c r="W39" s="454">
        <v>0</v>
      </c>
      <c r="X39" s="454">
        <v>0</v>
      </c>
      <c r="Y39" s="454">
        <v>0</v>
      </c>
      <c r="Z39" s="454">
        <v>0</v>
      </c>
      <c r="AA39" s="454">
        <v>0</v>
      </c>
      <c r="AB39" s="456">
        <v>0</v>
      </c>
    </row>
    <row r="40" spans="2:28" ht="15">
      <c r="B40" s="22">
        <f>'Oil supply projection'!$B40</f>
        <v>2049</v>
      </c>
      <c r="C40" s="454">
        <v>0</v>
      </c>
      <c r="D40" s="454">
        <v>0</v>
      </c>
      <c r="E40" s="454">
        <v>0</v>
      </c>
      <c r="F40" s="456">
        <v>0</v>
      </c>
      <c r="G40" s="458">
        <v>0</v>
      </c>
      <c r="H40" s="454">
        <v>0</v>
      </c>
      <c r="I40" s="456">
        <v>0</v>
      </c>
      <c r="J40" s="458">
        <v>0</v>
      </c>
      <c r="K40" s="454">
        <v>0</v>
      </c>
      <c r="L40" s="454">
        <v>0</v>
      </c>
      <c r="M40" s="456">
        <v>0</v>
      </c>
      <c r="N40" s="458">
        <v>0</v>
      </c>
      <c r="O40" s="454">
        <v>0</v>
      </c>
      <c r="P40" s="454">
        <v>0</v>
      </c>
      <c r="Q40" s="454">
        <v>0</v>
      </c>
      <c r="R40" s="454">
        <v>0</v>
      </c>
      <c r="S40" s="454">
        <v>0</v>
      </c>
      <c r="T40" s="454">
        <v>0</v>
      </c>
      <c r="U40" s="454">
        <v>0</v>
      </c>
      <c r="V40" s="454">
        <v>0</v>
      </c>
      <c r="W40" s="454">
        <v>0</v>
      </c>
      <c r="X40" s="454">
        <v>0</v>
      </c>
      <c r="Y40" s="454">
        <v>0</v>
      </c>
      <c r="Z40" s="454">
        <v>0</v>
      </c>
      <c r="AA40" s="454">
        <v>0</v>
      </c>
      <c r="AB40" s="456">
        <v>0</v>
      </c>
    </row>
    <row r="41" spans="2:28" ht="15">
      <c r="B41" s="22">
        <f>'Oil supply projection'!$B41</f>
        <v>2050</v>
      </c>
      <c r="C41" s="454">
        <v>0</v>
      </c>
      <c r="D41" s="454">
        <v>0</v>
      </c>
      <c r="E41" s="454">
        <v>0</v>
      </c>
      <c r="F41" s="456">
        <v>0</v>
      </c>
      <c r="G41" s="458">
        <v>0</v>
      </c>
      <c r="H41" s="454">
        <v>0</v>
      </c>
      <c r="I41" s="456">
        <v>0</v>
      </c>
      <c r="J41" s="458">
        <v>0</v>
      </c>
      <c r="K41" s="454">
        <v>0</v>
      </c>
      <c r="L41" s="454">
        <v>0</v>
      </c>
      <c r="M41" s="456">
        <v>0</v>
      </c>
      <c r="N41" s="458">
        <v>0</v>
      </c>
      <c r="O41" s="454">
        <v>0</v>
      </c>
      <c r="P41" s="454">
        <v>0</v>
      </c>
      <c r="Q41" s="454">
        <v>0</v>
      </c>
      <c r="R41" s="454">
        <v>0</v>
      </c>
      <c r="S41" s="454">
        <v>0</v>
      </c>
      <c r="T41" s="454">
        <v>0</v>
      </c>
      <c r="U41" s="454">
        <v>0</v>
      </c>
      <c r="V41" s="454">
        <v>0</v>
      </c>
      <c r="W41" s="454">
        <v>0</v>
      </c>
      <c r="X41" s="454">
        <v>0</v>
      </c>
      <c r="Y41" s="454">
        <v>0</v>
      </c>
      <c r="Z41" s="454">
        <v>0</v>
      </c>
      <c r="AA41" s="454">
        <v>0</v>
      </c>
      <c r="AB41" s="456">
        <v>0</v>
      </c>
    </row>
    <row r="42" spans="2:28" ht="15">
      <c r="B42" s="22">
        <f>'Oil supply projection'!$B42</f>
        <v>2051</v>
      </c>
      <c r="C42" s="454">
        <v>0</v>
      </c>
      <c r="D42" s="454">
        <v>0</v>
      </c>
      <c r="E42" s="454">
        <v>0</v>
      </c>
      <c r="F42" s="456">
        <v>0</v>
      </c>
      <c r="G42" s="458">
        <v>0</v>
      </c>
      <c r="H42" s="454">
        <v>0</v>
      </c>
      <c r="I42" s="456">
        <v>0</v>
      </c>
      <c r="J42" s="458">
        <v>0</v>
      </c>
      <c r="K42" s="454">
        <v>0</v>
      </c>
      <c r="L42" s="454">
        <v>0</v>
      </c>
      <c r="M42" s="456">
        <v>0</v>
      </c>
      <c r="N42" s="458">
        <v>0</v>
      </c>
      <c r="O42" s="454">
        <v>0</v>
      </c>
      <c r="P42" s="454">
        <v>0</v>
      </c>
      <c r="Q42" s="454">
        <v>0</v>
      </c>
      <c r="R42" s="454">
        <v>0</v>
      </c>
      <c r="S42" s="454">
        <v>0</v>
      </c>
      <c r="T42" s="454">
        <v>0</v>
      </c>
      <c r="U42" s="454">
        <v>0</v>
      </c>
      <c r="V42" s="454">
        <v>0</v>
      </c>
      <c r="W42" s="454">
        <v>0</v>
      </c>
      <c r="X42" s="454">
        <v>0</v>
      </c>
      <c r="Y42" s="454">
        <v>0</v>
      </c>
      <c r="Z42" s="454">
        <v>0</v>
      </c>
      <c r="AA42" s="454">
        <v>0</v>
      </c>
      <c r="AB42" s="456">
        <v>0</v>
      </c>
    </row>
    <row r="43" spans="2:28" ht="15">
      <c r="B43" s="22">
        <f>'Oil supply projection'!$B43</f>
        <v>2052</v>
      </c>
      <c r="C43" s="454">
        <v>0</v>
      </c>
      <c r="D43" s="454">
        <v>0</v>
      </c>
      <c r="E43" s="454">
        <v>0</v>
      </c>
      <c r="F43" s="456">
        <v>0</v>
      </c>
      <c r="G43" s="458">
        <v>0</v>
      </c>
      <c r="H43" s="454">
        <v>0</v>
      </c>
      <c r="I43" s="456">
        <v>0</v>
      </c>
      <c r="J43" s="458">
        <v>0</v>
      </c>
      <c r="K43" s="454">
        <v>0</v>
      </c>
      <c r="L43" s="454">
        <v>0</v>
      </c>
      <c r="M43" s="456">
        <v>0</v>
      </c>
      <c r="N43" s="458">
        <v>0</v>
      </c>
      <c r="O43" s="454">
        <v>0</v>
      </c>
      <c r="P43" s="454">
        <v>0</v>
      </c>
      <c r="Q43" s="454">
        <v>0</v>
      </c>
      <c r="R43" s="454">
        <v>0</v>
      </c>
      <c r="S43" s="454">
        <v>0</v>
      </c>
      <c r="T43" s="454">
        <v>0</v>
      </c>
      <c r="U43" s="454">
        <v>0</v>
      </c>
      <c r="V43" s="454">
        <v>0</v>
      </c>
      <c r="W43" s="454">
        <v>0</v>
      </c>
      <c r="X43" s="454">
        <v>0</v>
      </c>
      <c r="Y43" s="454">
        <v>0</v>
      </c>
      <c r="Z43" s="454">
        <v>0</v>
      </c>
      <c r="AA43" s="454">
        <v>0</v>
      </c>
      <c r="AB43" s="456">
        <v>0</v>
      </c>
    </row>
    <row r="44" spans="2:28" ht="15">
      <c r="B44" s="22">
        <f>'Oil supply projection'!$B44</f>
        <v>2053</v>
      </c>
      <c r="C44" s="454">
        <v>0</v>
      </c>
      <c r="D44" s="454">
        <v>0</v>
      </c>
      <c r="E44" s="454">
        <v>0</v>
      </c>
      <c r="F44" s="456">
        <v>0</v>
      </c>
      <c r="G44" s="458">
        <v>0</v>
      </c>
      <c r="H44" s="454">
        <v>0</v>
      </c>
      <c r="I44" s="456">
        <v>0</v>
      </c>
      <c r="J44" s="458">
        <v>0</v>
      </c>
      <c r="K44" s="454">
        <v>0</v>
      </c>
      <c r="L44" s="454">
        <v>0</v>
      </c>
      <c r="M44" s="456">
        <v>0</v>
      </c>
      <c r="N44" s="458">
        <v>0</v>
      </c>
      <c r="O44" s="454">
        <v>0</v>
      </c>
      <c r="P44" s="454">
        <v>0</v>
      </c>
      <c r="Q44" s="454">
        <v>0</v>
      </c>
      <c r="R44" s="454">
        <v>0</v>
      </c>
      <c r="S44" s="454">
        <v>0</v>
      </c>
      <c r="T44" s="454">
        <v>0</v>
      </c>
      <c r="U44" s="454">
        <v>0</v>
      </c>
      <c r="V44" s="454">
        <v>0</v>
      </c>
      <c r="W44" s="454">
        <v>0</v>
      </c>
      <c r="X44" s="454">
        <v>0</v>
      </c>
      <c r="Y44" s="454">
        <v>0</v>
      </c>
      <c r="Z44" s="454">
        <v>0</v>
      </c>
      <c r="AA44" s="454">
        <v>0</v>
      </c>
      <c r="AB44" s="456">
        <v>0</v>
      </c>
    </row>
    <row r="45" spans="2:28" ht="15">
      <c r="B45" s="22">
        <f>'Oil supply projection'!$B45</f>
        <v>2054</v>
      </c>
      <c r="C45" s="454">
        <v>0</v>
      </c>
      <c r="D45" s="454">
        <v>0</v>
      </c>
      <c r="E45" s="454">
        <v>0</v>
      </c>
      <c r="F45" s="456">
        <v>0</v>
      </c>
      <c r="G45" s="458">
        <v>0</v>
      </c>
      <c r="H45" s="454">
        <v>0</v>
      </c>
      <c r="I45" s="456">
        <v>0</v>
      </c>
      <c r="J45" s="458">
        <v>0</v>
      </c>
      <c r="K45" s="454">
        <v>0</v>
      </c>
      <c r="L45" s="454">
        <v>0</v>
      </c>
      <c r="M45" s="456">
        <v>0</v>
      </c>
      <c r="N45" s="458">
        <v>0</v>
      </c>
      <c r="O45" s="454">
        <v>0</v>
      </c>
      <c r="P45" s="454">
        <v>0</v>
      </c>
      <c r="Q45" s="454">
        <v>0</v>
      </c>
      <c r="R45" s="454">
        <v>0</v>
      </c>
      <c r="S45" s="454">
        <v>0</v>
      </c>
      <c r="T45" s="454">
        <v>0</v>
      </c>
      <c r="U45" s="454">
        <v>0</v>
      </c>
      <c r="V45" s="454">
        <v>0</v>
      </c>
      <c r="W45" s="454">
        <v>0</v>
      </c>
      <c r="X45" s="454">
        <v>0</v>
      </c>
      <c r="Y45" s="454">
        <v>0</v>
      </c>
      <c r="Z45" s="454">
        <v>0</v>
      </c>
      <c r="AA45" s="454">
        <v>0</v>
      </c>
      <c r="AB45" s="456">
        <v>0</v>
      </c>
    </row>
    <row r="46" spans="2:28" ht="15">
      <c r="B46" s="22">
        <f>'Oil supply projection'!$B46</f>
        <v>2055</v>
      </c>
      <c r="C46" s="454">
        <v>0</v>
      </c>
      <c r="D46" s="454">
        <v>0</v>
      </c>
      <c r="E46" s="454">
        <v>0</v>
      </c>
      <c r="F46" s="456">
        <v>0</v>
      </c>
      <c r="G46" s="458">
        <v>0</v>
      </c>
      <c r="H46" s="454">
        <v>0</v>
      </c>
      <c r="I46" s="456">
        <v>0</v>
      </c>
      <c r="J46" s="458">
        <v>0</v>
      </c>
      <c r="K46" s="454">
        <v>0</v>
      </c>
      <c r="L46" s="454">
        <v>0</v>
      </c>
      <c r="M46" s="456">
        <v>0</v>
      </c>
      <c r="N46" s="458">
        <v>0</v>
      </c>
      <c r="O46" s="454">
        <v>0</v>
      </c>
      <c r="P46" s="454">
        <v>0</v>
      </c>
      <c r="Q46" s="454">
        <v>0</v>
      </c>
      <c r="R46" s="454">
        <v>0</v>
      </c>
      <c r="S46" s="454">
        <v>0</v>
      </c>
      <c r="T46" s="454">
        <v>0</v>
      </c>
      <c r="U46" s="454">
        <v>0</v>
      </c>
      <c r="V46" s="454">
        <v>0</v>
      </c>
      <c r="W46" s="454">
        <v>0</v>
      </c>
      <c r="X46" s="454">
        <v>0</v>
      </c>
      <c r="Y46" s="454">
        <v>0</v>
      </c>
      <c r="Z46" s="454">
        <v>0</v>
      </c>
      <c r="AA46" s="454">
        <v>0</v>
      </c>
      <c r="AB46" s="456">
        <v>0</v>
      </c>
    </row>
    <row r="47" spans="2:28" ht="15">
      <c r="B47" s="22">
        <f>'Oil supply projection'!$B47</f>
        <v>2056</v>
      </c>
      <c r="C47" s="454">
        <v>0</v>
      </c>
      <c r="D47" s="454">
        <v>0</v>
      </c>
      <c r="E47" s="454">
        <v>0</v>
      </c>
      <c r="F47" s="456">
        <v>0</v>
      </c>
      <c r="G47" s="458">
        <v>0</v>
      </c>
      <c r="H47" s="454">
        <v>0</v>
      </c>
      <c r="I47" s="456">
        <v>0</v>
      </c>
      <c r="J47" s="458">
        <v>0</v>
      </c>
      <c r="K47" s="454">
        <v>0</v>
      </c>
      <c r="L47" s="454">
        <v>0</v>
      </c>
      <c r="M47" s="456">
        <v>0</v>
      </c>
      <c r="N47" s="458">
        <v>0</v>
      </c>
      <c r="O47" s="454">
        <v>0</v>
      </c>
      <c r="P47" s="454">
        <v>0</v>
      </c>
      <c r="Q47" s="454">
        <v>0</v>
      </c>
      <c r="R47" s="454">
        <v>0</v>
      </c>
      <c r="S47" s="454">
        <v>0</v>
      </c>
      <c r="T47" s="454">
        <v>0</v>
      </c>
      <c r="U47" s="454">
        <v>0</v>
      </c>
      <c r="V47" s="454">
        <v>0</v>
      </c>
      <c r="W47" s="454">
        <v>0</v>
      </c>
      <c r="X47" s="454">
        <v>0</v>
      </c>
      <c r="Y47" s="454">
        <v>0</v>
      </c>
      <c r="Z47" s="454">
        <v>0</v>
      </c>
      <c r="AA47" s="454">
        <v>0</v>
      </c>
      <c r="AB47" s="456">
        <v>0</v>
      </c>
    </row>
    <row r="48" spans="2:28" ht="15">
      <c r="B48" s="22">
        <f>'Oil supply projection'!$B48</f>
        <v>2057</v>
      </c>
      <c r="C48" s="454">
        <v>0</v>
      </c>
      <c r="D48" s="454">
        <v>0</v>
      </c>
      <c r="E48" s="454">
        <v>0</v>
      </c>
      <c r="F48" s="456">
        <v>0</v>
      </c>
      <c r="G48" s="458">
        <v>0</v>
      </c>
      <c r="H48" s="454">
        <v>0</v>
      </c>
      <c r="I48" s="456">
        <v>0</v>
      </c>
      <c r="J48" s="458">
        <v>0</v>
      </c>
      <c r="K48" s="454">
        <v>0</v>
      </c>
      <c r="L48" s="454">
        <v>0</v>
      </c>
      <c r="M48" s="456">
        <v>0</v>
      </c>
      <c r="N48" s="458">
        <v>0</v>
      </c>
      <c r="O48" s="454">
        <v>0</v>
      </c>
      <c r="P48" s="454">
        <v>0</v>
      </c>
      <c r="Q48" s="454">
        <v>0</v>
      </c>
      <c r="R48" s="454">
        <v>0</v>
      </c>
      <c r="S48" s="454">
        <v>0</v>
      </c>
      <c r="T48" s="454">
        <v>0</v>
      </c>
      <c r="U48" s="454">
        <v>0</v>
      </c>
      <c r="V48" s="454">
        <v>0</v>
      </c>
      <c r="W48" s="454">
        <v>0</v>
      </c>
      <c r="X48" s="454">
        <v>0</v>
      </c>
      <c r="Y48" s="454">
        <v>0</v>
      </c>
      <c r="Z48" s="454">
        <v>0</v>
      </c>
      <c r="AA48" s="454">
        <v>0</v>
      </c>
      <c r="AB48" s="456">
        <v>0</v>
      </c>
    </row>
    <row r="49" spans="2:28" ht="15">
      <c r="B49" s="22">
        <f>'Oil supply projection'!$B49</f>
        <v>2058</v>
      </c>
      <c r="C49" s="454">
        <v>0</v>
      </c>
      <c r="D49" s="454">
        <v>0</v>
      </c>
      <c r="E49" s="454">
        <v>0</v>
      </c>
      <c r="F49" s="456">
        <v>0</v>
      </c>
      <c r="G49" s="458">
        <v>0</v>
      </c>
      <c r="H49" s="454">
        <v>0</v>
      </c>
      <c r="I49" s="456">
        <v>0</v>
      </c>
      <c r="J49" s="458">
        <v>0</v>
      </c>
      <c r="K49" s="454">
        <v>0</v>
      </c>
      <c r="L49" s="454">
        <v>0</v>
      </c>
      <c r="M49" s="456">
        <v>0</v>
      </c>
      <c r="N49" s="458">
        <v>0</v>
      </c>
      <c r="O49" s="454">
        <v>0</v>
      </c>
      <c r="P49" s="454">
        <v>0</v>
      </c>
      <c r="Q49" s="454">
        <v>0</v>
      </c>
      <c r="R49" s="454">
        <v>0</v>
      </c>
      <c r="S49" s="454">
        <v>0</v>
      </c>
      <c r="T49" s="454">
        <v>0</v>
      </c>
      <c r="U49" s="454">
        <v>0</v>
      </c>
      <c r="V49" s="454">
        <v>0</v>
      </c>
      <c r="W49" s="454">
        <v>0</v>
      </c>
      <c r="X49" s="454">
        <v>0</v>
      </c>
      <c r="Y49" s="454">
        <v>0</v>
      </c>
      <c r="Z49" s="454">
        <v>0</v>
      </c>
      <c r="AA49" s="454">
        <v>0</v>
      </c>
      <c r="AB49" s="456">
        <v>0</v>
      </c>
    </row>
    <row r="50" spans="2:28" ht="15">
      <c r="B50" s="22">
        <f>'Oil supply projection'!$B50</f>
        <v>2059</v>
      </c>
      <c r="C50" s="454">
        <v>0</v>
      </c>
      <c r="D50" s="454">
        <v>0</v>
      </c>
      <c r="E50" s="454">
        <v>0</v>
      </c>
      <c r="F50" s="456">
        <v>0</v>
      </c>
      <c r="G50" s="458">
        <v>0</v>
      </c>
      <c r="H50" s="454">
        <v>0</v>
      </c>
      <c r="I50" s="456">
        <v>0</v>
      </c>
      <c r="J50" s="458">
        <v>0</v>
      </c>
      <c r="K50" s="454">
        <v>0</v>
      </c>
      <c r="L50" s="454">
        <v>0</v>
      </c>
      <c r="M50" s="456">
        <v>0</v>
      </c>
      <c r="N50" s="458">
        <v>0</v>
      </c>
      <c r="O50" s="454">
        <v>0</v>
      </c>
      <c r="P50" s="454">
        <v>0</v>
      </c>
      <c r="Q50" s="454">
        <v>0</v>
      </c>
      <c r="R50" s="454">
        <v>0</v>
      </c>
      <c r="S50" s="454">
        <v>0</v>
      </c>
      <c r="T50" s="454">
        <v>0</v>
      </c>
      <c r="U50" s="454">
        <v>0</v>
      </c>
      <c r="V50" s="454">
        <v>0</v>
      </c>
      <c r="W50" s="454">
        <v>0</v>
      </c>
      <c r="X50" s="454">
        <v>0</v>
      </c>
      <c r="Y50" s="454">
        <v>0</v>
      </c>
      <c r="Z50" s="454">
        <v>0</v>
      </c>
      <c r="AA50" s="454">
        <v>0</v>
      </c>
      <c r="AB50" s="456">
        <v>0</v>
      </c>
    </row>
    <row r="51" spans="2:28" ht="15">
      <c r="B51" s="22">
        <f>'Oil supply projection'!$B51</f>
        <v>2060</v>
      </c>
      <c r="C51" s="454">
        <v>0</v>
      </c>
      <c r="D51" s="454">
        <v>0</v>
      </c>
      <c r="E51" s="454">
        <v>0</v>
      </c>
      <c r="F51" s="456">
        <v>0</v>
      </c>
      <c r="G51" s="458">
        <v>0</v>
      </c>
      <c r="H51" s="454">
        <v>0</v>
      </c>
      <c r="I51" s="456">
        <v>0</v>
      </c>
      <c r="J51" s="458">
        <v>0</v>
      </c>
      <c r="K51" s="454">
        <v>0</v>
      </c>
      <c r="L51" s="454">
        <v>0</v>
      </c>
      <c r="M51" s="456">
        <v>0</v>
      </c>
      <c r="N51" s="458">
        <v>0</v>
      </c>
      <c r="O51" s="454">
        <v>0</v>
      </c>
      <c r="P51" s="454">
        <v>0</v>
      </c>
      <c r="Q51" s="454">
        <v>0</v>
      </c>
      <c r="R51" s="454">
        <v>0</v>
      </c>
      <c r="S51" s="454">
        <v>0</v>
      </c>
      <c r="T51" s="454">
        <v>0</v>
      </c>
      <c r="U51" s="454">
        <v>0</v>
      </c>
      <c r="V51" s="454">
        <v>0</v>
      </c>
      <c r="W51" s="454">
        <v>0</v>
      </c>
      <c r="X51" s="454">
        <v>0</v>
      </c>
      <c r="Y51" s="454">
        <v>0</v>
      </c>
      <c r="Z51" s="454">
        <v>0</v>
      </c>
      <c r="AA51" s="454">
        <v>0</v>
      </c>
      <c r="AB51" s="456">
        <v>0</v>
      </c>
    </row>
    <row r="52" spans="2:28" ht="15">
      <c r="B52" s="22">
        <f>'Oil supply projection'!$B52</f>
        <v>2061</v>
      </c>
      <c r="C52" s="454">
        <v>0</v>
      </c>
      <c r="D52" s="454">
        <v>0</v>
      </c>
      <c r="E52" s="454">
        <v>0</v>
      </c>
      <c r="F52" s="456">
        <v>0</v>
      </c>
      <c r="G52" s="458">
        <v>0</v>
      </c>
      <c r="H52" s="454">
        <v>0</v>
      </c>
      <c r="I52" s="456">
        <v>0</v>
      </c>
      <c r="J52" s="458">
        <v>0</v>
      </c>
      <c r="K52" s="454">
        <v>0</v>
      </c>
      <c r="L52" s="454">
        <v>0</v>
      </c>
      <c r="M52" s="456">
        <v>0</v>
      </c>
      <c r="N52" s="458">
        <v>0</v>
      </c>
      <c r="O52" s="454">
        <v>0</v>
      </c>
      <c r="P52" s="454">
        <v>0</v>
      </c>
      <c r="Q52" s="454">
        <v>0</v>
      </c>
      <c r="R52" s="454">
        <v>0</v>
      </c>
      <c r="S52" s="454">
        <v>0</v>
      </c>
      <c r="T52" s="454">
        <v>0</v>
      </c>
      <c r="U52" s="454">
        <v>0</v>
      </c>
      <c r="V52" s="454">
        <v>0</v>
      </c>
      <c r="W52" s="454">
        <v>0</v>
      </c>
      <c r="X52" s="454">
        <v>0</v>
      </c>
      <c r="Y52" s="454">
        <v>0</v>
      </c>
      <c r="Z52" s="454">
        <v>0</v>
      </c>
      <c r="AA52" s="454">
        <v>0</v>
      </c>
      <c r="AB52" s="456">
        <v>0</v>
      </c>
    </row>
    <row r="53" spans="2:28" ht="15">
      <c r="B53" s="22">
        <f>'Oil supply projection'!$B53</f>
        <v>2062</v>
      </c>
      <c r="C53" s="454">
        <v>0</v>
      </c>
      <c r="D53" s="454">
        <v>0</v>
      </c>
      <c r="E53" s="454">
        <v>0</v>
      </c>
      <c r="F53" s="456">
        <v>0</v>
      </c>
      <c r="G53" s="458">
        <v>0</v>
      </c>
      <c r="H53" s="454">
        <v>0</v>
      </c>
      <c r="I53" s="456">
        <v>0</v>
      </c>
      <c r="J53" s="458">
        <v>0</v>
      </c>
      <c r="K53" s="454">
        <v>0</v>
      </c>
      <c r="L53" s="454">
        <v>0</v>
      </c>
      <c r="M53" s="456">
        <v>0</v>
      </c>
      <c r="N53" s="458">
        <v>0</v>
      </c>
      <c r="O53" s="454">
        <v>0</v>
      </c>
      <c r="P53" s="454">
        <v>0</v>
      </c>
      <c r="Q53" s="454">
        <v>0</v>
      </c>
      <c r="R53" s="454">
        <v>0</v>
      </c>
      <c r="S53" s="454">
        <v>0</v>
      </c>
      <c r="T53" s="454">
        <v>0</v>
      </c>
      <c r="U53" s="454">
        <v>0</v>
      </c>
      <c r="V53" s="454">
        <v>0</v>
      </c>
      <c r="W53" s="454">
        <v>0</v>
      </c>
      <c r="X53" s="454">
        <v>0</v>
      </c>
      <c r="Y53" s="454">
        <v>0</v>
      </c>
      <c r="Z53" s="454">
        <v>0</v>
      </c>
      <c r="AA53" s="454">
        <v>0</v>
      </c>
      <c r="AB53" s="456">
        <v>0</v>
      </c>
    </row>
    <row r="54" spans="2:28" ht="15">
      <c r="B54" s="22">
        <f>'Oil supply projection'!$B54</f>
        <v>2063</v>
      </c>
      <c r="C54" s="454">
        <v>0</v>
      </c>
      <c r="D54" s="454">
        <v>0</v>
      </c>
      <c r="E54" s="454">
        <v>0</v>
      </c>
      <c r="F54" s="456">
        <v>0</v>
      </c>
      <c r="G54" s="458">
        <v>0</v>
      </c>
      <c r="H54" s="454">
        <v>0</v>
      </c>
      <c r="I54" s="456">
        <v>0</v>
      </c>
      <c r="J54" s="458">
        <v>0</v>
      </c>
      <c r="K54" s="454">
        <v>0</v>
      </c>
      <c r="L54" s="454">
        <v>0</v>
      </c>
      <c r="M54" s="456">
        <v>0</v>
      </c>
      <c r="N54" s="458">
        <v>0</v>
      </c>
      <c r="O54" s="454">
        <v>0</v>
      </c>
      <c r="P54" s="454">
        <v>0</v>
      </c>
      <c r="Q54" s="454">
        <v>0</v>
      </c>
      <c r="R54" s="454">
        <v>0</v>
      </c>
      <c r="S54" s="454">
        <v>0</v>
      </c>
      <c r="T54" s="454">
        <v>0</v>
      </c>
      <c r="U54" s="454">
        <v>0</v>
      </c>
      <c r="V54" s="454">
        <v>0</v>
      </c>
      <c r="W54" s="454">
        <v>0</v>
      </c>
      <c r="X54" s="454">
        <v>0</v>
      </c>
      <c r="Y54" s="454">
        <v>0</v>
      </c>
      <c r="Z54" s="454">
        <v>0</v>
      </c>
      <c r="AA54" s="454">
        <v>0</v>
      </c>
      <c r="AB54" s="456">
        <v>0</v>
      </c>
    </row>
    <row r="55" spans="2:28" ht="15">
      <c r="B55" s="22">
        <f>'Oil supply projection'!$B55</f>
        <v>2064</v>
      </c>
      <c r="C55" s="454">
        <v>0</v>
      </c>
      <c r="D55" s="454">
        <v>0</v>
      </c>
      <c r="E55" s="454">
        <v>0</v>
      </c>
      <c r="F55" s="456">
        <v>0</v>
      </c>
      <c r="G55" s="458">
        <v>0</v>
      </c>
      <c r="H55" s="454">
        <v>0</v>
      </c>
      <c r="I55" s="456">
        <v>0</v>
      </c>
      <c r="J55" s="458">
        <v>0</v>
      </c>
      <c r="K55" s="454">
        <v>0</v>
      </c>
      <c r="L55" s="454">
        <v>0</v>
      </c>
      <c r="M55" s="456">
        <v>0</v>
      </c>
      <c r="N55" s="458">
        <v>0</v>
      </c>
      <c r="O55" s="454">
        <v>0</v>
      </c>
      <c r="P55" s="454">
        <v>0</v>
      </c>
      <c r="Q55" s="454">
        <v>0</v>
      </c>
      <c r="R55" s="454">
        <v>0</v>
      </c>
      <c r="S55" s="454">
        <v>0</v>
      </c>
      <c r="T55" s="454">
        <v>0</v>
      </c>
      <c r="U55" s="454">
        <v>0</v>
      </c>
      <c r="V55" s="454">
        <v>0</v>
      </c>
      <c r="W55" s="454">
        <v>0</v>
      </c>
      <c r="X55" s="454">
        <v>0</v>
      </c>
      <c r="Y55" s="454">
        <v>0</v>
      </c>
      <c r="Z55" s="454">
        <v>0</v>
      </c>
      <c r="AA55" s="454">
        <v>0</v>
      </c>
      <c r="AB55" s="456">
        <v>0</v>
      </c>
    </row>
    <row r="56" spans="2:28" ht="15">
      <c r="B56" s="22">
        <f>'Oil supply projection'!$B56</f>
        <v>2065</v>
      </c>
      <c r="C56" s="454">
        <v>0</v>
      </c>
      <c r="D56" s="454">
        <v>0</v>
      </c>
      <c r="E56" s="454">
        <v>0</v>
      </c>
      <c r="F56" s="456">
        <v>0</v>
      </c>
      <c r="G56" s="458">
        <v>0</v>
      </c>
      <c r="H56" s="454">
        <v>0</v>
      </c>
      <c r="I56" s="456">
        <v>0</v>
      </c>
      <c r="J56" s="458">
        <v>0</v>
      </c>
      <c r="K56" s="454">
        <v>0</v>
      </c>
      <c r="L56" s="454">
        <v>0</v>
      </c>
      <c r="M56" s="456">
        <v>0</v>
      </c>
      <c r="N56" s="458">
        <v>0</v>
      </c>
      <c r="O56" s="454">
        <v>0</v>
      </c>
      <c r="P56" s="454">
        <v>0</v>
      </c>
      <c r="Q56" s="454">
        <v>0</v>
      </c>
      <c r="R56" s="454">
        <v>0</v>
      </c>
      <c r="S56" s="454">
        <v>0</v>
      </c>
      <c r="T56" s="454">
        <v>0</v>
      </c>
      <c r="U56" s="454">
        <v>0</v>
      </c>
      <c r="V56" s="454">
        <v>0</v>
      </c>
      <c r="W56" s="454">
        <v>0</v>
      </c>
      <c r="X56" s="454">
        <v>0</v>
      </c>
      <c r="Y56" s="454">
        <v>0</v>
      </c>
      <c r="Z56" s="454">
        <v>0</v>
      </c>
      <c r="AA56" s="454">
        <v>0</v>
      </c>
      <c r="AB56" s="456">
        <v>0</v>
      </c>
    </row>
    <row r="57" spans="2:28" ht="15">
      <c r="B57" s="22">
        <f>'Oil supply projection'!$B57</f>
        <v>2066</v>
      </c>
      <c r="C57" s="454">
        <v>0</v>
      </c>
      <c r="D57" s="454">
        <v>0</v>
      </c>
      <c r="E57" s="454">
        <v>0</v>
      </c>
      <c r="F57" s="456">
        <v>0</v>
      </c>
      <c r="G57" s="458">
        <v>0</v>
      </c>
      <c r="H57" s="454">
        <v>0</v>
      </c>
      <c r="I57" s="456">
        <v>0</v>
      </c>
      <c r="J57" s="458">
        <v>0</v>
      </c>
      <c r="K57" s="454">
        <v>0</v>
      </c>
      <c r="L57" s="454">
        <v>0</v>
      </c>
      <c r="M57" s="456">
        <v>0</v>
      </c>
      <c r="N57" s="458">
        <v>0</v>
      </c>
      <c r="O57" s="454">
        <v>0</v>
      </c>
      <c r="P57" s="454">
        <v>0</v>
      </c>
      <c r="Q57" s="454">
        <v>0</v>
      </c>
      <c r="R57" s="454">
        <v>0</v>
      </c>
      <c r="S57" s="454">
        <v>0</v>
      </c>
      <c r="T57" s="454">
        <v>0</v>
      </c>
      <c r="U57" s="454">
        <v>0</v>
      </c>
      <c r="V57" s="454">
        <v>0</v>
      </c>
      <c r="W57" s="454">
        <v>0</v>
      </c>
      <c r="X57" s="454">
        <v>0</v>
      </c>
      <c r="Y57" s="454">
        <v>0</v>
      </c>
      <c r="Z57" s="454">
        <v>0</v>
      </c>
      <c r="AA57" s="454">
        <v>0</v>
      </c>
      <c r="AB57" s="456">
        <v>0</v>
      </c>
    </row>
    <row r="58" spans="2:28" ht="15">
      <c r="B58" s="22">
        <f>'Oil supply projection'!$B58</f>
        <v>2067</v>
      </c>
      <c r="C58" s="454">
        <v>0</v>
      </c>
      <c r="D58" s="454">
        <v>0</v>
      </c>
      <c r="E58" s="454">
        <v>0</v>
      </c>
      <c r="F58" s="456">
        <v>0</v>
      </c>
      <c r="G58" s="458">
        <v>0</v>
      </c>
      <c r="H58" s="454">
        <v>0</v>
      </c>
      <c r="I58" s="456">
        <v>0</v>
      </c>
      <c r="J58" s="458">
        <v>0</v>
      </c>
      <c r="K58" s="454">
        <v>0</v>
      </c>
      <c r="L58" s="454">
        <v>0</v>
      </c>
      <c r="M58" s="456">
        <v>0</v>
      </c>
      <c r="N58" s="458">
        <v>0</v>
      </c>
      <c r="O58" s="454">
        <v>0</v>
      </c>
      <c r="P58" s="454">
        <v>0</v>
      </c>
      <c r="Q58" s="454">
        <v>0</v>
      </c>
      <c r="R58" s="454">
        <v>0</v>
      </c>
      <c r="S58" s="454">
        <v>0</v>
      </c>
      <c r="T58" s="454">
        <v>0</v>
      </c>
      <c r="U58" s="454">
        <v>0</v>
      </c>
      <c r="V58" s="454">
        <v>0</v>
      </c>
      <c r="W58" s="454">
        <v>0</v>
      </c>
      <c r="X58" s="454">
        <v>0</v>
      </c>
      <c r="Y58" s="454">
        <v>0</v>
      </c>
      <c r="Z58" s="454">
        <v>0</v>
      </c>
      <c r="AA58" s="454">
        <v>0</v>
      </c>
      <c r="AB58" s="456">
        <v>0</v>
      </c>
    </row>
    <row r="59" spans="2:28" ht="15">
      <c r="B59" s="22">
        <f>'Oil supply projection'!$B59</f>
        <v>2068</v>
      </c>
      <c r="C59" s="454">
        <v>0</v>
      </c>
      <c r="D59" s="454">
        <v>0</v>
      </c>
      <c r="E59" s="454">
        <v>0</v>
      </c>
      <c r="F59" s="456">
        <v>0</v>
      </c>
      <c r="G59" s="458">
        <v>0</v>
      </c>
      <c r="H59" s="454">
        <v>0</v>
      </c>
      <c r="I59" s="456">
        <v>0</v>
      </c>
      <c r="J59" s="458">
        <v>0</v>
      </c>
      <c r="K59" s="454">
        <v>0</v>
      </c>
      <c r="L59" s="454">
        <v>0</v>
      </c>
      <c r="M59" s="456">
        <v>0</v>
      </c>
      <c r="N59" s="458">
        <v>0</v>
      </c>
      <c r="O59" s="454">
        <v>0</v>
      </c>
      <c r="P59" s="454">
        <v>0</v>
      </c>
      <c r="Q59" s="454">
        <v>0</v>
      </c>
      <c r="R59" s="454">
        <v>0</v>
      </c>
      <c r="S59" s="454">
        <v>0</v>
      </c>
      <c r="T59" s="454">
        <v>0</v>
      </c>
      <c r="U59" s="454">
        <v>0</v>
      </c>
      <c r="V59" s="454">
        <v>0</v>
      </c>
      <c r="W59" s="454">
        <v>0</v>
      </c>
      <c r="X59" s="454">
        <v>0</v>
      </c>
      <c r="Y59" s="454">
        <v>0</v>
      </c>
      <c r="Z59" s="454">
        <v>0</v>
      </c>
      <c r="AA59" s="454">
        <v>0</v>
      </c>
      <c r="AB59" s="456">
        <v>0</v>
      </c>
    </row>
    <row r="60" spans="2:28" ht="15">
      <c r="B60" s="22">
        <f>'Oil supply projection'!$B60</f>
        <v>2069</v>
      </c>
      <c r="C60" s="454">
        <v>0</v>
      </c>
      <c r="D60" s="454">
        <v>0</v>
      </c>
      <c r="E60" s="454">
        <v>0</v>
      </c>
      <c r="F60" s="456">
        <v>0</v>
      </c>
      <c r="G60" s="458">
        <v>0</v>
      </c>
      <c r="H60" s="454">
        <v>0</v>
      </c>
      <c r="I60" s="456">
        <v>0</v>
      </c>
      <c r="J60" s="458">
        <v>0</v>
      </c>
      <c r="K60" s="454">
        <v>0</v>
      </c>
      <c r="L60" s="454">
        <v>0</v>
      </c>
      <c r="M60" s="456">
        <v>0</v>
      </c>
      <c r="N60" s="458">
        <v>0</v>
      </c>
      <c r="O60" s="454">
        <v>0</v>
      </c>
      <c r="P60" s="454">
        <v>0</v>
      </c>
      <c r="Q60" s="454">
        <v>0</v>
      </c>
      <c r="R60" s="454">
        <v>0</v>
      </c>
      <c r="S60" s="454">
        <v>0</v>
      </c>
      <c r="T60" s="454">
        <v>0</v>
      </c>
      <c r="U60" s="454">
        <v>0</v>
      </c>
      <c r="V60" s="454">
        <v>0</v>
      </c>
      <c r="W60" s="454">
        <v>0</v>
      </c>
      <c r="X60" s="454">
        <v>0</v>
      </c>
      <c r="Y60" s="454">
        <v>0</v>
      </c>
      <c r="Z60" s="454">
        <v>0</v>
      </c>
      <c r="AA60" s="454">
        <v>0</v>
      </c>
      <c r="AB60" s="456">
        <v>0</v>
      </c>
    </row>
    <row r="61" spans="2:28" ht="15">
      <c r="B61" s="22">
        <f>'Oil supply projection'!$B61</f>
        <v>2070</v>
      </c>
      <c r="C61" s="454">
        <v>0</v>
      </c>
      <c r="D61" s="454">
        <v>0</v>
      </c>
      <c r="E61" s="454">
        <v>0</v>
      </c>
      <c r="F61" s="456">
        <v>0</v>
      </c>
      <c r="G61" s="458">
        <v>0</v>
      </c>
      <c r="H61" s="454">
        <v>0</v>
      </c>
      <c r="I61" s="456">
        <v>0</v>
      </c>
      <c r="J61" s="458">
        <v>0</v>
      </c>
      <c r="K61" s="454">
        <v>0</v>
      </c>
      <c r="L61" s="454">
        <v>0</v>
      </c>
      <c r="M61" s="456">
        <v>0</v>
      </c>
      <c r="N61" s="458">
        <v>0</v>
      </c>
      <c r="O61" s="454">
        <v>0</v>
      </c>
      <c r="P61" s="454">
        <v>0</v>
      </c>
      <c r="Q61" s="454">
        <v>0</v>
      </c>
      <c r="R61" s="454">
        <v>0</v>
      </c>
      <c r="S61" s="454">
        <v>0</v>
      </c>
      <c r="T61" s="454">
        <v>0</v>
      </c>
      <c r="U61" s="454">
        <v>0</v>
      </c>
      <c r="V61" s="454">
        <v>0</v>
      </c>
      <c r="W61" s="454">
        <v>0</v>
      </c>
      <c r="X61" s="454">
        <v>0</v>
      </c>
      <c r="Y61" s="454">
        <v>0</v>
      </c>
      <c r="Z61" s="454">
        <v>0</v>
      </c>
      <c r="AA61" s="454">
        <v>0</v>
      </c>
      <c r="AB61" s="456">
        <v>0</v>
      </c>
    </row>
    <row r="62" spans="2:28" ht="15">
      <c r="B62" s="22">
        <f>'Oil supply projection'!$B62</f>
        <v>2071</v>
      </c>
      <c r="C62" s="454">
        <v>0</v>
      </c>
      <c r="D62" s="454">
        <v>0</v>
      </c>
      <c r="E62" s="454">
        <v>0</v>
      </c>
      <c r="F62" s="456">
        <v>0</v>
      </c>
      <c r="G62" s="458">
        <v>0</v>
      </c>
      <c r="H62" s="454">
        <v>0</v>
      </c>
      <c r="I62" s="456">
        <v>0</v>
      </c>
      <c r="J62" s="458">
        <v>0</v>
      </c>
      <c r="K62" s="454">
        <v>0</v>
      </c>
      <c r="L62" s="454">
        <v>0</v>
      </c>
      <c r="M62" s="456">
        <v>0</v>
      </c>
      <c r="N62" s="458">
        <v>0</v>
      </c>
      <c r="O62" s="454">
        <v>0</v>
      </c>
      <c r="P62" s="454">
        <v>0</v>
      </c>
      <c r="Q62" s="454">
        <v>0</v>
      </c>
      <c r="R62" s="454">
        <v>0</v>
      </c>
      <c r="S62" s="454">
        <v>0</v>
      </c>
      <c r="T62" s="454">
        <v>0</v>
      </c>
      <c r="U62" s="454">
        <v>0</v>
      </c>
      <c r="V62" s="454">
        <v>0</v>
      </c>
      <c r="W62" s="454">
        <v>0</v>
      </c>
      <c r="X62" s="454">
        <v>0</v>
      </c>
      <c r="Y62" s="454">
        <v>0</v>
      </c>
      <c r="Z62" s="454">
        <v>0</v>
      </c>
      <c r="AA62" s="454">
        <v>0</v>
      </c>
      <c r="AB62" s="456">
        <v>0</v>
      </c>
    </row>
    <row r="63" spans="2:28" ht="15">
      <c r="B63" s="22">
        <f>'Oil supply projection'!$B63</f>
        <v>2072</v>
      </c>
      <c r="C63" s="454">
        <v>0</v>
      </c>
      <c r="D63" s="454">
        <v>0</v>
      </c>
      <c r="E63" s="454">
        <v>0</v>
      </c>
      <c r="F63" s="456">
        <v>0</v>
      </c>
      <c r="G63" s="458">
        <v>0</v>
      </c>
      <c r="H63" s="454">
        <v>0</v>
      </c>
      <c r="I63" s="456">
        <v>0</v>
      </c>
      <c r="J63" s="458">
        <v>0</v>
      </c>
      <c r="K63" s="454">
        <v>0</v>
      </c>
      <c r="L63" s="454">
        <v>0</v>
      </c>
      <c r="M63" s="456">
        <v>0</v>
      </c>
      <c r="N63" s="458">
        <v>0</v>
      </c>
      <c r="O63" s="454">
        <v>0</v>
      </c>
      <c r="P63" s="454">
        <v>0</v>
      </c>
      <c r="Q63" s="454">
        <v>0</v>
      </c>
      <c r="R63" s="454">
        <v>0</v>
      </c>
      <c r="S63" s="454">
        <v>0</v>
      </c>
      <c r="T63" s="454">
        <v>0</v>
      </c>
      <c r="U63" s="454">
        <v>0</v>
      </c>
      <c r="V63" s="454">
        <v>0</v>
      </c>
      <c r="W63" s="454">
        <v>0</v>
      </c>
      <c r="X63" s="454">
        <v>0</v>
      </c>
      <c r="Y63" s="454">
        <v>0</v>
      </c>
      <c r="Z63" s="454">
        <v>0</v>
      </c>
      <c r="AA63" s="454">
        <v>0</v>
      </c>
      <c r="AB63" s="456">
        <v>0</v>
      </c>
    </row>
    <row r="64" spans="2:28" ht="15">
      <c r="B64" s="22">
        <f>'Oil supply projection'!$B64</f>
        <v>2073</v>
      </c>
      <c r="C64" s="454">
        <v>0</v>
      </c>
      <c r="D64" s="454">
        <v>0</v>
      </c>
      <c r="E64" s="454">
        <v>0</v>
      </c>
      <c r="F64" s="456">
        <v>0</v>
      </c>
      <c r="G64" s="458">
        <v>0</v>
      </c>
      <c r="H64" s="454">
        <v>0</v>
      </c>
      <c r="I64" s="456">
        <v>0</v>
      </c>
      <c r="J64" s="458">
        <v>0</v>
      </c>
      <c r="K64" s="454">
        <v>0</v>
      </c>
      <c r="L64" s="454">
        <v>0</v>
      </c>
      <c r="M64" s="456">
        <v>0</v>
      </c>
      <c r="N64" s="458">
        <v>0</v>
      </c>
      <c r="O64" s="454">
        <v>0</v>
      </c>
      <c r="P64" s="454">
        <v>0</v>
      </c>
      <c r="Q64" s="454">
        <v>0</v>
      </c>
      <c r="R64" s="454">
        <v>0</v>
      </c>
      <c r="S64" s="454">
        <v>0</v>
      </c>
      <c r="T64" s="454">
        <v>0</v>
      </c>
      <c r="U64" s="454">
        <v>0</v>
      </c>
      <c r="V64" s="454">
        <v>0</v>
      </c>
      <c r="W64" s="454">
        <v>0</v>
      </c>
      <c r="X64" s="454">
        <v>0</v>
      </c>
      <c r="Y64" s="454">
        <v>0</v>
      </c>
      <c r="Z64" s="454">
        <v>0</v>
      </c>
      <c r="AA64" s="454">
        <v>0</v>
      </c>
      <c r="AB64" s="456">
        <v>0</v>
      </c>
    </row>
    <row r="65" spans="2:28" ht="15">
      <c r="B65" s="22">
        <f>'Oil supply projection'!$B65</f>
        <v>2074</v>
      </c>
      <c r="C65" s="454">
        <v>0</v>
      </c>
      <c r="D65" s="454">
        <v>0</v>
      </c>
      <c r="E65" s="454">
        <v>0</v>
      </c>
      <c r="F65" s="456">
        <v>0</v>
      </c>
      <c r="G65" s="458">
        <v>0</v>
      </c>
      <c r="H65" s="454">
        <v>0</v>
      </c>
      <c r="I65" s="456">
        <v>0</v>
      </c>
      <c r="J65" s="458">
        <v>0</v>
      </c>
      <c r="K65" s="454">
        <v>0</v>
      </c>
      <c r="L65" s="454">
        <v>0</v>
      </c>
      <c r="M65" s="456">
        <v>0</v>
      </c>
      <c r="N65" s="458">
        <v>0</v>
      </c>
      <c r="O65" s="454">
        <v>0</v>
      </c>
      <c r="P65" s="454">
        <v>0</v>
      </c>
      <c r="Q65" s="454">
        <v>0</v>
      </c>
      <c r="R65" s="454">
        <v>0</v>
      </c>
      <c r="S65" s="454">
        <v>0</v>
      </c>
      <c r="T65" s="454">
        <v>0</v>
      </c>
      <c r="U65" s="454">
        <v>0</v>
      </c>
      <c r="V65" s="454">
        <v>0</v>
      </c>
      <c r="W65" s="454">
        <v>0</v>
      </c>
      <c r="X65" s="454">
        <v>0</v>
      </c>
      <c r="Y65" s="454">
        <v>0</v>
      </c>
      <c r="Z65" s="454">
        <v>0</v>
      </c>
      <c r="AA65" s="454">
        <v>0</v>
      </c>
      <c r="AB65" s="456">
        <v>0</v>
      </c>
    </row>
    <row r="66" spans="2:28" ht="15">
      <c r="B66" s="22">
        <f>'Oil supply projection'!$B66</f>
        <v>2075</v>
      </c>
      <c r="C66" s="454">
        <v>0</v>
      </c>
      <c r="D66" s="454">
        <v>0</v>
      </c>
      <c r="E66" s="454">
        <v>0</v>
      </c>
      <c r="F66" s="456">
        <v>0</v>
      </c>
      <c r="G66" s="458">
        <v>0</v>
      </c>
      <c r="H66" s="454">
        <v>0</v>
      </c>
      <c r="I66" s="456">
        <v>0</v>
      </c>
      <c r="J66" s="458">
        <v>0</v>
      </c>
      <c r="K66" s="454">
        <v>0</v>
      </c>
      <c r="L66" s="454">
        <v>0</v>
      </c>
      <c r="M66" s="456">
        <v>0</v>
      </c>
      <c r="N66" s="458">
        <v>0</v>
      </c>
      <c r="O66" s="454">
        <v>0</v>
      </c>
      <c r="P66" s="454">
        <v>0</v>
      </c>
      <c r="Q66" s="454">
        <v>0</v>
      </c>
      <c r="R66" s="454">
        <v>0</v>
      </c>
      <c r="S66" s="454">
        <v>0</v>
      </c>
      <c r="T66" s="454">
        <v>0</v>
      </c>
      <c r="U66" s="454">
        <v>0</v>
      </c>
      <c r="V66" s="454">
        <v>0</v>
      </c>
      <c r="W66" s="454">
        <v>0</v>
      </c>
      <c r="X66" s="454">
        <v>0</v>
      </c>
      <c r="Y66" s="454">
        <v>0</v>
      </c>
      <c r="Z66" s="454">
        <v>0</v>
      </c>
      <c r="AA66" s="454">
        <v>0</v>
      </c>
      <c r="AB66" s="456">
        <v>0</v>
      </c>
    </row>
    <row r="67" spans="2:28" ht="15">
      <c r="B67" s="22">
        <f>'Oil supply projection'!$B67</f>
        <v>2076</v>
      </c>
      <c r="C67" s="454">
        <v>0</v>
      </c>
      <c r="D67" s="454">
        <v>0</v>
      </c>
      <c r="E67" s="454">
        <v>0</v>
      </c>
      <c r="F67" s="456">
        <v>0</v>
      </c>
      <c r="G67" s="458">
        <v>0</v>
      </c>
      <c r="H67" s="454">
        <v>0</v>
      </c>
      <c r="I67" s="456">
        <v>0</v>
      </c>
      <c r="J67" s="458">
        <v>0</v>
      </c>
      <c r="K67" s="454">
        <v>0</v>
      </c>
      <c r="L67" s="454">
        <v>0</v>
      </c>
      <c r="M67" s="456">
        <v>0</v>
      </c>
      <c r="N67" s="458">
        <v>0</v>
      </c>
      <c r="O67" s="454">
        <v>0</v>
      </c>
      <c r="P67" s="454">
        <v>0</v>
      </c>
      <c r="Q67" s="454">
        <v>0</v>
      </c>
      <c r="R67" s="454">
        <v>0</v>
      </c>
      <c r="S67" s="454">
        <v>0</v>
      </c>
      <c r="T67" s="454">
        <v>0</v>
      </c>
      <c r="U67" s="454">
        <v>0</v>
      </c>
      <c r="V67" s="454">
        <v>0</v>
      </c>
      <c r="W67" s="454">
        <v>0</v>
      </c>
      <c r="X67" s="454">
        <v>0</v>
      </c>
      <c r="Y67" s="454">
        <v>0</v>
      </c>
      <c r="Z67" s="454">
        <v>0</v>
      </c>
      <c r="AA67" s="454">
        <v>0</v>
      </c>
      <c r="AB67" s="456">
        <v>0</v>
      </c>
    </row>
    <row r="68" spans="2:28" ht="15">
      <c r="B68" s="22">
        <f>'Oil supply projection'!$B68</f>
        <v>2077</v>
      </c>
      <c r="C68" s="454">
        <v>0</v>
      </c>
      <c r="D68" s="454">
        <v>0</v>
      </c>
      <c r="E68" s="454">
        <v>0</v>
      </c>
      <c r="F68" s="456">
        <v>0</v>
      </c>
      <c r="G68" s="458">
        <v>0</v>
      </c>
      <c r="H68" s="454">
        <v>0</v>
      </c>
      <c r="I68" s="456">
        <v>0</v>
      </c>
      <c r="J68" s="458">
        <v>0</v>
      </c>
      <c r="K68" s="454">
        <v>0</v>
      </c>
      <c r="L68" s="454">
        <v>0</v>
      </c>
      <c r="M68" s="456">
        <v>0</v>
      </c>
      <c r="N68" s="458">
        <v>0</v>
      </c>
      <c r="O68" s="454">
        <v>0</v>
      </c>
      <c r="P68" s="454">
        <v>0</v>
      </c>
      <c r="Q68" s="454">
        <v>0</v>
      </c>
      <c r="R68" s="454">
        <v>0</v>
      </c>
      <c r="S68" s="454">
        <v>0</v>
      </c>
      <c r="T68" s="454">
        <v>0</v>
      </c>
      <c r="U68" s="454">
        <v>0</v>
      </c>
      <c r="V68" s="454">
        <v>0</v>
      </c>
      <c r="W68" s="454">
        <v>0</v>
      </c>
      <c r="X68" s="454">
        <v>0</v>
      </c>
      <c r="Y68" s="454">
        <v>0</v>
      </c>
      <c r="Z68" s="454">
        <v>0</v>
      </c>
      <c r="AA68" s="454">
        <v>0</v>
      </c>
      <c r="AB68" s="456">
        <v>0</v>
      </c>
    </row>
    <row r="69" spans="2:28" ht="15">
      <c r="B69" s="22">
        <f>'Oil supply projection'!$B69</f>
        <v>2078</v>
      </c>
      <c r="C69" s="454">
        <v>0</v>
      </c>
      <c r="D69" s="454">
        <v>0</v>
      </c>
      <c r="E69" s="454">
        <v>0</v>
      </c>
      <c r="F69" s="456">
        <v>0</v>
      </c>
      <c r="G69" s="458">
        <v>0</v>
      </c>
      <c r="H69" s="454">
        <v>0</v>
      </c>
      <c r="I69" s="456">
        <v>0</v>
      </c>
      <c r="J69" s="458">
        <v>0</v>
      </c>
      <c r="K69" s="454">
        <v>0</v>
      </c>
      <c r="L69" s="454">
        <v>0</v>
      </c>
      <c r="M69" s="456">
        <v>0</v>
      </c>
      <c r="N69" s="458">
        <v>0</v>
      </c>
      <c r="O69" s="454">
        <v>0</v>
      </c>
      <c r="P69" s="454">
        <v>0</v>
      </c>
      <c r="Q69" s="454">
        <v>0</v>
      </c>
      <c r="R69" s="454">
        <v>0</v>
      </c>
      <c r="S69" s="454">
        <v>0</v>
      </c>
      <c r="T69" s="454">
        <v>0</v>
      </c>
      <c r="U69" s="454">
        <v>0</v>
      </c>
      <c r="V69" s="454">
        <v>0</v>
      </c>
      <c r="W69" s="454">
        <v>0</v>
      </c>
      <c r="X69" s="454">
        <v>0</v>
      </c>
      <c r="Y69" s="454">
        <v>0</v>
      </c>
      <c r="Z69" s="454">
        <v>0</v>
      </c>
      <c r="AA69" s="454">
        <v>0</v>
      </c>
      <c r="AB69" s="456">
        <v>0</v>
      </c>
    </row>
    <row r="70" spans="2:28" ht="15">
      <c r="B70" s="22">
        <f>'Oil supply projection'!$B70</f>
        <v>2079</v>
      </c>
      <c r="C70" s="454">
        <v>0</v>
      </c>
      <c r="D70" s="454">
        <v>0</v>
      </c>
      <c r="E70" s="454">
        <v>0</v>
      </c>
      <c r="F70" s="456">
        <v>0</v>
      </c>
      <c r="G70" s="458">
        <v>0</v>
      </c>
      <c r="H70" s="454">
        <v>0</v>
      </c>
      <c r="I70" s="456">
        <v>0</v>
      </c>
      <c r="J70" s="458">
        <v>0</v>
      </c>
      <c r="K70" s="454">
        <v>0</v>
      </c>
      <c r="L70" s="454">
        <v>0</v>
      </c>
      <c r="M70" s="456">
        <v>0</v>
      </c>
      <c r="N70" s="458">
        <v>0</v>
      </c>
      <c r="O70" s="454">
        <v>0</v>
      </c>
      <c r="P70" s="454">
        <v>0</v>
      </c>
      <c r="Q70" s="454">
        <v>0</v>
      </c>
      <c r="R70" s="454">
        <v>0</v>
      </c>
      <c r="S70" s="454">
        <v>0</v>
      </c>
      <c r="T70" s="454">
        <v>0</v>
      </c>
      <c r="U70" s="454">
        <v>0</v>
      </c>
      <c r="V70" s="454">
        <v>0</v>
      </c>
      <c r="W70" s="454">
        <v>0</v>
      </c>
      <c r="X70" s="454">
        <v>0</v>
      </c>
      <c r="Y70" s="454">
        <v>0</v>
      </c>
      <c r="Z70" s="454">
        <v>0</v>
      </c>
      <c r="AA70" s="454">
        <v>0</v>
      </c>
      <c r="AB70" s="456">
        <v>0</v>
      </c>
    </row>
    <row r="71" spans="2:28" ht="15">
      <c r="B71" s="22">
        <f>'Oil supply projection'!$B71</f>
        <v>2080</v>
      </c>
      <c r="C71" s="454">
        <v>0</v>
      </c>
      <c r="D71" s="454">
        <v>0</v>
      </c>
      <c r="E71" s="454">
        <v>0</v>
      </c>
      <c r="F71" s="456">
        <v>0</v>
      </c>
      <c r="G71" s="458">
        <v>0</v>
      </c>
      <c r="H71" s="454">
        <v>0</v>
      </c>
      <c r="I71" s="456">
        <v>0</v>
      </c>
      <c r="J71" s="458">
        <v>0</v>
      </c>
      <c r="K71" s="454">
        <v>0</v>
      </c>
      <c r="L71" s="454">
        <v>0</v>
      </c>
      <c r="M71" s="456">
        <v>0</v>
      </c>
      <c r="N71" s="458">
        <v>0</v>
      </c>
      <c r="O71" s="454">
        <v>0</v>
      </c>
      <c r="P71" s="454">
        <v>0</v>
      </c>
      <c r="Q71" s="454">
        <v>0</v>
      </c>
      <c r="R71" s="454">
        <v>0</v>
      </c>
      <c r="S71" s="454">
        <v>0</v>
      </c>
      <c r="T71" s="454">
        <v>0</v>
      </c>
      <c r="U71" s="454">
        <v>0</v>
      </c>
      <c r="V71" s="454">
        <v>0</v>
      </c>
      <c r="W71" s="454">
        <v>0</v>
      </c>
      <c r="X71" s="454">
        <v>0</v>
      </c>
      <c r="Y71" s="454">
        <v>0</v>
      </c>
      <c r="Z71" s="454">
        <v>0</v>
      </c>
      <c r="AA71" s="454">
        <v>0</v>
      </c>
      <c r="AB71" s="456">
        <v>0</v>
      </c>
    </row>
    <row r="72" spans="2:28" ht="15">
      <c r="B72" s="22">
        <f>'Oil supply projection'!$B72</f>
        <v>2081</v>
      </c>
      <c r="C72" s="454">
        <v>0</v>
      </c>
      <c r="D72" s="454">
        <v>0</v>
      </c>
      <c r="E72" s="454">
        <v>0</v>
      </c>
      <c r="F72" s="456">
        <v>0</v>
      </c>
      <c r="G72" s="458">
        <v>0</v>
      </c>
      <c r="H72" s="454">
        <v>0</v>
      </c>
      <c r="I72" s="456">
        <v>0</v>
      </c>
      <c r="J72" s="458">
        <v>0</v>
      </c>
      <c r="K72" s="454">
        <v>0</v>
      </c>
      <c r="L72" s="454">
        <v>0</v>
      </c>
      <c r="M72" s="456">
        <v>0</v>
      </c>
      <c r="N72" s="458">
        <v>0</v>
      </c>
      <c r="O72" s="454">
        <v>0</v>
      </c>
      <c r="P72" s="454">
        <v>0</v>
      </c>
      <c r="Q72" s="454">
        <v>0</v>
      </c>
      <c r="R72" s="454">
        <v>0</v>
      </c>
      <c r="S72" s="454">
        <v>0</v>
      </c>
      <c r="T72" s="454">
        <v>0</v>
      </c>
      <c r="U72" s="454">
        <v>0</v>
      </c>
      <c r="V72" s="454">
        <v>0</v>
      </c>
      <c r="W72" s="454">
        <v>0</v>
      </c>
      <c r="X72" s="454">
        <v>0</v>
      </c>
      <c r="Y72" s="454">
        <v>0</v>
      </c>
      <c r="Z72" s="454">
        <v>0</v>
      </c>
      <c r="AA72" s="454">
        <v>0</v>
      </c>
      <c r="AB72" s="456">
        <v>0</v>
      </c>
    </row>
    <row r="73" spans="2:28" ht="15">
      <c r="B73" s="22">
        <f>'Oil supply projection'!$B73</f>
        <v>2082</v>
      </c>
      <c r="C73" s="454">
        <v>0</v>
      </c>
      <c r="D73" s="454">
        <v>0</v>
      </c>
      <c r="E73" s="454">
        <v>0</v>
      </c>
      <c r="F73" s="456">
        <v>0</v>
      </c>
      <c r="G73" s="458">
        <v>0</v>
      </c>
      <c r="H73" s="454">
        <v>0</v>
      </c>
      <c r="I73" s="456">
        <v>0</v>
      </c>
      <c r="J73" s="458">
        <v>0</v>
      </c>
      <c r="K73" s="454">
        <v>0</v>
      </c>
      <c r="L73" s="454">
        <v>0</v>
      </c>
      <c r="M73" s="456">
        <v>0</v>
      </c>
      <c r="N73" s="458">
        <v>0</v>
      </c>
      <c r="O73" s="454">
        <v>0</v>
      </c>
      <c r="P73" s="454">
        <v>0</v>
      </c>
      <c r="Q73" s="454">
        <v>0</v>
      </c>
      <c r="R73" s="454">
        <v>0</v>
      </c>
      <c r="S73" s="454">
        <v>0</v>
      </c>
      <c r="T73" s="454">
        <v>0</v>
      </c>
      <c r="U73" s="454">
        <v>0</v>
      </c>
      <c r="V73" s="454">
        <v>0</v>
      </c>
      <c r="W73" s="454">
        <v>0</v>
      </c>
      <c r="X73" s="454">
        <v>0</v>
      </c>
      <c r="Y73" s="454">
        <v>0</v>
      </c>
      <c r="Z73" s="454">
        <v>0</v>
      </c>
      <c r="AA73" s="454">
        <v>0</v>
      </c>
      <c r="AB73" s="456">
        <v>0</v>
      </c>
    </row>
    <row r="74" spans="2:28" ht="15">
      <c r="B74" s="22">
        <f>'Oil supply projection'!$B74</f>
        <v>2083</v>
      </c>
      <c r="C74" s="454">
        <v>0</v>
      </c>
      <c r="D74" s="454">
        <v>0</v>
      </c>
      <c r="E74" s="454">
        <v>0</v>
      </c>
      <c r="F74" s="456">
        <v>0</v>
      </c>
      <c r="G74" s="458">
        <v>0</v>
      </c>
      <c r="H74" s="454">
        <v>0</v>
      </c>
      <c r="I74" s="456">
        <v>0</v>
      </c>
      <c r="J74" s="458">
        <v>0</v>
      </c>
      <c r="K74" s="454">
        <v>0</v>
      </c>
      <c r="L74" s="454">
        <v>0</v>
      </c>
      <c r="M74" s="456">
        <v>0</v>
      </c>
      <c r="N74" s="458">
        <v>0</v>
      </c>
      <c r="O74" s="454">
        <v>0</v>
      </c>
      <c r="P74" s="454">
        <v>0</v>
      </c>
      <c r="Q74" s="454">
        <v>0</v>
      </c>
      <c r="R74" s="454">
        <v>0</v>
      </c>
      <c r="S74" s="454">
        <v>0</v>
      </c>
      <c r="T74" s="454">
        <v>0</v>
      </c>
      <c r="U74" s="454">
        <v>0</v>
      </c>
      <c r="V74" s="454">
        <v>0</v>
      </c>
      <c r="W74" s="454">
        <v>0</v>
      </c>
      <c r="X74" s="454">
        <v>0</v>
      </c>
      <c r="Y74" s="454">
        <v>0</v>
      </c>
      <c r="Z74" s="454">
        <v>0</v>
      </c>
      <c r="AA74" s="454">
        <v>0</v>
      </c>
      <c r="AB74" s="456">
        <v>0</v>
      </c>
    </row>
    <row r="75" spans="2:28" ht="15">
      <c r="B75" s="22">
        <f>'Oil supply projection'!$B75</f>
        <v>2084</v>
      </c>
      <c r="C75" s="454">
        <v>0</v>
      </c>
      <c r="D75" s="454">
        <v>0</v>
      </c>
      <c r="E75" s="454">
        <v>0</v>
      </c>
      <c r="F75" s="456">
        <v>0</v>
      </c>
      <c r="G75" s="458">
        <v>0</v>
      </c>
      <c r="H75" s="454">
        <v>0</v>
      </c>
      <c r="I75" s="456">
        <v>0</v>
      </c>
      <c r="J75" s="458">
        <v>0</v>
      </c>
      <c r="K75" s="454">
        <v>0</v>
      </c>
      <c r="L75" s="454">
        <v>0</v>
      </c>
      <c r="M75" s="456">
        <v>0</v>
      </c>
      <c r="N75" s="458">
        <v>0</v>
      </c>
      <c r="O75" s="454">
        <v>0</v>
      </c>
      <c r="P75" s="454">
        <v>0</v>
      </c>
      <c r="Q75" s="454">
        <v>0</v>
      </c>
      <c r="R75" s="454">
        <v>0</v>
      </c>
      <c r="S75" s="454">
        <v>0</v>
      </c>
      <c r="T75" s="454">
        <v>0</v>
      </c>
      <c r="U75" s="454">
        <v>0</v>
      </c>
      <c r="V75" s="454">
        <v>0</v>
      </c>
      <c r="W75" s="454">
        <v>0</v>
      </c>
      <c r="X75" s="454">
        <v>0</v>
      </c>
      <c r="Y75" s="454">
        <v>0</v>
      </c>
      <c r="Z75" s="454">
        <v>0</v>
      </c>
      <c r="AA75" s="454">
        <v>0</v>
      </c>
      <c r="AB75" s="456">
        <v>0</v>
      </c>
    </row>
    <row r="76" spans="2:28" ht="15">
      <c r="B76" s="22">
        <f>'Oil supply projection'!$B76</f>
        <v>2085</v>
      </c>
      <c r="C76" s="454">
        <v>0</v>
      </c>
      <c r="D76" s="454">
        <v>0</v>
      </c>
      <c r="E76" s="454">
        <v>0</v>
      </c>
      <c r="F76" s="456">
        <v>0</v>
      </c>
      <c r="G76" s="458">
        <v>0</v>
      </c>
      <c r="H76" s="454">
        <v>0</v>
      </c>
      <c r="I76" s="456">
        <v>0</v>
      </c>
      <c r="J76" s="458">
        <v>0</v>
      </c>
      <c r="K76" s="454">
        <v>0</v>
      </c>
      <c r="L76" s="454">
        <v>0</v>
      </c>
      <c r="M76" s="456">
        <v>0</v>
      </c>
      <c r="N76" s="458">
        <v>0</v>
      </c>
      <c r="O76" s="454">
        <v>0</v>
      </c>
      <c r="P76" s="454">
        <v>0</v>
      </c>
      <c r="Q76" s="454">
        <v>0</v>
      </c>
      <c r="R76" s="454">
        <v>0</v>
      </c>
      <c r="S76" s="454">
        <v>0</v>
      </c>
      <c r="T76" s="454">
        <v>0</v>
      </c>
      <c r="U76" s="454">
        <v>0</v>
      </c>
      <c r="V76" s="454">
        <v>0</v>
      </c>
      <c r="W76" s="454">
        <v>0</v>
      </c>
      <c r="X76" s="454">
        <v>0</v>
      </c>
      <c r="Y76" s="454">
        <v>0</v>
      </c>
      <c r="Z76" s="454">
        <v>0</v>
      </c>
      <c r="AA76" s="454">
        <v>0</v>
      </c>
      <c r="AB76" s="456">
        <v>0</v>
      </c>
    </row>
    <row r="77" spans="2:28" ht="15">
      <c r="B77" s="22">
        <f>'Oil supply projection'!$B77</f>
        <v>2086</v>
      </c>
      <c r="C77" s="454">
        <v>0</v>
      </c>
      <c r="D77" s="454">
        <v>0</v>
      </c>
      <c r="E77" s="454">
        <v>0</v>
      </c>
      <c r="F77" s="456">
        <v>0</v>
      </c>
      <c r="G77" s="458">
        <v>0</v>
      </c>
      <c r="H77" s="454">
        <v>0</v>
      </c>
      <c r="I77" s="456">
        <v>0</v>
      </c>
      <c r="J77" s="458">
        <v>0</v>
      </c>
      <c r="K77" s="454">
        <v>0</v>
      </c>
      <c r="L77" s="454">
        <v>0</v>
      </c>
      <c r="M77" s="456">
        <v>0</v>
      </c>
      <c r="N77" s="458">
        <v>0</v>
      </c>
      <c r="O77" s="454">
        <v>0</v>
      </c>
      <c r="P77" s="454">
        <v>0</v>
      </c>
      <c r="Q77" s="454">
        <v>0</v>
      </c>
      <c r="R77" s="454">
        <v>0</v>
      </c>
      <c r="S77" s="454">
        <v>0</v>
      </c>
      <c r="T77" s="454">
        <v>0</v>
      </c>
      <c r="U77" s="454">
        <v>0</v>
      </c>
      <c r="V77" s="454">
        <v>0</v>
      </c>
      <c r="W77" s="454">
        <v>0</v>
      </c>
      <c r="X77" s="454">
        <v>0</v>
      </c>
      <c r="Y77" s="454">
        <v>0</v>
      </c>
      <c r="Z77" s="454">
        <v>0</v>
      </c>
      <c r="AA77" s="454">
        <v>0</v>
      </c>
      <c r="AB77" s="456">
        <v>0</v>
      </c>
    </row>
    <row r="78" spans="2:28" ht="15">
      <c r="B78" s="22">
        <f>'Oil supply projection'!$B78</f>
        <v>2087</v>
      </c>
      <c r="C78" s="454">
        <v>0</v>
      </c>
      <c r="D78" s="454">
        <v>0</v>
      </c>
      <c r="E78" s="454">
        <v>0</v>
      </c>
      <c r="F78" s="456">
        <v>0</v>
      </c>
      <c r="G78" s="458">
        <v>0</v>
      </c>
      <c r="H78" s="454">
        <v>0</v>
      </c>
      <c r="I78" s="456">
        <v>0</v>
      </c>
      <c r="J78" s="458">
        <v>0</v>
      </c>
      <c r="K78" s="454">
        <v>0</v>
      </c>
      <c r="L78" s="454">
        <v>0</v>
      </c>
      <c r="M78" s="456">
        <v>0</v>
      </c>
      <c r="N78" s="458">
        <v>0</v>
      </c>
      <c r="O78" s="454">
        <v>0</v>
      </c>
      <c r="P78" s="454">
        <v>0</v>
      </c>
      <c r="Q78" s="454">
        <v>0</v>
      </c>
      <c r="R78" s="454">
        <v>0</v>
      </c>
      <c r="S78" s="454">
        <v>0</v>
      </c>
      <c r="T78" s="454">
        <v>0</v>
      </c>
      <c r="U78" s="454">
        <v>0</v>
      </c>
      <c r="V78" s="454">
        <v>0</v>
      </c>
      <c r="W78" s="454">
        <v>0</v>
      </c>
      <c r="X78" s="454">
        <v>0</v>
      </c>
      <c r="Y78" s="454">
        <v>0</v>
      </c>
      <c r="Z78" s="454">
        <v>0</v>
      </c>
      <c r="AA78" s="454">
        <v>0</v>
      </c>
      <c r="AB78" s="456">
        <v>0</v>
      </c>
    </row>
    <row r="79" spans="2:28" ht="15">
      <c r="B79" s="22">
        <f>'Oil supply projection'!$B79</f>
        <v>2088</v>
      </c>
      <c r="C79" s="454">
        <v>0</v>
      </c>
      <c r="D79" s="454">
        <v>0</v>
      </c>
      <c r="E79" s="454">
        <v>0</v>
      </c>
      <c r="F79" s="456">
        <v>0</v>
      </c>
      <c r="G79" s="458">
        <v>0</v>
      </c>
      <c r="H79" s="454">
        <v>0</v>
      </c>
      <c r="I79" s="456">
        <v>0</v>
      </c>
      <c r="J79" s="458">
        <v>0</v>
      </c>
      <c r="K79" s="454">
        <v>0</v>
      </c>
      <c r="L79" s="454">
        <v>0</v>
      </c>
      <c r="M79" s="456">
        <v>0</v>
      </c>
      <c r="N79" s="458">
        <v>0</v>
      </c>
      <c r="O79" s="454">
        <v>0</v>
      </c>
      <c r="P79" s="454">
        <v>0</v>
      </c>
      <c r="Q79" s="454">
        <v>0</v>
      </c>
      <c r="R79" s="454">
        <v>0</v>
      </c>
      <c r="S79" s="454">
        <v>0</v>
      </c>
      <c r="T79" s="454">
        <v>0</v>
      </c>
      <c r="U79" s="454">
        <v>0</v>
      </c>
      <c r="V79" s="454">
        <v>0</v>
      </c>
      <c r="W79" s="454">
        <v>0</v>
      </c>
      <c r="X79" s="454">
        <v>0</v>
      </c>
      <c r="Y79" s="454">
        <v>0</v>
      </c>
      <c r="Z79" s="454">
        <v>0</v>
      </c>
      <c r="AA79" s="454">
        <v>0</v>
      </c>
      <c r="AB79" s="456">
        <v>0</v>
      </c>
    </row>
    <row r="80" spans="2:28" ht="15">
      <c r="B80" s="22">
        <f>'Oil supply projection'!$B80</f>
        <v>2089</v>
      </c>
      <c r="C80" s="454">
        <v>0</v>
      </c>
      <c r="D80" s="454">
        <v>0</v>
      </c>
      <c r="E80" s="454">
        <v>0</v>
      </c>
      <c r="F80" s="456">
        <v>0</v>
      </c>
      <c r="G80" s="458">
        <v>0</v>
      </c>
      <c r="H80" s="454">
        <v>0</v>
      </c>
      <c r="I80" s="456">
        <v>0</v>
      </c>
      <c r="J80" s="458">
        <v>0</v>
      </c>
      <c r="K80" s="454">
        <v>0</v>
      </c>
      <c r="L80" s="454">
        <v>0</v>
      </c>
      <c r="M80" s="456">
        <v>0</v>
      </c>
      <c r="N80" s="458">
        <v>0</v>
      </c>
      <c r="O80" s="454">
        <v>0</v>
      </c>
      <c r="P80" s="454">
        <v>0</v>
      </c>
      <c r="Q80" s="454">
        <v>0</v>
      </c>
      <c r="R80" s="454">
        <v>0</v>
      </c>
      <c r="S80" s="454">
        <v>0</v>
      </c>
      <c r="T80" s="454">
        <v>0</v>
      </c>
      <c r="U80" s="454">
        <v>0</v>
      </c>
      <c r="V80" s="454">
        <v>0</v>
      </c>
      <c r="W80" s="454">
        <v>0</v>
      </c>
      <c r="X80" s="454">
        <v>0</v>
      </c>
      <c r="Y80" s="454">
        <v>0</v>
      </c>
      <c r="Z80" s="454">
        <v>0</v>
      </c>
      <c r="AA80" s="454">
        <v>0</v>
      </c>
      <c r="AB80" s="456">
        <v>0</v>
      </c>
    </row>
    <row r="81" spans="2:28" ht="15">
      <c r="B81" s="22">
        <f>'Oil supply projection'!$B81</f>
        <v>2090</v>
      </c>
      <c r="C81" s="454">
        <v>0</v>
      </c>
      <c r="D81" s="454">
        <v>0</v>
      </c>
      <c r="E81" s="454">
        <v>0</v>
      </c>
      <c r="F81" s="456">
        <v>0</v>
      </c>
      <c r="G81" s="458">
        <v>0</v>
      </c>
      <c r="H81" s="454">
        <v>0</v>
      </c>
      <c r="I81" s="456">
        <v>0</v>
      </c>
      <c r="J81" s="458">
        <v>0</v>
      </c>
      <c r="K81" s="454">
        <v>0</v>
      </c>
      <c r="L81" s="454">
        <v>0</v>
      </c>
      <c r="M81" s="456">
        <v>0</v>
      </c>
      <c r="N81" s="458">
        <v>0</v>
      </c>
      <c r="O81" s="454">
        <v>0</v>
      </c>
      <c r="P81" s="454">
        <v>0</v>
      </c>
      <c r="Q81" s="454">
        <v>0</v>
      </c>
      <c r="R81" s="454">
        <v>0</v>
      </c>
      <c r="S81" s="454">
        <v>0</v>
      </c>
      <c r="T81" s="454">
        <v>0</v>
      </c>
      <c r="U81" s="454">
        <v>0</v>
      </c>
      <c r="V81" s="454">
        <v>0</v>
      </c>
      <c r="W81" s="454">
        <v>0</v>
      </c>
      <c r="X81" s="454">
        <v>0</v>
      </c>
      <c r="Y81" s="454">
        <v>0</v>
      </c>
      <c r="Z81" s="454">
        <v>0</v>
      </c>
      <c r="AA81" s="454">
        <v>0</v>
      </c>
      <c r="AB81" s="456">
        <v>0</v>
      </c>
    </row>
    <row r="82" spans="2:28" ht="15">
      <c r="B82" s="22">
        <f>'Oil supply projection'!$B82</f>
        <v>2091</v>
      </c>
      <c r="C82" s="454">
        <v>0</v>
      </c>
      <c r="D82" s="454">
        <v>0</v>
      </c>
      <c r="E82" s="454">
        <v>0</v>
      </c>
      <c r="F82" s="456">
        <v>0</v>
      </c>
      <c r="G82" s="458">
        <v>0</v>
      </c>
      <c r="H82" s="454">
        <v>0</v>
      </c>
      <c r="I82" s="456">
        <v>0</v>
      </c>
      <c r="J82" s="458">
        <v>0</v>
      </c>
      <c r="K82" s="454">
        <v>0</v>
      </c>
      <c r="L82" s="454">
        <v>0</v>
      </c>
      <c r="M82" s="456">
        <v>0</v>
      </c>
      <c r="N82" s="458">
        <v>0</v>
      </c>
      <c r="O82" s="454">
        <v>0</v>
      </c>
      <c r="P82" s="454">
        <v>0</v>
      </c>
      <c r="Q82" s="454">
        <v>0</v>
      </c>
      <c r="R82" s="454">
        <v>0</v>
      </c>
      <c r="S82" s="454">
        <v>0</v>
      </c>
      <c r="T82" s="454">
        <v>0</v>
      </c>
      <c r="U82" s="454">
        <v>0</v>
      </c>
      <c r="V82" s="454">
        <v>0</v>
      </c>
      <c r="W82" s="454">
        <v>0</v>
      </c>
      <c r="X82" s="454">
        <v>0</v>
      </c>
      <c r="Y82" s="454">
        <v>0</v>
      </c>
      <c r="Z82" s="454">
        <v>0</v>
      </c>
      <c r="AA82" s="454">
        <v>0</v>
      </c>
      <c r="AB82" s="456">
        <v>0</v>
      </c>
    </row>
    <row r="83" spans="2:28" ht="15">
      <c r="B83" s="22">
        <f>'Oil supply projection'!$B83</f>
        <v>2092</v>
      </c>
      <c r="C83" s="454">
        <v>0</v>
      </c>
      <c r="D83" s="454">
        <v>0</v>
      </c>
      <c r="E83" s="454">
        <v>0</v>
      </c>
      <c r="F83" s="456">
        <v>0</v>
      </c>
      <c r="G83" s="458">
        <v>0</v>
      </c>
      <c r="H83" s="454">
        <v>0</v>
      </c>
      <c r="I83" s="456">
        <v>0</v>
      </c>
      <c r="J83" s="458">
        <v>0</v>
      </c>
      <c r="K83" s="454">
        <v>0</v>
      </c>
      <c r="L83" s="454">
        <v>0</v>
      </c>
      <c r="M83" s="456">
        <v>0</v>
      </c>
      <c r="N83" s="458">
        <v>0</v>
      </c>
      <c r="O83" s="454">
        <v>0</v>
      </c>
      <c r="P83" s="454">
        <v>0</v>
      </c>
      <c r="Q83" s="454">
        <v>0</v>
      </c>
      <c r="R83" s="454">
        <v>0</v>
      </c>
      <c r="S83" s="454">
        <v>0</v>
      </c>
      <c r="T83" s="454">
        <v>0</v>
      </c>
      <c r="U83" s="454">
        <v>0</v>
      </c>
      <c r="V83" s="454">
        <v>0</v>
      </c>
      <c r="W83" s="454">
        <v>0</v>
      </c>
      <c r="X83" s="454">
        <v>0</v>
      </c>
      <c r="Y83" s="454">
        <v>0</v>
      </c>
      <c r="Z83" s="454">
        <v>0</v>
      </c>
      <c r="AA83" s="454">
        <v>0</v>
      </c>
      <c r="AB83" s="456">
        <v>0</v>
      </c>
    </row>
    <row r="84" spans="2:28" ht="15">
      <c r="B84" s="22">
        <f>'Oil supply projection'!$B84</f>
        <v>2093</v>
      </c>
      <c r="C84" s="455">
        <v>0</v>
      </c>
      <c r="D84" s="455">
        <v>0</v>
      </c>
      <c r="E84" s="455">
        <v>0</v>
      </c>
      <c r="F84" s="457">
        <v>0</v>
      </c>
      <c r="G84" s="459">
        <v>0</v>
      </c>
      <c r="H84" s="455">
        <v>0</v>
      </c>
      <c r="I84" s="457">
        <v>0</v>
      </c>
      <c r="J84" s="459">
        <v>0</v>
      </c>
      <c r="K84" s="455">
        <v>0</v>
      </c>
      <c r="L84" s="455">
        <v>0</v>
      </c>
      <c r="M84" s="457">
        <v>0</v>
      </c>
      <c r="N84" s="459">
        <v>0</v>
      </c>
      <c r="O84" s="455">
        <v>0</v>
      </c>
      <c r="P84" s="455">
        <v>0</v>
      </c>
      <c r="Q84" s="455">
        <v>0</v>
      </c>
      <c r="R84" s="455">
        <v>0</v>
      </c>
      <c r="S84" s="455">
        <v>0</v>
      </c>
      <c r="T84" s="455">
        <v>0</v>
      </c>
      <c r="U84" s="455">
        <v>0</v>
      </c>
      <c r="V84" s="455">
        <v>0</v>
      </c>
      <c r="W84" s="455">
        <v>0</v>
      </c>
      <c r="X84" s="455">
        <v>0</v>
      </c>
      <c r="Y84" s="455">
        <v>0</v>
      </c>
      <c r="Z84" s="455">
        <v>0</v>
      </c>
      <c r="AA84" s="455">
        <v>0</v>
      </c>
      <c r="AB84" s="457">
        <v>0</v>
      </c>
    </row>
    <row r="85" spans="2:28" ht="15">
      <c r="B85" s="335" t="s">
        <v>485</v>
      </c>
      <c r="C85" s="336">
        <f t="array" ref="C85">SUM(IF(ISERROR(365*sim_sup_oil_ocs_atn+sim_sup_gas_ocs_atn*gas_boe),0,365*sim_sup_oil_ocs_atn+sim_sup_gas_ocs_atn*gas_boe))/SUM(IF(ISERROR(365*sim_sup_oil_ocs+sim_sup_gas_ocs*gas_boe),0,365*sim_sup_oil_ocs+sim_sup_gas_ocs*gas_boe))</f>
        <v>0</v>
      </c>
      <c r="D85" s="336">
        <f t="array" ref="D85">SUM(IF(ISERROR(365*sim_sup_oil_ocs_atm+sim_sup_gas_ocs_atm*gas_boe),0,365*sim_sup_oil_ocs_atm+sim_sup_gas_ocs_atm*gas_boe))/SUM(IF(ISERROR(365*sim_sup_oil_ocs+sim_sup_gas_ocs*gas_boe),0,365*sim_sup_oil_ocs+sim_sup_gas_ocs*gas_boe))</f>
        <v>0</v>
      </c>
      <c r="E85" s="336">
        <f t="array" ref="E85">SUM(IF(ISERROR(365*sim_sup_oil_ocs_ats+sim_sup_gas_ocs_ats*gas_boe),0,365*sim_sup_oil_ocs_ats+sim_sup_gas_ocs_ats*gas_boe))/SUM(IF(ISERROR(365*sim_sup_oil_ocs+sim_sup_gas_ocs*gas_boe),0,365*sim_sup_oil_ocs+sim_sup_gas_ocs*gas_boe))</f>
        <v>0</v>
      </c>
      <c r="F85" s="337">
        <f t="array" ref="F85">SUM(IF(ISERROR(365*sim_sup_oil_ocs_atf+sim_sup_gas_ocs_atf*gas_boe),0,365*sim_sup_oil_ocs_atf+sim_sup_gas_ocs_atf*gas_boe))/SUM(IF(ISERROR(365*sim_sup_oil_ocs+sim_sup_gas_ocs*gas_boe),0,365*sim_sup_oil_ocs+sim_sup_gas_ocs*gas_boe))</f>
        <v>0</v>
      </c>
      <c r="G85" s="338">
        <f t="array" ref="G85">SUM(IF(ISERROR(365*sim_sup_oil_ocs_gme+sim_sup_gas_ocs_gme*gas_boe),0,365*sim_sup_oil_ocs_gme+sim_sup_gas_ocs_gme*gas_boe))/SUM(IF(ISERROR(365*sim_sup_oil_ocs+sim_sup_gas_ocs*gas_boe),0,365*sim_sup_oil_ocs+sim_sup_gas_ocs*gas_boe))</f>
        <v>0</v>
      </c>
      <c r="H85" s="336">
        <f t="array" ref="H85">SUM(IF(ISERROR(365*sim_sup_oil_ocs_gmc+sim_sup_gas_ocs_gmc*gas_boe),0,365*sim_sup_oil_ocs_gmc+sim_sup_gas_ocs_gmc*gas_boe))/SUM(IF(ISERROR(365*sim_sup_oil_ocs+sim_sup_gas_ocs*gas_boe),0,365*sim_sup_oil_ocs+sim_sup_gas_ocs*gas_boe))</f>
        <v>0.39808410456242882</v>
      </c>
      <c r="I85" s="337">
        <f t="array" ref="I85">SUM(IF(ISERROR(365*sim_sup_oil_ocs_gmw+sim_sup_gas_ocs_gmw*gas_boe),0,365*sim_sup_oil_ocs_gmw+sim_sup_gas_ocs_gmw*gas_boe))/SUM(IF(ISERROR(365*sim_sup_oil_ocs+sim_sup_gas_ocs*gas_boe),0,365*sim_sup_oil_ocs+sim_sup_gas_ocs*gas_boe))</f>
        <v>0</v>
      </c>
      <c r="J85" s="338">
        <f t="array" ref="J85">SUM(IF(ISERROR(365*sim_sup_oil_ocs_pas+sim_sup_gas_ocs_pas*gas_boe),0,365*sim_sup_oil_ocs_pas+sim_sup_gas_ocs_pas*gas_boe))/SUM(IF(ISERROR(365*sim_sup_oil_ocs+sim_sup_gas_ocs*gas_boe),0,365*sim_sup_oil_ocs+sim_sup_gas_ocs*gas_boe))</f>
        <v>0</v>
      </c>
      <c r="K85" s="336">
        <f t="array" ref="K85">SUM(IF(ISERROR(365*sim_sup_oil_ocs_pac+sim_sup_gas_ocs_pac*gas_boe),0,365*sim_sup_oil_ocs_pac+sim_sup_gas_ocs_pac*gas_boe))/SUM(IF(ISERROR(365*sim_sup_oil_ocs+sim_sup_gas_ocs*gas_boe),0,365*sim_sup_oil_ocs+sim_sup_gas_ocs*gas_boe))</f>
        <v>0</v>
      </c>
      <c r="L85" s="336">
        <f t="array" ref="L85">SUM(IF(ISERROR(365*sim_sup_oil_ocs_pan+sim_sup_gas_ocs_pan*gas_boe),0,365*sim_sup_oil_ocs_pan+sim_sup_gas_ocs_pan*gas_boe))/SUM(IF(ISERROR(365*sim_sup_oil_ocs+sim_sup_gas_ocs*gas_boe),0,365*sim_sup_oil_ocs+sim_sup_gas_ocs*gas_boe))</f>
        <v>0</v>
      </c>
      <c r="M85" s="337">
        <f t="array" ref="M85">SUM(IF(ISERROR(365*sim_sup_oil_ocs_paw+sim_sup_gas_ocs_paw*gas_boe),0,365*sim_sup_oil_ocs_paw+sim_sup_gas_ocs_paw*gas_boe))/SUM(IF(ISERROR(365*sim_sup_oil_ocs+sim_sup_gas_ocs*gas_boe),0,365*sim_sup_oil_ocs+sim_sup_gas_ocs*gas_boe))</f>
        <v>0</v>
      </c>
      <c r="N85" s="338">
        <f t="array" ref="N85">SUM(IF(ISERROR(365*sim_sup_oil_ocs_goa+sim_sup_gas_ocs_goa*gas_boe),0,365*sim_sup_oil_ocs_goa+sim_sup_gas_ocs_goa*gas_boe))/SUM(IF(ISERROR(365*sim_sup_oil_ocs+sim_sup_gas_ocs*gas_boe),0,365*sim_sup_oil_ocs+sim_sup_gas_ocs*gas_boe))</f>
        <v>0.32245494398441304</v>
      </c>
      <c r="O85" s="336">
        <f t="array" ref="O85">SUM(IF(ISERROR(365*sim_sup_oil_ocs_coo+sim_sup_gas_ocs_coo*gas_boe),0,365*sim_sup_oil_ocs_coo+sim_sup_gas_ocs_coo*gas_boe))/SUM(IF(ISERROR(365*sim_sup_oil_ocs+sim_sup_gas_ocs*gas_boe),0,365*sim_sup_oil_ocs+sim_sup_gas_ocs*gas_boe))</f>
        <v>0.27946095145315802</v>
      </c>
      <c r="P85" s="336">
        <f t="array" ref="P85">SUM(IF(ISERROR(365*sim_sup_oil_ocs_kod+sim_sup_gas_ocs_kod*gas_boe),0,365*sim_sup_oil_ocs_kod+sim_sup_gas_ocs_kod*gas_boe))/SUM(IF(ISERROR(365*sim_sup_oil_ocs+sim_sup_gas_ocs*gas_boe),0,365*sim_sup_oil_ocs+sim_sup_gas_ocs*gas_boe))</f>
        <v>0</v>
      </c>
      <c r="Q85" s="336">
        <f t="array" ref="Q85">SUM(IF(ISERROR(365*sim_sup_oil_ocs_shu+sim_sup_gas_ocs_shu*gas_boe),0,365*sim_sup_oil_ocs_shu+sim_sup_gas_ocs_shu*gas_boe))/SUM(IF(ISERROR(365*sim_sup_oil_ocs+sim_sup_gas_ocs*gas_boe),0,365*sim_sup_oil_ocs+sim_sup_gas_ocs*gas_boe))</f>
        <v>0</v>
      </c>
      <c r="R85" s="336">
        <f t="array" ref="R85">SUM(IF(ISERROR(365*sim_sup_oil_ocs_nab+sim_sup_gas_ocs_nab*gas_boe),0,365*sim_sup_oil_ocs_nab+sim_sup_gas_ocs_nab*gas_boe))/SUM(IF(ISERROR(365*sim_sup_oil_ocs+sim_sup_gas_ocs*gas_boe),0,365*sim_sup_oil_ocs+sim_sup_gas_ocs*gas_boe))</f>
        <v>0</v>
      </c>
      <c r="S85" s="336">
        <f t="array" ref="S85">SUM(IF(ISERROR(365*sim_sup_oil_ocs_ala+sim_sup_gas_ocs_ala*gas_boe),0,365*sim_sup_oil_ocs_ala+sim_sup_gas_ocs_ala*gas_boe))/SUM(IF(ISERROR(365*sim_sup_oil_ocs+sim_sup_gas_ocs*gas_boe),0,365*sim_sup_oil_ocs+sim_sup_gas_ocs*gas_boe))</f>
        <v>0</v>
      </c>
      <c r="T85" s="336">
        <f t="array" ref="T85">SUM(IF(ISERROR(365*sim_sup_oil_ocs_sgb+sim_sup_gas_ocs_sgb*gas_boe),0,365*sim_sup_oil_ocs_sgb+sim_sup_gas_ocs_sgb*gas_boe))/SUM(IF(ISERROR(365*sim_sup_oil_ocs+sim_sup_gas_ocs*gas_boe),0,365*sim_sup_oil_ocs+sim_sup_gas_ocs*gas_boe))</f>
        <v>0</v>
      </c>
      <c r="U85" s="336">
        <f t="array" ref="U85">SUM(IF(ISERROR(365*sim_sup_oil_ocs_smh+sim_sup_gas_ocs_smh*gas_boe),0,365*sim_sup_oil_ocs_smh+sim_sup_gas_ocs_smh*gas_boe))/SUM(IF(ISERROR(365*sim_sup_oil_ocs+sim_sup_gas_ocs*gas_boe),0,365*sim_sup_oil_ocs+sim_sup_gas_ocs*gas_boe))</f>
        <v>0</v>
      </c>
      <c r="V85" s="336">
        <f t="array" ref="V85">SUM(IF(ISERROR(365*sim_sup_oil_ocs_bow+sim_sup_gas_ocs_bow*gas_boe),0,365*sim_sup_oil_ocs_bow+sim_sup_gas_ocs_bow*gas_boe))/SUM(IF(ISERROR(365*sim_sup_oil_ocs+sim_sup_gas_ocs*gas_boe),0,365*sim_sup_oil_ocs+sim_sup_gas_ocs*gas_boe))</f>
        <v>0</v>
      </c>
      <c r="W85" s="336">
        <f t="array" ref="W85">SUM(IF(ISERROR(365*sim_sup_oil_ocs_alb+sim_sup_gas_ocs_alb*gas_boe),0,365*sim_sup_oil_ocs_alb+sim_sup_gas_ocs_alb*gas_boe))/SUM(IF(ISERROR(365*sim_sup_oil_ocs+sim_sup_gas_ocs*gas_boe),0,365*sim_sup_oil_ocs+sim_sup_gas_ocs*gas_boe))</f>
        <v>0</v>
      </c>
      <c r="X85" s="336">
        <f t="array" ref="X85">SUM(IF(ISERROR(365*sim_sup_oil_ocs_nav+sim_sup_gas_ocs_nav*gas_boe),0,365*sim_sup_oil_ocs_nav+sim_sup_gas_ocs_nav*gas_boe))/SUM(IF(ISERROR(365*sim_sup_oil_ocs+sim_sup_gas_ocs*gas_boe),0,365*sim_sup_oil_ocs+sim_sup_gas_ocs*gas_boe))</f>
        <v>0</v>
      </c>
      <c r="Y85" s="336">
        <f t="array" ref="Y85">SUM(IF(ISERROR(365*sim_sup_oil_ocs_nor+sim_sup_gas_ocs_nor*gas_boe),0,365*sim_sup_oil_ocs_nor+sim_sup_gas_ocs_nor*gas_boe))/SUM(IF(ISERROR(365*sim_sup_oil_ocs+sim_sup_gas_ocs*gas_boe),0,365*sim_sup_oil_ocs+sim_sup_gas_ocs*gas_boe))</f>
        <v>0</v>
      </c>
      <c r="Z85" s="336">
        <f t="array" ref="Z85">SUM(IF(ISERROR(365*sim_sup_oil_ocs_hop+sim_sup_gas_ocs_hop*gas_boe),0,365*sim_sup_oil_ocs_hop+sim_sup_gas_ocs_hop*gas_boe))/SUM(IF(ISERROR(365*sim_sup_oil_ocs+sim_sup_gas_ocs*gas_boe),0,365*sim_sup_oil_ocs+sim_sup_gas_ocs*gas_boe))</f>
        <v>0</v>
      </c>
      <c r="AA85" s="336">
        <f t="array" ref="AA85">SUM(IF(ISERROR(365*sim_sup_oil_ocs_chu+sim_sup_gas_ocs_chu*gas_boe),0,365*sim_sup_oil_ocs_chu+sim_sup_gas_ocs_chu*gas_boe))/SUM(IF(ISERROR(365*sim_sup_oil_ocs+sim_sup_gas_ocs*gas_boe),0,365*sim_sup_oil_ocs+sim_sup_gas_ocs*gas_boe))</f>
        <v>0</v>
      </c>
      <c r="AB85" s="337">
        <f t="array" ref="AB85">SUM(IF(ISERROR(365*sim_sup_oil_ocs_bea+sim_sup_gas_ocs_bea*gas_boe),0,365*sim_sup_oil_ocs_bea+sim_sup_gas_ocs_bea*gas_boe))/SUM(IF(ISERROR(365*sim_sup_oil_ocs+sim_sup_gas_ocs*gas_boe),0,365*sim_sup_oil_ocs+sim_sup_gas_ocs*gas_boe))</f>
        <v>0</v>
      </c>
    </row>
  </sheetData>
  <mergeCells count="1">
    <mergeCell ref="A1:B1"/>
  </mergeCells>
  <conditionalFormatting sqref="C10:AB84">
    <cfRule type="cellIs" dxfId="101" priority="2" stopIfTrue="1" operator="equal">
      <formula>0</formula>
    </cfRule>
  </conditionalFormatting>
  <conditionalFormatting sqref="C85:AB85">
    <cfRule type="cellIs" dxfId="100" priority="1" stopIfTrue="1" operator="equal">
      <formula>0</formula>
    </cfRule>
  </conditionalFormatting>
  <hyperlinks>
    <hyperlink ref="A1" location="'Table of Contents'!A1" tooltip="Click here to return to the Table of Contents tab" display="Return to Table of Contents" xr:uid="{00000000-0004-0000-1800-000000000000}"/>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9">
    <pageSetUpPr fitToPage="1"/>
  </sheetPr>
  <dimension ref="A1:R87"/>
  <sheetViews>
    <sheetView workbookViewId="0">
      <pane xSplit="2" ySplit="9" topLeftCell="C76" activePane="bottomRight" state="frozen"/>
      <selection pane="topRight" activeCell="A2" sqref="A2"/>
      <selection pane="bottomLeft" activeCell="A2" sqref="A2"/>
      <selection pane="bottomRight" sqref="A1:B1"/>
    </sheetView>
  </sheetViews>
  <sheetFormatPr defaultColWidth="9.28515625" defaultRowHeight="15" customHeight="1"/>
  <cols>
    <col min="1" max="1" width="15.5703125" style="18" customWidth="1"/>
    <col min="2" max="2" width="10.28515625" style="1" customWidth="1"/>
    <col min="3" max="7" width="14.5703125" style="1" customWidth="1"/>
    <col min="8" max="8" width="15.42578125" style="1" customWidth="1"/>
    <col min="9" max="9" width="18.42578125" style="1" customWidth="1"/>
    <col min="10" max="11" width="14.5703125" style="1" customWidth="1"/>
    <col min="12" max="12" width="9.28515625" style="1"/>
    <col min="13" max="13" width="17.7109375" style="1" customWidth="1"/>
    <col min="14" max="16384" width="9.28515625" style="1"/>
  </cols>
  <sheetData>
    <row r="1" spans="1:14" ht="15.75" thickBot="1">
      <c r="A1" s="701" t="s">
        <v>27</v>
      </c>
      <c r="B1" s="702"/>
      <c r="C1" s="180"/>
      <c r="D1" s="180"/>
      <c r="E1" s="2"/>
      <c r="F1" s="2"/>
    </row>
    <row r="2" spans="1:14" ht="16.5" customHeight="1">
      <c r="A2" s="1"/>
      <c r="B2" s="2"/>
      <c r="C2" s="2"/>
      <c r="D2" s="2"/>
      <c r="E2" s="2"/>
      <c r="F2" s="2"/>
    </row>
    <row r="3" spans="1:14" ht="16.5" customHeight="1">
      <c r="A3" s="1"/>
      <c r="B3" s="2"/>
      <c r="C3" s="2"/>
      <c r="D3" s="2"/>
      <c r="E3" s="2"/>
      <c r="F3" s="2"/>
    </row>
    <row r="4" spans="1:14" ht="16.5" customHeight="1">
      <c r="A4" s="1"/>
      <c r="B4" s="2"/>
      <c r="C4" s="2"/>
      <c r="D4" s="2"/>
      <c r="E4" s="2"/>
      <c r="F4" s="2"/>
    </row>
    <row r="5" spans="1:14" ht="16.5" customHeight="1">
      <c r="A5" s="1"/>
      <c r="B5" s="2"/>
      <c r="C5" s="2"/>
      <c r="D5" s="2"/>
      <c r="E5" s="2"/>
      <c r="F5" s="2"/>
    </row>
    <row r="6" spans="1:14" ht="19.5" customHeight="1">
      <c r="A6" s="16"/>
      <c r="B6" s="11" t="s">
        <v>513</v>
      </c>
      <c r="C6" s="12"/>
      <c r="D6" s="12"/>
      <c r="E6" s="12"/>
      <c r="F6" s="59"/>
      <c r="G6" s="59"/>
      <c r="H6" s="59"/>
      <c r="I6" s="59"/>
      <c r="J6" s="60"/>
      <c r="K6" s="60"/>
    </row>
    <row r="7" spans="1:14" ht="19.5" customHeight="1">
      <c r="A7" s="16"/>
      <c r="B7" s="61"/>
      <c r="C7" s="57"/>
      <c r="D7" s="57"/>
      <c r="E7" s="57"/>
      <c r="F7" s="62"/>
      <c r="G7" s="62"/>
      <c r="H7" s="62"/>
      <c r="I7" s="62"/>
      <c r="J7" s="62"/>
      <c r="K7" s="63"/>
    </row>
    <row r="8" spans="1:14" ht="44.25" customHeight="1">
      <c r="A8" s="16"/>
      <c r="B8" s="650"/>
      <c r="C8" s="650" t="s">
        <v>281</v>
      </c>
      <c r="D8" s="650" t="s">
        <v>282</v>
      </c>
      <c r="E8" s="650" t="s">
        <v>283</v>
      </c>
      <c r="F8" s="650" t="s">
        <v>284</v>
      </c>
      <c r="G8" s="650" t="s">
        <v>401</v>
      </c>
      <c r="H8" s="650" t="s">
        <v>402</v>
      </c>
      <c r="I8" s="650" t="s">
        <v>403</v>
      </c>
      <c r="J8" s="650" t="s">
        <v>404</v>
      </c>
      <c r="K8" s="650" t="s">
        <v>405</v>
      </c>
      <c r="M8" s="650" t="s">
        <v>406</v>
      </c>
    </row>
    <row r="9" spans="1:14" ht="29.25" customHeight="1" thickBot="1">
      <c r="A9" s="16"/>
      <c r="B9" s="239" t="s">
        <v>268</v>
      </c>
      <c r="C9" s="96" t="s">
        <v>314</v>
      </c>
      <c r="D9" s="96" t="s">
        <v>314</v>
      </c>
      <c r="E9" s="96" t="s">
        <v>314</v>
      </c>
      <c r="F9" s="96" t="s">
        <v>314</v>
      </c>
      <c r="G9" s="96" t="s">
        <v>314</v>
      </c>
      <c r="H9" s="96" t="s">
        <v>314</v>
      </c>
      <c r="I9" s="96" t="s">
        <v>314</v>
      </c>
      <c r="J9" s="96" t="s">
        <v>314</v>
      </c>
      <c r="K9" s="96" t="s">
        <v>314</v>
      </c>
      <c r="L9" s="178"/>
      <c r="M9" s="96" t="s">
        <v>314</v>
      </c>
      <c r="N9" s="178"/>
    </row>
    <row r="10" spans="1:14" ht="15" customHeight="1">
      <c r="A10" s="16"/>
      <c r="B10" s="22">
        <f>'Oil supply projection'!$B10</f>
        <v>2019</v>
      </c>
      <c r="C10" s="30">
        <f t="array" ref="C10:K10">aeo_dem_oil_2010</f>
        <v>0.60512948803159661</v>
      </c>
      <c r="D10" s="30">
        <v>0.51135651196840348</v>
      </c>
      <c r="E10" s="30">
        <v>5.1514129999999998</v>
      </c>
      <c r="F10" s="30">
        <v>14.108962</v>
      </c>
      <c r="G10" s="30">
        <v>8.6405999999999997E-2</v>
      </c>
      <c r="H10" s="484">
        <v>2.9820000000000002</v>
      </c>
      <c r="I10" s="484">
        <v>5.4889999999999999</v>
      </c>
      <c r="J10" s="484">
        <v>72.050585999999996</v>
      </c>
      <c r="K10" s="65">
        <v>100.98485299999999</v>
      </c>
      <c r="M10" s="30"/>
    </row>
    <row r="11" spans="1:14" ht="15" customHeight="1">
      <c r="A11" s="17"/>
      <c r="B11" s="22">
        <f>'Oil supply projection'!$B11</f>
        <v>2020</v>
      </c>
      <c r="C11" s="30">
        <f t="array" ref="C11:C84" ca="1">(a_oil_res*(sim_price_oil^e_dem_oil_res)*(sim_price_gas^e_oil_res_gas)*(sim_price_ele^e_oil_res_ele)+(1-g_dem_oil_res)*OFFSET(sim_dem_oil_res,-1,0))*display</f>
        <v>0.53212463073228566</v>
      </c>
      <c r="D11" s="30">
        <f t="array" ref="D11:D84" ca="1">(a_oil_com*(sim_price_oil^e_dem_oil_com)*(sim_price_gas^e_oil_com_gas)*(sim_price_ele^e_oil_com_ele)+(1-g_dem_oil_com)*OFFSET(sim_dem_oil_com,-1,0))*display</f>
        <v>0.49656736926771422</v>
      </c>
      <c r="E11" s="30">
        <f t="array" ref="E11:E84" ca="1">(a_oil_ind*(sim_price_oil^e_dem_oil_ind)*(sim_price_gas^e_oil_ind_gas)*(sim_price_ele^e_oil_ind_ele)*(sim_price_coa^e_oil_ind_coa)+(1-g_dem_oil_ind)*OFFSET(sim_dem_oil_ind,-1,0))*display</f>
        <v>5.0845969999999996</v>
      </c>
      <c r="F11" s="30">
        <f t="array" ref="F11:F84" ca="1">(a_oil_tra*(sim_price_oil^e_dem_oil_tra)*(sim_price_gas^e_oil_tra_gas)*(sim_price_ele^e_oil_tra_ele)+(1-g_dem_oil_tra)*OFFSET(sim_dem_oil_tra,-1,0))*display</f>
        <v>12.012855</v>
      </c>
      <c r="G11" s="30">
        <f t="array" aca="1" ref="G11:G84" ca="1">(k_oil_ele*sim_sup_ele_oil)*display</f>
        <v>8.3318000000000003E-2</v>
      </c>
      <c r="H11" s="484">
        <f t="array" ref="H11:H84" ca="1">(a_oil_row_crude*(sim_price_oil^e_dem_oil_row_crude)+(1-g_dem_oil_row_crude)*OFFSET(sim_dem_oil_row_crude,-1,0))*display</f>
        <v>3.206</v>
      </c>
      <c r="I11" s="484">
        <f t="array" ref="I11:I84" ca="1">(a_oil_row_ref*(sim_price_oil^e_dem_oil_row_ref)+(1-g_dem_oil_row_ref)*OFFSET(sim_dem_oil_row_ref,-1,0))*display</f>
        <v>5.306</v>
      </c>
      <c r="J11" s="484">
        <f t="array" ref="J11:J84" ca="1">(a_oil_row_non_us*(sim_price_oil^e_dem_oil_row_non_us)+(1-g_dem_oil_row_non_us)*OFFSET(sim_dem_oil_row_non_us,-1,0))*display</f>
        <v>73.293147000000005</v>
      </c>
      <c r="K11" s="65">
        <f t="array" aca="1" ref="K11:K84" ca="1">(sim_dem_oil_res+sim_dem_oil_com+sim_dem_oil_ind+sim_dem_oil_tra+sim_dem_oil_ele+sim_dem_oil_row)*display</f>
        <v>100.01460900000001</v>
      </c>
      <c r="M11" s="30">
        <f t="array" ref="M11:M84" ca="1">sim_dem_oil_row_crude+sim_dem_oil_row_ref+sim_dem_oil_row_non_us</f>
        <v>81.805147000000005</v>
      </c>
    </row>
    <row r="12" spans="1:14" ht="15" customHeight="1">
      <c r="B12" s="22">
        <f>'Oil supply projection'!$B12</f>
        <v>2021</v>
      </c>
      <c r="C12" s="30">
        <f ca="1"/>
        <v>0.53482480320201331</v>
      </c>
      <c r="D12" s="30">
        <f ca="1"/>
        <v>0.5222821967979866</v>
      </c>
      <c r="E12" s="30">
        <f ca="1"/>
        <v>5.288411</v>
      </c>
      <c r="F12" s="30">
        <f ca="1"/>
        <v>13.296215</v>
      </c>
      <c r="G12" s="30">
        <f ca="1"/>
        <v>9.3313999999999994E-2</v>
      </c>
      <c r="H12" s="484">
        <f ca="1"/>
        <v>2.9630000000000001</v>
      </c>
      <c r="I12" s="484">
        <f ca="1"/>
        <v>5.5860000000000003</v>
      </c>
      <c r="J12" s="484">
        <f ca="1"/>
        <v>74.790467000000007</v>
      </c>
      <c r="K12" s="65">
        <f ca="1"/>
        <v>103.07451400000002</v>
      </c>
      <c r="M12" s="30">
        <f ca="1"/>
        <v>83.339467000000013</v>
      </c>
    </row>
    <row r="13" spans="1:14" ht="15" customHeight="1">
      <c r="B13" s="22">
        <f>'Oil supply projection'!$B13</f>
        <v>2022</v>
      </c>
      <c r="C13" s="30">
        <f ca="1"/>
        <v>0.53441004342297371</v>
      </c>
      <c r="D13" s="30">
        <f ca="1"/>
        <v>0.50989995657702636</v>
      </c>
      <c r="E13" s="30">
        <f ca="1"/>
        <v>5.5417880000000004</v>
      </c>
      <c r="F13" s="30">
        <f ca="1"/>
        <v>13.689624</v>
      </c>
      <c r="G13" s="30">
        <f ca="1"/>
        <v>5.1819999999999991E-2</v>
      </c>
      <c r="H13" s="484">
        <f ca="1"/>
        <v>3.459625</v>
      </c>
      <c r="I13" s="484">
        <f ca="1"/>
        <v>6.1559999999999997</v>
      </c>
      <c r="J13" s="484">
        <f ca="1"/>
        <v>70.128558999999981</v>
      </c>
      <c r="K13" s="65">
        <f ca="1"/>
        <v>100.07172599999998</v>
      </c>
      <c r="M13" s="30">
        <f ca="1"/>
        <v>79.744183999999976</v>
      </c>
    </row>
    <row r="14" spans="1:14" ht="15" customHeight="1">
      <c r="B14" s="22">
        <f>'Oil supply projection'!$B14</f>
        <v>2023</v>
      </c>
      <c r="C14" s="30">
        <f ca="1"/>
        <v>0.52450463624798915</v>
      </c>
      <c r="D14" s="30">
        <f ca="1"/>
        <v>0.50729836375201098</v>
      </c>
      <c r="E14" s="30">
        <f ca="1"/>
        <v>5.6083569999999998</v>
      </c>
      <c r="F14" s="30">
        <f ca="1"/>
        <v>13.674638</v>
      </c>
      <c r="G14" s="30">
        <f ca="1"/>
        <v>4.8966000000000003E-2</v>
      </c>
      <c r="H14" s="484">
        <f ca="1"/>
        <v>3.3186429999999998</v>
      </c>
      <c r="I14" s="484">
        <f ca="1"/>
        <v>6.5019999999999998</v>
      </c>
      <c r="J14" s="484">
        <f ca="1"/>
        <v>70.883520000000004</v>
      </c>
      <c r="K14" s="65">
        <f ca="1"/>
        <v>101.06792700000001</v>
      </c>
      <c r="M14" s="30">
        <f ca="1"/>
        <v>80.704163000000008</v>
      </c>
    </row>
    <row r="15" spans="1:14" ht="15" customHeight="1">
      <c r="B15" s="22">
        <f>'Oil supply projection'!$B15</f>
        <v>2024</v>
      </c>
      <c r="C15" s="30">
        <f ca="1"/>
        <v>0.47464441625052495</v>
      </c>
      <c r="D15" s="30">
        <f ca="1"/>
        <v>0.50063058374947489</v>
      </c>
      <c r="E15" s="30">
        <f ca="1"/>
        <v>5.4814369999999997</v>
      </c>
      <c r="F15" s="30">
        <f ca="1"/>
        <v>13.502675</v>
      </c>
      <c r="G15" s="30">
        <f ca="1"/>
        <v>4.9362000000000003E-2</v>
      </c>
      <c r="H15" s="484">
        <f ca="1"/>
        <v>3.2261850000000001</v>
      </c>
      <c r="I15" s="484">
        <f ca="1"/>
        <v>7.3494450000000002</v>
      </c>
      <c r="J15" s="484">
        <f ca="1"/>
        <v>71.910852000000006</v>
      </c>
      <c r="K15" s="65">
        <f ca="1"/>
        <v>102.495231</v>
      </c>
      <c r="M15" s="30">
        <f ca="1"/>
        <v>82.486482000000009</v>
      </c>
    </row>
    <row r="16" spans="1:14" ht="15" customHeight="1">
      <c r="B16" s="22">
        <f>'Oil supply projection'!$B16</f>
        <v>2025</v>
      </c>
      <c r="C16" s="30">
        <f ca="1"/>
        <v>0.46978633211015519</v>
      </c>
      <c r="D16" s="30">
        <f ca="1"/>
        <v>0.50345466788984483</v>
      </c>
      <c r="E16" s="30">
        <f ca="1"/>
        <v>5.5847949999999997</v>
      </c>
      <c r="F16" s="30">
        <f ca="1"/>
        <v>13.346295</v>
      </c>
      <c r="G16" s="30">
        <f ca="1"/>
        <v>4.7667000000000001E-2</v>
      </c>
      <c r="H16" s="484">
        <f ca="1"/>
        <v>3.2276440000000002</v>
      </c>
      <c r="I16" s="484">
        <f ca="1"/>
        <v>7.4803670000000002</v>
      </c>
      <c r="J16" s="484">
        <f ca="1"/>
        <v>72.827897164281296</v>
      </c>
      <c r="K16" s="65">
        <f ca="1"/>
        <v>103.4879061642813</v>
      </c>
      <c r="M16" s="30">
        <f ca="1"/>
        <v>83.535908164281295</v>
      </c>
    </row>
    <row r="17" spans="1:13" ht="15" customHeight="1">
      <c r="B17" s="22">
        <f>'Oil supply projection'!$B17</f>
        <v>2026</v>
      </c>
      <c r="C17" s="30">
        <f ca="1"/>
        <v>0.46568204328098906</v>
      </c>
      <c r="D17" s="30">
        <f ca="1"/>
        <v>0.50495595671901106</v>
      </c>
      <c r="E17" s="30">
        <f ca="1"/>
        <v>5.6976060000000004</v>
      </c>
      <c r="F17" s="30">
        <f ca="1"/>
        <v>13.225303</v>
      </c>
      <c r="G17" s="30">
        <f ca="1"/>
        <v>4.3812999999999998E-2</v>
      </c>
      <c r="H17" s="484">
        <f ca="1"/>
        <v>3.2167829999999999</v>
      </c>
      <c r="I17" s="484">
        <f ca="1"/>
        <v>7.7119619999999998</v>
      </c>
      <c r="J17" s="484">
        <f ca="1"/>
        <v>73.557199328562547</v>
      </c>
      <c r="K17" s="65">
        <f ca="1"/>
        <v>104.42330432856254</v>
      </c>
      <c r="M17" s="30">
        <f ca="1"/>
        <v>84.485944328562539</v>
      </c>
    </row>
    <row r="18" spans="1:13" ht="15" customHeight="1">
      <c r="B18" s="22">
        <f>'Oil supply projection'!$B18</f>
        <v>2027</v>
      </c>
      <c r="C18" s="30">
        <f ca="1"/>
        <v>0.46172607297538021</v>
      </c>
      <c r="D18" s="30">
        <f ca="1"/>
        <v>0.50593092702461984</v>
      </c>
      <c r="E18" s="30">
        <f ca="1"/>
        <v>5.7811870000000001</v>
      </c>
      <c r="F18" s="30">
        <f ca="1"/>
        <v>13.113745</v>
      </c>
      <c r="G18" s="30">
        <f ca="1"/>
        <v>4.0149999999999998E-2</v>
      </c>
      <c r="H18" s="484">
        <f ca="1"/>
        <v>3.2815379999999998</v>
      </c>
      <c r="I18" s="484">
        <f ca="1"/>
        <v>7.7408530000000004</v>
      </c>
      <c r="J18" s="484">
        <f ca="1"/>
        <v>74.374253492843835</v>
      </c>
      <c r="K18" s="65">
        <f ca="1"/>
        <v>105.29938349284383</v>
      </c>
      <c r="M18" s="30">
        <f ca="1"/>
        <v>85.396644492843834</v>
      </c>
    </row>
    <row r="19" spans="1:13" ht="15" customHeight="1">
      <c r="B19" s="22">
        <f>'Oil supply projection'!$B19</f>
        <v>2028</v>
      </c>
      <c r="C19" s="30">
        <f ca="1"/>
        <v>0.45738448509646512</v>
      </c>
      <c r="D19" s="30">
        <f ca="1"/>
        <v>0.50921051490353497</v>
      </c>
      <c r="E19" s="30">
        <f ca="1"/>
        <v>5.8392910000000002</v>
      </c>
      <c r="F19" s="30">
        <f ca="1"/>
        <v>12.976136</v>
      </c>
      <c r="G19" s="30">
        <f ca="1"/>
        <v>3.6338000000000002E-2</v>
      </c>
      <c r="H19" s="484">
        <f ca="1"/>
        <v>3.315877</v>
      </c>
      <c r="I19" s="484">
        <f ca="1"/>
        <v>7.6999149999999998</v>
      </c>
      <c r="J19" s="484">
        <f ca="1"/>
        <v>75.310352657125108</v>
      </c>
      <c r="K19" s="65">
        <f ca="1"/>
        <v>106.14450465712511</v>
      </c>
      <c r="M19" s="30">
        <f ca="1"/>
        <v>86.326144657125113</v>
      </c>
    </row>
    <row r="20" spans="1:13" ht="15" customHeight="1">
      <c r="B20" s="22">
        <f>'Oil supply projection'!$B20</f>
        <v>2029</v>
      </c>
      <c r="C20" s="30">
        <f ca="1"/>
        <v>0.45292977116552197</v>
      </c>
      <c r="D20" s="30">
        <f ca="1"/>
        <v>0.51142522883447805</v>
      </c>
      <c r="E20" s="30">
        <f ca="1"/>
        <v>5.8942600000000001</v>
      </c>
      <c r="F20" s="30">
        <f ca="1"/>
        <v>12.827897999999999</v>
      </c>
      <c r="G20" s="30">
        <f ca="1"/>
        <v>3.4269000000000001E-2</v>
      </c>
      <c r="H20" s="484">
        <f ca="1"/>
        <v>3.3467549999999999</v>
      </c>
      <c r="I20" s="484">
        <f ca="1"/>
        <v>7.737927</v>
      </c>
      <c r="J20" s="484">
        <f ca="1"/>
        <v>76.136386821406376</v>
      </c>
      <c r="K20" s="65">
        <f ca="1"/>
        <v>106.94185082140638</v>
      </c>
      <c r="M20" s="30">
        <f ca="1"/>
        <v>87.221068821406377</v>
      </c>
    </row>
    <row r="21" spans="1:13" ht="15" customHeight="1">
      <c r="A21" s="17"/>
      <c r="B21" s="22">
        <f>'Oil supply projection'!$B21</f>
        <v>2030</v>
      </c>
      <c r="C21" s="30">
        <f ca="1"/>
        <v>0.44850647361399471</v>
      </c>
      <c r="D21" s="30">
        <f ca="1"/>
        <v>0.51292696147157413</v>
      </c>
      <c r="E21" s="30">
        <f ca="1"/>
        <v>5.9437901643301458</v>
      </c>
      <c r="F21" s="30">
        <f ca="1"/>
        <v>12.672444884444399</v>
      </c>
      <c r="G21" s="30">
        <f ca="1"/>
        <v>3.2609931635312499E-2</v>
      </c>
      <c r="H21" s="484">
        <f ca="1"/>
        <v>3.4048758254271121</v>
      </c>
      <c r="I21" s="484">
        <f ca="1"/>
        <v>7.8262857945360542</v>
      </c>
      <c r="J21" s="484">
        <f ca="1"/>
        <v>76.829807297075149</v>
      </c>
      <c r="K21" s="65">
        <f ca="1"/>
        <v>107.67124733253374</v>
      </c>
      <c r="M21" s="30">
        <f ca="1"/>
        <v>88.060968917038309</v>
      </c>
    </row>
    <row r="22" spans="1:13" ht="15" customHeight="1">
      <c r="A22" s="17"/>
      <c r="B22" s="22">
        <f>'Oil supply projection'!$B22</f>
        <v>2031</v>
      </c>
      <c r="C22" s="30">
        <f ca="1"/>
        <v>0.44380502811096284</v>
      </c>
      <c r="D22" s="30">
        <f ca="1"/>
        <v>0.51416319388804754</v>
      </c>
      <c r="E22" s="30">
        <f ca="1"/>
        <v>5.9940723923855055</v>
      </c>
      <c r="F22" s="30">
        <f ca="1"/>
        <v>12.542465615019482</v>
      </c>
      <c r="G22" s="30">
        <f ca="1"/>
        <v>3.1106928080283806E-2</v>
      </c>
      <c r="H22" s="484">
        <f ca="1"/>
        <v>3.3926628674228341</v>
      </c>
      <c r="I22" s="484">
        <f ca="1"/>
        <v>7.8666206445928095</v>
      </c>
      <c r="J22" s="484">
        <f ca="1"/>
        <v>76.87123043809116</v>
      </c>
      <c r="K22" s="65">
        <f ca="1"/>
        <v>107.65612710759109</v>
      </c>
      <c r="M22" s="30">
        <f ca="1"/>
        <v>88.130513950106803</v>
      </c>
    </row>
    <row r="23" spans="1:13" ht="15" customHeight="1">
      <c r="A23" s="17"/>
      <c r="B23" s="22">
        <f>'Oil supply projection'!$B23</f>
        <v>2032</v>
      </c>
      <c r="C23" s="30">
        <f ca="1"/>
        <v>0.43900187716727057</v>
      </c>
      <c r="D23" s="30">
        <f ca="1"/>
        <v>0.51527886142373247</v>
      </c>
      <c r="E23" s="30">
        <f ca="1"/>
        <v>6.0585542908398313</v>
      </c>
      <c r="F23" s="30">
        <f ca="1"/>
        <v>12.436153844492351</v>
      </c>
      <c r="G23" s="30">
        <f ca="1"/>
        <v>3.1123290339067806E-2</v>
      </c>
      <c r="H23" s="484">
        <f ca="1"/>
        <v>3.3722321216261766</v>
      </c>
      <c r="I23" s="484">
        <f ca="1"/>
        <v>7.9602745740437424</v>
      </c>
      <c r="J23" s="484">
        <f ca="1"/>
        <v>76.876413741462116</v>
      </c>
      <c r="K23" s="65">
        <f ca="1"/>
        <v>107.68903260139429</v>
      </c>
      <c r="M23" s="30">
        <f ca="1"/>
        <v>88.208920437132036</v>
      </c>
    </row>
    <row r="24" spans="1:13" ht="15" customHeight="1">
      <c r="A24" s="17"/>
      <c r="B24" s="22">
        <f>'Oil supply projection'!$B24</f>
        <v>2033</v>
      </c>
      <c r="C24" s="30">
        <f ca="1"/>
        <v>0.43457287691126845</v>
      </c>
      <c r="D24" s="30">
        <f ca="1"/>
        <v>0.51613282029738305</v>
      </c>
      <c r="E24" s="30">
        <f ca="1"/>
        <v>6.106807977149356</v>
      </c>
      <c r="F24" s="30">
        <f ca="1"/>
        <v>12.346547441722969</v>
      </c>
      <c r="G24" s="30">
        <f ca="1"/>
        <v>3.1110347896504978E-2</v>
      </c>
      <c r="H24" s="484">
        <f ca="1"/>
        <v>3.3439759325333096</v>
      </c>
      <c r="I24" s="484">
        <f ca="1"/>
        <v>8.015145055976177</v>
      </c>
      <c r="J24" s="484">
        <f ca="1"/>
        <v>76.938784959928128</v>
      </c>
      <c r="K24" s="65">
        <f ca="1"/>
        <v>107.7330774124151</v>
      </c>
      <c r="M24" s="30">
        <f ca="1"/>
        <v>88.297905948437617</v>
      </c>
    </row>
    <row r="25" spans="1:13" ht="15" customHeight="1">
      <c r="A25" s="17"/>
      <c r="B25" s="22">
        <f>'Oil supply projection'!$B25</f>
        <v>2034</v>
      </c>
      <c r="C25" s="30">
        <f ca="1"/>
        <v>0.4300240879689034</v>
      </c>
      <c r="D25" s="30">
        <f ca="1"/>
        <v>0.51682792051133686</v>
      </c>
      <c r="E25" s="30">
        <f ca="1"/>
        <v>6.1647073099727843</v>
      </c>
      <c r="F25" s="30">
        <f ca="1"/>
        <v>12.260345254340274</v>
      </c>
      <c r="G25" s="30">
        <f ca="1"/>
        <v>3.0857388212491885E-2</v>
      </c>
      <c r="H25" s="484">
        <f ca="1"/>
        <v>3.3434807407399965</v>
      </c>
      <c r="I25" s="484">
        <f ca="1"/>
        <v>8.1527140718670239</v>
      </c>
      <c r="J25" s="484">
        <f ca="1"/>
        <v>76.825486543479599</v>
      </c>
      <c r="K25" s="65">
        <f ca="1"/>
        <v>107.72444331709241</v>
      </c>
      <c r="M25" s="30">
        <f ca="1"/>
        <v>88.321681356086614</v>
      </c>
    </row>
    <row r="26" spans="1:13" ht="15" customHeight="1">
      <c r="A26" s="17"/>
      <c r="B26" s="22">
        <f>'Oil supply projection'!$B26</f>
        <v>2035</v>
      </c>
      <c r="C26" s="30">
        <f ca="1"/>
        <v>0.42564350037729554</v>
      </c>
      <c r="D26" s="30">
        <f ca="1"/>
        <v>0.51745493383501551</v>
      </c>
      <c r="E26" s="30">
        <f ca="1"/>
        <v>6.2080176654783612</v>
      </c>
      <c r="F26" s="30">
        <f ca="1"/>
        <v>12.180017800408473</v>
      </c>
      <c r="G26" s="30">
        <f ca="1"/>
        <v>3.0761432449102896E-2</v>
      </c>
      <c r="H26" s="484">
        <f ca="1"/>
        <v>3.3594958185081842</v>
      </c>
      <c r="I26" s="484">
        <f ca="1"/>
        <v>8.2366170081723684</v>
      </c>
      <c r="J26" s="484">
        <f ca="1"/>
        <v>76.841110815689632</v>
      </c>
      <c r="K26" s="65">
        <f ca="1"/>
        <v>107.79911897491843</v>
      </c>
      <c r="M26" s="30">
        <f ca="1"/>
        <v>88.437223642370185</v>
      </c>
    </row>
    <row r="27" spans="1:13" ht="15" customHeight="1">
      <c r="A27" s="17"/>
      <c r="B27" s="22">
        <f>'Oil supply projection'!$B27</f>
        <v>2036</v>
      </c>
      <c r="C27" s="30">
        <f ca="1"/>
        <v>0.4215960133885413</v>
      </c>
      <c r="D27" s="30">
        <f ca="1"/>
        <v>0.51787643263667704</v>
      </c>
      <c r="E27" s="30">
        <f ca="1"/>
        <v>6.2437757525039288</v>
      </c>
      <c r="F27" s="30">
        <f ca="1"/>
        <v>12.099856608544032</v>
      </c>
      <c r="G27" s="30">
        <f ca="1"/>
        <v>3.0255445866260351E-2</v>
      </c>
      <c r="H27" s="484">
        <f ca="1"/>
        <v>3.316654493637416</v>
      </c>
      <c r="I27" s="484">
        <f ca="1"/>
        <v>8.3522961801642861</v>
      </c>
      <c r="J27" s="484">
        <f ca="1"/>
        <v>76.777552653855935</v>
      </c>
      <c r="K27" s="65">
        <f ca="1"/>
        <v>107.75986358059708</v>
      </c>
      <c r="M27" s="30">
        <f ca="1"/>
        <v>88.446503327657638</v>
      </c>
    </row>
    <row r="28" spans="1:13" ht="15" customHeight="1">
      <c r="A28" s="19"/>
      <c r="B28" s="22">
        <f>'Oil supply projection'!$B28</f>
        <v>2037</v>
      </c>
      <c r="C28" s="30">
        <f ca="1"/>
        <v>0.4178285084819966</v>
      </c>
      <c r="D28" s="30">
        <f ca="1"/>
        <v>0.51826188621552238</v>
      </c>
      <c r="E28" s="30">
        <f ca="1"/>
        <v>6.2815188817876013</v>
      </c>
      <c r="F28" s="30">
        <f ca="1"/>
        <v>12.038305482711131</v>
      </c>
      <c r="G28" s="30">
        <f ca="1"/>
        <v>2.93734372302378E-2</v>
      </c>
      <c r="H28" s="484">
        <f ca="1"/>
        <v>3.2999590844292386</v>
      </c>
      <c r="I28" s="484">
        <f ca="1"/>
        <v>8.3825958930203619</v>
      </c>
      <c r="J28" s="484">
        <f ca="1"/>
        <v>76.724428677142626</v>
      </c>
      <c r="K28" s="65">
        <f ca="1"/>
        <v>107.69227185101872</v>
      </c>
      <c r="M28" s="30">
        <f ca="1"/>
        <v>88.406983654592224</v>
      </c>
    </row>
    <row r="29" spans="1:13" ht="15" customHeight="1">
      <c r="A29" s="17"/>
      <c r="B29" s="22">
        <f>'Oil supply projection'!$B29</f>
        <v>2038</v>
      </c>
      <c r="C29" s="30">
        <f ca="1"/>
        <v>0.41418676252413678</v>
      </c>
      <c r="D29" s="30">
        <f ca="1"/>
        <v>0.51846031268099269</v>
      </c>
      <c r="E29" s="30">
        <f ca="1"/>
        <v>6.30744466396541</v>
      </c>
      <c r="F29" s="30">
        <f ca="1"/>
        <v>11.989970280449961</v>
      </c>
      <c r="G29" s="30">
        <f ca="1"/>
        <v>2.7915393452939835E-2</v>
      </c>
      <c r="H29" s="484">
        <f ca="1"/>
        <v>3.2565411163502729</v>
      </c>
      <c r="I29" s="484">
        <f ca="1"/>
        <v>8.4263402486167589</v>
      </c>
      <c r="J29" s="484">
        <f ca="1"/>
        <v>76.715838548743776</v>
      </c>
      <c r="K29" s="65">
        <f ca="1"/>
        <v>107.65669732678424</v>
      </c>
      <c r="M29" s="30">
        <f ca="1"/>
        <v>88.398719913710806</v>
      </c>
    </row>
    <row r="30" spans="1:13" ht="15" customHeight="1">
      <c r="A30" s="17"/>
      <c r="B30" s="22">
        <f>'Oil supply projection'!$B30</f>
        <v>2039</v>
      </c>
      <c r="C30" s="30">
        <f ca="1"/>
        <v>0.41079793973939166</v>
      </c>
      <c r="D30" s="30">
        <f ca="1"/>
        <v>0.51874451875582461</v>
      </c>
      <c r="E30" s="30">
        <f ca="1"/>
        <v>6.3568215378937021</v>
      </c>
      <c r="F30" s="30">
        <f ca="1"/>
        <v>11.944452536411758</v>
      </c>
      <c r="G30" s="30">
        <f ca="1"/>
        <v>2.7346398778456262E-2</v>
      </c>
      <c r="H30" s="484">
        <f ca="1"/>
        <v>3.2516354408243671</v>
      </c>
      <c r="I30" s="484">
        <f ca="1"/>
        <v>8.5190263260559966</v>
      </c>
      <c r="J30" s="484">
        <f ca="1"/>
        <v>76.56290770023233</v>
      </c>
      <c r="K30" s="65">
        <f ca="1"/>
        <v>107.59173239869183</v>
      </c>
      <c r="M30" s="30">
        <f ca="1"/>
        <v>88.333569467112696</v>
      </c>
    </row>
    <row r="31" spans="1:13" ht="15" customHeight="1">
      <c r="A31" s="17"/>
      <c r="B31" s="22">
        <f>'Oil supply projection'!$B31</f>
        <v>2040</v>
      </c>
      <c r="C31" s="30">
        <f ca="1"/>
        <v>0.40764950230019203</v>
      </c>
      <c r="D31" s="30">
        <f ca="1"/>
        <v>0.51892011983908104</v>
      </c>
      <c r="E31" s="30">
        <f ca="1"/>
        <v>6.4099951438271816</v>
      </c>
      <c r="F31" s="30">
        <f ca="1"/>
        <v>11.922865059703216</v>
      </c>
      <c r="G31" s="30">
        <f ca="1"/>
        <v>2.6972414358151918E-2</v>
      </c>
      <c r="H31" s="484">
        <f ca="1"/>
        <v>3.1727338096288227</v>
      </c>
      <c r="I31" s="484">
        <f ca="1"/>
        <v>8.4782374394065663</v>
      </c>
      <c r="J31" s="484">
        <f ca="1"/>
        <v>76.645299915485438</v>
      </c>
      <c r="K31" s="65">
        <f ca="1"/>
        <v>107.58267340454866</v>
      </c>
      <c r="M31" s="30">
        <f ca="1"/>
        <v>88.296271164520832</v>
      </c>
    </row>
    <row r="32" spans="1:13" ht="15" customHeight="1">
      <c r="A32" s="17"/>
      <c r="B32" s="22">
        <f>'Oil supply projection'!$B32</f>
        <v>2041</v>
      </c>
      <c r="C32" s="30">
        <f ca="1"/>
        <v>0.40464552855270175</v>
      </c>
      <c r="D32" s="30">
        <f ca="1"/>
        <v>0.51905829479360943</v>
      </c>
      <c r="E32" s="30">
        <f ca="1"/>
        <v>6.465772677576437</v>
      </c>
      <c r="F32" s="30">
        <f ca="1"/>
        <v>11.912197529617668</v>
      </c>
      <c r="G32" s="30">
        <f ca="1"/>
        <v>2.5981375439733369E-2</v>
      </c>
      <c r="H32" s="484">
        <f ca="1"/>
        <v>3.1835697236558076</v>
      </c>
      <c r="I32" s="484">
        <f ca="1"/>
        <v>8.5025068358988332</v>
      </c>
      <c r="J32" s="484">
        <f ca="1"/>
        <v>76.502504151191005</v>
      </c>
      <c r="K32" s="65">
        <f ca="1"/>
        <v>107.51623611672579</v>
      </c>
      <c r="M32" s="30">
        <f ca="1"/>
        <v>88.18858071074564</v>
      </c>
    </row>
    <row r="33" spans="1:13" ht="15" customHeight="1">
      <c r="A33" s="17"/>
      <c r="B33" s="22">
        <f>'Oil supply projection'!$B33</f>
        <v>2042</v>
      </c>
      <c r="C33" s="30">
        <f ca="1"/>
        <v>0.40170661581846995</v>
      </c>
      <c r="D33" s="30">
        <f ca="1"/>
        <v>0.51918381955721671</v>
      </c>
      <c r="E33" s="30">
        <f ca="1"/>
        <v>6.5158653682272663</v>
      </c>
      <c r="F33" s="30">
        <f ca="1"/>
        <v>11.911475735293722</v>
      </c>
      <c r="G33" s="30">
        <f ca="1"/>
        <v>2.4813324224647621E-2</v>
      </c>
      <c r="H33" s="484">
        <f ca="1"/>
        <v>3.1725659692396366</v>
      </c>
      <c r="I33" s="484">
        <f ca="1"/>
        <v>8.5684270877205595</v>
      </c>
      <c r="J33" s="484">
        <f ca="1"/>
        <v>76.422931366968342</v>
      </c>
      <c r="K33" s="65">
        <f ca="1"/>
        <v>107.53696928704986</v>
      </c>
      <c r="M33" s="30">
        <f ca="1"/>
        <v>88.163924423928535</v>
      </c>
    </row>
    <row r="34" spans="1:13" ht="15" customHeight="1">
      <c r="A34" s="17"/>
      <c r="B34" s="22">
        <f>'Oil supply projection'!$B34</f>
        <v>2043</v>
      </c>
      <c r="C34" s="30">
        <f ca="1"/>
        <v>0.39893282175985328</v>
      </c>
      <c r="D34" s="30">
        <f ca="1"/>
        <v>0.51955112977110796</v>
      </c>
      <c r="E34" s="30">
        <f ca="1"/>
        <v>6.5665181300811586</v>
      </c>
      <c r="F34" s="30">
        <f ca="1"/>
        <v>11.91918060074595</v>
      </c>
      <c r="G34" s="30">
        <f ca="1"/>
        <v>2.3407255690441244E-2</v>
      </c>
      <c r="H34" s="484">
        <f ca="1"/>
        <v>3.186486363236595</v>
      </c>
      <c r="I34" s="484">
        <f ca="1"/>
        <v>8.5745651175554212</v>
      </c>
      <c r="J34" s="484">
        <f ca="1"/>
        <v>76.4257872153172</v>
      </c>
      <c r="K34" s="65">
        <f ca="1"/>
        <v>107.61442863415773</v>
      </c>
      <c r="M34" s="30">
        <f ca="1"/>
        <v>88.18683869610922</v>
      </c>
    </row>
    <row r="35" spans="1:13" ht="15" customHeight="1">
      <c r="A35" s="17"/>
      <c r="B35" s="22">
        <f>'Oil supply projection'!$B35</f>
        <v>2044</v>
      </c>
      <c r="C35" s="30">
        <f ca="1"/>
        <v>0.39636072401044159</v>
      </c>
      <c r="D35" s="30">
        <f ca="1"/>
        <v>0.51984618652207515</v>
      </c>
      <c r="E35" s="30">
        <f ca="1"/>
        <v>6.6014066845045605</v>
      </c>
      <c r="F35" s="30">
        <f ca="1"/>
        <v>11.938875294412142</v>
      </c>
      <c r="G35" s="30">
        <f ca="1"/>
        <v>2.2101183983663869E-2</v>
      </c>
      <c r="H35" s="484">
        <f ca="1"/>
        <v>3.1573037448550991</v>
      </c>
      <c r="I35" s="484">
        <f ca="1"/>
        <v>8.6015540525032002</v>
      </c>
      <c r="J35" s="484">
        <f ca="1"/>
        <v>76.43027527044157</v>
      </c>
      <c r="K35" s="65">
        <f ca="1"/>
        <v>107.66772314123276</v>
      </c>
      <c r="M35" s="30">
        <f ca="1"/>
        <v>88.189133067799872</v>
      </c>
    </row>
    <row r="36" spans="1:13" ht="15" customHeight="1">
      <c r="A36" s="17"/>
      <c r="B36" s="22">
        <f>'Oil supply projection'!$B36</f>
        <v>2045</v>
      </c>
      <c r="C36" s="30" t="e">
        <f ca="1"/>
        <v>#DIV/0!</v>
      </c>
      <c r="D36" s="30" t="e">
        <f ca="1"/>
        <v>#DIV/0!</v>
      </c>
      <c r="E36" s="30" t="e">
        <f ca="1"/>
        <v>#DIV/0!</v>
      </c>
      <c r="F36" s="30" t="e">
        <f ca="1"/>
        <v>#DIV/0!</v>
      </c>
      <c r="G36" s="30" t="e">
        <f ca="1"/>
        <v>#DIV/0!</v>
      </c>
      <c r="H36" s="484" t="e">
        <f ca="1"/>
        <v>#DIV/0!</v>
      </c>
      <c r="I36" s="484" t="e">
        <f ca="1"/>
        <v>#DIV/0!</v>
      </c>
      <c r="J36" s="484" t="e">
        <f ca="1"/>
        <v>#DIV/0!</v>
      </c>
      <c r="K36" s="65" t="e">
        <f ca="1"/>
        <v>#DIV/0!</v>
      </c>
      <c r="M36" s="30" t="e">
        <f ca="1"/>
        <v>#DIV/0!</v>
      </c>
    </row>
    <row r="37" spans="1:13" ht="15" customHeight="1">
      <c r="A37" s="17"/>
      <c r="B37" s="22">
        <f>'Oil supply projection'!$B37</f>
        <v>2046</v>
      </c>
      <c r="C37" s="30" t="e">
        <f ca="1"/>
        <v>#DIV/0!</v>
      </c>
      <c r="D37" s="30" t="e">
        <f ca="1"/>
        <v>#DIV/0!</v>
      </c>
      <c r="E37" s="30" t="e">
        <f ca="1"/>
        <v>#DIV/0!</v>
      </c>
      <c r="F37" s="30" t="e">
        <f ca="1"/>
        <v>#DIV/0!</v>
      </c>
      <c r="G37" s="30" t="e">
        <f ca="1"/>
        <v>#DIV/0!</v>
      </c>
      <c r="H37" s="484" t="e">
        <f ca="1"/>
        <v>#DIV/0!</v>
      </c>
      <c r="I37" s="484" t="e">
        <f ca="1"/>
        <v>#DIV/0!</v>
      </c>
      <c r="J37" s="484" t="e">
        <f ca="1"/>
        <v>#DIV/0!</v>
      </c>
      <c r="K37" s="65" t="e">
        <f ca="1"/>
        <v>#DIV/0!</v>
      </c>
      <c r="M37" s="30" t="e">
        <f ca="1"/>
        <v>#DIV/0!</v>
      </c>
    </row>
    <row r="38" spans="1:13" ht="15" customHeight="1">
      <c r="A38" s="17"/>
      <c r="B38" s="22">
        <f>'Oil supply projection'!$B38</f>
        <v>2047</v>
      </c>
      <c r="C38" s="30" t="e">
        <f ca="1"/>
        <v>#DIV/0!</v>
      </c>
      <c r="D38" s="30" t="e">
        <f ca="1"/>
        <v>#DIV/0!</v>
      </c>
      <c r="E38" s="30" t="e">
        <f ca="1"/>
        <v>#DIV/0!</v>
      </c>
      <c r="F38" s="30" t="e">
        <f ca="1"/>
        <v>#DIV/0!</v>
      </c>
      <c r="G38" s="30" t="e">
        <f ca="1"/>
        <v>#DIV/0!</v>
      </c>
      <c r="H38" s="484" t="e">
        <f ca="1"/>
        <v>#DIV/0!</v>
      </c>
      <c r="I38" s="484" t="e">
        <f ca="1"/>
        <v>#DIV/0!</v>
      </c>
      <c r="J38" s="484" t="e">
        <f ca="1"/>
        <v>#DIV/0!</v>
      </c>
      <c r="K38" s="65" t="e">
        <f ca="1"/>
        <v>#DIV/0!</v>
      </c>
      <c r="M38" s="30" t="e">
        <f ca="1"/>
        <v>#DIV/0!</v>
      </c>
    </row>
    <row r="39" spans="1:13" ht="15" customHeight="1">
      <c r="A39" s="19"/>
      <c r="B39" s="22">
        <f>'Oil supply projection'!$B39</f>
        <v>2048</v>
      </c>
      <c r="C39" s="30" t="e">
        <f ca="1"/>
        <v>#DIV/0!</v>
      </c>
      <c r="D39" s="30" t="e">
        <f ca="1"/>
        <v>#DIV/0!</v>
      </c>
      <c r="E39" s="30" t="e">
        <f ca="1"/>
        <v>#DIV/0!</v>
      </c>
      <c r="F39" s="30" t="e">
        <f ca="1"/>
        <v>#DIV/0!</v>
      </c>
      <c r="G39" s="30" t="e">
        <f ca="1"/>
        <v>#DIV/0!</v>
      </c>
      <c r="H39" s="484" t="e">
        <f ca="1"/>
        <v>#DIV/0!</v>
      </c>
      <c r="I39" s="484" t="e">
        <f ca="1"/>
        <v>#DIV/0!</v>
      </c>
      <c r="J39" s="484" t="e">
        <f ca="1"/>
        <v>#DIV/0!</v>
      </c>
      <c r="K39" s="65" t="e">
        <f ca="1"/>
        <v>#DIV/0!</v>
      </c>
      <c r="M39" s="30" t="e">
        <f ca="1"/>
        <v>#DIV/0!</v>
      </c>
    </row>
    <row r="40" spans="1:13" ht="15" customHeight="1">
      <c r="A40" s="17"/>
      <c r="B40" s="22">
        <f>'Oil supply projection'!$B40</f>
        <v>2049</v>
      </c>
      <c r="C40" s="30" t="e">
        <f ca="1"/>
        <v>#DIV/0!</v>
      </c>
      <c r="D40" s="30" t="e">
        <f ca="1"/>
        <v>#DIV/0!</v>
      </c>
      <c r="E40" s="30" t="e">
        <f ca="1"/>
        <v>#DIV/0!</v>
      </c>
      <c r="F40" s="30" t="e">
        <f ca="1"/>
        <v>#DIV/0!</v>
      </c>
      <c r="G40" s="30" t="e">
        <f ca="1"/>
        <v>#DIV/0!</v>
      </c>
      <c r="H40" s="484" t="e">
        <f ca="1"/>
        <v>#DIV/0!</v>
      </c>
      <c r="I40" s="484" t="e">
        <f ca="1"/>
        <v>#DIV/0!</v>
      </c>
      <c r="J40" s="484" t="e">
        <f ca="1"/>
        <v>#DIV/0!</v>
      </c>
      <c r="K40" s="65" t="e">
        <f ca="1"/>
        <v>#DIV/0!</v>
      </c>
      <c r="M40" s="30" t="e">
        <f ca="1"/>
        <v>#DIV/0!</v>
      </c>
    </row>
    <row r="41" spans="1:13" ht="15" customHeight="1">
      <c r="A41" s="17"/>
      <c r="B41" s="22">
        <f>'Oil supply projection'!$B41</f>
        <v>2050</v>
      </c>
      <c r="C41" s="30" t="e">
        <f ca="1"/>
        <v>#DIV/0!</v>
      </c>
      <c r="D41" s="30" t="e">
        <f ca="1"/>
        <v>#DIV/0!</v>
      </c>
      <c r="E41" s="30" t="e">
        <f ca="1"/>
        <v>#DIV/0!</v>
      </c>
      <c r="F41" s="30" t="e">
        <f ca="1"/>
        <v>#DIV/0!</v>
      </c>
      <c r="G41" s="30" t="e">
        <f ca="1"/>
        <v>#DIV/0!</v>
      </c>
      <c r="H41" s="484" t="e">
        <f ca="1"/>
        <v>#DIV/0!</v>
      </c>
      <c r="I41" s="484" t="e">
        <f ca="1"/>
        <v>#DIV/0!</v>
      </c>
      <c r="J41" s="484" t="e">
        <f ca="1"/>
        <v>#DIV/0!</v>
      </c>
      <c r="K41" s="65" t="e">
        <f ca="1"/>
        <v>#DIV/0!</v>
      </c>
      <c r="M41" s="30" t="e">
        <f ca="1"/>
        <v>#DIV/0!</v>
      </c>
    </row>
    <row r="42" spans="1:13" ht="15" customHeight="1">
      <c r="A42" s="17"/>
      <c r="B42" s="22">
        <f>'Oil supply projection'!$B42</f>
        <v>2051</v>
      </c>
      <c r="C42" s="30" t="e">
        <f ca="1"/>
        <v>#DIV/0!</v>
      </c>
      <c r="D42" s="30" t="e">
        <f ca="1"/>
        <v>#DIV/0!</v>
      </c>
      <c r="E42" s="30" t="e">
        <f ca="1"/>
        <v>#DIV/0!</v>
      </c>
      <c r="F42" s="30" t="e">
        <f ca="1"/>
        <v>#DIV/0!</v>
      </c>
      <c r="G42" s="30" t="e">
        <f ca="1"/>
        <v>#DIV/0!</v>
      </c>
      <c r="H42" s="484" t="e">
        <f ca="1"/>
        <v>#DIV/0!</v>
      </c>
      <c r="I42" s="484" t="e">
        <f ca="1"/>
        <v>#DIV/0!</v>
      </c>
      <c r="J42" s="484" t="e">
        <f ca="1"/>
        <v>#DIV/0!</v>
      </c>
      <c r="K42" s="65" t="e">
        <f ca="1"/>
        <v>#DIV/0!</v>
      </c>
      <c r="M42" s="30" t="e">
        <f ca="1"/>
        <v>#DIV/0!</v>
      </c>
    </row>
    <row r="43" spans="1:13" ht="15" customHeight="1">
      <c r="A43" s="17"/>
      <c r="B43" s="22">
        <f>'Oil supply projection'!$B43</f>
        <v>2052</v>
      </c>
      <c r="C43" s="30" t="e">
        <f ca="1"/>
        <v>#DIV/0!</v>
      </c>
      <c r="D43" s="30" t="e">
        <f ca="1"/>
        <v>#DIV/0!</v>
      </c>
      <c r="E43" s="30" t="e">
        <f ca="1"/>
        <v>#DIV/0!</v>
      </c>
      <c r="F43" s="30" t="e">
        <f ca="1"/>
        <v>#DIV/0!</v>
      </c>
      <c r="G43" s="30" t="e">
        <f ca="1"/>
        <v>#DIV/0!</v>
      </c>
      <c r="H43" s="484" t="e">
        <f ca="1"/>
        <v>#DIV/0!</v>
      </c>
      <c r="I43" s="484" t="e">
        <f ca="1"/>
        <v>#DIV/0!</v>
      </c>
      <c r="J43" s="484" t="e">
        <f ca="1"/>
        <v>#DIV/0!</v>
      </c>
      <c r="K43" s="65" t="e">
        <f ca="1"/>
        <v>#DIV/0!</v>
      </c>
      <c r="M43" s="30" t="e">
        <f ca="1"/>
        <v>#DIV/0!</v>
      </c>
    </row>
    <row r="44" spans="1:13" ht="15" customHeight="1">
      <c r="A44" s="17"/>
      <c r="B44" s="22">
        <f>'Oil supply projection'!$B44</f>
        <v>2053</v>
      </c>
      <c r="C44" s="30" t="e">
        <f ca="1"/>
        <v>#DIV/0!</v>
      </c>
      <c r="D44" s="30" t="e">
        <f ca="1"/>
        <v>#DIV/0!</v>
      </c>
      <c r="E44" s="30" t="e">
        <f ca="1"/>
        <v>#DIV/0!</v>
      </c>
      <c r="F44" s="30" t="e">
        <f ca="1"/>
        <v>#DIV/0!</v>
      </c>
      <c r="G44" s="30" t="e">
        <f ca="1"/>
        <v>#DIV/0!</v>
      </c>
      <c r="H44" s="484" t="e">
        <f ca="1"/>
        <v>#DIV/0!</v>
      </c>
      <c r="I44" s="484" t="e">
        <f ca="1"/>
        <v>#DIV/0!</v>
      </c>
      <c r="J44" s="484" t="e">
        <f ca="1"/>
        <v>#DIV/0!</v>
      </c>
      <c r="K44" s="65" t="e">
        <f ca="1"/>
        <v>#DIV/0!</v>
      </c>
      <c r="M44" s="30" t="e">
        <f ca="1"/>
        <v>#DIV/0!</v>
      </c>
    </row>
    <row r="45" spans="1:13" ht="15" customHeight="1">
      <c r="A45" s="17"/>
      <c r="B45" s="22">
        <f>'Oil supply projection'!$B45</f>
        <v>2054</v>
      </c>
      <c r="C45" s="30" t="e">
        <f ca="1"/>
        <v>#DIV/0!</v>
      </c>
      <c r="D45" s="30" t="e">
        <f ca="1"/>
        <v>#DIV/0!</v>
      </c>
      <c r="E45" s="30" t="e">
        <f ca="1"/>
        <v>#DIV/0!</v>
      </c>
      <c r="F45" s="30" t="e">
        <f ca="1"/>
        <v>#DIV/0!</v>
      </c>
      <c r="G45" s="30" t="e">
        <f ca="1"/>
        <v>#DIV/0!</v>
      </c>
      <c r="H45" s="484" t="e">
        <f ca="1"/>
        <v>#DIV/0!</v>
      </c>
      <c r="I45" s="484" t="e">
        <f ca="1"/>
        <v>#DIV/0!</v>
      </c>
      <c r="J45" s="484" t="e">
        <f ca="1"/>
        <v>#DIV/0!</v>
      </c>
      <c r="K45" s="65" t="e">
        <f ca="1"/>
        <v>#DIV/0!</v>
      </c>
      <c r="M45" s="30" t="e">
        <f ca="1"/>
        <v>#DIV/0!</v>
      </c>
    </row>
    <row r="46" spans="1:13" ht="15" customHeight="1">
      <c r="A46" s="17"/>
      <c r="B46" s="22">
        <f>'Oil supply projection'!$B46</f>
        <v>2055</v>
      </c>
      <c r="C46" s="30" t="e">
        <f ca="1"/>
        <v>#DIV/0!</v>
      </c>
      <c r="D46" s="30" t="e">
        <f ca="1"/>
        <v>#DIV/0!</v>
      </c>
      <c r="E46" s="30" t="e">
        <f ca="1"/>
        <v>#DIV/0!</v>
      </c>
      <c r="F46" s="30" t="e">
        <f ca="1"/>
        <v>#DIV/0!</v>
      </c>
      <c r="G46" s="30" t="e">
        <f ca="1"/>
        <v>#DIV/0!</v>
      </c>
      <c r="H46" s="484" t="e">
        <f ca="1"/>
        <v>#DIV/0!</v>
      </c>
      <c r="I46" s="484" t="e">
        <f ca="1"/>
        <v>#DIV/0!</v>
      </c>
      <c r="J46" s="484" t="e">
        <f ca="1"/>
        <v>#DIV/0!</v>
      </c>
      <c r="K46" s="65" t="e">
        <f ca="1"/>
        <v>#DIV/0!</v>
      </c>
      <c r="M46" s="30" t="e">
        <f ca="1"/>
        <v>#DIV/0!</v>
      </c>
    </row>
    <row r="47" spans="1:13" ht="15" customHeight="1">
      <c r="A47" s="17"/>
      <c r="B47" s="22">
        <f>'Oil supply projection'!$B47</f>
        <v>2056</v>
      </c>
      <c r="C47" s="30" t="e">
        <f ca="1"/>
        <v>#DIV/0!</v>
      </c>
      <c r="D47" s="30" t="e">
        <f ca="1"/>
        <v>#DIV/0!</v>
      </c>
      <c r="E47" s="30" t="e">
        <f ca="1"/>
        <v>#DIV/0!</v>
      </c>
      <c r="F47" s="30" t="e">
        <f ca="1"/>
        <v>#DIV/0!</v>
      </c>
      <c r="G47" s="30" t="e">
        <f ca="1"/>
        <v>#DIV/0!</v>
      </c>
      <c r="H47" s="484" t="e">
        <f ca="1"/>
        <v>#DIV/0!</v>
      </c>
      <c r="I47" s="484" t="e">
        <f ca="1"/>
        <v>#DIV/0!</v>
      </c>
      <c r="J47" s="484" t="e">
        <f ca="1"/>
        <v>#DIV/0!</v>
      </c>
      <c r="K47" s="65" t="e">
        <f ca="1"/>
        <v>#DIV/0!</v>
      </c>
      <c r="M47" s="30" t="e">
        <f ca="1"/>
        <v>#DIV/0!</v>
      </c>
    </row>
    <row r="48" spans="1:13" ht="15" customHeight="1">
      <c r="A48" s="17"/>
      <c r="B48" s="22">
        <f>'Oil supply projection'!$B48</f>
        <v>2057</v>
      </c>
      <c r="C48" s="30" t="e">
        <f ca="1"/>
        <v>#DIV/0!</v>
      </c>
      <c r="D48" s="30" t="e">
        <f ca="1"/>
        <v>#DIV/0!</v>
      </c>
      <c r="E48" s="30" t="e">
        <f ca="1"/>
        <v>#DIV/0!</v>
      </c>
      <c r="F48" s="30" t="e">
        <f ca="1"/>
        <v>#DIV/0!</v>
      </c>
      <c r="G48" s="30" t="e">
        <f ca="1"/>
        <v>#DIV/0!</v>
      </c>
      <c r="H48" s="484" t="e">
        <f ca="1"/>
        <v>#DIV/0!</v>
      </c>
      <c r="I48" s="484" t="e">
        <f ca="1"/>
        <v>#DIV/0!</v>
      </c>
      <c r="J48" s="484" t="e">
        <f ca="1"/>
        <v>#DIV/0!</v>
      </c>
      <c r="K48" s="65" t="e">
        <f ca="1"/>
        <v>#DIV/0!</v>
      </c>
      <c r="M48" s="30" t="e">
        <f ca="1"/>
        <v>#DIV/0!</v>
      </c>
    </row>
    <row r="49" spans="1:13" ht="15" customHeight="1">
      <c r="A49" s="17"/>
      <c r="B49" s="22">
        <f>'Oil supply projection'!$B49</f>
        <v>2058</v>
      </c>
      <c r="C49" s="30" t="e">
        <f ca="1"/>
        <v>#DIV/0!</v>
      </c>
      <c r="D49" s="30" t="e">
        <f ca="1"/>
        <v>#DIV/0!</v>
      </c>
      <c r="E49" s="30" t="e">
        <f ca="1"/>
        <v>#DIV/0!</v>
      </c>
      <c r="F49" s="30" t="e">
        <f ca="1"/>
        <v>#DIV/0!</v>
      </c>
      <c r="G49" s="30" t="e">
        <f ca="1"/>
        <v>#DIV/0!</v>
      </c>
      <c r="H49" s="484" t="e">
        <f ca="1"/>
        <v>#DIV/0!</v>
      </c>
      <c r="I49" s="484" t="e">
        <f ca="1"/>
        <v>#DIV/0!</v>
      </c>
      <c r="J49" s="484" t="e">
        <f ca="1"/>
        <v>#DIV/0!</v>
      </c>
      <c r="K49" s="65" t="e">
        <f ca="1"/>
        <v>#DIV/0!</v>
      </c>
      <c r="M49" s="30" t="e">
        <f ca="1"/>
        <v>#DIV/0!</v>
      </c>
    </row>
    <row r="50" spans="1:13" ht="15" customHeight="1">
      <c r="A50" s="17"/>
      <c r="B50" s="22">
        <f>'Oil supply projection'!$B50</f>
        <v>2059</v>
      </c>
      <c r="C50" s="30" t="e">
        <f ca="1"/>
        <v>#DIV/0!</v>
      </c>
      <c r="D50" s="30" t="e">
        <f ca="1"/>
        <v>#DIV/0!</v>
      </c>
      <c r="E50" s="30" t="e">
        <f ca="1"/>
        <v>#DIV/0!</v>
      </c>
      <c r="F50" s="30" t="e">
        <f ca="1"/>
        <v>#DIV/0!</v>
      </c>
      <c r="G50" s="30" t="e">
        <f ca="1"/>
        <v>#DIV/0!</v>
      </c>
      <c r="H50" s="484" t="e">
        <f ca="1"/>
        <v>#DIV/0!</v>
      </c>
      <c r="I50" s="484" t="e">
        <f ca="1"/>
        <v>#DIV/0!</v>
      </c>
      <c r="J50" s="484" t="e">
        <f ca="1"/>
        <v>#DIV/0!</v>
      </c>
      <c r="K50" s="65" t="e">
        <f ca="1"/>
        <v>#DIV/0!</v>
      </c>
      <c r="M50" s="30" t="e">
        <f ca="1"/>
        <v>#DIV/0!</v>
      </c>
    </row>
    <row r="51" spans="1:13" ht="15" customHeight="1">
      <c r="A51" s="17"/>
      <c r="B51" s="22">
        <f>'Oil supply projection'!$B51</f>
        <v>2060</v>
      </c>
      <c r="C51" s="30" t="e">
        <f ca="1"/>
        <v>#DIV/0!</v>
      </c>
      <c r="D51" s="30" t="e">
        <f ca="1"/>
        <v>#DIV/0!</v>
      </c>
      <c r="E51" s="30" t="e">
        <f ca="1"/>
        <v>#DIV/0!</v>
      </c>
      <c r="F51" s="30" t="e">
        <f ca="1"/>
        <v>#DIV/0!</v>
      </c>
      <c r="G51" s="30" t="e">
        <f ca="1"/>
        <v>#DIV/0!</v>
      </c>
      <c r="H51" s="484" t="e">
        <f ca="1"/>
        <v>#DIV/0!</v>
      </c>
      <c r="I51" s="484" t="e">
        <f ca="1"/>
        <v>#DIV/0!</v>
      </c>
      <c r="J51" s="484" t="e">
        <f ca="1"/>
        <v>#DIV/0!</v>
      </c>
      <c r="K51" s="65" t="e">
        <f ca="1"/>
        <v>#DIV/0!</v>
      </c>
      <c r="M51" s="30" t="e">
        <f ca="1"/>
        <v>#DIV/0!</v>
      </c>
    </row>
    <row r="52" spans="1:13" ht="15" customHeight="1">
      <c r="A52" s="17"/>
      <c r="B52" s="22">
        <f>'Oil supply projection'!$B52</f>
        <v>2061</v>
      </c>
      <c r="C52" s="30" t="e">
        <f ca="1"/>
        <v>#DIV/0!</v>
      </c>
      <c r="D52" s="30" t="e">
        <f ca="1"/>
        <v>#DIV/0!</v>
      </c>
      <c r="E52" s="30" t="e">
        <f ca="1"/>
        <v>#DIV/0!</v>
      </c>
      <c r="F52" s="30" t="e">
        <f ca="1"/>
        <v>#DIV/0!</v>
      </c>
      <c r="G52" s="30" t="e">
        <f ca="1"/>
        <v>#DIV/0!</v>
      </c>
      <c r="H52" s="484" t="e">
        <f ca="1"/>
        <v>#DIV/0!</v>
      </c>
      <c r="I52" s="484" t="e">
        <f ca="1"/>
        <v>#DIV/0!</v>
      </c>
      <c r="J52" s="484" t="e">
        <f ca="1"/>
        <v>#DIV/0!</v>
      </c>
      <c r="K52" s="65" t="e">
        <f ca="1"/>
        <v>#DIV/0!</v>
      </c>
      <c r="M52" s="30" t="e">
        <f ca="1"/>
        <v>#DIV/0!</v>
      </c>
    </row>
    <row r="53" spans="1:13" ht="15" customHeight="1">
      <c r="A53" s="16"/>
      <c r="B53" s="22">
        <f>'Oil supply projection'!$B53</f>
        <v>2062</v>
      </c>
      <c r="C53" s="30" t="e">
        <f ca="1"/>
        <v>#DIV/0!</v>
      </c>
      <c r="D53" s="30" t="e">
        <f ca="1"/>
        <v>#DIV/0!</v>
      </c>
      <c r="E53" s="30" t="e">
        <f ca="1"/>
        <v>#DIV/0!</v>
      </c>
      <c r="F53" s="30" t="e">
        <f ca="1"/>
        <v>#DIV/0!</v>
      </c>
      <c r="G53" s="30" t="e">
        <f ca="1"/>
        <v>#DIV/0!</v>
      </c>
      <c r="H53" s="484" t="e">
        <f ca="1"/>
        <v>#DIV/0!</v>
      </c>
      <c r="I53" s="484" t="e">
        <f ca="1"/>
        <v>#DIV/0!</v>
      </c>
      <c r="J53" s="484" t="e">
        <f ca="1"/>
        <v>#DIV/0!</v>
      </c>
      <c r="K53" s="65" t="e">
        <f ca="1"/>
        <v>#DIV/0!</v>
      </c>
      <c r="M53" s="30" t="e">
        <f ca="1"/>
        <v>#DIV/0!</v>
      </c>
    </row>
    <row r="54" spans="1:13" ht="15" customHeight="1">
      <c r="A54" s="16"/>
      <c r="B54" s="22">
        <f>'Oil supply projection'!$B54</f>
        <v>2063</v>
      </c>
      <c r="C54" s="30" t="e">
        <f ca="1"/>
        <v>#DIV/0!</v>
      </c>
      <c r="D54" s="30" t="e">
        <f ca="1"/>
        <v>#DIV/0!</v>
      </c>
      <c r="E54" s="30" t="e">
        <f ca="1"/>
        <v>#DIV/0!</v>
      </c>
      <c r="F54" s="30" t="e">
        <f ca="1"/>
        <v>#DIV/0!</v>
      </c>
      <c r="G54" s="30" t="e">
        <f ca="1"/>
        <v>#DIV/0!</v>
      </c>
      <c r="H54" s="484" t="e">
        <f ca="1"/>
        <v>#DIV/0!</v>
      </c>
      <c r="I54" s="484" t="e">
        <f ca="1"/>
        <v>#DIV/0!</v>
      </c>
      <c r="J54" s="484" t="e">
        <f ca="1"/>
        <v>#DIV/0!</v>
      </c>
      <c r="K54" s="65" t="e">
        <f ca="1"/>
        <v>#DIV/0!</v>
      </c>
      <c r="M54" s="30" t="e">
        <f ca="1"/>
        <v>#DIV/0!</v>
      </c>
    </row>
    <row r="55" spans="1:13" ht="15" customHeight="1">
      <c r="A55" s="16"/>
      <c r="B55" s="22">
        <f>'Oil supply projection'!$B55</f>
        <v>2064</v>
      </c>
      <c r="C55" s="30" t="e">
        <f ca="1"/>
        <v>#DIV/0!</v>
      </c>
      <c r="D55" s="30" t="e">
        <f ca="1"/>
        <v>#DIV/0!</v>
      </c>
      <c r="E55" s="30" t="e">
        <f ca="1"/>
        <v>#DIV/0!</v>
      </c>
      <c r="F55" s="30" t="e">
        <f ca="1"/>
        <v>#DIV/0!</v>
      </c>
      <c r="G55" s="30" t="e">
        <f ca="1"/>
        <v>#DIV/0!</v>
      </c>
      <c r="H55" s="484" t="e">
        <f ca="1"/>
        <v>#DIV/0!</v>
      </c>
      <c r="I55" s="484" t="e">
        <f ca="1"/>
        <v>#DIV/0!</v>
      </c>
      <c r="J55" s="484" t="e">
        <f ca="1"/>
        <v>#DIV/0!</v>
      </c>
      <c r="K55" s="65" t="e">
        <f ca="1"/>
        <v>#DIV/0!</v>
      </c>
      <c r="M55" s="30" t="e">
        <f ca="1"/>
        <v>#DIV/0!</v>
      </c>
    </row>
    <row r="56" spans="1:13" ht="15" customHeight="1">
      <c r="A56" s="16"/>
      <c r="B56" s="22">
        <f>'Oil supply projection'!$B56</f>
        <v>2065</v>
      </c>
      <c r="C56" s="30" t="e">
        <f ca="1"/>
        <v>#DIV/0!</v>
      </c>
      <c r="D56" s="30" t="e">
        <f ca="1"/>
        <v>#DIV/0!</v>
      </c>
      <c r="E56" s="30" t="e">
        <f ca="1"/>
        <v>#DIV/0!</v>
      </c>
      <c r="F56" s="30" t="e">
        <f ca="1"/>
        <v>#DIV/0!</v>
      </c>
      <c r="G56" s="30" t="e">
        <f ca="1"/>
        <v>#DIV/0!</v>
      </c>
      <c r="H56" s="484" t="e">
        <f ca="1"/>
        <v>#DIV/0!</v>
      </c>
      <c r="I56" s="484" t="e">
        <f ca="1"/>
        <v>#DIV/0!</v>
      </c>
      <c r="J56" s="484" t="e">
        <f ca="1"/>
        <v>#DIV/0!</v>
      </c>
      <c r="K56" s="65" t="e">
        <f ca="1"/>
        <v>#DIV/0!</v>
      </c>
      <c r="M56" s="30" t="e">
        <f ca="1"/>
        <v>#DIV/0!</v>
      </c>
    </row>
    <row r="57" spans="1:13" ht="15" customHeight="1">
      <c r="A57" s="16"/>
      <c r="B57" s="22">
        <f>'Oil supply projection'!$B57</f>
        <v>2066</v>
      </c>
      <c r="C57" s="30" t="e">
        <f ca="1"/>
        <v>#DIV/0!</v>
      </c>
      <c r="D57" s="30" t="e">
        <f ca="1"/>
        <v>#DIV/0!</v>
      </c>
      <c r="E57" s="30" t="e">
        <f ca="1"/>
        <v>#DIV/0!</v>
      </c>
      <c r="F57" s="30" t="e">
        <f ca="1"/>
        <v>#DIV/0!</v>
      </c>
      <c r="G57" s="30" t="e">
        <f ca="1"/>
        <v>#DIV/0!</v>
      </c>
      <c r="H57" s="484" t="e">
        <f ca="1"/>
        <v>#DIV/0!</v>
      </c>
      <c r="I57" s="484" t="e">
        <f ca="1"/>
        <v>#DIV/0!</v>
      </c>
      <c r="J57" s="484" t="e">
        <f ca="1"/>
        <v>#DIV/0!</v>
      </c>
      <c r="K57" s="65" t="e">
        <f ca="1"/>
        <v>#DIV/0!</v>
      </c>
      <c r="M57" s="30" t="e">
        <f ca="1"/>
        <v>#DIV/0!</v>
      </c>
    </row>
    <row r="58" spans="1:13" ht="15" customHeight="1">
      <c r="A58" s="16"/>
      <c r="B58" s="22">
        <f>'Oil supply projection'!$B58</f>
        <v>2067</v>
      </c>
      <c r="C58" s="30" t="e">
        <f ca="1"/>
        <v>#DIV/0!</v>
      </c>
      <c r="D58" s="30" t="e">
        <f ca="1"/>
        <v>#DIV/0!</v>
      </c>
      <c r="E58" s="30" t="e">
        <f ca="1"/>
        <v>#DIV/0!</v>
      </c>
      <c r="F58" s="30" t="e">
        <f ca="1"/>
        <v>#DIV/0!</v>
      </c>
      <c r="G58" s="30" t="e">
        <f ca="1"/>
        <v>#DIV/0!</v>
      </c>
      <c r="H58" s="484" t="e">
        <f ca="1"/>
        <v>#DIV/0!</v>
      </c>
      <c r="I58" s="484" t="e">
        <f ca="1"/>
        <v>#DIV/0!</v>
      </c>
      <c r="J58" s="484" t="e">
        <f ca="1"/>
        <v>#DIV/0!</v>
      </c>
      <c r="K58" s="65" t="e">
        <f ca="1"/>
        <v>#DIV/0!</v>
      </c>
      <c r="M58" s="30" t="e">
        <f ca="1"/>
        <v>#DIV/0!</v>
      </c>
    </row>
    <row r="59" spans="1:13" ht="15" customHeight="1">
      <c r="A59" s="16"/>
      <c r="B59" s="22">
        <f>'Oil supply projection'!$B59</f>
        <v>2068</v>
      </c>
      <c r="C59" s="30" t="e">
        <f ca="1"/>
        <v>#DIV/0!</v>
      </c>
      <c r="D59" s="30" t="e">
        <f ca="1"/>
        <v>#DIV/0!</v>
      </c>
      <c r="E59" s="30" t="e">
        <f ca="1"/>
        <v>#DIV/0!</v>
      </c>
      <c r="F59" s="30" t="e">
        <f ca="1"/>
        <v>#DIV/0!</v>
      </c>
      <c r="G59" s="30" t="e">
        <f ca="1"/>
        <v>#DIV/0!</v>
      </c>
      <c r="H59" s="484" t="e">
        <f ca="1"/>
        <v>#DIV/0!</v>
      </c>
      <c r="I59" s="484" t="e">
        <f ca="1"/>
        <v>#DIV/0!</v>
      </c>
      <c r="J59" s="484" t="e">
        <f ca="1"/>
        <v>#DIV/0!</v>
      </c>
      <c r="K59" s="65" t="e">
        <f ca="1"/>
        <v>#DIV/0!</v>
      </c>
      <c r="M59" s="30" t="e">
        <f ca="1"/>
        <v>#DIV/0!</v>
      </c>
    </row>
    <row r="60" spans="1:13" ht="15" customHeight="1">
      <c r="A60" s="16"/>
      <c r="B60" s="22">
        <f>'Oil supply projection'!$B60</f>
        <v>2069</v>
      </c>
      <c r="C60" s="30" t="e">
        <f ca="1"/>
        <v>#DIV/0!</v>
      </c>
      <c r="D60" s="30" t="e">
        <f ca="1"/>
        <v>#DIV/0!</v>
      </c>
      <c r="E60" s="30" t="e">
        <f ca="1"/>
        <v>#DIV/0!</v>
      </c>
      <c r="F60" s="30" t="e">
        <f ca="1"/>
        <v>#DIV/0!</v>
      </c>
      <c r="G60" s="30" t="e">
        <f ca="1"/>
        <v>#DIV/0!</v>
      </c>
      <c r="H60" s="484" t="e">
        <f ca="1"/>
        <v>#DIV/0!</v>
      </c>
      <c r="I60" s="484" t="e">
        <f ca="1"/>
        <v>#DIV/0!</v>
      </c>
      <c r="J60" s="484" t="e">
        <f ca="1"/>
        <v>#DIV/0!</v>
      </c>
      <c r="K60" s="65" t="e">
        <f ca="1"/>
        <v>#DIV/0!</v>
      </c>
      <c r="M60" s="30" t="e">
        <f ca="1"/>
        <v>#DIV/0!</v>
      </c>
    </row>
    <row r="61" spans="1:13" ht="15" customHeight="1">
      <c r="A61" s="16"/>
      <c r="B61" s="22">
        <f>'Oil supply projection'!$B61</f>
        <v>2070</v>
      </c>
      <c r="C61" s="30" t="e">
        <f ca="1"/>
        <v>#DIV/0!</v>
      </c>
      <c r="D61" s="30" t="e">
        <f ca="1"/>
        <v>#DIV/0!</v>
      </c>
      <c r="E61" s="30" t="e">
        <f ca="1"/>
        <v>#DIV/0!</v>
      </c>
      <c r="F61" s="30" t="e">
        <f ca="1"/>
        <v>#DIV/0!</v>
      </c>
      <c r="G61" s="30" t="e">
        <f ca="1"/>
        <v>#DIV/0!</v>
      </c>
      <c r="H61" s="484" t="e">
        <f ca="1"/>
        <v>#DIV/0!</v>
      </c>
      <c r="I61" s="484" t="e">
        <f ca="1"/>
        <v>#DIV/0!</v>
      </c>
      <c r="J61" s="484" t="e">
        <f ca="1"/>
        <v>#DIV/0!</v>
      </c>
      <c r="K61" s="65" t="e">
        <f ca="1"/>
        <v>#DIV/0!</v>
      </c>
      <c r="M61" s="30" t="e">
        <f ca="1"/>
        <v>#DIV/0!</v>
      </c>
    </row>
    <row r="62" spans="1:13" ht="15" customHeight="1">
      <c r="A62" s="16"/>
      <c r="B62" s="22">
        <f>'Oil supply projection'!$B62</f>
        <v>2071</v>
      </c>
      <c r="C62" s="30" t="e">
        <f ca="1"/>
        <v>#DIV/0!</v>
      </c>
      <c r="D62" s="30" t="e">
        <f ca="1"/>
        <v>#DIV/0!</v>
      </c>
      <c r="E62" s="30" t="e">
        <f ca="1"/>
        <v>#DIV/0!</v>
      </c>
      <c r="F62" s="30" t="e">
        <f ca="1"/>
        <v>#DIV/0!</v>
      </c>
      <c r="G62" s="30" t="e">
        <f ca="1"/>
        <v>#DIV/0!</v>
      </c>
      <c r="H62" s="484" t="e">
        <f ca="1"/>
        <v>#DIV/0!</v>
      </c>
      <c r="I62" s="484" t="e">
        <f ca="1"/>
        <v>#DIV/0!</v>
      </c>
      <c r="J62" s="484" t="e">
        <f ca="1"/>
        <v>#DIV/0!</v>
      </c>
      <c r="K62" s="65" t="e">
        <f ca="1"/>
        <v>#DIV/0!</v>
      </c>
      <c r="M62" s="30" t="e">
        <f ca="1"/>
        <v>#DIV/0!</v>
      </c>
    </row>
    <row r="63" spans="1:13" ht="15" customHeight="1">
      <c r="A63" s="16"/>
      <c r="B63" s="22">
        <f>'Oil supply projection'!$B63</f>
        <v>2072</v>
      </c>
      <c r="C63" s="30" t="e">
        <f ca="1"/>
        <v>#DIV/0!</v>
      </c>
      <c r="D63" s="30" t="e">
        <f ca="1"/>
        <v>#DIV/0!</v>
      </c>
      <c r="E63" s="30" t="e">
        <f ca="1"/>
        <v>#DIV/0!</v>
      </c>
      <c r="F63" s="30" t="e">
        <f ca="1"/>
        <v>#DIV/0!</v>
      </c>
      <c r="G63" s="30" t="e">
        <f ca="1"/>
        <v>#DIV/0!</v>
      </c>
      <c r="H63" s="484" t="e">
        <f ca="1"/>
        <v>#DIV/0!</v>
      </c>
      <c r="I63" s="484" t="e">
        <f ca="1"/>
        <v>#DIV/0!</v>
      </c>
      <c r="J63" s="484" t="e">
        <f ca="1"/>
        <v>#DIV/0!</v>
      </c>
      <c r="K63" s="65" t="e">
        <f ca="1"/>
        <v>#DIV/0!</v>
      </c>
      <c r="M63" s="30" t="e">
        <f ca="1"/>
        <v>#DIV/0!</v>
      </c>
    </row>
    <row r="64" spans="1:13" ht="15" customHeight="1">
      <c r="A64" s="16"/>
      <c r="B64" s="22">
        <f>'Oil supply projection'!$B64</f>
        <v>2073</v>
      </c>
      <c r="C64" s="30" t="e">
        <f ca="1"/>
        <v>#DIV/0!</v>
      </c>
      <c r="D64" s="30" t="e">
        <f ca="1"/>
        <v>#DIV/0!</v>
      </c>
      <c r="E64" s="30" t="e">
        <f ca="1"/>
        <v>#DIV/0!</v>
      </c>
      <c r="F64" s="30" t="e">
        <f ca="1"/>
        <v>#DIV/0!</v>
      </c>
      <c r="G64" s="30" t="e">
        <f ca="1"/>
        <v>#DIV/0!</v>
      </c>
      <c r="H64" s="484" t="e">
        <f ca="1"/>
        <v>#DIV/0!</v>
      </c>
      <c r="I64" s="484" t="e">
        <f ca="1"/>
        <v>#DIV/0!</v>
      </c>
      <c r="J64" s="484" t="e">
        <f ca="1"/>
        <v>#DIV/0!</v>
      </c>
      <c r="K64" s="65" t="e">
        <f ca="1"/>
        <v>#DIV/0!</v>
      </c>
      <c r="M64" s="30" t="e">
        <f ca="1"/>
        <v>#DIV/0!</v>
      </c>
    </row>
    <row r="65" spans="1:13" ht="15" customHeight="1">
      <c r="A65" s="16"/>
      <c r="B65" s="22">
        <f>'Oil supply projection'!$B65</f>
        <v>2074</v>
      </c>
      <c r="C65" s="30" t="e">
        <f ca="1"/>
        <v>#DIV/0!</v>
      </c>
      <c r="D65" s="30" t="e">
        <f ca="1"/>
        <v>#DIV/0!</v>
      </c>
      <c r="E65" s="30" t="e">
        <f ca="1"/>
        <v>#DIV/0!</v>
      </c>
      <c r="F65" s="30" t="e">
        <f ca="1"/>
        <v>#DIV/0!</v>
      </c>
      <c r="G65" s="30" t="e">
        <f ca="1"/>
        <v>#DIV/0!</v>
      </c>
      <c r="H65" s="484" t="e">
        <f ca="1"/>
        <v>#DIV/0!</v>
      </c>
      <c r="I65" s="484" t="e">
        <f ca="1"/>
        <v>#DIV/0!</v>
      </c>
      <c r="J65" s="484" t="e">
        <f ca="1"/>
        <v>#DIV/0!</v>
      </c>
      <c r="K65" s="65" t="e">
        <f ca="1"/>
        <v>#DIV/0!</v>
      </c>
      <c r="M65" s="30" t="e">
        <f ca="1"/>
        <v>#DIV/0!</v>
      </c>
    </row>
    <row r="66" spans="1:13" ht="15" customHeight="1">
      <c r="A66" s="16"/>
      <c r="B66" s="22">
        <f>'Oil supply projection'!$B66</f>
        <v>2075</v>
      </c>
      <c r="C66" s="30" t="e">
        <f ca="1"/>
        <v>#DIV/0!</v>
      </c>
      <c r="D66" s="30" t="e">
        <f ca="1"/>
        <v>#DIV/0!</v>
      </c>
      <c r="E66" s="30" t="e">
        <f ca="1"/>
        <v>#DIV/0!</v>
      </c>
      <c r="F66" s="30" t="e">
        <f ca="1"/>
        <v>#DIV/0!</v>
      </c>
      <c r="G66" s="30" t="e">
        <f ca="1"/>
        <v>#DIV/0!</v>
      </c>
      <c r="H66" s="484" t="e">
        <f ca="1"/>
        <v>#DIV/0!</v>
      </c>
      <c r="I66" s="484" t="e">
        <f ca="1"/>
        <v>#DIV/0!</v>
      </c>
      <c r="J66" s="484" t="e">
        <f ca="1"/>
        <v>#DIV/0!</v>
      </c>
      <c r="K66" s="65" t="e">
        <f ca="1"/>
        <v>#DIV/0!</v>
      </c>
      <c r="M66" s="30" t="e">
        <f ca="1"/>
        <v>#DIV/0!</v>
      </c>
    </row>
    <row r="67" spans="1:13" ht="15" customHeight="1">
      <c r="A67" s="16"/>
      <c r="B67" s="22">
        <f>'Oil supply projection'!$B67</f>
        <v>2076</v>
      </c>
      <c r="C67" s="30" t="e">
        <f ca="1"/>
        <v>#DIV/0!</v>
      </c>
      <c r="D67" s="30" t="e">
        <f ca="1"/>
        <v>#DIV/0!</v>
      </c>
      <c r="E67" s="30" t="e">
        <f ca="1"/>
        <v>#DIV/0!</v>
      </c>
      <c r="F67" s="30" t="e">
        <f ca="1"/>
        <v>#DIV/0!</v>
      </c>
      <c r="G67" s="30" t="e">
        <f ca="1"/>
        <v>#DIV/0!</v>
      </c>
      <c r="H67" s="484" t="e">
        <f ca="1"/>
        <v>#DIV/0!</v>
      </c>
      <c r="I67" s="484" t="e">
        <f ca="1"/>
        <v>#DIV/0!</v>
      </c>
      <c r="J67" s="484" t="e">
        <f ca="1"/>
        <v>#DIV/0!</v>
      </c>
      <c r="K67" s="65" t="e">
        <f ca="1"/>
        <v>#DIV/0!</v>
      </c>
      <c r="M67" s="30" t="e">
        <f ca="1"/>
        <v>#DIV/0!</v>
      </c>
    </row>
    <row r="68" spans="1:13" ht="15" customHeight="1">
      <c r="A68" s="16"/>
      <c r="B68" s="22">
        <f>'Oil supply projection'!$B68</f>
        <v>2077</v>
      </c>
      <c r="C68" s="30" t="e">
        <f ca="1"/>
        <v>#DIV/0!</v>
      </c>
      <c r="D68" s="30" t="e">
        <f ca="1"/>
        <v>#DIV/0!</v>
      </c>
      <c r="E68" s="30" t="e">
        <f ca="1"/>
        <v>#DIV/0!</v>
      </c>
      <c r="F68" s="30" t="e">
        <f ca="1"/>
        <v>#DIV/0!</v>
      </c>
      <c r="G68" s="30" t="e">
        <f ca="1"/>
        <v>#DIV/0!</v>
      </c>
      <c r="H68" s="484" t="e">
        <f ca="1"/>
        <v>#DIV/0!</v>
      </c>
      <c r="I68" s="484" t="e">
        <f ca="1"/>
        <v>#DIV/0!</v>
      </c>
      <c r="J68" s="484" t="e">
        <f ca="1"/>
        <v>#DIV/0!</v>
      </c>
      <c r="K68" s="65" t="e">
        <f ca="1"/>
        <v>#DIV/0!</v>
      </c>
      <c r="M68" s="30" t="e">
        <f ca="1"/>
        <v>#DIV/0!</v>
      </c>
    </row>
    <row r="69" spans="1:13" ht="15" customHeight="1">
      <c r="A69" s="16"/>
      <c r="B69" s="22">
        <f>'Oil supply projection'!$B69</f>
        <v>2078</v>
      </c>
      <c r="C69" s="30" t="e">
        <f ca="1"/>
        <v>#DIV/0!</v>
      </c>
      <c r="D69" s="30" t="e">
        <f ca="1"/>
        <v>#DIV/0!</v>
      </c>
      <c r="E69" s="30" t="e">
        <f ca="1"/>
        <v>#DIV/0!</v>
      </c>
      <c r="F69" s="30" t="e">
        <f ca="1"/>
        <v>#DIV/0!</v>
      </c>
      <c r="G69" s="30" t="e">
        <f ca="1"/>
        <v>#DIV/0!</v>
      </c>
      <c r="H69" s="484" t="e">
        <f ca="1"/>
        <v>#DIV/0!</v>
      </c>
      <c r="I69" s="484" t="e">
        <f ca="1"/>
        <v>#DIV/0!</v>
      </c>
      <c r="J69" s="484" t="e">
        <f ca="1"/>
        <v>#DIV/0!</v>
      </c>
      <c r="K69" s="65" t="e">
        <f ca="1"/>
        <v>#DIV/0!</v>
      </c>
      <c r="M69" s="30" t="e">
        <f ca="1"/>
        <v>#DIV/0!</v>
      </c>
    </row>
    <row r="70" spans="1:13" ht="15" customHeight="1">
      <c r="A70" s="16"/>
      <c r="B70" s="22">
        <f>'Oil supply projection'!$B70</f>
        <v>2079</v>
      </c>
      <c r="C70" s="30" t="e">
        <f ca="1"/>
        <v>#DIV/0!</v>
      </c>
      <c r="D70" s="30" t="e">
        <f ca="1"/>
        <v>#DIV/0!</v>
      </c>
      <c r="E70" s="30" t="e">
        <f ca="1"/>
        <v>#DIV/0!</v>
      </c>
      <c r="F70" s="30" t="e">
        <f ca="1"/>
        <v>#DIV/0!</v>
      </c>
      <c r="G70" s="30" t="e">
        <f ca="1"/>
        <v>#DIV/0!</v>
      </c>
      <c r="H70" s="484" t="e">
        <f ca="1"/>
        <v>#DIV/0!</v>
      </c>
      <c r="I70" s="484" t="e">
        <f ca="1"/>
        <v>#DIV/0!</v>
      </c>
      <c r="J70" s="484" t="e">
        <f ca="1"/>
        <v>#DIV/0!</v>
      </c>
      <c r="K70" s="65" t="e">
        <f ca="1"/>
        <v>#DIV/0!</v>
      </c>
      <c r="M70" s="30" t="e">
        <f ca="1"/>
        <v>#DIV/0!</v>
      </c>
    </row>
    <row r="71" spans="1:13" ht="15" customHeight="1">
      <c r="A71" s="16"/>
      <c r="B71" s="22">
        <f>'Oil supply projection'!$B71</f>
        <v>2080</v>
      </c>
      <c r="C71" s="30" t="e">
        <f ca="1"/>
        <v>#DIV/0!</v>
      </c>
      <c r="D71" s="30" t="e">
        <f ca="1"/>
        <v>#DIV/0!</v>
      </c>
      <c r="E71" s="30" t="e">
        <f ca="1"/>
        <v>#DIV/0!</v>
      </c>
      <c r="F71" s="30" t="e">
        <f ca="1"/>
        <v>#DIV/0!</v>
      </c>
      <c r="G71" s="30" t="e">
        <f ca="1"/>
        <v>#DIV/0!</v>
      </c>
      <c r="H71" s="484" t="e">
        <f ca="1"/>
        <v>#DIV/0!</v>
      </c>
      <c r="I71" s="484" t="e">
        <f ca="1"/>
        <v>#DIV/0!</v>
      </c>
      <c r="J71" s="484" t="e">
        <f ca="1"/>
        <v>#DIV/0!</v>
      </c>
      <c r="K71" s="65" t="e">
        <f ca="1"/>
        <v>#DIV/0!</v>
      </c>
      <c r="M71" s="30" t="e">
        <f ca="1"/>
        <v>#DIV/0!</v>
      </c>
    </row>
    <row r="72" spans="1:13" ht="15" customHeight="1">
      <c r="A72" s="16"/>
      <c r="B72" s="22">
        <f>'Oil supply projection'!$B72</f>
        <v>2081</v>
      </c>
      <c r="C72" s="30" t="e">
        <f ca="1"/>
        <v>#DIV/0!</v>
      </c>
      <c r="D72" s="30" t="e">
        <f ca="1"/>
        <v>#DIV/0!</v>
      </c>
      <c r="E72" s="30" t="e">
        <f ca="1"/>
        <v>#DIV/0!</v>
      </c>
      <c r="F72" s="30" t="e">
        <f ca="1"/>
        <v>#DIV/0!</v>
      </c>
      <c r="G72" s="30" t="e">
        <f ca="1"/>
        <v>#DIV/0!</v>
      </c>
      <c r="H72" s="484" t="e">
        <f ca="1"/>
        <v>#DIV/0!</v>
      </c>
      <c r="I72" s="484" t="e">
        <f ca="1"/>
        <v>#DIV/0!</v>
      </c>
      <c r="J72" s="484" t="e">
        <f ca="1"/>
        <v>#DIV/0!</v>
      </c>
      <c r="K72" s="65" t="e">
        <f ca="1"/>
        <v>#DIV/0!</v>
      </c>
      <c r="M72" s="30" t="e">
        <f ca="1"/>
        <v>#DIV/0!</v>
      </c>
    </row>
    <row r="73" spans="1:13" ht="15" customHeight="1">
      <c r="A73" s="16"/>
      <c r="B73" s="22">
        <f>'Oil supply projection'!$B73</f>
        <v>2082</v>
      </c>
      <c r="C73" s="30" t="e">
        <f ca="1"/>
        <v>#DIV/0!</v>
      </c>
      <c r="D73" s="30" t="e">
        <f ca="1"/>
        <v>#DIV/0!</v>
      </c>
      <c r="E73" s="30" t="e">
        <f ca="1"/>
        <v>#DIV/0!</v>
      </c>
      <c r="F73" s="30" t="e">
        <f ca="1"/>
        <v>#DIV/0!</v>
      </c>
      <c r="G73" s="30" t="e">
        <f ca="1"/>
        <v>#DIV/0!</v>
      </c>
      <c r="H73" s="484" t="e">
        <f ca="1"/>
        <v>#DIV/0!</v>
      </c>
      <c r="I73" s="484" t="e">
        <f ca="1"/>
        <v>#DIV/0!</v>
      </c>
      <c r="J73" s="484" t="e">
        <f ca="1"/>
        <v>#DIV/0!</v>
      </c>
      <c r="K73" s="65" t="e">
        <f ca="1"/>
        <v>#DIV/0!</v>
      </c>
      <c r="M73" s="30" t="e">
        <f ca="1"/>
        <v>#DIV/0!</v>
      </c>
    </row>
    <row r="74" spans="1:13" ht="15" customHeight="1">
      <c r="A74" s="16"/>
      <c r="B74" s="22">
        <f>'Oil supply projection'!$B74</f>
        <v>2083</v>
      </c>
      <c r="C74" s="30" t="e">
        <f ca="1"/>
        <v>#DIV/0!</v>
      </c>
      <c r="D74" s="30" t="e">
        <f ca="1"/>
        <v>#DIV/0!</v>
      </c>
      <c r="E74" s="30" t="e">
        <f ca="1"/>
        <v>#DIV/0!</v>
      </c>
      <c r="F74" s="30" t="e">
        <f ca="1"/>
        <v>#DIV/0!</v>
      </c>
      <c r="G74" s="30" t="e">
        <f ca="1"/>
        <v>#DIV/0!</v>
      </c>
      <c r="H74" s="484" t="e">
        <f ca="1"/>
        <v>#DIV/0!</v>
      </c>
      <c r="I74" s="484" t="e">
        <f ca="1"/>
        <v>#DIV/0!</v>
      </c>
      <c r="J74" s="484" t="e">
        <f ca="1"/>
        <v>#DIV/0!</v>
      </c>
      <c r="K74" s="65" t="e">
        <f ca="1"/>
        <v>#DIV/0!</v>
      </c>
      <c r="M74" s="30" t="e">
        <f ca="1"/>
        <v>#DIV/0!</v>
      </c>
    </row>
    <row r="75" spans="1:13" ht="15" customHeight="1">
      <c r="A75" s="16"/>
      <c r="B75" s="22">
        <f>'Oil supply projection'!$B75</f>
        <v>2084</v>
      </c>
      <c r="C75" s="30" t="e">
        <f ca="1"/>
        <v>#DIV/0!</v>
      </c>
      <c r="D75" s="30" t="e">
        <f ca="1"/>
        <v>#DIV/0!</v>
      </c>
      <c r="E75" s="30" t="e">
        <f ca="1"/>
        <v>#DIV/0!</v>
      </c>
      <c r="F75" s="30" t="e">
        <f ca="1"/>
        <v>#DIV/0!</v>
      </c>
      <c r="G75" s="30" t="e">
        <f ca="1"/>
        <v>#DIV/0!</v>
      </c>
      <c r="H75" s="484" t="e">
        <f ca="1"/>
        <v>#DIV/0!</v>
      </c>
      <c r="I75" s="484" t="e">
        <f ca="1"/>
        <v>#DIV/0!</v>
      </c>
      <c r="J75" s="484" t="e">
        <f ca="1"/>
        <v>#DIV/0!</v>
      </c>
      <c r="K75" s="65" t="e">
        <f ca="1"/>
        <v>#DIV/0!</v>
      </c>
      <c r="M75" s="30" t="e">
        <f ca="1"/>
        <v>#DIV/0!</v>
      </c>
    </row>
    <row r="76" spans="1:13" ht="15" customHeight="1">
      <c r="A76" s="16"/>
      <c r="B76" s="22">
        <f>'Oil supply projection'!$B76</f>
        <v>2085</v>
      </c>
      <c r="C76" s="30" t="e">
        <f ca="1"/>
        <v>#DIV/0!</v>
      </c>
      <c r="D76" s="30" t="e">
        <f ca="1"/>
        <v>#DIV/0!</v>
      </c>
      <c r="E76" s="30" t="e">
        <f ca="1"/>
        <v>#DIV/0!</v>
      </c>
      <c r="F76" s="30" t="e">
        <f ca="1"/>
        <v>#DIV/0!</v>
      </c>
      <c r="G76" s="30" t="e">
        <f ca="1"/>
        <v>#DIV/0!</v>
      </c>
      <c r="H76" s="484" t="e">
        <f ca="1"/>
        <v>#DIV/0!</v>
      </c>
      <c r="I76" s="484" t="e">
        <f ca="1"/>
        <v>#DIV/0!</v>
      </c>
      <c r="J76" s="484" t="e">
        <f ca="1"/>
        <v>#DIV/0!</v>
      </c>
      <c r="K76" s="65" t="e">
        <f ca="1"/>
        <v>#DIV/0!</v>
      </c>
      <c r="M76" s="30" t="e">
        <f ca="1"/>
        <v>#DIV/0!</v>
      </c>
    </row>
    <row r="77" spans="1:13" ht="15" customHeight="1">
      <c r="A77" s="16"/>
      <c r="B77" s="22">
        <f>'Oil supply projection'!$B77</f>
        <v>2086</v>
      </c>
      <c r="C77" s="30" t="e">
        <f ca="1"/>
        <v>#DIV/0!</v>
      </c>
      <c r="D77" s="30" t="e">
        <f ca="1"/>
        <v>#DIV/0!</v>
      </c>
      <c r="E77" s="30" t="e">
        <f ca="1"/>
        <v>#DIV/0!</v>
      </c>
      <c r="F77" s="30" t="e">
        <f ca="1"/>
        <v>#DIV/0!</v>
      </c>
      <c r="G77" s="30" t="e">
        <f ca="1"/>
        <v>#DIV/0!</v>
      </c>
      <c r="H77" s="484" t="e">
        <f ca="1"/>
        <v>#DIV/0!</v>
      </c>
      <c r="I77" s="484" t="e">
        <f ca="1"/>
        <v>#DIV/0!</v>
      </c>
      <c r="J77" s="484" t="e">
        <f ca="1"/>
        <v>#DIV/0!</v>
      </c>
      <c r="K77" s="65" t="e">
        <f ca="1"/>
        <v>#DIV/0!</v>
      </c>
      <c r="M77" s="30" t="e">
        <f ca="1"/>
        <v>#DIV/0!</v>
      </c>
    </row>
    <row r="78" spans="1:13" ht="15" customHeight="1">
      <c r="A78" s="16"/>
      <c r="B78" s="22">
        <f>'Oil supply projection'!$B78</f>
        <v>2087</v>
      </c>
      <c r="C78" s="30" t="e">
        <f ca="1"/>
        <v>#DIV/0!</v>
      </c>
      <c r="D78" s="30" t="e">
        <f ca="1"/>
        <v>#DIV/0!</v>
      </c>
      <c r="E78" s="30" t="e">
        <f ca="1"/>
        <v>#DIV/0!</v>
      </c>
      <c r="F78" s="30" t="e">
        <f ca="1"/>
        <v>#DIV/0!</v>
      </c>
      <c r="G78" s="30" t="e">
        <f ca="1"/>
        <v>#DIV/0!</v>
      </c>
      <c r="H78" s="64" t="e">
        <f ca="1"/>
        <v>#DIV/0!</v>
      </c>
      <c r="I78" s="64" t="e">
        <f ca="1"/>
        <v>#DIV/0!</v>
      </c>
      <c r="J78" s="31" t="e">
        <f ca="1"/>
        <v>#DIV/0!</v>
      </c>
      <c r="K78" s="65" t="e">
        <f ca="1"/>
        <v>#DIV/0!</v>
      </c>
      <c r="M78" s="30" t="e">
        <f ca="1"/>
        <v>#DIV/0!</v>
      </c>
    </row>
    <row r="79" spans="1:13" ht="15" customHeight="1">
      <c r="A79" s="16"/>
      <c r="B79" s="22">
        <f>'Oil supply projection'!$B79</f>
        <v>2088</v>
      </c>
      <c r="C79" s="30" t="e">
        <f ca="1"/>
        <v>#DIV/0!</v>
      </c>
      <c r="D79" s="30" t="e">
        <f ca="1"/>
        <v>#DIV/0!</v>
      </c>
      <c r="E79" s="30" t="e">
        <f ca="1"/>
        <v>#DIV/0!</v>
      </c>
      <c r="F79" s="30" t="e">
        <f ca="1"/>
        <v>#DIV/0!</v>
      </c>
      <c r="G79" s="30" t="e">
        <f ca="1"/>
        <v>#DIV/0!</v>
      </c>
      <c r="H79" s="64" t="e">
        <f ca="1"/>
        <v>#DIV/0!</v>
      </c>
      <c r="I79" s="64" t="e">
        <f ca="1"/>
        <v>#DIV/0!</v>
      </c>
      <c r="J79" s="30" t="e">
        <f ca="1"/>
        <v>#DIV/0!</v>
      </c>
      <c r="K79" s="65" t="e">
        <f ca="1"/>
        <v>#DIV/0!</v>
      </c>
      <c r="M79" s="30" t="e">
        <f ca="1"/>
        <v>#DIV/0!</v>
      </c>
    </row>
    <row r="80" spans="1:13" ht="15" customHeight="1">
      <c r="A80" s="16"/>
      <c r="B80" s="22">
        <f>'Oil supply projection'!$B80</f>
        <v>2089</v>
      </c>
      <c r="C80" s="30" t="e">
        <f ca="1"/>
        <v>#DIV/0!</v>
      </c>
      <c r="D80" s="30" t="e">
        <f ca="1"/>
        <v>#DIV/0!</v>
      </c>
      <c r="E80" s="30" t="e">
        <f ca="1"/>
        <v>#DIV/0!</v>
      </c>
      <c r="F80" s="30" t="e">
        <f ca="1"/>
        <v>#DIV/0!</v>
      </c>
      <c r="G80" s="30" t="e">
        <f ca="1"/>
        <v>#DIV/0!</v>
      </c>
      <c r="H80" s="64" t="e">
        <f ca="1"/>
        <v>#DIV/0!</v>
      </c>
      <c r="I80" s="64" t="e">
        <f ca="1"/>
        <v>#DIV/0!</v>
      </c>
      <c r="J80" s="30" t="e">
        <f ca="1"/>
        <v>#DIV/0!</v>
      </c>
      <c r="K80" s="65" t="e">
        <f ca="1"/>
        <v>#DIV/0!</v>
      </c>
      <c r="M80" s="30" t="e">
        <f ca="1"/>
        <v>#DIV/0!</v>
      </c>
    </row>
    <row r="81" spans="1:18" ht="15" customHeight="1">
      <c r="A81" s="16"/>
      <c r="B81" s="22">
        <f>'Oil supply projection'!$B81</f>
        <v>2090</v>
      </c>
      <c r="C81" s="30" t="e">
        <f ca="1"/>
        <v>#DIV/0!</v>
      </c>
      <c r="D81" s="30" t="e">
        <f ca="1"/>
        <v>#DIV/0!</v>
      </c>
      <c r="E81" s="30" t="e">
        <f ca="1"/>
        <v>#DIV/0!</v>
      </c>
      <c r="F81" s="30" t="e">
        <f ca="1"/>
        <v>#DIV/0!</v>
      </c>
      <c r="G81" s="30" t="e">
        <f ca="1"/>
        <v>#DIV/0!</v>
      </c>
      <c r="H81" s="64" t="e">
        <f ca="1"/>
        <v>#DIV/0!</v>
      </c>
      <c r="I81" s="64" t="e">
        <f ca="1"/>
        <v>#DIV/0!</v>
      </c>
      <c r="J81" s="30" t="e">
        <f ca="1"/>
        <v>#DIV/0!</v>
      </c>
      <c r="K81" s="65" t="e">
        <f ca="1"/>
        <v>#DIV/0!</v>
      </c>
      <c r="M81" s="30" t="e">
        <f ca="1"/>
        <v>#DIV/0!</v>
      </c>
    </row>
    <row r="82" spans="1:18" ht="15" customHeight="1">
      <c r="A82" s="16"/>
      <c r="B82" s="22">
        <f>'Oil supply projection'!$B82</f>
        <v>2091</v>
      </c>
      <c r="C82" s="30" t="e">
        <f ca="1"/>
        <v>#DIV/0!</v>
      </c>
      <c r="D82" s="30" t="e">
        <f ca="1"/>
        <v>#DIV/0!</v>
      </c>
      <c r="E82" s="30" t="e">
        <f ca="1"/>
        <v>#DIV/0!</v>
      </c>
      <c r="F82" s="30" t="e">
        <f ca="1"/>
        <v>#DIV/0!</v>
      </c>
      <c r="G82" s="30" t="e">
        <f ca="1"/>
        <v>#DIV/0!</v>
      </c>
      <c r="H82" s="64" t="e">
        <f ca="1"/>
        <v>#DIV/0!</v>
      </c>
      <c r="I82" s="64" t="e">
        <f ca="1"/>
        <v>#DIV/0!</v>
      </c>
      <c r="J82" s="30" t="e">
        <f ca="1"/>
        <v>#DIV/0!</v>
      </c>
      <c r="K82" s="65" t="e">
        <f ca="1"/>
        <v>#DIV/0!</v>
      </c>
      <c r="M82" s="30" t="e">
        <f ca="1"/>
        <v>#DIV/0!</v>
      </c>
    </row>
    <row r="83" spans="1:18" s="21" customFormat="1" ht="15" customHeight="1">
      <c r="A83" s="16"/>
      <c r="B83" s="22">
        <f>'Oil supply projection'!$B83</f>
        <v>2092</v>
      </c>
      <c r="C83" s="30" t="e">
        <f ca="1"/>
        <v>#DIV/0!</v>
      </c>
      <c r="D83" s="30" t="e">
        <f ca="1"/>
        <v>#DIV/0!</v>
      </c>
      <c r="E83" s="30" t="e">
        <f ca="1"/>
        <v>#DIV/0!</v>
      </c>
      <c r="F83" s="30" t="e">
        <f ca="1"/>
        <v>#DIV/0!</v>
      </c>
      <c r="G83" s="30" t="e">
        <f ca="1"/>
        <v>#DIV/0!</v>
      </c>
      <c r="H83" s="64" t="e">
        <f ca="1"/>
        <v>#DIV/0!</v>
      </c>
      <c r="I83" s="64" t="e">
        <f ca="1"/>
        <v>#DIV/0!</v>
      </c>
      <c r="J83" s="30" t="e">
        <f ca="1"/>
        <v>#DIV/0!</v>
      </c>
      <c r="K83" s="65" t="e">
        <f ca="1"/>
        <v>#DIV/0!</v>
      </c>
      <c r="M83" s="30" t="e">
        <f ca="1"/>
        <v>#DIV/0!</v>
      </c>
      <c r="N83" s="1"/>
      <c r="O83" s="1"/>
      <c r="Q83" s="1"/>
      <c r="R83" s="1"/>
    </row>
    <row r="84" spans="1:18" ht="15" customHeight="1">
      <c r="A84" s="16"/>
      <c r="B84" s="22">
        <f>'Oil supply projection'!$B84</f>
        <v>2093</v>
      </c>
      <c r="C84" s="145" t="e">
        <f ca="1"/>
        <v>#DIV/0!</v>
      </c>
      <c r="D84" s="145" t="e">
        <f ca="1"/>
        <v>#DIV/0!</v>
      </c>
      <c r="E84" s="145" t="e">
        <f ca="1"/>
        <v>#DIV/0!</v>
      </c>
      <c r="F84" s="145" t="e">
        <f ca="1"/>
        <v>#DIV/0!</v>
      </c>
      <c r="G84" s="145" t="e">
        <f ca="1"/>
        <v>#DIV/0!</v>
      </c>
      <c r="H84" s="476" t="e">
        <f ca="1"/>
        <v>#DIV/0!</v>
      </c>
      <c r="I84" s="476" t="e">
        <f ca="1"/>
        <v>#DIV/0!</v>
      </c>
      <c r="J84" s="145" t="e">
        <f ca="1"/>
        <v>#DIV/0!</v>
      </c>
      <c r="K84" s="477" t="e">
        <f ca="1"/>
        <v>#DIV/0!</v>
      </c>
      <c r="M84" s="145" t="e">
        <f ca="1"/>
        <v>#DIV/0!</v>
      </c>
    </row>
    <row r="85" spans="1:18" ht="15" customHeight="1">
      <c r="A85" s="16"/>
    </row>
    <row r="86" spans="1:18" ht="15" customHeight="1">
      <c r="A86" s="16"/>
      <c r="F86" s="21"/>
      <c r="G86" s="21"/>
      <c r="H86" s="21"/>
      <c r="I86" s="21"/>
    </row>
    <row r="87" spans="1:18" ht="15" customHeight="1">
      <c r="F87" s="21"/>
      <c r="G87" s="21"/>
      <c r="H87" s="21"/>
      <c r="I87" s="21"/>
    </row>
  </sheetData>
  <mergeCells count="1">
    <mergeCell ref="A1:B1"/>
  </mergeCells>
  <phoneticPr fontId="29" type="noConversion"/>
  <conditionalFormatting sqref="C10:G84 K10:K84 M10:M84">
    <cfRule type="expression" dxfId="99" priority="8" stopIfTrue="1">
      <formula>ISERROR(C10)</formula>
    </cfRule>
  </conditionalFormatting>
  <conditionalFormatting sqref="H78:H84">
    <cfRule type="expression" dxfId="98" priority="5" stopIfTrue="1">
      <formula>ISERROR(H78)</formula>
    </cfRule>
  </conditionalFormatting>
  <conditionalFormatting sqref="I78:I84">
    <cfRule type="expression" dxfId="97" priority="4" stopIfTrue="1">
      <formula>ISERROR(I78)</formula>
    </cfRule>
  </conditionalFormatting>
  <conditionalFormatting sqref="J78:J84">
    <cfRule type="expression" dxfId="96" priority="2" stopIfTrue="1">
      <formula>ISERROR(J78)</formula>
    </cfRule>
  </conditionalFormatting>
  <hyperlinks>
    <hyperlink ref="A1" location="'Table of Contents'!A1" tooltip="Click here to return to the Table of Contents tab" display="Return to Table of Contents" xr:uid="{00000000-0004-0000-19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3">
    <pageSetUpPr fitToPage="1"/>
  </sheetPr>
  <dimension ref="A1:I87"/>
  <sheetViews>
    <sheetView workbookViewId="0">
      <pane xSplit="2" ySplit="9" topLeftCell="C43" activePane="bottomRight" state="frozen"/>
      <selection pane="topRight" activeCell="A2" sqref="A2"/>
      <selection pane="bottomLeft" activeCell="A2" sqref="A2"/>
      <selection pane="bottomRight" activeCell="I84" sqref="I84"/>
    </sheetView>
  </sheetViews>
  <sheetFormatPr defaultColWidth="9.28515625" defaultRowHeight="15" customHeight="1"/>
  <cols>
    <col min="1" max="1" width="15.5703125" style="18" customWidth="1"/>
    <col min="2" max="2" width="10.28515625" style="1" customWidth="1"/>
    <col min="3" max="8" width="14.5703125" style="1" customWidth="1"/>
    <col min="9" max="9" width="14.5703125" style="48" customWidth="1"/>
    <col min="10" max="14" width="14.5703125" style="1" customWidth="1"/>
    <col min="15" max="15" width="14" style="1" customWidth="1"/>
    <col min="16" max="16384" width="9.28515625" style="1"/>
  </cols>
  <sheetData>
    <row r="1" spans="1:9" ht="15.75" thickBot="1">
      <c r="A1" s="701" t="s">
        <v>27</v>
      </c>
      <c r="B1" s="702"/>
      <c r="C1" s="180"/>
      <c r="D1" s="180"/>
      <c r="E1" s="2"/>
      <c r="F1" s="2"/>
      <c r="I1" s="1"/>
    </row>
    <row r="2" spans="1:9" ht="16.5" customHeight="1">
      <c r="A2" s="1"/>
      <c r="B2" s="2"/>
      <c r="C2" s="2"/>
      <c r="D2" s="2"/>
      <c r="E2" s="2"/>
      <c r="F2" s="2"/>
      <c r="I2" s="1"/>
    </row>
    <row r="3" spans="1:9" ht="16.5" customHeight="1">
      <c r="A3" s="1"/>
      <c r="B3" s="2"/>
      <c r="C3" s="2"/>
      <c r="D3" s="2"/>
      <c r="E3" s="2"/>
      <c r="F3" s="2"/>
      <c r="I3" s="1"/>
    </row>
    <row r="4" spans="1:9" ht="16.5" customHeight="1">
      <c r="A4" s="1"/>
      <c r="B4" s="2"/>
      <c r="C4" s="2"/>
      <c r="D4" s="2"/>
      <c r="E4" s="2"/>
      <c r="F4" s="2"/>
      <c r="I4" s="1"/>
    </row>
    <row r="5" spans="1:9" ht="16.5" customHeight="1">
      <c r="A5" s="1"/>
      <c r="B5" s="2"/>
      <c r="C5" s="2"/>
      <c r="D5" s="2"/>
      <c r="E5" s="2"/>
      <c r="F5" s="2"/>
      <c r="I5" s="1"/>
    </row>
    <row r="6" spans="1:9" ht="19.5" customHeight="1">
      <c r="A6" s="16"/>
      <c r="B6" s="11" t="s">
        <v>514</v>
      </c>
      <c r="C6" s="12"/>
      <c r="D6" s="12"/>
      <c r="E6" s="12"/>
      <c r="F6" s="59"/>
      <c r="G6" s="59"/>
      <c r="H6" s="60"/>
      <c r="I6" s="60"/>
    </row>
    <row r="7" spans="1:9" ht="19.5" customHeight="1">
      <c r="A7" s="16"/>
      <c r="B7" s="14"/>
      <c r="C7" s="58"/>
      <c r="D7" s="58"/>
      <c r="E7" s="58"/>
      <c r="F7" s="10"/>
      <c r="G7" s="10"/>
      <c r="H7" s="10"/>
      <c r="I7" s="63"/>
    </row>
    <row r="8" spans="1:9" ht="29.25" customHeight="1">
      <c r="A8" s="16"/>
      <c r="B8" s="650"/>
      <c r="C8" s="650" t="s">
        <v>281</v>
      </c>
      <c r="D8" s="650" t="s">
        <v>282</v>
      </c>
      <c r="E8" s="650" t="s">
        <v>283</v>
      </c>
      <c r="F8" s="650" t="s">
        <v>284</v>
      </c>
      <c r="G8" s="650" t="s">
        <v>401</v>
      </c>
      <c r="H8" s="653" t="s">
        <v>279</v>
      </c>
      <c r="I8" s="650" t="s">
        <v>405</v>
      </c>
    </row>
    <row r="9" spans="1:9" ht="29.25" customHeight="1" thickBot="1">
      <c r="A9" s="16"/>
      <c r="B9" s="66" t="s">
        <v>268</v>
      </c>
      <c r="C9" s="96" t="s">
        <v>355</v>
      </c>
      <c r="D9" s="96" t="s">
        <v>355</v>
      </c>
      <c r="E9" s="96" t="s">
        <v>355</v>
      </c>
      <c r="F9" s="96" t="s">
        <v>355</v>
      </c>
      <c r="G9" s="96" t="s">
        <v>355</v>
      </c>
      <c r="H9" s="96" t="s">
        <v>355</v>
      </c>
      <c r="I9" s="96" t="s">
        <v>355</v>
      </c>
    </row>
    <row r="10" spans="1:9" ht="15" customHeight="1" thickTop="1">
      <c r="A10" s="16"/>
      <c r="B10" s="22">
        <f>'Oil supply projection'!$B10</f>
        <v>2019</v>
      </c>
      <c r="C10" s="30">
        <f t="array" ref="C10:I10">aeo_dem_gas_2010</f>
        <v>5.0360319999999996</v>
      </c>
      <c r="D10" s="30">
        <v>3.523504</v>
      </c>
      <c r="E10" s="30">
        <v>10.223234</v>
      </c>
      <c r="F10" s="30">
        <v>1.1026480000000001</v>
      </c>
      <c r="G10" s="30">
        <v>12.153634</v>
      </c>
      <c r="H10" s="64">
        <v>4.6555439999999999</v>
      </c>
      <c r="I10" s="65">
        <v>36.694595999999997</v>
      </c>
    </row>
    <row r="11" spans="1:9" ht="15" customHeight="1">
      <c r="A11" s="17"/>
      <c r="B11" s="22">
        <f>'Oil supply projection'!$B11</f>
        <v>2020</v>
      </c>
      <c r="C11" s="30">
        <f t="array" ref="C11:C84" ca="1">(a_gas_res*(sim_price_gas^e_dem_gas_res)*(sim_price_oil^e_gas_res_oil)*(sim_price_ele^e_gas_res_ele)+(1-g_dem_gas_res)*OFFSET(sim_dem_gas_res,-1,0))*display</f>
        <v>4.6925540000000003</v>
      </c>
      <c r="D11" s="30">
        <f t="array" ref="D11:D84" ca="1">(a_gas_com*(sim_price_gas^e_dem_gas_com)*(sim_price_oil^e_gas_com_oil)*(sim_price_ele^e_gas_com_ele)+(1-g_dem_gas_com)*OFFSET(sim_dem_gas_com,-1,0))*display</f>
        <v>3.1796190000000002</v>
      </c>
      <c r="E11" s="30">
        <f t="array" ref="E11:E84" ca="1">(a_gas_ind*(sim_price_gas^e_dem_gas_ind)*(sim_price_oil^e_gas_ind_oil)*(sim_price_coa^e_gas_ind_coa)*(sim_price_ele^e_gas_ind_ele)+(1-g_dem_gas_ind)*OFFSET(sim_dem_gas_ind,-1,0))*display</f>
        <v>9.9336850000000005</v>
      </c>
      <c r="F11" s="30">
        <f t="array" ref="F11:F84" ca="1">(a_gas_tra*(sim_price_gas^e_dem_gas_tra)*(sim_price_oil^e_gas_tra_oil)*(sim_price_ele^e_gas_tra_ele)+(1-g_dem_gas_tra)*OFFSET(sim_dem_gas_tra,-1,0))*display</f>
        <v>1.087062</v>
      </c>
      <c r="G11" s="30">
        <f t="array" aca="1" ref="G11:G84" ca="1">(k_gas_ele*sim_sup_ele_gas)*display</f>
        <v>11.910896999999999</v>
      </c>
      <c r="H11" s="64">
        <f t="array" ref="H11:H84" ca="1">(a_gas_exp*sim_price_gas^e_dem_gas_exp+(1-g_dem_gas_exp)*OFFSET(sim_dem_gas_exp,-1,0))*display</f>
        <v>5.2809660000000003</v>
      </c>
      <c r="I11" s="65">
        <f t="array" aca="1" ref="I11:I84" ca="1">(sim_dem_gas_res+sim_dem_gas_com+sim_dem_gas_ind+sim_dem_gas_tra+sim_dem_gas_ele+sim_dem_gas_exp)*display</f>
        <v>36.084783000000002</v>
      </c>
    </row>
    <row r="12" spans="1:9" ht="15" customHeight="1">
      <c r="B12" s="22">
        <f>'Oil supply projection'!$B12</f>
        <v>2021</v>
      </c>
      <c r="C12" s="30">
        <f ca="1"/>
        <v>4.7162030000000001</v>
      </c>
      <c r="D12" s="30">
        <f ca="1"/>
        <v>3.298216</v>
      </c>
      <c r="E12" s="30">
        <f ca="1"/>
        <v>10.196525000000001</v>
      </c>
      <c r="F12" s="30">
        <f ca="1"/>
        <v>1.2265809999999999</v>
      </c>
      <c r="G12" s="30">
        <f ca="1"/>
        <v>11.510985</v>
      </c>
      <c r="H12" s="64">
        <f ca="1"/>
        <v>6.6512359999999999</v>
      </c>
      <c r="I12" s="65">
        <f ca="1"/>
        <v>37.599745999999996</v>
      </c>
    </row>
    <row r="13" spans="1:9" ht="15" customHeight="1">
      <c r="B13" s="22">
        <f>'Oil supply projection'!$B13</f>
        <v>2022</v>
      </c>
      <c r="C13" s="30">
        <f ca="1"/>
        <v>4.9561029999999997</v>
      </c>
      <c r="D13" s="30">
        <f ca="1"/>
        <v>3.4674529999999999</v>
      </c>
      <c r="E13" s="30">
        <f ca="1"/>
        <v>10.48014</v>
      </c>
      <c r="F13" s="30">
        <f ca="1"/>
        <v>1.2981180000000001</v>
      </c>
      <c r="G13" s="30">
        <f ca="1"/>
        <v>12.145529</v>
      </c>
      <c r="H13" s="64">
        <f ca="1"/>
        <v>7.0931769999999998</v>
      </c>
      <c r="I13" s="65">
        <f ca="1"/>
        <v>39.440519999999992</v>
      </c>
    </row>
    <row r="14" spans="1:9" ht="15" customHeight="1">
      <c r="B14" s="22">
        <f>'Oil supply projection'!$B14</f>
        <v>2023</v>
      </c>
      <c r="C14" s="30">
        <f ca="1"/>
        <v>4.9917720000000001</v>
      </c>
      <c r="D14" s="30">
        <f ca="1"/>
        <v>3.4746320000000002</v>
      </c>
      <c r="E14" s="30">
        <f ca="1"/>
        <v>10.226868</v>
      </c>
      <c r="F14" s="30">
        <f ca="1"/>
        <v>1.267272</v>
      </c>
      <c r="G14" s="30">
        <f ca="1"/>
        <v>11.458883</v>
      </c>
      <c r="H14" s="64">
        <f ca="1"/>
        <v>7.8750159999999996</v>
      </c>
      <c r="I14" s="65">
        <f ca="1"/>
        <v>39.294443000000001</v>
      </c>
    </row>
    <row r="15" spans="1:9" ht="15" customHeight="1">
      <c r="B15" s="22">
        <f>'Oil supply projection'!$B15</f>
        <v>2024</v>
      </c>
      <c r="C15" s="30">
        <f ca="1"/>
        <v>4.7589079999999999</v>
      </c>
      <c r="D15" s="30">
        <f ca="1"/>
        <v>3.3712659999999999</v>
      </c>
      <c r="E15" s="30">
        <f ca="1"/>
        <v>10.130940000000001</v>
      </c>
      <c r="F15" s="30">
        <f ca="1"/>
        <v>1.2242999999999999</v>
      </c>
      <c r="G15" s="30">
        <f ca="1"/>
        <v>10.676357000000001</v>
      </c>
      <c r="H15" s="64">
        <f ca="1"/>
        <v>7.8725769999999997</v>
      </c>
      <c r="I15" s="65">
        <f ca="1"/>
        <v>38.034348000000001</v>
      </c>
    </row>
    <row r="16" spans="1:9" ht="15" customHeight="1">
      <c r="B16" s="22">
        <f>'Oil supply projection'!$B16</f>
        <v>2025</v>
      </c>
      <c r="C16" s="30">
        <f ca="1"/>
        <v>4.78721</v>
      </c>
      <c r="D16" s="30">
        <f ca="1"/>
        <v>3.4081030000000001</v>
      </c>
      <c r="E16" s="30">
        <f ca="1"/>
        <v>10.257669</v>
      </c>
      <c r="F16" s="30">
        <f ca="1"/>
        <v>1.2113780000000001</v>
      </c>
      <c r="G16" s="30">
        <f ca="1"/>
        <v>10.129159000000001</v>
      </c>
      <c r="H16" s="64">
        <f ca="1"/>
        <v>8.2602729999999998</v>
      </c>
      <c r="I16" s="65">
        <f ca="1"/>
        <v>38.053792000000001</v>
      </c>
    </row>
    <row r="17" spans="1:9" ht="15" customHeight="1">
      <c r="B17" s="22">
        <f>'Oil supply projection'!$B17</f>
        <v>2026</v>
      </c>
      <c r="C17" s="30">
        <f ca="1"/>
        <v>4.8120580000000004</v>
      </c>
      <c r="D17" s="30">
        <f ca="1"/>
        <v>3.4442599999999999</v>
      </c>
      <c r="E17" s="30">
        <f ca="1"/>
        <v>10.484219</v>
      </c>
      <c r="F17" s="30">
        <f ca="1"/>
        <v>1.228666</v>
      </c>
      <c r="G17" s="30">
        <f ca="1"/>
        <v>9.650112</v>
      </c>
      <c r="H17" s="64">
        <f ca="1"/>
        <v>8.7615870000000005</v>
      </c>
      <c r="I17" s="65">
        <f ca="1"/>
        <v>38.380901999999999</v>
      </c>
    </row>
    <row r="18" spans="1:9" ht="15" customHeight="1">
      <c r="B18" s="22">
        <f>'Oil supply projection'!$B18</f>
        <v>2027</v>
      </c>
      <c r="C18" s="30">
        <f ca="1"/>
        <v>4.8273910000000004</v>
      </c>
      <c r="D18" s="30">
        <f ca="1"/>
        <v>3.4628320000000001</v>
      </c>
      <c r="E18" s="30">
        <f ca="1"/>
        <v>10.595478999999999</v>
      </c>
      <c r="F18" s="30">
        <f ca="1"/>
        <v>1.2185900000000001</v>
      </c>
      <c r="G18" s="30">
        <f ca="1"/>
        <v>8.9454790000000006</v>
      </c>
      <c r="H18" s="64">
        <f ca="1"/>
        <v>9.1787880000000008</v>
      </c>
      <c r="I18" s="65">
        <f ca="1"/>
        <v>38.228559000000004</v>
      </c>
    </row>
    <row r="19" spans="1:9" ht="15" customHeight="1">
      <c r="B19" s="22">
        <f>'Oil supply projection'!$B19</f>
        <v>2028</v>
      </c>
      <c r="C19" s="30">
        <f ca="1"/>
        <v>4.8348810000000002</v>
      </c>
      <c r="D19" s="30">
        <f ca="1"/>
        <v>3.49003</v>
      </c>
      <c r="E19" s="30">
        <f ca="1"/>
        <v>10.667993000000001</v>
      </c>
      <c r="F19" s="30">
        <f ca="1"/>
        <v>1.209457</v>
      </c>
      <c r="G19" s="30">
        <f ca="1"/>
        <v>8.5094349999999999</v>
      </c>
      <c r="H19" s="64">
        <f ca="1"/>
        <v>9.5783869999999993</v>
      </c>
      <c r="I19" s="65">
        <f ca="1"/>
        <v>38.290182999999999</v>
      </c>
    </row>
    <row r="20" spans="1:9" ht="15" customHeight="1">
      <c r="B20" s="22">
        <f>'Oil supply projection'!$B20</f>
        <v>2029</v>
      </c>
      <c r="C20" s="30">
        <f ca="1"/>
        <v>4.8310810000000002</v>
      </c>
      <c r="D20" s="30">
        <f ca="1"/>
        <v>3.5065210000000002</v>
      </c>
      <c r="E20" s="30">
        <f ca="1"/>
        <v>10.710864999999998</v>
      </c>
      <c r="F20" s="30">
        <f ca="1"/>
        <v>1.2334369999999999</v>
      </c>
      <c r="G20" s="30">
        <f ca="1"/>
        <v>8.0498940000000001</v>
      </c>
      <c r="H20" s="64">
        <f ca="1"/>
        <v>9.9348559999999999</v>
      </c>
      <c r="I20" s="65">
        <f ca="1"/>
        <v>38.266654000000003</v>
      </c>
    </row>
    <row r="21" spans="1:9" ht="15" customHeight="1">
      <c r="A21" s="17"/>
      <c r="B21" s="22">
        <f>'Oil supply projection'!$B21</f>
        <v>2030</v>
      </c>
      <c r="C21" s="30">
        <f ca="1"/>
        <v>4.8207785387986615</v>
      </c>
      <c r="D21" s="30">
        <f ca="1"/>
        <v>3.5177523401178918</v>
      </c>
      <c r="E21" s="30">
        <f ca="1"/>
        <v>10.737933743712718</v>
      </c>
      <c r="F21" s="30">
        <f ca="1"/>
        <v>1.2820655983784095</v>
      </c>
      <c r="G21" s="30">
        <f ca="1"/>
        <v>7.6977942431320514</v>
      </c>
      <c r="H21" s="64">
        <f ca="1"/>
        <v>10.576905499309174</v>
      </c>
      <c r="I21" s="65">
        <f ca="1"/>
        <v>38.633229963448912</v>
      </c>
    </row>
    <row r="22" spans="1:9" ht="15" customHeight="1">
      <c r="A22" s="17"/>
      <c r="B22" s="22">
        <f>'Oil supply projection'!$B22</f>
        <v>2031</v>
      </c>
      <c r="C22" s="30">
        <f ca="1"/>
        <v>4.8056081866209706</v>
      </c>
      <c r="D22" s="30">
        <f ca="1"/>
        <v>3.5272867654588724</v>
      </c>
      <c r="E22" s="30">
        <f ca="1"/>
        <v>10.766981905029814</v>
      </c>
      <c r="F22" s="30">
        <f ca="1"/>
        <v>1.3337616206130765</v>
      </c>
      <c r="G22" s="30">
        <f ca="1"/>
        <v>7.4461468750802577</v>
      </c>
      <c r="H22" s="64">
        <f ca="1"/>
        <v>11.272266238203683</v>
      </c>
      <c r="I22" s="65">
        <f ca="1"/>
        <v>39.152051591006675</v>
      </c>
    </row>
    <row r="23" spans="1:9" ht="15" customHeight="1">
      <c r="A23" s="17"/>
      <c r="B23" s="22">
        <f>'Oil supply projection'!$B23</f>
        <v>2032</v>
      </c>
      <c r="C23" s="30">
        <f ca="1"/>
        <v>4.7888697867096779</v>
      </c>
      <c r="D23" s="30">
        <f ca="1"/>
        <v>3.5326895860669549</v>
      </c>
      <c r="E23" s="30">
        <f ca="1"/>
        <v>10.846562985566541</v>
      </c>
      <c r="F23" s="30">
        <f ca="1"/>
        <v>1.3934287093537197</v>
      </c>
      <c r="G23" s="30">
        <f ca="1"/>
        <v>7.3529294610274079</v>
      </c>
      <c r="H23" s="64">
        <f ca="1"/>
        <v>11.959468054163018</v>
      </c>
      <c r="I23" s="65">
        <f ca="1"/>
        <v>39.873948582887323</v>
      </c>
    </row>
    <row r="24" spans="1:9" ht="15" customHeight="1">
      <c r="A24" s="17"/>
      <c r="B24" s="22">
        <f>'Oil supply projection'!$B24</f>
        <v>2033</v>
      </c>
      <c r="C24" s="30">
        <f ca="1"/>
        <v>4.7810868425626465</v>
      </c>
      <c r="D24" s="30">
        <f ca="1"/>
        <v>3.533309252451903</v>
      </c>
      <c r="E24" s="30">
        <f ca="1"/>
        <v>10.888876897300994</v>
      </c>
      <c r="F24" s="30">
        <f ca="1"/>
        <v>1.4497961063116158</v>
      </c>
      <c r="G24" s="30">
        <f ca="1"/>
        <v>7.1172804132215211</v>
      </c>
      <c r="H24" s="64">
        <f ca="1"/>
        <v>12.632260828141538</v>
      </c>
      <c r="I24" s="65">
        <f ca="1"/>
        <v>40.402610339990218</v>
      </c>
    </row>
    <row r="25" spans="1:9" ht="15" customHeight="1">
      <c r="A25" s="17"/>
      <c r="B25" s="22">
        <f>'Oil supply projection'!$B25</f>
        <v>2034</v>
      </c>
      <c r="C25" s="30">
        <f ca="1"/>
        <v>4.7701508020517895</v>
      </c>
      <c r="D25" s="30">
        <f ca="1"/>
        <v>3.5312213406557644</v>
      </c>
      <c r="E25" s="30">
        <f ca="1"/>
        <v>10.944733901358148</v>
      </c>
      <c r="F25" s="30">
        <f ca="1"/>
        <v>1.4972273174536339</v>
      </c>
      <c r="G25" s="30">
        <f ca="1"/>
        <v>6.9296305498525586</v>
      </c>
      <c r="H25" s="64">
        <f ca="1"/>
        <v>13.203130528443481</v>
      </c>
      <c r="I25" s="65">
        <f ca="1"/>
        <v>40.876094439815375</v>
      </c>
    </row>
    <row r="26" spans="1:9" ht="15" customHeight="1">
      <c r="A26" s="17"/>
      <c r="B26" s="22">
        <f>'Oil supply projection'!$B26</f>
        <v>2035</v>
      </c>
      <c r="C26" s="30">
        <f ca="1"/>
        <v>4.7601263697773275</v>
      </c>
      <c r="D26" s="30">
        <f ca="1"/>
        <v>3.5277567235810858</v>
      </c>
      <c r="E26" s="30">
        <f ca="1"/>
        <v>11.001682205935643</v>
      </c>
      <c r="F26" s="30">
        <f ca="1"/>
        <v>1.525474143927211</v>
      </c>
      <c r="G26" s="30">
        <f ca="1"/>
        <v>6.9289970876646754</v>
      </c>
      <c r="H26" s="64">
        <f ca="1"/>
        <v>13.595001626874293</v>
      </c>
      <c r="I26" s="65">
        <f ca="1"/>
        <v>41.339038157760235</v>
      </c>
    </row>
    <row r="27" spans="1:9" ht="15" customHeight="1">
      <c r="A27" s="17"/>
      <c r="B27" s="22">
        <f>'Oil supply projection'!$B27</f>
        <v>2036</v>
      </c>
      <c r="C27" s="30">
        <f ca="1"/>
        <v>4.7527410540731427</v>
      </c>
      <c r="D27" s="30">
        <f ca="1"/>
        <v>3.5257196465999421</v>
      </c>
      <c r="E27" s="30">
        <f ca="1"/>
        <v>11.084705953484853</v>
      </c>
      <c r="F27" s="30">
        <f ca="1"/>
        <v>1.5486881498316551</v>
      </c>
      <c r="G27" s="30">
        <f ca="1"/>
        <v>6.873838205410209</v>
      </c>
      <c r="H27" s="64">
        <f ca="1"/>
        <v>13.848668877649294</v>
      </c>
      <c r="I27" s="65">
        <f ca="1"/>
        <v>41.634361887049096</v>
      </c>
    </row>
    <row r="28" spans="1:9" ht="15" customHeight="1">
      <c r="A28" s="19"/>
      <c r="B28" s="22">
        <f>'Oil supply projection'!$B28</f>
        <v>2037</v>
      </c>
      <c r="C28" s="30">
        <f ca="1"/>
        <v>4.7463648966303547</v>
      </c>
      <c r="D28" s="30">
        <f ca="1"/>
        <v>3.5222616289806519</v>
      </c>
      <c r="E28" s="30">
        <f ca="1"/>
        <v>11.136793706280255</v>
      </c>
      <c r="F28" s="30">
        <f ca="1"/>
        <v>1.5704925184690632</v>
      </c>
      <c r="G28" s="30">
        <f ca="1"/>
        <v>6.9702483230421652</v>
      </c>
      <c r="H28" s="64">
        <f ca="1"/>
        <v>14.060242854371296</v>
      </c>
      <c r="I28" s="65">
        <f ca="1"/>
        <v>42.006403927773789</v>
      </c>
    </row>
    <row r="29" spans="1:9" ht="15" customHeight="1">
      <c r="A29" s="17"/>
      <c r="B29" s="22">
        <f>'Oil supply projection'!$B29</f>
        <v>2038</v>
      </c>
      <c r="C29" s="30">
        <f ca="1"/>
        <v>4.738347190682342</v>
      </c>
      <c r="D29" s="30">
        <f ca="1"/>
        <v>3.5141193542579376</v>
      </c>
      <c r="E29" s="30">
        <f ca="1"/>
        <v>11.181379423930625</v>
      </c>
      <c r="F29" s="30">
        <f ca="1"/>
        <v>1.5871244775843536</v>
      </c>
      <c r="G29" s="30">
        <f ca="1"/>
        <v>7.0904202833092009</v>
      </c>
      <c r="H29" s="64">
        <f ca="1"/>
        <v>14.17295471093569</v>
      </c>
      <c r="I29" s="65">
        <f ca="1"/>
        <v>42.28434544070015</v>
      </c>
    </row>
    <row r="30" spans="1:9" ht="15" customHeight="1">
      <c r="A30" s="17"/>
      <c r="B30" s="22">
        <f>'Oil supply projection'!$B30</f>
        <v>2039</v>
      </c>
      <c r="C30" s="30">
        <f ca="1"/>
        <v>4.7326495867255831</v>
      </c>
      <c r="D30" s="30">
        <f ca="1"/>
        <v>3.5073376250397095</v>
      </c>
      <c r="E30" s="30">
        <f ca="1"/>
        <v>11.258947732619973</v>
      </c>
      <c r="F30" s="30">
        <f ca="1"/>
        <v>1.5932837854128106</v>
      </c>
      <c r="G30" s="30">
        <f ca="1"/>
        <v>7.1226551884114064</v>
      </c>
      <c r="H30" s="64">
        <f ca="1"/>
        <v>14.203821730202305</v>
      </c>
      <c r="I30" s="65">
        <f ca="1"/>
        <v>42.418695648411791</v>
      </c>
    </row>
    <row r="31" spans="1:9" ht="15" customHeight="1">
      <c r="A31" s="17"/>
      <c r="B31" s="22">
        <f>'Oil supply projection'!$B31</f>
        <v>2040</v>
      </c>
      <c r="C31" s="30">
        <f ca="1"/>
        <v>4.7282820437269404</v>
      </c>
      <c r="D31" s="30">
        <f ca="1"/>
        <v>3.4993854277252652</v>
      </c>
      <c r="E31" s="30">
        <f ca="1"/>
        <v>11.308213987773344</v>
      </c>
      <c r="F31" s="30">
        <f ca="1"/>
        <v>1.6107054825657496</v>
      </c>
      <c r="G31" s="30">
        <f ca="1"/>
        <v>7.2363387534843593</v>
      </c>
      <c r="H31" s="64">
        <f ca="1"/>
        <v>14.228515652969522</v>
      </c>
      <c r="I31" s="65">
        <f ca="1"/>
        <v>42.611441348245179</v>
      </c>
    </row>
    <row r="32" spans="1:9" ht="15" customHeight="1">
      <c r="A32" s="17"/>
      <c r="B32" s="22">
        <f>'Oil supply projection'!$B32</f>
        <v>2041</v>
      </c>
      <c r="C32" s="30">
        <f ca="1"/>
        <v>4.7237851048816859</v>
      </c>
      <c r="D32" s="30">
        <f ca="1"/>
        <v>3.4906465235985329</v>
      </c>
      <c r="E32" s="30">
        <f ca="1"/>
        <v>11.366829837657834</v>
      </c>
      <c r="F32" s="30">
        <f ca="1"/>
        <v>1.6234096788530943</v>
      </c>
      <c r="G32" s="30">
        <f ca="1"/>
        <v>7.2906463713478189</v>
      </c>
      <c r="H32" s="64">
        <f ca="1"/>
        <v>14.219709849728181</v>
      </c>
      <c r="I32" s="65">
        <f ca="1"/>
        <v>42.715027366067147</v>
      </c>
    </row>
    <row r="33" spans="1:9" ht="15" customHeight="1">
      <c r="A33" s="17"/>
      <c r="B33" s="22">
        <f>'Oil supply projection'!$B33</f>
        <v>2042</v>
      </c>
      <c r="C33" s="30">
        <f ca="1"/>
        <v>4.7197278170944275</v>
      </c>
      <c r="D33" s="30">
        <f ca="1"/>
        <v>3.4826044453674956</v>
      </c>
      <c r="E33" s="30">
        <f ca="1"/>
        <v>11.427439249688103</v>
      </c>
      <c r="F33" s="30">
        <f ca="1"/>
        <v>1.6380163625918633</v>
      </c>
      <c r="G33" s="30">
        <f ca="1"/>
        <v>7.3323342950355768</v>
      </c>
      <c r="H33" s="64">
        <f ca="1"/>
        <v>14.226949303368798</v>
      </c>
      <c r="I33" s="65">
        <f ca="1"/>
        <v>42.827071473146262</v>
      </c>
    </row>
    <row r="34" spans="1:9" ht="15" customHeight="1">
      <c r="A34" s="17"/>
      <c r="B34" s="22">
        <f>'Oil supply projection'!$B34</f>
        <v>2043</v>
      </c>
      <c r="C34" s="30">
        <f ca="1"/>
        <v>4.7179952565961738</v>
      </c>
      <c r="D34" s="30">
        <f ca="1"/>
        <v>3.4778142080817736</v>
      </c>
      <c r="E34" s="30">
        <f ca="1"/>
        <v>11.505940792645447</v>
      </c>
      <c r="F34" s="30">
        <f ca="1"/>
        <v>1.6528965806121843</v>
      </c>
      <c r="G34" s="30">
        <f ca="1"/>
        <v>7.424750881386303</v>
      </c>
      <c r="H34" s="64">
        <f ca="1"/>
        <v>14.235623035210955</v>
      </c>
      <c r="I34" s="65">
        <f ca="1"/>
        <v>43.015020754532834</v>
      </c>
    </row>
    <row r="35" spans="1:9" ht="15" customHeight="1">
      <c r="A35" s="17"/>
      <c r="B35" s="22">
        <f>'Oil supply projection'!$B35</f>
        <v>2044</v>
      </c>
      <c r="C35" s="30">
        <f ca="1"/>
        <v>4.718627008969988</v>
      </c>
      <c r="D35" s="30">
        <f ca="1"/>
        <v>3.476367078395</v>
      </c>
      <c r="E35" s="30">
        <f ca="1"/>
        <v>11.553119822047753</v>
      </c>
      <c r="F35" s="30">
        <f ca="1"/>
        <v>1.6710278803941991</v>
      </c>
      <c r="G35" s="30">
        <f ca="1"/>
        <v>7.4427172637083894</v>
      </c>
      <c r="H35" s="64">
        <f ca="1"/>
        <v>14.278878435428567</v>
      </c>
      <c r="I35" s="65">
        <f ca="1"/>
        <v>43.140737488943898</v>
      </c>
    </row>
    <row r="36" spans="1:9" ht="15" customHeight="1">
      <c r="A36" s="17"/>
      <c r="B36" s="22">
        <f>'Oil supply projection'!$B36</f>
        <v>2045</v>
      </c>
      <c r="C36" s="30" t="e">
        <f ca="1"/>
        <v>#DIV/0!</v>
      </c>
      <c r="D36" s="30" t="e">
        <f ca="1"/>
        <v>#DIV/0!</v>
      </c>
      <c r="E36" s="30" t="e">
        <f ca="1"/>
        <v>#DIV/0!</v>
      </c>
      <c r="F36" s="30" t="e">
        <f ca="1"/>
        <v>#DIV/0!</v>
      </c>
      <c r="G36" s="30" t="e">
        <f ca="1"/>
        <v>#DIV/0!</v>
      </c>
      <c r="H36" s="64" t="e">
        <f ca="1"/>
        <v>#DIV/0!</v>
      </c>
      <c r="I36" s="65" t="e">
        <f ca="1"/>
        <v>#DIV/0!</v>
      </c>
    </row>
    <row r="37" spans="1:9" ht="15" customHeight="1">
      <c r="A37" s="17"/>
      <c r="B37" s="22">
        <f>'Oil supply projection'!$B37</f>
        <v>2046</v>
      </c>
      <c r="C37" s="30" t="e">
        <f ca="1"/>
        <v>#DIV/0!</v>
      </c>
      <c r="D37" s="30" t="e">
        <f ca="1"/>
        <v>#DIV/0!</v>
      </c>
      <c r="E37" s="30" t="e">
        <f ca="1"/>
        <v>#DIV/0!</v>
      </c>
      <c r="F37" s="30" t="e">
        <f ca="1"/>
        <v>#DIV/0!</v>
      </c>
      <c r="G37" s="30" t="e">
        <f ca="1"/>
        <v>#DIV/0!</v>
      </c>
      <c r="H37" s="64" t="e">
        <f ca="1"/>
        <v>#DIV/0!</v>
      </c>
      <c r="I37" s="65" t="e">
        <f ca="1"/>
        <v>#DIV/0!</v>
      </c>
    </row>
    <row r="38" spans="1:9" ht="15" customHeight="1">
      <c r="A38" s="17"/>
      <c r="B38" s="22">
        <f>'Oil supply projection'!$B38</f>
        <v>2047</v>
      </c>
      <c r="C38" s="30" t="e">
        <f ca="1"/>
        <v>#DIV/0!</v>
      </c>
      <c r="D38" s="30" t="e">
        <f ca="1"/>
        <v>#DIV/0!</v>
      </c>
      <c r="E38" s="30" t="e">
        <f ca="1"/>
        <v>#DIV/0!</v>
      </c>
      <c r="F38" s="30" t="e">
        <f ca="1"/>
        <v>#DIV/0!</v>
      </c>
      <c r="G38" s="30" t="e">
        <f ca="1"/>
        <v>#DIV/0!</v>
      </c>
      <c r="H38" s="64" t="e">
        <f ca="1"/>
        <v>#DIV/0!</v>
      </c>
      <c r="I38" s="65" t="e">
        <f ca="1"/>
        <v>#DIV/0!</v>
      </c>
    </row>
    <row r="39" spans="1:9" ht="15" customHeight="1">
      <c r="A39" s="19"/>
      <c r="B39" s="22">
        <f>'Oil supply projection'!$B39</f>
        <v>2048</v>
      </c>
      <c r="C39" s="30" t="e">
        <f ca="1"/>
        <v>#DIV/0!</v>
      </c>
      <c r="D39" s="30" t="e">
        <f ca="1"/>
        <v>#DIV/0!</v>
      </c>
      <c r="E39" s="30" t="e">
        <f ca="1"/>
        <v>#DIV/0!</v>
      </c>
      <c r="F39" s="30" t="e">
        <f ca="1"/>
        <v>#DIV/0!</v>
      </c>
      <c r="G39" s="30" t="e">
        <f ca="1"/>
        <v>#DIV/0!</v>
      </c>
      <c r="H39" s="64" t="e">
        <f ca="1"/>
        <v>#DIV/0!</v>
      </c>
      <c r="I39" s="65" t="e">
        <f ca="1"/>
        <v>#DIV/0!</v>
      </c>
    </row>
    <row r="40" spans="1:9" ht="15" customHeight="1">
      <c r="A40" s="17"/>
      <c r="B40" s="22">
        <f>'Oil supply projection'!$B40</f>
        <v>2049</v>
      </c>
      <c r="C40" s="30" t="e">
        <f ca="1"/>
        <v>#DIV/0!</v>
      </c>
      <c r="D40" s="30" t="e">
        <f ca="1"/>
        <v>#DIV/0!</v>
      </c>
      <c r="E40" s="30" t="e">
        <f ca="1"/>
        <v>#DIV/0!</v>
      </c>
      <c r="F40" s="30" t="e">
        <f ca="1"/>
        <v>#DIV/0!</v>
      </c>
      <c r="G40" s="30" t="e">
        <f ca="1"/>
        <v>#DIV/0!</v>
      </c>
      <c r="H40" s="64" t="e">
        <f ca="1"/>
        <v>#DIV/0!</v>
      </c>
      <c r="I40" s="65" t="e">
        <f ca="1"/>
        <v>#DIV/0!</v>
      </c>
    </row>
    <row r="41" spans="1:9" ht="15" customHeight="1">
      <c r="A41" s="17"/>
      <c r="B41" s="22">
        <f>'Oil supply projection'!$B41</f>
        <v>2050</v>
      </c>
      <c r="C41" s="30" t="e">
        <f ca="1"/>
        <v>#DIV/0!</v>
      </c>
      <c r="D41" s="30" t="e">
        <f ca="1"/>
        <v>#DIV/0!</v>
      </c>
      <c r="E41" s="30" t="e">
        <f ca="1"/>
        <v>#DIV/0!</v>
      </c>
      <c r="F41" s="30" t="e">
        <f ca="1"/>
        <v>#DIV/0!</v>
      </c>
      <c r="G41" s="30" t="e">
        <f ca="1"/>
        <v>#DIV/0!</v>
      </c>
      <c r="H41" s="64" t="e">
        <f ca="1"/>
        <v>#DIV/0!</v>
      </c>
      <c r="I41" s="65" t="e">
        <f ca="1"/>
        <v>#DIV/0!</v>
      </c>
    </row>
    <row r="42" spans="1:9" ht="15" customHeight="1">
      <c r="A42" s="17"/>
      <c r="B42" s="22">
        <f>'Oil supply projection'!$B42</f>
        <v>2051</v>
      </c>
      <c r="C42" s="30" t="e">
        <f ca="1"/>
        <v>#DIV/0!</v>
      </c>
      <c r="D42" s="30" t="e">
        <f ca="1"/>
        <v>#DIV/0!</v>
      </c>
      <c r="E42" s="30" t="e">
        <f ca="1"/>
        <v>#DIV/0!</v>
      </c>
      <c r="F42" s="30" t="e">
        <f ca="1"/>
        <v>#DIV/0!</v>
      </c>
      <c r="G42" s="30" t="e">
        <f ca="1"/>
        <v>#DIV/0!</v>
      </c>
      <c r="H42" s="64" t="e">
        <f ca="1"/>
        <v>#DIV/0!</v>
      </c>
      <c r="I42" s="65" t="e">
        <f ca="1"/>
        <v>#DIV/0!</v>
      </c>
    </row>
    <row r="43" spans="1:9" ht="15" customHeight="1">
      <c r="A43" s="17"/>
      <c r="B43" s="22">
        <f>'Oil supply projection'!$B43</f>
        <v>2052</v>
      </c>
      <c r="C43" s="30" t="e">
        <f ca="1"/>
        <v>#DIV/0!</v>
      </c>
      <c r="D43" s="30" t="e">
        <f ca="1"/>
        <v>#DIV/0!</v>
      </c>
      <c r="E43" s="30" t="e">
        <f ca="1"/>
        <v>#DIV/0!</v>
      </c>
      <c r="F43" s="30" t="e">
        <f ca="1"/>
        <v>#DIV/0!</v>
      </c>
      <c r="G43" s="30" t="e">
        <f ca="1"/>
        <v>#DIV/0!</v>
      </c>
      <c r="H43" s="64" t="e">
        <f ca="1"/>
        <v>#DIV/0!</v>
      </c>
      <c r="I43" s="65" t="e">
        <f ca="1"/>
        <v>#DIV/0!</v>
      </c>
    </row>
    <row r="44" spans="1:9" ht="15" customHeight="1">
      <c r="A44" s="17"/>
      <c r="B44" s="22">
        <f>'Oil supply projection'!$B44</f>
        <v>2053</v>
      </c>
      <c r="C44" s="30" t="e">
        <f ca="1"/>
        <v>#DIV/0!</v>
      </c>
      <c r="D44" s="30" t="e">
        <f ca="1"/>
        <v>#DIV/0!</v>
      </c>
      <c r="E44" s="30" t="e">
        <f ca="1"/>
        <v>#DIV/0!</v>
      </c>
      <c r="F44" s="30" t="e">
        <f ca="1"/>
        <v>#DIV/0!</v>
      </c>
      <c r="G44" s="30" t="e">
        <f ca="1"/>
        <v>#DIV/0!</v>
      </c>
      <c r="H44" s="64" t="e">
        <f ca="1"/>
        <v>#DIV/0!</v>
      </c>
      <c r="I44" s="65" t="e">
        <f ca="1"/>
        <v>#DIV/0!</v>
      </c>
    </row>
    <row r="45" spans="1:9" ht="15" customHeight="1">
      <c r="A45" s="17"/>
      <c r="B45" s="22">
        <f>'Oil supply projection'!$B45</f>
        <v>2054</v>
      </c>
      <c r="C45" s="30" t="e">
        <f ca="1"/>
        <v>#DIV/0!</v>
      </c>
      <c r="D45" s="30" t="e">
        <f ca="1"/>
        <v>#DIV/0!</v>
      </c>
      <c r="E45" s="30" t="e">
        <f ca="1"/>
        <v>#DIV/0!</v>
      </c>
      <c r="F45" s="30" t="e">
        <f ca="1"/>
        <v>#DIV/0!</v>
      </c>
      <c r="G45" s="30" t="e">
        <f ca="1"/>
        <v>#DIV/0!</v>
      </c>
      <c r="H45" s="64" t="e">
        <f ca="1"/>
        <v>#DIV/0!</v>
      </c>
      <c r="I45" s="65" t="e">
        <f ca="1"/>
        <v>#DIV/0!</v>
      </c>
    </row>
    <row r="46" spans="1:9" ht="15" customHeight="1">
      <c r="A46" s="17"/>
      <c r="B46" s="22">
        <f>'Oil supply projection'!$B46</f>
        <v>2055</v>
      </c>
      <c r="C46" s="30" t="e">
        <f ca="1"/>
        <v>#DIV/0!</v>
      </c>
      <c r="D46" s="30" t="e">
        <f ca="1"/>
        <v>#DIV/0!</v>
      </c>
      <c r="E46" s="30" t="e">
        <f ca="1"/>
        <v>#DIV/0!</v>
      </c>
      <c r="F46" s="30" t="e">
        <f ca="1"/>
        <v>#DIV/0!</v>
      </c>
      <c r="G46" s="30" t="e">
        <f ca="1"/>
        <v>#DIV/0!</v>
      </c>
      <c r="H46" s="64" t="e">
        <f ca="1"/>
        <v>#DIV/0!</v>
      </c>
      <c r="I46" s="65" t="e">
        <f ca="1"/>
        <v>#DIV/0!</v>
      </c>
    </row>
    <row r="47" spans="1:9" ht="15" customHeight="1">
      <c r="A47" s="17"/>
      <c r="B47" s="22">
        <f>'Oil supply projection'!$B47</f>
        <v>2056</v>
      </c>
      <c r="C47" s="30" t="e">
        <f ca="1"/>
        <v>#DIV/0!</v>
      </c>
      <c r="D47" s="30" t="e">
        <f ca="1"/>
        <v>#DIV/0!</v>
      </c>
      <c r="E47" s="30" t="e">
        <f ca="1"/>
        <v>#DIV/0!</v>
      </c>
      <c r="F47" s="30" t="e">
        <f ca="1"/>
        <v>#DIV/0!</v>
      </c>
      <c r="G47" s="30" t="e">
        <f ca="1"/>
        <v>#DIV/0!</v>
      </c>
      <c r="H47" s="64" t="e">
        <f ca="1"/>
        <v>#DIV/0!</v>
      </c>
      <c r="I47" s="65" t="e">
        <f ca="1"/>
        <v>#DIV/0!</v>
      </c>
    </row>
    <row r="48" spans="1:9" ht="15" customHeight="1">
      <c r="A48" s="17"/>
      <c r="B48" s="22">
        <f>'Oil supply projection'!$B48</f>
        <v>2057</v>
      </c>
      <c r="C48" s="30" t="e">
        <f ca="1"/>
        <v>#DIV/0!</v>
      </c>
      <c r="D48" s="30" t="e">
        <f ca="1"/>
        <v>#DIV/0!</v>
      </c>
      <c r="E48" s="30" t="e">
        <f ca="1"/>
        <v>#DIV/0!</v>
      </c>
      <c r="F48" s="30" t="e">
        <f ca="1"/>
        <v>#DIV/0!</v>
      </c>
      <c r="G48" s="30" t="e">
        <f ca="1"/>
        <v>#DIV/0!</v>
      </c>
      <c r="H48" s="64" t="e">
        <f ca="1"/>
        <v>#DIV/0!</v>
      </c>
      <c r="I48" s="65" t="e">
        <f ca="1"/>
        <v>#DIV/0!</v>
      </c>
    </row>
    <row r="49" spans="1:9" ht="15" customHeight="1">
      <c r="A49" s="17"/>
      <c r="B49" s="22">
        <f>'Oil supply projection'!$B49</f>
        <v>2058</v>
      </c>
      <c r="C49" s="30" t="e">
        <f ca="1"/>
        <v>#DIV/0!</v>
      </c>
      <c r="D49" s="30" t="e">
        <f ca="1"/>
        <v>#DIV/0!</v>
      </c>
      <c r="E49" s="30" t="e">
        <f ca="1"/>
        <v>#DIV/0!</v>
      </c>
      <c r="F49" s="30" t="e">
        <f ca="1"/>
        <v>#DIV/0!</v>
      </c>
      <c r="G49" s="30" t="e">
        <f ca="1"/>
        <v>#DIV/0!</v>
      </c>
      <c r="H49" s="64" t="e">
        <f ca="1"/>
        <v>#DIV/0!</v>
      </c>
      <c r="I49" s="65" t="e">
        <f ca="1"/>
        <v>#DIV/0!</v>
      </c>
    </row>
    <row r="50" spans="1:9" ht="15" customHeight="1">
      <c r="A50" s="17"/>
      <c r="B50" s="22">
        <f>'Oil supply projection'!$B50</f>
        <v>2059</v>
      </c>
      <c r="C50" s="30" t="e">
        <f ca="1"/>
        <v>#DIV/0!</v>
      </c>
      <c r="D50" s="30" t="e">
        <f ca="1"/>
        <v>#DIV/0!</v>
      </c>
      <c r="E50" s="30" t="e">
        <f ca="1"/>
        <v>#DIV/0!</v>
      </c>
      <c r="F50" s="30" t="e">
        <f ca="1"/>
        <v>#DIV/0!</v>
      </c>
      <c r="G50" s="30" t="e">
        <f ca="1"/>
        <v>#DIV/0!</v>
      </c>
      <c r="H50" s="64" t="e">
        <f ca="1"/>
        <v>#DIV/0!</v>
      </c>
      <c r="I50" s="65" t="e">
        <f ca="1"/>
        <v>#DIV/0!</v>
      </c>
    </row>
    <row r="51" spans="1:9" ht="15" customHeight="1">
      <c r="A51" s="17"/>
      <c r="B51" s="22">
        <f>'Oil supply projection'!$B51</f>
        <v>2060</v>
      </c>
      <c r="C51" s="30" t="e">
        <f ca="1"/>
        <v>#DIV/0!</v>
      </c>
      <c r="D51" s="30" t="e">
        <f ca="1"/>
        <v>#DIV/0!</v>
      </c>
      <c r="E51" s="30" t="e">
        <f ca="1"/>
        <v>#DIV/0!</v>
      </c>
      <c r="F51" s="30" t="e">
        <f ca="1"/>
        <v>#DIV/0!</v>
      </c>
      <c r="G51" s="30" t="e">
        <f ca="1"/>
        <v>#DIV/0!</v>
      </c>
      <c r="H51" s="64" t="e">
        <f ca="1"/>
        <v>#DIV/0!</v>
      </c>
      <c r="I51" s="65" t="e">
        <f ca="1"/>
        <v>#DIV/0!</v>
      </c>
    </row>
    <row r="52" spans="1:9" ht="15" customHeight="1">
      <c r="A52" s="17"/>
      <c r="B52" s="22">
        <f>'Oil supply projection'!$B52</f>
        <v>2061</v>
      </c>
      <c r="C52" s="30" t="e">
        <f ca="1"/>
        <v>#DIV/0!</v>
      </c>
      <c r="D52" s="30" t="e">
        <f ca="1"/>
        <v>#DIV/0!</v>
      </c>
      <c r="E52" s="30" t="e">
        <f ca="1"/>
        <v>#DIV/0!</v>
      </c>
      <c r="F52" s="30" t="e">
        <f ca="1"/>
        <v>#DIV/0!</v>
      </c>
      <c r="G52" s="30" t="e">
        <f ca="1"/>
        <v>#DIV/0!</v>
      </c>
      <c r="H52" s="64" t="e">
        <f ca="1"/>
        <v>#DIV/0!</v>
      </c>
      <c r="I52" s="65" t="e">
        <f ca="1"/>
        <v>#DIV/0!</v>
      </c>
    </row>
    <row r="53" spans="1:9" ht="15" customHeight="1">
      <c r="A53" s="16"/>
      <c r="B53" s="22">
        <f>'Oil supply projection'!$B53</f>
        <v>2062</v>
      </c>
      <c r="C53" s="30" t="e">
        <f ca="1"/>
        <v>#DIV/0!</v>
      </c>
      <c r="D53" s="30" t="e">
        <f ca="1"/>
        <v>#DIV/0!</v>
      </c>
      <c r="E53" s="30" t="e">
        <f ca="1"/>
        <v>#DIV/0!</v>
      </c>
      <c r="F53" s="30" t="e">
        <f ca="1"/>
        <v>#DIV/0!</v>
      </c>
      <c r="G53" s="30" t="e">
        <f ca="1"/>
        <v>#DIV/0!</v>
      </c>
      <c r="H53" s="64" t="e">
        <f ca="1"/>
        <v>#DIV/0!</v>
      </c>
      <c r="I53" s="65" t="e">
        <f ca="1"/>
        <v>#DIV/0!</v>
      </c>
    </row>
    <row r="54" spans="1:9" ht="15" customHeight="1">
      <c r="A54" s="16"/>
      <c r="B54" s="22">
        <f>'Oil supply projection'!$B54</f>
        <v>2063</v>
      </c>
      <c r="C54" s="30" t="e">
        <f ca="1"/>
        <v>#DIV/0!</v>
      </c>
      <c r="D54" s="30" t="e">
        <f ca="1"/>
        <v>#DIV/0!</v>
      </c>
      <c r="E54" s="30" t="e">
        <f ca="1"/>
        <v>#DIV/0!</v>
      </c>
      <c r="F54" s="30" t="e">
        <f ca="1"/>
        <v>#DIV/0!</v>
      </c>
      <c r="G54" s="30" t="e">
        <f ca="1"/>
        <v>#DIV/0!</v>
      </c>
      <c r="H54" s="64" t="e">
        <f ca="1"/>
        <v>#DIV/0!</v>
      </c>
      <c r="I54" s="65" t="e">
        <f ca="1"/>
        <v>#DIV/0!</v>
      </c>
    </row>
    <row r="55" spans="1:9" ht="15" customHeight="1">
      <c r="A55" s="16"/>
      <c r="B55" s="22">
        <f>'Oil supply projection'!$B55</f>
        <v>2064</v>
      </c>
      <c r="C55" s="30" t="e">
        <f ca="1"/>
        <v>#DIV/0!</v>
      </c>
      <c r="D55" s="30" t="e">
        <f ca="1"/>
        <v>#DIV/0!</v>
      </c>
      <c r="E55" s="30" t="e">
        <f ca="1"/>
        <v>#DIV/0!</v>
      </c>
      <c r="F55" s="30" t="e">
        <f ca="1"/>
        <v>#DIV/0!</v>
      </c>
      <c r="G55" s="30" t="e">
        <f ca="1"/>
        <v>#DIV/0!</v>
      </c>
      <c r="H55" s="64" t="e">
        <f ca="1"/>
        <v>#DIV/0!</v>
      </c>
      <c r="I55" s="65" t="e">
        <f ca="1"/>
        <v>#DIV/0!</v>
      </c>
    </row>
    <row r="56" spans="1:9" ht="15" customHeight="1">
      <c r="A56" s="16"/>
      <c r="B56" s="22">
        <f>'Oil supply projection'!$B56</f>
        <v>2065</v>
      </c>
      <c r="C56" s="30" t="e">
        <f ca="1"/>
        <v>#DIV/0!</v>
      </c>
      <c r="D56" s="30" t="e">
        <f ca="1"/>
        <v>#DIV/0!</v>
      </c>
      <c r="E56" s="30" t="e">
        <f ca="1"/>
        <v>#DIV/0!</v>
      </c>
      <c r="F56" s="30" t="e">
        <f ca="1"/>
        <v>#DIV/0!</v>
      </c>
      <c r="G56" s="30" t="e">
        <f ca="1"/>
        <v>#DIV/0!</v>
      </c>
      <c r="H56" s="64" t="e">
        <f ca="1"/>
        <v>#DIV/0!</v>
      </c>
      <c r="I56" s="65" t="e">
        <f ca="1"/>
        <v>#DIV/0!</v>
      </c>
    </row>
    <row r="57" spans="1:9" ht="15" customHeight="1">
      <c r="A57" s="16"/>
      <c r="B57" s="22">
        <f>'Oil supply projection'!$B57</f>
        <v>2066</v>
      </c>
      <c r="C57" s="30" t="e">
        <f ca="1"/>
        <v>#DIV/0!</v>
      </c>
      <c r="D57" s="30" t="e">
        <f ca="1"/>
        <v>#DIV/0!</v>
      </c>
      <c r="E57" s="30" t="e">
        <f ca="1"/>
        <v>#DIV/0!</v>
      </c>
      <c r="F57" s="30" t="e">
        <f ca="1"/>
        <v>#DIV/0!</v>
      </c>
      <c r="G57" s="30" t="e">
        <f ca="1"/>
        <v>#DIV/0!</v>
      </c>
      <c r="H57" s="64" t="e">
        <f ca="1"/>
        <v>#DIV/0!</v>
      </c>
      <c r="I57" s="65" t="e">
        <f ca="1"/>
        <v>#DIV/0!</v>
      </c>
    </row>
    <row r="58" spans="1:9" ht="15" customHeight="1">
      <c r="A58" s="16"/>
      <c r="B58" s="22">
        <f>'Oil supply projection'!$B58</f>
        <v>2067</v>
      </c>
      <c r="C58" s="30" t="e">
        <f ca="1"/>
        <v>#DIV/0!</v>
      </c>
      <c r="D58" s="30" t="e">
        <f ca="1"/>
        <v>#DIV/0!</v>
      </c>
      <c r="E58" s="30" t="e">
        <f ca="1"/>
        <v>#DIV/0!</v>
      </c>
      <c r="F58" s="30" t="e">
        <f ca="1"/>
        <v>#DIV/0!</v>
      </c>
      <c r="G58" s="30" t="e">
        <f ca="1"/>
        <v>#DIV/0!</v>
      </c>
      <c r="H58" s="64" t="e">
        <f ca="1"/>
        <v>#DIV/0!</v>
      </c>
      <c r="I58" s="65" t="e">
        <f ca="1"/>
        <v>#DIV/0!</v>
      </c>
    </row>
    <row r="59" spans="1:9" ht="15" customHeight="1">
      <c r="A59" s="16"/>
      <c r="B59" s="22">
        <f>'Oil supply projection'!$B59</f>
        <v>2068</v>
      </c>
      <c r="C59" s="30" t="e">
        <f ca="1"/>
        <v>#DIV/0!</v>
      </c>
      <c r="D59" s="30" t="e">
        <f ca="1"/>
        <v>#DIV/0!</v>
      </c>
      <c r="E59" s="30" t="e">
        <f ca="1"/>
        <v>#DIV/0!</v>
      </c>
      <c r="F59" s="30" t="e">
        <f ca="1"/>
        <v>#DIV/0!</v>
      </c>
      <c r="G59" s="30" t="e">
        <f ca="1"/>
        <v>#DIV/0!</v>
      </c>
      <c r="H59" s="64" t="e">
        <f ca="1"/>
        <v>#DIV/0!</v>
      </c>
      <c r="I59" s="65" t="e">
        <f ca="1"/>
        <v>#DIV/0!</v>
      </c>
    </row>
    <row r="60" spans="1:9" ht="15" customHeight="1">
      <c r="A60" s="16"/>
      <c r="B60" s="22">
        <f>'Oil supply projection'!$B60</f>
        <v>2069</v>
      </c>
      <c r="C60" s="30" t="e">
        <f ca="1"/>
        <v>#DIV/0!</v>
      </c>
      <c r="D60" s="30" t="e">
        <f ca="1"/>
        <v>#DIV/0!</v>
      </c>
      <c r="E60" s="30" t="e">
        <f ca="1"/>
        <v>#DIV/0!</v>
      </c>
      <c r="F60" s="30" t="e">
        <f ca="1"/>
        <v>#DIV/0!</v>
      </c>
      <c r="G60" s="30" t="e">
        <f ca="1"/>
        <v>#DIV/0!</v>
      </c>
      <c r="H60" s="64" t="e">
        <f ca="1"/>
        <v>#DIV/0!</v>
      </c>
      <c r="I60" s="65" t="e">
        <f ca="1"/>
        <v>#DIV/0!</v>
      </c>
    </row>
    <row r="61" spans="1:9" ht="15" customHeight="1">
      <c r="A61" s="16"/>
      <c r="B61" s="22">
        <f>'Oil supply projection'!$B61</f>
        <v>2070</v>
      </c>
      <c r="C61" s="30" t="e">
        <f ca="1"/>
        <v>#DIV/0!</v>
      </c>
      <c r="D61" s="30" t="e">
        <f ca="1"/>
        <v>#DIV/0!</v>
      </c>
      <c r="E61" s="30" t="e">
        <f ca="1"/>
        <v>#DIV/0!</v>
      </c>
      <c r="F61" s="30" t="e">
        <f ca="1"/>
        <v>#DIV/0!</v>
      </c>
      <c r="G61" s="30" t="e">
        <f ca="1"/>
        <v>#DIV/0!</v>
      </c>
      <c r="H61" s="64" t="e">
        <f ca="1"/>
        <v>#DIV/0!</v>
      </c>
      <c r="I61" s="65" t="e">
        <f ca="1"/>
        <v>#DIV/0!</v>
      </c>
    </row>
    <row r="62" spans="1:9" ht="15" customHeight="1">
      <c r="A62" s="16"/>
      <c r="B62" s="22">
        <f>'Oil supply projection'!$B62</f>
        <v>2071</v>
      </c>
      <c r="C62" s="30" t="e">
        <f ca="1"/>
        <v>#DIV/0!</v>
      </c>
      <c r="D62" s="30" t="e">
        <f ca="1"/>
        <v>#DIV/0!</v>
      </c>
      <c r="E62" s="30" t="e">
        <f ca="1"/>
        <v>#DIV/0!</v>
      </c>
      <c r="F62" s="30" t="e">
        <f ca="1"/>
        <v>#DIV/0!</v>
      </c>
      <c r="G62" s="30" t="e">
        <f ca="1"/>
        <v>#DIV/0!</v>
      </c>
      <c r="H62" s="64" t="e">
        <f ca="1"/>
        <v>#DIV/0!</v>
      </c>
      <c r="I62" s="65" t="e">
        <f ca="1"/>
        <v>#DIV/0!</v>
      </c>
    </row>
    <row r="63" spans="1:9" ht="15" customHeight="1">
      <c r="A63" s="16"/>
      <c r="B63" s="22">
        <f>'Oil supply projection'!$B63</f>
        <v>2072</v>
      </c>
      <c r="C63" s="30" t="e">
        <f ca="1"/>
        <v>#DIV/0!</v>
      </c>
      <c r="D63" s="30" t="e">
        <f ca="1"/>
        <v>#DIV/0!</v>
      </c>
      <c r="E63" s="30" t="e">
        <f ca="1"/>
        <v>#DIV/0!</v>
      </c>
      <c r="F63" s="30" t="e">
        <f ca="1"/>
        <v>#DIV/0!</v>
      </c>
      <c r="G63" s="30" t="e">
        <f ca="1"/>
        <v>#DIV/0!</v>
      </c>
      <c r="H63" s="64" t="e">
        <f ca="1"/>
        <v>#DIV/0!</v>
      </c>
      <c r="I63" s="65" t="e">
        <f ca="1"/>
        <v>#DIV/0!</v>
      </c>
    </row>
    <row r="64" spans="1:9" ht="15" customHeight="1">
      <c r="A64" s="16"/>
      <c r="B64" s="22">
        <f>'Oil supply projection'!$B64</f>
        <v>2073</v>
      </c>
      <c r="C64" s="30" t="e">
        <f ca="1"/>
        <v>#DIV/0!</v>
      </c>
      <c r="D64" s="30" t="e">
        <f ca="1"/>
        <v>#DIV/0!</v>
      </c>
      <c r="E64" s="30" t="e">
        <f ca="1"/>
        <v>#DIV/0!</v>
      </c>
      <c r="F64" s="30" t="e">
        <f ca="1"/>
        <v>#DIV/0!</v>
      </c>
      <c r="G64" s="30" t="e">
        <f ca="1"/>
        <v>#DIV/0!</v>
      </c>
      <c r="H64" s="64" t="e">
        <f ca="1"/>
        <v>#DIV/0!</v>
      </c>
      <c r="I64" s="65" t="e">
        <f ca="1"/>
        <v>#DIV/0!</v>
      </c>
    </row>
    <row r="65" spans="1:9" ht="15" customHeight="1">
      <c r="A65" s="16"/>
      <c r="B65" s="22">
        <f>'Oil supply projection'!$B65</f>
        <v>2074</v>
      </c>
      <c r="C65" s="30" t="e">
        <f ca="1"/>
        <v>#DIV/0!</v>
      </c>
      <c r="D65" s="30" t="e">
        <f ca="1"/>
        <v>#DIV/0!</v>
      </c>
      <c r="E65" s="30" t="e">
        <f ca="1"/>
        <v>#DIV/0!</v>
      </c>
      <c r="F65" s="30" t="e">
        <f ca="1"/>
        <v>#DIV/0!</v>
      </c>
      <c r="G65" s="30" t="e">
        <f ca="1"/>
        <v>#DIV/0!</v>
      </c>
      <c r="H65" s="64" t="e">
        <f ca="1"/>
        <v>#DIV/0!</v>
      </c>
      <c r="I65" s="65" t="e">
        <f ca="1"/>
        <v>#DIV/0!</v>
      </c>
    </row>
    <row r="66" spans="1:9" ht="15" customHeight="1">
      <c r="A66" s="16"/>
      <c r="B66" s="22">
        <f>'Oil supply projection'!$B66</f>
        <v>2075</v>
      </c>
      <c r="C66" s="30" t="e">
        <f ca="1"/>
        <v>#DIV/0!</v>
      </c>
      <c r="D66" s="30" t="e">
        <f ca="1"/>
        <v>#DIV/0!</v>
      </c>
      <c r="E66" s="30" t="e">
        <f ca="1"/>
        <v>#DIV/0!</v>
      </c>
      <c r="F66" s="30" t="e">
        <f ca="1"/>
        <v>#DIV/0!</v>
      </c>
      <c r="G66" s="30" t="e">
        <f ca="1"/>
        <v>#DIV/0!</v>
      </c>
      <c r="H66" s="64" t="e">
        <f ca="1"/>
        <v>#DIV/0!</v>
      </c>
      <c r="I66" s="65" t="e">
        <f ca="1"/>
        <v>#DIV/0!</v>
      </c>
    </row>
    <row r="67" spans="1:9" ht="15" customHeight="1">
      <c r="A67" s="16"/>
      <c r="B67" s="22">
        <f>'Oil supply projection'!$B67</f>
        <v>2076</v>
      </c>
      <c r="C67" s="30" t="e">
        <f ca="1"/>
        <v>#DIV/0!</v>
      </c>
      <c r="D67" s="30" t="e">
        <f ca="1"/>
        <v>#DIV/0!</v>
      </c>
      <c r="E67" s="30" t="e">
        <f ca="1"/>
        <v>#DIV/0!</v>
      </c>
      <c r="F67" s="30" t="e">
        <f ca="1"/>
        <v>#DIV/0!</v>
      </c>
      <c r="G67" s="30" t="e">
        <f ca="1"/>
        <v>#DIV/0!</v>
      </c>
      <c r="H67" s="64" t="e">
        <f ca="1"/>
        <v>#DIV/0!</v>
      </c>
      <c r="I67" s="65" t="e">
        <f ca="1"/>
        <v>#DIV/0!</v>
      </c>
    </row>
    <row r="68" spans="1:9" ht="15" customHeight="1">
      <c r="A68" s="16"/>
      <c r="B68" s="22">
        <f>'Oil supply projection'!$B68</f>
        <v>2077</v>
      </c>
      <c r="C68" s="30" t="e">
        <f ca="1"/>
        <v>#DIV/0!</v>
      </c>
      <c r="D68" s="30" t="e">
        <f ca="1"/>
        <v>#DIV/0!</v>
      </c>
      <c r="E68" s="30" t="e">
        <f ca="1"/>
        <v>#DIV/0!</v>
      </c>
      <c r="F68" s="30" t="e">
        <f ca="1"/>
        <v>#DIV/0!</v>
      </c>
      <c r="G68" s="30" t="e">
        <f ca="1"/>
        <v>#DIV/0!</v>
      </c>
      <c r="H68" s="64" t="e">
        <f ca="1"/>
        <v>#DIV/0!</v>
      </c>
      <c r="I68" s="65" t="e">
        <f ca="1"/>
        <v>#DIV/0!</v>
      </c>
    </row>
    <row r="69" spans="1:9" ht="15" customHeight="1">
      <c r="A69" s="16"/>
      <c r="B69" s="22">
        <f>'Oil supply projection'!$B69</f>
        <v>2078</v>
      </c>
      <c r="C69" s="30" t="e">
        <f ca="1"/>
        <v>#DIV/0!</v>
      </c>
      <c r="D69" s="30" t="e">
        <f ca="1"/>
        <v>#DIV/0!</v>
      </c>
      <c r="E69" s="30" t="e">
        <f ca="1"/>
        <v>#DIV/0!</v>
      </c>
      <c r="F69" s="30" t="e">
        <f ca="1"/>
        <v>#DIV/0!</v>
      </c>
      <c r="G69" s="30" t="e">
        <f ca="1"/>
        <v>#DIV/0!</v>
      </c>
      <c r="H69" s="64" t="e">
        <f ca="1"/>
        <v>#DIV/0!</v>
      </c>
      <c r="I69" s="65" t="e">
        <f ca="1"/>
        <v>#DIV/0!</v>
      </c>
    </row>
    <row r="70" spans="1:9" ht="15" customHeight="1">
      <c r="A70" s="16"/>
      <c r="B70" s="22">
        <f>'Oil supply projection'!$B70</f>
        <v>2079</v>
      </c>
      <c r="C70" s="30" t="e">
        <f ca="1"/>
        <v>#DIV/0!</v>
      </c>
      <c r="D70" s="30" t="e">
        <f ca="1"/>
        <v>#DIV/0!</v>
      </c>
      <c r="E70" s="30" t="e">
        <f ca="1"/>
        <v>#DIV/0!</v>
      </c>
      <c r="F70" s="30" t="e">
        <f ca="1"/>
        <v>#DIV/0!</v>
      </c>
      <c r="G70" s="30" t="e">
        <f ca="1"/>
        <v>#DIV/0!</v>
      </c>
      <c r="H70" s="64" t="e">
        <f ca="1"/>
        <v>#DIV/0!</v>
      </c>
      <c r="I70" s="65" t="e">
        <f ca="1"/>
        <v>#DIV/0!</v>
      </c>
    </row>
    <row r="71" spans="1:9" ht="15" customHeight="1">
      <c r="A71" s="16"/>
      <c r="B71" s="22">
        <f>'Oil supply projection'!$B71</f>
        <v>2080</v>
      </c>
      <c r="C71" s="30" t="e">
        <f ca="1"/>
        <v>#DIV/0!</v>
      </c>
      <c r="D71" s="30" t="e">
        <f ca="1"/>
        <v>#DIV/0!</v>
      </c>
      <c r="E71" s="30" t="e">
        <f ca="1"/>
        <v>#DIV/0!</v>
      </c>
      <c r="F71" s="30" t="e">
        <f ca="1"/>
        <v>#DIV/0!</v>
      </c>
      <c r="G71" s="30" t="e">
        <f ca="1"/>
        <v>#DIV/0!</v>
      </c>
      <c r="H71" s="64" t="e">
        <f ca="1"/>
        <v>#DIV/0!</v>
      </c>
      <c r="I71" s="65" t="e">
        <f ca="1"/>
        <v>#DIV/0!</v>
      </c>
    </row>
    <row r="72" spans="1:9" ht="15" customHeight="1">
      <c r="A72" s="16"/>
      <c r="B72" s="22">
        <f>'Oil supply projection'!$B72</f>
        <v>2081</v>
      </c>
      <c r="C72" s="30" t="e">
        <f ca="1"/>
        <v>#DIV/0!</v>
      </c>
      <c r="D72" s="30" t="e">
        <f ca="1"/>
        <v>#DIV/0!</v>
      </c>
      <c r="E72" s="30" t="e">
        <f ca="1"/>
        <v>#DIV/0!</v>
      </c>
      <c r="F72" s="30" t="e">
        <f ca="1"/>
        <v>#DIV/0!</v>
      </c>
      <c r="G72" s="30" t="e">
        <f ca="1"/>
        <v>#DIV/0!</v>
      </c>
      <c r="H72" s="64" t="e">
        <f ca="1"/>
        <v>#DIV/0!</v>
      </c>
      <c r="I72" s="65" t="e">
        <f ca="1"/>
        <v>#DIV/0!</v>
      </c>
    </row>
    <row r="73" spans="1:9" ht="15" customHeight="1">
      <c r="A73" s="16"/>
      <c r="B73" s="22">
        <f>'Oil supply projection'!$B73</f>
        <v>2082</v>
      </c>
      <c r="C73" s="30" t="e">
        <f ca="1"/>
        <v>#DIV/0!</v>
      </c>
      <c r="D73" s="30" t="e">
        <f ca="1"/>
        <v>#DIV/0!</v>
      </c>
      <c r="E73" s="30" t="e">
        <f ca="1"/>
        <v>#DIV/0!</v>
      </c>
      <c r="F73" s="30" t="e">
        <f ca="1"/>
        <v>#DIV/0!</v>
      </c>
      <c r="G73" s="30" t="e">
        <f ca="1"/>
        <v>#DIV/0!</v>
      </c>
      <c r="H73" s="64" t="e">
        <f ca="1"/>
        <v>#DIV/0!</v>
      </c>
      <c r="I73" s="65" t="e">
        <f ca="1"/>
        <v>#DIV/0!</v>
      </c>
    </row>
    <row r="74" spans="1:9" ht="15" customHeight="1">
      <c r="A74" s="16"/>
      <c r="B74" s="22">
        <f>'Oil supply projection'!$B74</f>
        <v>2083</v>
      </c>
      <c r="C74" s="30" t="e">
        <f ca="1"/>
        <v>#DIV/0!</v>
      </c>
      <c r="D74" s="30" t="e">
        <f ca="1"/>
        <v>#DIV/0!</v>
      </c>
      <c r="E74" s="30" t="e">
        <f ca="1"/>
        <v>#DIV/0!</v>
      </c>
      <c r="F74" s="30" t="e">
        <f ca="1"/>
        <v>#DIV/0!</v>
      </c>
      <c r="G74" s="30" t="e">
        <f ca="1"/>
        <v>#DIV/0!</v>
      </c>
      <c r="H74" s="64" t="e">
        <f ca="1"/>
        <v>#DIV/0!</v>
      </c>
      <c r="I74" s="65" t="e">
        <f ca="1"/>
        <v>#DIV/0!</v>
      </c>
    </row>
    <row r="75" spans="1:9" ht="15" customHeight="1">
      <c r="A75" s="16"/>
      <c r="B75" s="22">
        <f>'Oil supply projection'!$B75</f>
        <v>2084</v>
      </c>
      <c r="C75" s="30" t="e">
        <f ca="1"/>
        <v>#DIV/0!</v>
      </c>
      <c r="D75" s="30" t="e">
        <f ca="1"/>
        <v>#DIV/0!</v>
      </c>
      <c r="E75" s="30" t="e">
        <f ca="1"/>
        <v>#DIV/0!</v>
      </c>
      <c r="F75" s="30" t="e">
        <f ca="1"/>
        <v>#DIV/0!</v>
      </c>
      <c r="G75" s="30" t="e">
        <f ca="1"/>
        <v>#DIV/0!</v>
      </c>
      <c r="H75" s="64" t="e">
        <f ca="1"/>
        <v>#DIV/0!</v>
      </c>
      <c r="I75" s="65" t="e">
        <f ca="1"/>
        <v>#DIV/0!</v>
      </c>
    </row>
    <row r="76" spans="1:9" ht="15" customHeight="1">
      <c r="A76" s="16"/>
      <c r="B76" s="22">
        <f>'Oil supply projection'!$B76</f>
        <v>2085</v>
      </c>
      <c r="C76" s="30" t="e">
        <f ca="1"/>
        <v>#DIV/0!</v>
      </c>
      <c r="D76" s="30" t="e">
        <f ca="1"/>
        <v>#DIV/0!</v>
      </c>
      <c r="E76" s="30" t="e">
        <f ca="1"/>
        <v>#DIV/0!</v>
      </c>
      <c r="F76" s="30" t="e">
        <f ca="1"/>
        <v>#DIV/0!</v>
      </c>
      <c r="G76" s="30" t="e">
        <f ca="1"/>
        <v>#DIV/0!</v>
      </c>
      <c r="H76" s="64" t="e">
        <f ca="1"/>
        <v>#DIV/0!</v>
      </c>
      <c r="I76" s="65" t="e">
        <f ca="1"/>
        <v>#DIV/0!</v>
      </c>
    </row>
    <row r="77" spans="1:9" ht="15" customHeight="1">
      <c r="A77" s="16"/>
      <c r="B77" s="22">
        <f>'Oil supply projection'!$B77</f>
        <v>2086</v>
      </c>
      <c r="C77" s="30" t="e">
        <f ca="1"/>
        <v>#DIV/0!</v>
      </c>
      <c r="D77" s="30" t="e">
        <f ca="1"/>
        <v>#DIV/0!</v>
      </c>
      <c r="E77" s="30" t="e">
        <f ca="1"/>
        <v>#DIV/0!</v>
      </c>
      <c r="F77" s="30" t="e">
        <f ca="1"/>
        <v>#DIV/0!</v>
      </c>
      <c r="G77" s="30" t="e">
        <f ca="1"/>
        <v>#DIV/0!</v>
      </c>
      <c r="H77" s="64" t="e">
        <f ca="1"/>
        <v>#DIV/0!</v>
      </c>
      <c r="I77" s="65" t="e">
        <f ca="1"/>
        <v>#DIV/0!</v>
      </c>
    </row>
    <row r="78" spans="1:9" ht="15" customHeight="1">
      <c r="A78" s="16"/>
      <c r="B78" s="22">
        <f>'Oil supply projection'!$B78</f>
        <v>2087</v>
      </c>
      <c r="C78" s="30" t="e">
        <f ca="1"/>
        <v>#DIV/0!</v>
      </c>
      <c r="D78" s="30" t="e">
        <f ca="1"/>
        <v>#DIV/0!</v>
      </c>
      <c r="E78" s="30" t="e">
        <f ca="1"/>
        <v>#DIV/0!</v>
      </c>
      <c r="F78" s="30" t="e">
        <f ca="1"/>
        <v>#DIV/0!</v>
      </c>
      <c r="G78" s="30" t="e">
        <f ca="1"/>
        <v>#DIV/0!</v>
      </c>
      <c r="H78" s="64" t="e">
        <f ca="1"/>
        <v>#DIV/0!</v>
      </c>
      <c r="I78" s="65" t="e">
        <f ca="1"/>
        <v>#DIV/0!</v>
      </c>
    </row>
    <row r="79" spans="1:9" ht="15" customHeight="1">
      <c r="A79" s="16"/>
      <c r="B79" s="22">
        <f>'Oil supply projection'!$B79</f>
        <v>2088</v>
      </c>
      <c r="C79" s="30" t="e">
        <f ca="1"/>
        <v>#DIV/0!</v>
      </c>
      <c r="D79" s="30" t="e">
        <f ca="1"/>
        <v>#DIV/0!</v>
      </c>
      <c r="E79" s="30" t="e">
        <f ca="1"/>
        <v>#DIV/0!</v>
      </c>
      <c r="F79" s="30" t="e">
        <f ca="1"/>
        <v>#DIV/0!</v>
      </c>
      <c r="G79" s="30" t="e">
        <f ca="1"/>
        <v>#DIV/0!</v>
      </c>
      <c r="H79" s="64" t="e">
        <f ca="1"/>
        <v>#DIV/0!</v>
      </c>
      <c r="I79" s="65" t="e">
        <f ca="1"/>
        <v>#DIV/0!</v>
      </c>
    </row>
    <row r="80" spans="1:9" ht="15" customHeight="1">
      <c r="A80" s="16"/>
      <c r="B80" s="22">
        <f>'Oil supply projection'!$B80</f>
        <v>2089</v>
      </c>
      <c r="C80" s="30" t="e">
        <f ca="1"/>
        <v>#DIV/0!</v>
      </c>
      <c r="D80" s="30" t="e">
        <f ca="1"/>
        <v>#DIV/0!</v>
      </c>
      <c r="E80" s="30" t="e">
        <f ca="1"/>
        <v>#DIV/0!</v>
      </c>
      <c r="F80" s="30" t="e">
        <f ca="1"/>
        <v>#DIV/0!</v>
      </c>
      <c r="G80" s="30" t="e">
        <f ca="1"/>
        <v>#DIV/0!</v>
      </c>
      <c r="H80" s="64" t="e">
        <f ca="1"/>
        <v>#DIV/0!</v>
      </c>
      <c r="I80" s="65" t="e">
        <f ca="1"/>
        <v>#DIV/0!</v>
      </c>
    </row>
    <row r="81" spans="1:9" ht="15" customHeight="1">
      <c r="A81" s="16"/>
      <c r="B81" s="22">
        <f>'Oil supply projection'!$B81</f>
        <v>2090</v>
      </c>
      <c r="C81" s="30" t="e">
        <f ca="1"/>
        <v>#DIV/0!</v>
      </c>
      <c r="D81" s="30" t="e">
        <f ca="1"/>
        <v>#DIV/0!</v>
      </c>
      <c r="E81" s="30" t="e">
        <f ca="1"/>
        <v>#DIV/0!</v>
      </c>
      <c r="F81" s="30" t="e">
        <f ca="1"/>
        <v>#DIV/0!</v>
      </c>
      <c r="G81" s="30" t="e">
        <f ca="1"/>
        <v>#DIV/0!</v>
      </c>
      <c r="H81" s="64" t="e">
        <f ca="1"/>
        <v>#DIV/0!</v>
      </c>
      <c r="I81" s="65" t="e">
        <f ca="1"/>
        <v>#DIV/0!</v>
      </c>
    </row>
    <row r="82" spans="1:9" ht="15" customHeight="1">
      <c r="A82" s="16"/>
      <c r="B82" s="22">
        <f>'Oil supply projection'!$B82</f>
        <v>2091</v>
      </c>
      <c r="C82" s="30" t="e">
        <f ca="1"/>
        <v>#DIV/0!</v>
      </c>
      <c r="D82" s="30" t="e">
        <f ca="1"/>
        <v>#DIV/0!</v>
      </c>
      <c r="E82" s="30" t="e">
        <f ca="1"/>
        <v>#DIV/0!</v>
      </c>
      <c r="F82" s="30" t="e">
        <f ca="1"/>
        <v>#DIV/0!</v>
      </c>
      <c r="G82" s="30" t="e">
        <f ca="1"/>
        <v>#DIV/0!</v>
      </c>
      <c r="H82" s="64" t="e">
        <f ca="1"/>
        <v>#DIV/0!</v>
      </c>
      <c r="I82" s="65" t="e">
        <f ca="1"/>
        <v>#DIV/0!</v>
      </c>
    </row>
    <row r="83" spans="1:9" s="21" customFormat="1" ht="15" customHeight="1">
      <c r="A83" s="16"/>
      <c r="B83" s="22">
        <f>'Oil supply projection'!$B83</f>
        <v>2092</v>
      </c>
      <c r="C83" s="30" t="e">
        <f ca="1"/>
        <v>#DIV/0!</v>
      </c>
      <c r="D83" s="30" t="e">
        <f ca="1"/>
        <v>#DIV/0!</v>
      </c>
      <c r="E83" s="30" t="e">
        <f ca="1"/>
        <v>#DIV/0!</v>
      </c>
      <c r="F83" s="30" t="e">
        <f ca="1"/>
        <v>#DIV/0!</v>
      </c>
      <c r="G83" s="30" t="e">
        <f ca="1"/>
        <v>#DIV/0!</v>
      </c>
      <c r="H83" s="64" t="e">
        <f ca="1"/>
        <v>#DIV/0!</v>
      </c>
      <c r="I83" s="65" t="e">
        <f ca="1"/>
        <v>#DIV/0!</v>
      </c>
    </row>
    <row r="84" spans="1:9" ht="15" customHeight="1">
      <c r="A84" s="16"/>
      <c r="B84" s="22">
        <f>'Oil supply projection'!$B84</f>
        <v>2093</v>
      </c>
      <c r="C84" s="30" t="e">
        <f ca="1"/>
        <v>#DIV/0!</v>
      </c>
      <c r="D84" s="30" t="e">
        <f ca="1"/>
        <v>#DIV/0!</v>
      </c>
      <c r="E84" s="30" t="e">
        <f ca="1"/>
        <v>#DIV/0!</v>
      </c>
      <c r="F84" s="30" t="e">
        <f ca="1"/>
        <v>#DIV/0!</v>
      </c>
      <c r="G84" s="30" t="e">
        <f ca="1"/>
        <v>#DIV/0!</v>
      </c>
      <c r="H84" s="64" t="e">
        <f ca="1"/>
        <v>#DIV/0!</v>
      </c>
      <c r="I84" s="65" t="e">
        <f ca="1"/>
        <v>#DIV/0!</v>
      </c>
    </row>
    <row r="85" spans="1:9" ht="15" customHeight="1">
      <c r="A85" s="16"/>
      <c r="I85" s="1"/>
    </row>
    <row r="86" spans="1:9" ht="15" customHeight="1">
      <c r="A86" s="16"/>
      <c r="F86" s="21"/>
      <c r="G86" s="21"/>
    </row>
    <row r="87" spans="1:9" ht="15" customHeight="1">
      <c r="F87" s="21"/>
      <c r="G87" s="21"/>
    </row>
  </sheetData>
  <mergeCells count="1">
    <mergeCell ref="A1:B1"/>
  </mergeCells>
  <phoneticPr fontId="29" type="noConversion"/>
  <conditionalFormatting sqref="C10:I84">
    <cfRule type="expression" dxfId="95" priority="1" stopIfTrue="1">
      <formula>ISERROR(C10)</formula>
    </cfRule>
  </conditionalFormatting>
  <hyperlinks>
    <hyperlink ref="A1" location="'Table of Contents'!A1" tooltip="Click here to return to the Table of Contents tab" display="Return to Table of Contents" xr:uid="{00000000-0004-0000-1A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4">
    <pageSetUpPr fitToPage="1"/>
  </sheetPr>
  <dimension ref="A1:I87"/>
  <sheetViews>
    <sheetView workbookViewId="0">
      <pane xSplit="2" ySplit="9" topLeftCell="C10" activePane="bottomRight" state="frozen"/>
      <selection pane="topRight" activeCell="A2" sqref="A2"/>
      <selection pane="bottomLeft" activeCell="A2" sqref="A2"/>
      <selection pane="bottomRight" sqref="A1:B1"/>
    </sheetView>
  </sheetViews>
  <sheetFormatPr defaultColWidth="9.28515625" defaultRowHeight="15" customHeight="1"/>
  <cols>
    <col min="1" max="1" width="15.5703125" style="18" customWidth="1"/>
    <col min="2" max="2" width="10.28515625" style="1" customWidth="1"/>
    <col min="3" max="14" width="14.5703125" style="1" customWidth="1"/>
    <col min="15" max="15" width="14" style="1" customWidth="1"/>
    <col min="16" max="16384" width="9.28515625" style="1"/>
  </cols>
  <sheetData>
    <row r="1" spans="1:8" ht="15.75" thickBot="1">
      <c r="A1" s="701" t="s">
        <v>27</v>
      </c>
      <c r="B1" s="702"/>
      <c r="C1" s="180"/>
      <c r="D1" s="180"/>
      <c r="E1" s="2"/>
      <c r="F1" s="2"/>
      <c r="G1" s="2"/>
    </row>
    <row r="2" spans="1:8" ht="16.5" customHeight="1">
      <c r="A2" s="1"/>
      <c r="B2" s="2"/>
      <c r="C2" s="2"/>
      <c r="D2" s="2"/>
      <c r="E2" s="2"/>
      <c r="F2" s="2"/>
      <c r="G2" s="2"/>
    </row>
    <row r="3" spans="1:8" ht="16.5" customHeight="1">
      <c r="A3" s="1"/>
      <c r="B3" s="2"/>
      <c r="C3" s="2"/>
      <c r="D3" s="2"/>
      <c r="E3" s="2"/>
      <c r="F3" s="2"/>
      <c r="G3" s="2"/>
    </row>
    <row r="4" spans="1:8" ht="16.5" customHeight="1">
      <c r="A4" s="1"/>
      <c r="B4" s="2"/>
      <c r="C4" s="2"/>
      <c r="D4" s="2"/>
      <c r="E4" s="2"/>
      <c r="F4" s="2"/>
      <c r="G4" s="2"/>
    </row>
    <row r="5" spans="1:8" ht="16.5" customHeight="1">
      <c r="A5" s="1"/>
      <c r="B5" s="2"/>
      <c r="C5" s="2"/>
      <c r="D5" s="2"/>
      <c r="E5" s="2"/>
      <c r="F5" s="2"/>
      <c r="G5" s="2"/>
    </row>
    <row r="6" spans="1:8" ht="19.5" customHeight="1">
      <c r="A6" s="16"/>
      <c r="B6" s="11" t="s">
        <v>515</v>
      </c>
      <c r="C6" s="12"/>
      <c r="D6" s="12"/>
      <c r="E6" s="12"/>
      <c r="F6" s="59"/>
      <c r="G6" s="59"/>
      <c r="H6" s="60"/>
    </row>
    <row r="7" spans="1:8" ht="19.5" customHeight="1">
      <c r="A7" s="16"/>
      <c r="B7" s="14"/>
      <c r="C7" s="58"/>
      <c r="D7" s="58"/>
      <c r="E7" s="58"/>
      <c r="F7" s="10"/>
      <c r="G7" s="10"/>
      <c r="H7" s="63"/>
    </row>
    <row r="8" spans="1:8" ht="29.25" customHeight="1">
      <c r="A8" s="16"/>
      <c r="B8" s="650"/>
      <c r="C8" s="650" t="s">
        <v>281</v>
      </c>
      <c r="D8" s="650" t="s">
        <v>282</v>
      </c>
      <c r="E8" s="650" t="s">
        <v>283</v>
      </c>
      <c r="F8" s="650" t="s">
        <v>284</v>
      </c>
      <c r="G8" s="653" t="s">
        <v>200</v>
      </c>
      <c r="H8" s="650" t="s">
        <v>405</v>
      </c>
    </row>
    <row r="9" spans="1:8" ht="29.25" customHeight="1" thickBot="1">
      <c r="A9" s="16"/>
      <c r="B9" s="66" t="s">
        <v>268</v>
      </c>
      <c r="C9" s="67" t="s">
        <v>439</v>
      </c>
      <c r="D9" s="67" t="s">
        <v>439</v>
      </c>
      <c r="E9" s="67" t="s">
        <v>439</v>
      </c>
      <c r="F9" s="67" t="s">
        <v>439</v>
      </c>
      <c r="G9" s="67" t="s">
        <v>439</v>
      </c>
      <c r="H9" s="67" t="s">
        <v>439</v>
      </c>
    </row>
    <row r="10" spans="1:8" ht="15" customHeight="1" thickTop="1">
      <c r="A10" s="16"/>
      <c r="B10" s="22">
        <f>'Oil supply projection'!$B10</f>
        <v>2019</v>
      </c>
      <c r="C10" s="30">
        <f t="array" aca="1" ref="C10:H10" ca="1">aeo_dem_ele_2010</f>
        <v>1388.17604951977</v>
      </c>
      <c r="D10" s="30">
        <f ca="1"/>
        <v>1311.6547097687042</v>
      </c>
      <c r="E10" s="30">
        <f ca="1"/>
        <v>966.09983030675778</v>
      </c>
      <c r="F10" s="30">
        <f ca="1"/>
        <v>10.914183555713322</v>
      </c>
      <c r="G10" s="64">
        <f ca="1"/>
        <v>165.37298184905416</v>
      </c>
      <c r="H10" s="65">
        <f ca="1"/>
        <v>3842.2177549999992</v>
      </c>
    </row>
    <row r="11" spans="1:8" ht="15" customHeight="1">
      <c r="A11" s="17"/>
      <c r="B11" s="22">
        <f>'Oil supply projection'!$B11</f>
        <v>2020</v>
      </c>
      <c r="C11" s="30">
        <f t="array" ref="C11:C84" ca="1">(a_ele_res*(sim_price_ele^e_dem_ele_res)*(sim_price_oil^e_ele_res_oil)*(sim_price_gas^e_ele_res_gas)+(1-g_dem_ele_res)*OFFSET(sim_dem_ele_res,-1,0))*display</f>
        <v>1406.5371881750473</v>
      </c>
      <c r="D11" s="30">
        <f t="array" ref="D11:D84" ca="1">(a_ele_com*(sim_price_ele^e_dem_ele_com)*(sim_price_oil^e_ele_com_oil)*(sim_price_gas^e_ele_com_gas)+(1-g_dem_ele_com)*OFFSET(sim_dem_ele_com,-1,0))*display</f>
        <v>1236.4155118131193</v>
      </c>
      <c r="E11" s="30">
        <f t="array" ref="E11:E84" ca="1">(a_ele_ind*(sim_price_ele^e_dem_ele_ind)*(sim_price_oil^e_ele_ind_oil)*(sim_price_gas^e_ele_ind_gas)*(sim_price_coa^e_ele_ind_coa)+(1-g_dem_ele_ind)*OFFSET(sim_dem_ele_ind,-1,0))*display</f>
        <v>921.07155836884772</v>
      </c>
      <c r="F11" s="30">
        <f t="array" ref="F11:F84" ca="1">(a_ele_tra*(sim_price_ele^e_dem_ele_tra)*(sim_price_oil^e_ele_tra_oil)*(sim_price_gas^e_ele_tra_gas)+(1-g_dem_ele_tra)*OFFSET(sim_dem_ele_tra,-1,0))*display</f>
        <v>10.603891456054889</v>
      </c>
      <c r="G11" s="64">
        <f t="array" ref="G11:G84" ca="1">(a_ele_oth*(sim_price_ele^e_dem_ele_oth)*(sim_price_coa^e_ele_oth_coa)*(sim_price_gas^e_ele_oth_gas)*(sim_price_oil^e_ele_oth_oil)+(1-g_dem_ele_oth)*OFFSET(sim_dem_ele_oth,-1,0))*display</f>
        <v>165.06557518693052</v>
      </c>
      <c r="H11" s="65">
        <f t="array" ref="H11:H84" ca="1">(sim_dem_ele_res+sim_dem_ele_com+sim_dem_ele_ind+sim_dem_ele_tra+sim_dem_ele_oth)*display</f>
        <v>3739.6937249999996</v>
      </c>
    </row>
    <row r="12" spans="1:8" ht="15" customHeight="1">
      <c r="B12" s="22">
        <f>'Oil supply projection'!$B12</f>
        <v>2021</v>
      </c>
      <c r="C12" s="30">
        <f ca="1"/>
        <v>1421.8543343845047</v>
      </c>
      <c r="D12" s="30">
        <f ca="1"/>
        <v>1275.716494689995</v>
      </c>
      <c r="E12" s="30">
        <f ca="1"/>
        <v>950.25007392094051</v>
      </c>
      <c r="F12" s="30">
        <f ca="1"/>
        <v>12.720750323705676</v>
      </c>
      <c r="G12" s="64">
        <f ca="1"/>
        <v>174.37508468085451</v>
      </c>
      <c r="H12" s="65">
        <f ca="1"/>
        <v>3834.9167379999999</v>
      </c>
    </row>
    <row r="13" spans="1:8" ht="15" customHeight="1">
      <c r="B13" s="22">
        <f>'Oil supply projection'!$B13</f>
        <v>2022</v>
      </c>
      <c r="C13" s="30">
        <f ca="1"/>
        <v>1466.1501992741387</v>
      </c>
      <c r="D13" s="30">
        <f ca="1"/>
        <v>1308.6448400283489</v>
      </c>
      <c r="E13" s="30">
        <f ca="1"/>
        <v>985.26720939583174</v>
      </c>
      <c r="F13" s="30">
        <f ca="1"/>
        <v>16.466460085879444</v>
      </c>
      <c r="G13" s="64">
        <f ca="1"/>
        <v>190.15135421580052</v>
      </c>
      <c r="H13" s="65">
        <f ca="1"/>
        <v>3966.6800629999993</v>
      </c>
    </row>
    <row r="14" spans="1:8" ht="15" customHeight="1">
      <c r="B14" s="22">
        <f>'Oil supply projection'!$B14</f>
        <v>2023</v>
      </c>
      <c r="C14" s="30">
        <f ca="1"/>
        <v>1430.9564471766626</v>
      </c>
      <c r="D14" s="30">
        <f ca="1"/>
        <v>1281.3439902322871</v>
      </c>
      <c r="E14" s="30">
        <f ca="1"/>
        <v>983.95890302468922</v>
      </c>
      <c r="F14" s="30">
        <f ca="1"/>
        <v>19.854473008881111</v>
      </c>
      <c r="G14" s="64">
        <f ca="1"/>
        <v>198.01965755747912</v>
      </c>
      <c r="H14" s="65">
        <f ca="1"/>
        <v>3914.1334709999992</v>
      </c>
    </row>
    <row r="15" spans="1:8" ht="15" customHeight="1">
      <c r="B15" s="22">
        <f>'Oil supply projection'!$B15</f>
        <v>2024</v>
      </c>
      <c r="C15" s="30">
        <f ca="1"/>
        <v>1446.5406666985562</v>
      </c>
      <c r="D15" s="30">
        <f ca="1"/>
        <v>1285.8409605801696</v>
      </c>
      <c r="E15" s="30">
        <f ca="1"/>
        <v>975.22144967348515</v>
      </c>
      <c r="F15" s="30">
        <f ca="1"/>
        <v>23.991920004331117</v>
      </c>
      <c r="G15" s="64">
        <f ca="1"/>
        <v>216.777767043458</v>
      </c>
      <c r="H15" s="65">
        <f ca="1"/>
        <v>3948.3727639999997</v>
      </c>
    </row>
    <row r="16" spans="1:8" ht="15" customHeight="1">
      <c r="B16" s="22">
        <f>'Oil supply projection'!$B16</f>
        <v>2025</v>
      </c>
      <c r="C16" s="30">
        <f ca="1"/>
        <v>1455.2736882459517</v>
      </c>
      <c r="D16" s="30">
        <f ca="1"/>
        <v>1280.0051185038803</v>
      </c>
      <c r="E16" s="30">
        <f ca="1"/>
        <v>978.85576228353352</v>
      </c>
      <c r="F16" s="30">
        <f ca="1"/>
        <v>28.670984973832251</v>
      </c>
      <c r="G16" s="64">
        <f ca="1"/>
        <v>224.13313599280261</v>
      </c>
      <c r="H16" s="65">
        <f ca="1"/>
        <v>3966.9386900000004</v>
      </c>
    </row>
    <row r="17" spans="1:8" ht="15" customHeight="1">
      <c r="B17" s="22">
        <f>'Oil supply projection'!$B17</f>
        <v>2026</v>
      </c>
      <c r="C17" s="30">
        <f ca="1"/>
        <v>1465.4181082187361</v>
      </c>
      <c r="D17" s="30">
        <f ca="1"/>
        <v>1279.9634490742715</v>
      </c>
      <c r="E17" s="30">
        <f ca="1"/>
        <v>989.09719197097468</v>
      </c>
      <c r="F17" s="30">
        <f ca="1"/>
        <v>34.334679670200273</v>
      </c>
      <c r="G17" s="64">
        <f ca="1"/>
        <v>231.16149006581767</v>
      </c>
      <c r="H17" s="65">
        <f ca="1"/>
        <v>3999.9749190000002</v>
      </c>
    </row>
    <row r="18" spans="1:8" ht="15" customHeight="1">
      <c r="B18" s="22">
        <f>'Oil supply projection'!$B18</f>
        <v>2027</v>
      </c>
      <c r="C18" s="30">
        <f ca="1"/>
        <v>1475.7823915920985</v>
      </c>
      <c r="D18" s="30">
        <f ca="1"/>
        <v>1277.904299992163</v>
      </c>
      <c r="E18" s="30">
        <f ca="1"/>
        <v>995.41650706088501</v>
      </c>
      <c r="F18" s="30">
        <f ca="1"/>
        <v>41.012454011831295</v>
      </c>
      <c r="G18" s="64">
        <f ca="1"/>
        <v>237.67968534302196</v>
      </c>
      <c r="H18" s="65">
        <f ca="1"/>
        <v>4027.7953379999999</v>
      </c>
    </row>
    <row r="19" spans="1:8" ht="15" customHeight="1">
      <c r="B19" s="22">
        <f>'Oil supply projection'!$B19</f>
        <v>2028</v>
      </c>
      <c r="C19" s="30">
        <f ca="1"/>
        <v>1484.5421059941473</v>
      </c>
      <c r="D19" s="30">
        <f ca="1"/>
        <v>1283.6421643464791</v>
      </c>
      <c r="E19" s="30">
        <f ca="1"/>
        <v>998.91466746150172</v>
      </c>
      <c r="F19" s="30">
        <f ca="1"/>
        <v>48.652401039829698</v>
      </c>
      <c r="G19" s="64">
        <f ca="1"/>
        <v>244.5261161580421</v>
      </c>
      <c r="H19" s="65">
        <f ca="1"/>
        <v>4060.2774549999999</v>
      </c>
    </row>
    <row r="20" spans="1:8" ht="15" customHeight="1">
      <c r="B20" s="22">
        <f>'Oil supply projection'!$B20</f>
        <v>2029</v>
      </c>
      <c r="C20" s="30">
        <f ca="1"/>
        <v>1490.2482491098442</v>
      </c>
      <c r="D20" s="30">
        <f ca="1"/>
        <v>1288.6909465740951</v>
      </c>
      <c r="E20" s="30">
        <f ca="1"/>
        <v>1001.8303246426001</v>
      </c>
      <c r="F20" s="30">
        <f ca="1"/>
        <v>57.288704172606771</v>
      </c>
      <c r="G20" s="64">
        <f ca="1"/>
        <v>251.82447150085301</v>
      </c>
      <c r="H20" s="65">
        <f ca="1"/>
        <v>4089.8826959999992</v>
      </c>
    </row>
    <row r="21" spans="1:8" ht="15" customHeight="1">
      <c r="A21" s="17"/>
      <c r="B21" s="22">
        <f>'Oil supply projection'!$B21</f>
        <v>2030</v>
      </c>
      <c r="C21" s="30">
        <f ca="1"/>
        <v>1494.1682144654808</v>
      </c>
      <c r="D21" s="30">
        <f ca="1"/>
        <v>1292.7708915274729</v>
      </c>
      <c r="E21" s="30">
        <f ca="1"/>
        <v>1003.6909469318673</v>
      </c>
      <c r="F21" s="30">
        <f ca="1"/>
        <v>66.861372483502294</v>
      </c>
      <c r="G21" s="64">
        <f ca="1"/>
        <v>259.07939471386567</v>
      </c>
      <c r="H21" s="65">
        <f ca="1"/>
        <v>4116.5708201221887</v>
      </c>
    </row>
    <row r="22" spans="1:8" ht="15" customHeight="1">
      <c r="A22" s="17"/>
      <c r="B22" s="22">
        <f>'Oil supply projection'!$B22</f>
        <v>2031</v>
      </c>
      <c r="C22" s="30">
        <f ca="1"/>
        <v>1497.559195046832</v>
      </c>
      <c r="D22" s="30">
        <f ca="1"/>
        <v>1298.228148202199</v>
      </c>
      <c r="E22" s="30">
        <f ca="1"/>
        <v>1006.7834825255234</v>
      </c>
      <c r="F22" s="30">
        <f ca="1"/>
        <v>75.69309218534282</v>
      </c>
      <c r="G22" s="64">
        <f ca="1"/>
        <v>266.18891029719936</v>
      </c>
      <c r="H22" s="65">
        <f ca="1"/>
        <v>4144.4528282570964</v>
      </c>
    </row>
    <row r="23" spans="1:8" ht="15" customHeight="1">
      <c r="A23" s="17"/>
      <c r="B23" s="22">
        <f>'Oil supply projection'!$B23</f>
        <v>2032</v>
      </c>
      <c r="C23" s="30">
        <f ca="1"/>
        <v>1502.3330798407831</v>
      </c>
      <c r="D23" s="30">
        <f ca="1"/>
        <v>1305.0198615742336</v>
      </c>
      <c r="E23" s="30">
        <f ca="1"/>
        <v>1014.7910594660406</v>
      </c>
      <c r="F23" s="30">
        <f ca="1"/>
        <v>84.905418173355116</v>
      </c>
      <c r="G23" s="64">
        <f ca="1"/>
        <v>273.44814080714065</v>
      </c>
      <c r="H23" s="65">
        <f ca="1"/>
        <v>4180.4975598615529</v>
      </c>
    </row>
    <row r="24" spans="1:8" ht="15" customHeight="1">
      <c r="A24" s="17"/>
      <c r="B24" s="22">
        <f>'Oil supply projection'!$B24</f>
        <v>2033</v>
      </c>
      <c r="C24" s="30">
        <f ca="1"/>
        <v>1504.965159373839</v>
      </c>
      <c r="D24" s="30">
        <f ca="1"/>
        <v>1307.0349449888438</v>
      </c>
      <c r="E24" s="30">
        <f ca="1"/>
        <v>1016.7214156806216</v>
      </c>
      <c r="F24" s="30">
        <f ca="1"/>
        <v>94.025804835565424</v>
      </c>
      <c r="G24" s="64">
        <f ca="1"/>
        <v>281.47296754773703</v>
      </c>
      <c r="H24" s="65">
        <f ca="1"/>
        <v>4204.2202924266066</v>
      </c>
    </row>
    <row r="25" spans="1:8" ht="15" customHeight="1">
      <c r="A25" s="17"/>
      <c r="B25" s="22">
        <f>'Oil supply projection'!$B25</f>
        <v>2034</v>
      </c>
      <c r="C25" s="30">
        <f ca="1"/>
        <v>1508.1488737157256</v>
      </c>
      <c r="D25" s="30">
        <f ca="1"/>
        <v>1309.0146918134919</v>
      </c>
      <c r="E25" s="30">
        <f ca="1"/>
        <v>1020.4007799905938</v>
      </c>
      <c r="F25" s="30">
        <f ca="1"/>
        <v>103.47269758411315</v>
      </c>
      <c r="G25" s="64">
        <f ca="1"/>
        <v>289.55773759658234</v>
      </c>
      <c r="H25" s="65">
        <f ca="1"/>
        <v>4230.5947807005068</v>
      </c>
    </row>
    <row r="26" spans="1:8" ht="15" customHeight="1">
      <c r="A26" s="17"/>
      <c r="B26" s="22">
        <f>'Oil supply projection'!$B26</f>
        <v>2035</v>
      </c>
      <c r="C26" s="30">
        <f ca="1"/>
        <v>1515.606463446924</v>
      </c>
      <c r="D26" s="30">
        <f ca="1"/>
        <v>1312.6960516518911</v>
      </c>
      <c r="E26" s="30">
        <f ca="1"/>
        <v>1025.5239356198142</v>
      </c>
      <c r="F26" s="30">
        <f ca="1"/>
        <v>112.79278964750466</v>
      </c>
      <c r="G26" s="64">
        <f ca="1"/>
        <v>296.53825599392258</v>
      </c>
      <c r="H26" s="65">
        <f ca="1"/>
        <v>4263.1574963600569</v>
      </c>
    </row>
    <row r="27" spans="1:8" ht="15" customHeight="1">
      <c r="A27" s="17"/>
      <c r="B27" s="22">
        <f>'Oil supply projection'!$B27</f>
        <v>2036</v>
      </c>
      <c r="C27" s="30">
        <f ca="1"/>
        <v>1522.9659739737274</v>
      </c>
      <c r="D27" s="30">
        <f ca="1"/>
        <v>1314.5366514277086</v>
      </c>
      <c r="E27" s="30">
        <f ca="1"/>
        <v>1027.3237654640545</v>
      </c>
      <c r="F27" s="30">
        <f ca="1"/>
        <v>121.69553671679722</v>
      </c>
      <c r="G27" s="64">
        <f ca="1"/>
        <v>304.18176290453874</v>
      </c>
      <c r="H27" s="65">
        <f ca="1"/>
        <v>4290.7036904868264</v>
      </c>
    </row>
    <row r="28" spans="1:8" ht="15" customHeight="1">
      <c r="A28" s="19"/>
      <c r="B28" s="22">
        <f>'Oil supply projection'!$B28</f>
        <v>2037</v>
      </c>
      <c r="C28" s="30">
        <f ca="1"/>
        <v>1530.7198911333815</v>
      </c>
      <c r="D28" s="30">
        <f ca="1"/>
        <v>1315.8278470088264</v>
      </c>
      <c r="E28" s="30">
        <f ca="1"/>
        <v>1030.4294779161739</v>
      </c>
      <c r="F28" s="30">
        <f ca="1"/>
        <v>130.28781454631914</v>
      </c>
      <c r="G28" s="64">
        <f ca="1"/>
        <v>311.20343024528961</v>
      </c>
      <c r="H28" s="65">
        <f ca="1"/>
        <v>4318.4684608499902</v>
      </c>
    </row>
    <row r="29" spans="1:8" ht="15" customHeight="1">
      <c r="A29" s="17"/>
      <c r="B29" s="22">
        <f>'Oil supply projection'!$B29</f>
        <v>2038</v>
      </c>
      <c r="C29" s="30">
        <f ca="1"/>
        <v>1538.4093402783403</v>
      </c>
      <c r="D29" s="30">
        <f ca="1"/>
        <v>1316.421150426449</v>
      </c>
      <c r="E29" s="30">
        <f ca="1"/>
        <v>1033.7510194690658</v>
      </c>
      <c r="F29" s="30">
        <f ca="1"/>
        <v>138.62254034896637</v>
      </c>
      <c r="G29" s="64">
        <f ca="1"/>
        <v>319.58757561515222</v>
      </c>
      <c r="H29" s="65">
        <f ca="1"/>
        <v>4346.7916261379742</v>
      </c>
    </row>
    <row r="30" spans="1:8" ht="15" customHeight="1">
      <c r="A30" s="17"/>
      <c r="B30" s="22">
        <f>'Oil supply projection'!$B30</f>
        <v>2039</v>
      </c>
      <c r="C30" s="30">
        <f ca="1"/>
        <v>1545.1472644348337</v>
      </c>
      <c r="D30" s="30">
        <f ca="1"/>
        <v>1315.6914237537296</v>
      </c>
      <c r="E30" s="30">
        <f ca="1"/>
        <v>1034.5812336210138</v>
      </c>
      <c r="F30" s="30">
        <f ca="1"/>
        <v>146.4193344277881</v>
      </c>
      <c r="G30" s="64">
        <f ca="1"/>
        <v>327.90107036957511</v>
      </c>
      <c r="H30" s="65">
        <f ca="1"/>
        <v>4369.7403266069405</v>
      </c>
    </row>
    <row r="31" spans="1:8" ht="15" customHeight="1">
      <c r="A31" s="17"/>
      <c r="B31" s="22">
        <f>'Oil supply projection'!$B31</f>
        <v>2040</v>
      </c>
      <c r="C31" s="30">
        <f ca="1"/>
        <v>1551.6310504721307</v>
      </c>
      <c r="D31" s="30">
        <f ca="1"/>
        <v>1316.4656979995511</v>
      </c>
      <c r="E31" s="30">
        <f ca="1"/>
        <v>1037.6501942481725</v>
      </c>
      <c r="F31" s="30">
        <f ca="1"/>
        <v>153.66062987347644</v>
      </c>
      <c r="G31" s="64">
        <f ca="1"/>
        <v>336.02448498588024</v>
      </c>
      <c r="H31" s="65">
        <f ca="1"/>
        <v>4395.4320575792117</v>
      </c>
    </row>
    <row r="32" spans="1:8" ht="15" customHeight="1">
      <c r="A32" s="17"/>
      <c r="B32" s="22">
        <f>'Oil supply projection'!$B32</f>
        <v>2041</v>
      </c>
      <c r="C32" s="30">
        <f ca="1"/>
        <v>1559.646987390591</v>
      </c>
      <c r="D32" s="30">
        <f ca="1"/>
        <v>1319.4265627991185</v>
      </c>
      <c r="E32" s="30">
        <f ca="1"/>
        <v>1043.0897962185511</v>
      </c>
      <c r="F32" s="30">
        <f ca="1"/>
        <v>160.57145309848494</v>
      </c>
      <c r="G32" s="64">
        <f ca="1"/>
        <v>344.08671306088678</v>
      </c>
      <c r="H32" s="65">
        <f ca="1"/>
        <v>4426.8215125676325</v>
      </c>
    </row>
    <row r="33" spans="1:8" ht="15" customHeight="1">
      <c r="A33" s="17"/>
      <c r="B33" s="22">
        <f>'Oil supply projection'!$B33</f>
        <v>2042</v>
      </c>
      <c r="C33" s="30">
        <f ca="1"/>
        <v>1569.7199737083572</v>
      </c>
      <c r="D33" s="30">
        <f ca="1"/>
        <v>1324.0470716969817</v>
      </c>
      <c r="E33" s="30">
        <f ca="1"/>
        <v>1048.6212665668277</v>
      </c>
      <c r="F33" s="30">
        <f ca="1"/>
        <v>167.00728935194505</v>
      </c>
      <c r="G33" s="64">
        <f ca="1"/>
        <v>351.94775638203384</v>
      </c>
      <c r="H33" s="65">
        <f ca="1"/>
        <v>4461.3433577061451</v>
      </c>
    </row>
    <row r="34" spans="1:8" ht="15" customHeight="1">
      <c r="A34" s="17"/>
      <c r="B34" s="22">
        <f>'Oil supply projection'!$B34</f>
        <v>2043</v>
      </c>
      <c r="C34" s="30">
        <f ca="1"/>
        <v>1582.6873586207748</v>
      </c>
      <c r="D34" s="30">
        <f ca="1"/>
        <v>1331.0981432581011</v>
      </c>
      <c r="E34" s="30">
        <f ca="1"/>
        <v>1054.1628406483469</v>
      </c>
      <c r="F34" s="30">
        <f ca="1"/>
        <v>173.00355473476304</v>
      </c>
      <c r="G34" s="64">
        <f ca="1"/>
        <v>359.9316871165118</v>
      </c>
      <c r="H34" s="65">
        <f ca="1"/>
        <v>4500.8835843784982</v>
      </c>
    </row>
    <row r="35" spans="1:8" ht="15" customHeight="1">
      <c r="A35" s="17"/>
      <c r="B35" s="22">
        <f>'Oil supply projection'!$B35</f>
        <v>2044</v>
      </c>
      <c r="C35" s="30">
        <f ca="1"/>
        <v>1595.6047763809763</v>
      </c>
      <c r="D35" s="30">
        <f ca="1"/>
        <v>1337.1894157415184</v>
      </c>
      <c r="E35" s="30">
        <f ca="1"/>
        <v>1057.0146489744918</v>
      </c>
      <c r="F35" s="30">
        <f ca="1"/>
        <v>178.55544214194694</v>
      </c>
      <c r="G35" s="64">
        <f ca="1"/>
        <v>368.47630356543374</v>
      </c>
      <c r="H35" s="65">
        <f ca="1"/>
        <v>4536.8405868043674</v>
      </c>
    </row>
    <row r="36" spans="1:8" ht="15" customHeight="1">
      <c r="A36" s="17"/>
      <c r="B36" s="22">
        <f>'Oil supply projection'!$B36</f>
        <v>2045</v>
      </c>
      <c r="C36" s="30" t="e">
        <f ca="1"/>
        <v>#DIV/0!</v>
      </c>
      <c r="D36" s="30" t="e">
        <f ca="1"/>
        <v>#DIV/0!</v>
      </c>
      <c r="E36" s="30" t="e">
        <f ca="1"/>
        <v>#DIV/0!</v>
      </c>
      <c r="F36" s="30" t="e">
        <f ca="1"/>
        <v>#DIV/0!</v>
      </c>
      <c r="G36" s="64" t="e">
        <f ca="1"/>
        <v>#DIV/0!</v>
      </c>
      <c r="H36" s="65" t="e">
        <f ca="1"/>
        <v>#DIV/0!</v>
      </c>
    </row>
    <row r="37" spans="1:8" ht="15" customHeight="1">
      <c r="A37" s="17"/>
      <c r="B37" s="22">
        <f>'Oil supply projection'!$B37</f>
        <v>2046</v>
      </c>
      <c r="C37" s="30" t="e">
        <f ca="1"/>
        <v>#DIV/0!</v>
      </c>
      <c r="D37" s="30" t="e">
        <f ca="1"/>
        <v>#DIV/0!</v>
      </c>
      <c r="E37" s="30" t="e">
        <f ca="1"/>
        <v>#DIV/0!</v>
      </c>
      <c r="F37" s="30" t="e">
        <f ca="1"/>
        <v>#DIV/0!</v>
      </c>
      <c r="G37" s="64" t="e">
        <f ca="1"/>
        <v>#DIV/0!</v>
      </c>
      <c r="H37" s="65" t="e">
        <f ca="1"/>
        <v>#DIV/0!</v>
      </c>
    </row>
    <row r="38" spans="1:8" ht="15" customHeight="1">
      <c r="A38" s="17"/>
      <c r="B38" s="22">
        <f>'Oil supply projection'!$B38</f>
        <v>2047</v>
      </c>
      <c r="C38" s="30" t="e">
        <f ca="1"/>
        <v>#DIV/0!</v>
      </c>
      <c r="D38" s="30" t="e">
        <f ca="1"/>
        <v>#DIV/0!</v>
      </c>
      <c r="E38" s="30" t="e">
        <f ca="1"/>
        <v>#DIV/0!</v>
      </c>
      <c r="F38" s="30" t="e">
        <f ca="1"/>
        <v>#DIV/0!</v>
      </c>
      <c r="G38" s="64" t="e">
        <f ca="1"/>
        <v>#DIV/0!</v>
      </c>
      <c r="H38" s="65" t="e">
        <f ca="1"/>
        <v>#DIV/0!</v>
      </c>
    </row>
    <row r="39" spans="1:8" ht="15" customHeight="1">
      <c r="A39" s="19"/>
      <c r="B39" s="22">
        <f>'Oil supply projection'!$B39</f>
        <v>2048</v>
      </c>
      <c r="C39" s="30" t="e">
        <f ca="1"/>
        <v>#DIV/0!</v>
      </c>
      <c r="D39" s="30" t="e">
        <f ca="1"/>
        <v>#DIV/0!</v>
      </c>
      <c r="E39" s="30" t="e">
        <f ca="1"/>
        <v>#DIV/0!</v>
      </c>
      <c r="F39" s="30" t="e">
        <f ca="1"/>
        <v>#DIV/0!</v>
      </c>
      <c r="G39" s="64" t="e">
        <f ca="1"/>
        <v>#DIV/0!</v>
      </c>
      <c r="H39" s="65" t="e">
        <f ca="1"/>
        <v>#DIV/0!</v>
      </c>
    </row>
    <row r="40" spans="1:8" ht="15" customHeight="1">
      <c r="A40" s="17"/>
      <c r="B40" s="22">
        <f>'Oil supply projection'!$B40</f>
        <v>2049</v>
      </c>
      <c r="C40" s="30" t="e">
        <f ca="1"/>
        <v>#DIV/0!</v>
      </c>
      <c r="D40" s="30" t="e">
        <f ca="1"/>
        <v>#DIV/0!</v>
      </c>
      <c r="E40" s="30" t="e">
        <f ca="1"/>
        <v>#DIV/0!</v>
      </c>
      <c r="F40" s="30" t="e">
        <f ca="1"/>
        <v>#DIV/0!</v>
      </c>
      <c r="G40" s="64" t="e">
        <f ca="1"/>
        <v>#DIV/0!</v>
      </c>
      <c r="H40" s="65" t="e">
        <f ca="1"/>
        <v>#DIV/0!</v>
      </c>
    </row>
    <row r="41" spans="1:8" ht="15" customHeight="1">
      <c r="A41" s="17"/>
      <c r="B41" s="22">
        <f>'Oil supply projection'!$B41</f>
        <v>2050</v>
      </c>
      <c r="C41" s="30" t="e">
        <f ca="1"/>
        <v>#DIV/0!</v>
      </c>
      <c r="D41" s="30" t="e">
        <f ca="1"/>
        <v>#DIV/0!</v>
      </c>
      <c r="E41" s="30" t="e">
        <f ca="1"/>
        <v>#DIV/0!</v>
      </c>
      <c r="F41" s="30" t="e">
        <f ca="1"/>
        <v>#DIV/0!</v>
      </c>
      <c r="G41" s="64" t="e">
        <f ca="1"/>
        <v>#DIV/0!</v>
      </c>
      <c r="H41" s="65" t="e">
        <f ca="1"/>
        <v>#DIV/0!</v>
      </c>
    </row>
    <row r="42" spans="1:8" ht="15" customHeight="1">
      <c r="A42" s="17"/>
      <c r="B42" s="22">
        <f>'Oil supply projection'!$B42</f>
        <v>2051</v>
      </c>
      <c r="C42" s="30" t="e">
        <f ca="1"/>
        <v>#DIV/0!</v>
      </c>
      <c r="D42" s="30" t="e">
        <f ca="1"/>
        <v>#DIV/0!</v>
      </c>
      <c r="E42" s="30" t="e">
        <f ca="1"/>
        <v>#DIV/0!</v>
      </c>
      <c r="F42" s="30" t="e">
        <f ca="1"/>
        <v>#DIV/0!</v>
      </c>
      <c r="G42" s="64" t="e">
        <f ca="1"/>
        <v>#DIV/0!</v>
      </c>
      <c r="H42" s="65" t="e">
        <f ca="1"/>
        <v>#DIV/0!</v>
      </c>
    </row>
    <row r="43" spans="1:8" ht="15" customHeight="1">
      <c r="A43" s="17"/>
      <c r="B43" s="22">
        <f>'Oil supply projection'!$B43</f>
        <v>2052</v>
      </c>
      <c r="C43" s="30" t="e">
        <f ca="1"/>
        <v>#DIV/0!</v>
      </c>
      <c r="D43" s="30" t="e">
        <f ca="1"/>
        <v>#DIV/0!</v>
      </c>
      <c r="E43" s="30" t="e">
        <f ca="1"/>
        <v>#DIV/0!</v>
      </c>
      <c r="F43" s="30" t="e">
        <f ca="1"/>
        <v>#DIV/0!</v>
      </c>
      <c r="G43" s="64" t="e">
        <f ca="1"/>
        <v>#DIV/0!</v>
      </c>
      <c r="H43" s="65" t="e">
        <f ca="1"/>
        <v>#DIV/0!</v>
      </c>
    </row>
    <row r="44" spans="1:8" ht="15" customHeight="1">
      <c r="A44" s="17"/>
      <c r="B44" s="22">
        <f>'Oil supply projection'!$B44</f>
        <v>2053</v>
      </c>
      <c r="C44" s="30" t="e">
        <f ca="1"/>
        <v>#DIV/0!</v>
      </c>
      <c r="D44" s="30" t="e">
        <f ca="1"/>
        <v>#DIV/0!</v>
      </c>
      <c r="E44" s="30" t="e">
        <f ca="1"/>
        <v>#DIV/0!</v>
      </c>
      <c r="F44" s="30" t="e">
        <f ca="1"/>
        <v>#DIV/0!</v>
      </c>
      <c r="G44" s="64" t="e">
        <f ca="1"/>
        <v>#DIV/0!</v>
      </c>
      <c r="H44" s="65" t="e">
        <f ca="1"/>
        <v>#DIV/0!</v>
      </c>
    </row>
    <row r="45" spans="1:8" ht="15" customHeight="1">
      <c r="A45" s="17"/>
      <c r="B45" s="22">
        <f>'Oil supply projection'!$B45</f>
        <v>2054</v>
      </c>
      <c r="C45" s="30" t="e">
        <f ca="1"/>
        <v>#DIV/0!</v>
      </c>
      <c r="D45" s="30" t="e">
        <f ca="1"/>
        <v>#DIV/0!</v>
      </c>
      <c r="E45" s="30" t="e">
        <f ca="1"/>
        <v>#DIV/0!</v>
      </c>
      <c r="F45" s="30" t="e">
        <f ca="1"/>
        <v>#DIV/0!</v>
      </c>
      <c r="G45" s="64" t="e">
        <f ca="1"/>
        <v>#DIV/0!</v>
      </c>
      <c r="H45" s="65" t="e">
        <f ca="1"/>
        <v>#DIV/0!</v>
      </c>
    </row>
    <row r="46" spans="1:8" ht="15" customHeight="1">
      <c r="A46" s="17"/>
      <c r="B46" s="22">
        <f>'Oil supply projection'!$B46</f>
        <v>2055</v>
      </c>
      <c r="C46" s="30" t="e">
        <f ca="1"/>
        <v>#DIV/0!</v>
      </c>
      <c r="D46" s="30" t="e">
        <f ca="1"/>
        <v>#DIV/0!</v>
      </c>
      <c r="E46" s="30" t="e">
        <f ca="1"/>
        <v>#DIV/0!</v>
      </c>
      <c r="F46" s="30" t="e">
        <f ca="1"/>
        <v>#DIV/0!</v>
      </c>
      <c r="G46" s="64" t="e">
        <f ca="1"/>
        <v>#DIV/0!</v>
      </c>
      <c r="H46" s="65" t="e">
        <f ca="1"/>
        <v>#DIV/0!</v>
      </c>
    </row>
    <row r="47" spans="1:8" ht="15" customHeight="1">
      <c r="A47" s="17"/>
      <c r="B47" s="22">
        <f>'Oil supply projection'!$B47</f>
        <v>2056</v>
      </c>
      <c r="C47" s="30" t="e">
        <f ca="1"/>
        <v>#DIV/0!</v>
      </c>
      <c r="D47" s="30" t="e">
        <f ca="1"/>
        <v>#DIV/0!</v>
      </c>
      <c r="E47" s="30" t="e">
        <f ca="1"/>
        <v>#DIV/0!</v>
      </c>
      <c r="F47" s="30" t="e">
        <f ca="1"/>
        <v>#DIV/0!</v>
      </c>
      <c r="G47" s="64" t="e">
        <f ca="1"/>
        <v>#DIV/0!</v>
      </c>
      <c r="H47" s="65" t="e">
        <f ca="1"/>
        <v>#DIV/0!</v>
      </c>
    </row>
    <row r="48" spans="1:8" ht="15" customHeight="1">
      <c r="A48" s="17"/>
      <c r="B48" s="22">
        <f>'Oil supply projection'!$B48</f>
        <v>2057</v>
      </c>
      <c r="C48" s="30" t="e">
        <f ca="1"/>
        <v>#DIV/0!</v>
      </c>
      <c r="D48" s="30" t="e">
        <f ca="1"/>
        <v>#DIV/0!</v>
      </c>
      <c r="E48" s="30" t="e">
        <f ca="1"/>
        <v>#DIV/0!</v>
      </c>
      <c r="F48" s="30" t="e">
        <f ca="1"/>
        <v>#DIV/0!</v>
      </c>
      <c r="G48" s="64" t="e">
        <f ca="1"/>
        <v>#DIV/0!</v>
      </c>
      <c r="H48" s="65" t="e">
        <f ca="1"/>
        <v>#DIV/0!</v>
      </c>
    </row>
    <row r="49" spans="1:8" ht="15" customHeight="1">
      <c r="A49" s="17"/>
      <c r="B49" s="22">
        <f>'Oil supply projection'!$B49</f>
        <v>2058</v>
      </c>
      <c r="C49" s="30" t="e">
        <f ca="1"/>
        <v>#DIV/0!</v>
      </c>
      <c r="D49" s="30" t="e">
        <f ca="1"/>
        <v>#DIV/0!</v>
      </c>
      <c r="E49" s="30" t="e">
        <f ca="1"/>
        <v>#DIV/0!</v>
      </c>
      <c r="F49" s="30" t="e">
        <f ca="1"/>
        <v>#DIV/0!</v>
      </c>
      <c r="G49" s="64" t="e">
        <f ca="1"/>
        <v>#DIV/0!</v>
      </c>
      <c r="H49" s="65" t="e">
        <f ca="1"/>
        <v>#DIV/0!</v>
      </c>
    </row>
    <row r="50" spans="1:8" ht="15" customHeight="1">
      <c r="A50" s="17"/>
      <c r="B50" s="22">
        <f>'Oil supply projection'!$B50</f>
        <v>2059</v>
      </c>
      <c r="C50" s="30" t="e">
        <f ca="1"/>
        <v>#DIV/0!</v>
      </c>
      <c r="D50" s="30" t="e">
        <f ca="1"/>
        <v>#DIV/0!</v>
      </c>
      <c r="E50" s="30" t="e">
        <f ca="1"/>
        <v>#DIV/0!</v>
      </c>
      <c r="F50" s="30" t="e">
        <f ca="1"/>
        <v>#DIV/0!</v>
      </c>
      <c r="G50" s="64" t="e">
        <f ca="1"/>
        <v>#DIV/0!</v>
      </c>
      <c r="H50" s="65" t="e">
        <f ca="1"/>
        <v>#DIV/0!</v>
      </c>
    </row>
    <row r="51" spans="1:8" ht="15" customHeight="1">
      <c r="A51" s="17"/>
      <c r="B51" s="22">
        <f>'Oil supply projection'!$B51</f>
        <v>2060</v>
      </c>
      <c r="C51" s="30" t="e">
        <f ca="1"/>
        <v>#DIV/0!</v>
      </c>
      <c r="D51" s="30" t="e">
        <f ca="1"/>
        <v>#DIV/0!</v>
      </c>
      <c r="E51" s="30" t="e">
        <f ca="1"/>
        <v>#DIV/0!</v>
      </c>
      <c r="F51" s="30" t="e">
        <f ca="1"/>
        <v>#DIV/0!</v>
      </c>
      <c r="G51" s="64" t="e">
        <f ca="1"/>
        <v>#DIV/0!</v>
      </c>
      <c r="H51" s="65" t="e">
        <f ca="1"/>
        <v>#DIV/0!</v>
      </c>
    </row>
    <row r="52" spans="1:8" ht="15" customHeight="1">
      <c r="A52" s="17"/>
      <c r="B52" s="22">
        <f>'Oil supply projection'!$B52</f>
        <v>2061</v>
      </c>
      <c r="C52" s="30" t="e">
        <f ca="1"/>
        <v>#DIV/0!</v>
      </c>
      <c r="D52" s="30" t="e">
        <f ca="1"/>
        <v>#DIV/0!</v>
      </c>
      <c r="E52" s="30" t="e">
        <f ca="1"/>
        <v>#DIV/0!</v>
      </c>
      <c r="F52" s="30" t="e">
        <f ca="1"/>
        <v>#DIV/0!</v>
      </c>
      <c r="G52" s="64" t="e">
        <f ca="1"/>
        <v>#DIV/0!</v>
      </c>
      <c r="H52" s="65" t="e">
        <f ca="1"/>
        <v>#DIV/0!</v>
      </c>
    </row>
    <row r="53" spans="1:8" ht="15" customHeight="1">
      <c r="A53" s="16"/>
      <c r="B53" s="22">
        <f>'Oil supply projection'!$B53</f>
        <v>2062</v>
      </c>
      <c r="C53" s="30" t="e">
        <f ca="1"/>
        <v>#DIV/0!</v>
      </c>
      <c r="D53" s="30" t="e">
        <f ca="1"/>
        <v>#DIV/0!</v>
      </c>
      <c r="E53" s="30" t="e">
        <f ca="1"/>
        <v>#DIV/0!</v>
      </c>
      <c r="F53" s="30" t="e">
        <f ca="1"/>
        <v>#DIV/0!</v>
      </c>
      <c r="G53" s="64" t="e">
        <f ca="1"/>
        <v>#DIV/0!</v>
      </c>
      <c r="H53" s="65" t="e">
        <f ca="1"/>
        <v>#DIV/0!</v>
      </c>
    </row>
    <row r="54" spans="1:8" ht="15" customHeight="1">
      <c r="A54" s="16"/>
      <c r="B54" s="22">
        <f>'Oil supply projection'!$B54</f>
        <v>2063</v>
      </c>
      <c r="C54" s="30" t="e">
        <f ca="1"/>
        <v>#DIV/0!</v>
      </c>
      <c r="D54" s="30" t="e">
        <f ca="1"/>
        <v>#DIV/0!</v>
      </c>
      <c r="E54" s="30" t="e">
        <f ca="1"/>
        <v>#DIV/0!</v>
      </c>
      <c r="F54" s="30" t="e">
        <f ca="1"/>
        <v>#DIV/0!</v>
      </c>
      <c r="G54" s="64" t="e">
        <f ca="1"/>
        <v>#DIV/0!</v>
      </c>
      <c r="H54" s="65" t="e">
        <f ca="1"/>
        <v>#DIV/0!</v>
      </c>
    </row>
    <row r="55" spans="1:8" ht="15" customHeight="1">
      <c r="A55" s="16"/>
      <c r="B55" s="22">
        <f>'Oil supply projection'!$B55</f>
        <v>2064</v>
      </c>
      <c r="C55" s="30" t="e">
        <f ca="1"/>
        <v>#DIV/0!</v>
      </c>
      <c r="D55" s="30" t="e">
        <f ca="1"/>
        <v>#DIV/0!</v>
      </c>
      <c r="E55" s="30" t="e">
        <f ca="1"/>
        <v>#DIV/0!</v>
      </c>
      <c r="F55" s="30" t="e">
        <f ca="1"/>
        <v>#DIV/0!</v>
      </c>
      <c r="G55" s="64" t="e">
        <f ca="1"/>
        <v>#DIV/0!</v>
      </c>
      <c r="H55" s="65" t="e">
        <f ca="1"/>
        <v>#DIV/0!</v>
      </c>
    </row>
    <row r="56" spans="1:8" ht="15" customHeight="1">
      <c r="A56" s="16"/>
      <c r="B56" s="22">
        <f>'Oil supply projection'!$B56</f>
        <v>2065</v>
      </c>
      <c r="C56" s="30" t="e">
        <f ca="1"/>
        <v>#DIV/0!</v>
      </c>
      <c r="D56" s="30" t="e">
        <f ca="1"/>
        <v>#DIV/0!</v>
      </c>
      <c r="E56" s="30" t="e">
        <f ca="1"/>
        <v>#DIV/0!</v>
      </c>
      <c r="F56" s="30" t="e">
        <f ca="1"/>
        <v>#DIV/0!</v>
      </c>
      <c r="G56" s="64" t="e">
        <f ca="1"/>
        <v>#DIV/0!</v>
      </c>
      <c r="H56" s="65" t="e">
        <f ca="1"/>
        <v>#DIV/0!</v>
      </c>
    </row>
    <row r="57" spans="1:8" ht="15" customHeight="1">
      <c r="A57" s="16"/>
      <c r="B57" s="22">
        <f>'Oil supply projection'!$B57</f>
        <v>2066</v>
      </c>
      <c r="C57" s="30" t="e">
        <f ca="1"/>
        <v>#DIV/0!</v>
      </c>
      <c r="D57" s="30" t="e">
        <f ca="1"/>
        <v>#DIV/0!</v>
      </c>
      <c r="E57" s="30" t="e">
        <f ca="1"/>
        <v>#DIV/0!</v>
      </c>
      <c r="F57" s="30" t="e">
        <f ca="1"/>
        <v>#DIV/0!</v>
      </c>
      <c r="G57" s="64" t="e">
        <f ca="1"/>
        <v>#DIV/0!</v>
      </c>
      <c r="H57" s="65" t="e">
        <f ca="1"/>
        <v>#DIV/0!</v>
      </c>
    </row>
    <row r="58" spans="1:8" ht="15" customHeight="1">
      <c r="A58" s="16"/>
      <c r="B58" s="22">
        <f>'Oil supply projection'!$B58</f>
        <v>2067</v>
      </c>
      <c r="C58" s="30" t="e">
        <f ca="1"/>
        <v>#DIV/0!</v>
      </c>
      <c r="D58" s="30" t="e">
        <f ca="1"/>
        <v>#DIV/0!</v>
      </c>
      <c r="E58" s="30" t="e">
        <f ca="1"/>
        <v>#DIV/0!</v>
      </c>
      <c r="F58" s="30" t="e">
        <f ca="1"/>
        <v>#DIV/0!</v>
      </c>
      <c r="G58" s="64" t="e">
        <f ca="1"/>
        <v>#DIV/0!</v>
      </c>
      <c r="H58" s="65" t="e">
        <f ca="1"/>
        <v>#DIV/0!</v>
      </c>
    </row>
    <row r="59" spans="1:8" ht="15" customHeight="1">
      <c r="A59" s="16"/>
      <c r="B59" s="22">
        <f>'Oil supply projection'!$B59</f>
        <v>2068</v>
      </c>
      <c r="C59" s="30" t="e">
        <f ca="1"/>
        <v>#DIV/0!</v>
      </c>
      <c r="D59" s="30" t="e">
        <f ca="1"/>
        <v>#DIV/0!</v>
      </c>
      <c r="E59" s="30" t="e">
        <f ca="1"/>
        <v>#DIV/0!</v>
      </c>
      <c r="F59" s="30" t="e">
        <f ca="1"/>
        <v>#DIV/0!</v>
      </c>
      <c r="G59" s="64" t="e">
        <f ca="1"/>
        <v>#DIV/0!</v>
      </c>
      <c r="H59" s="65" t="e">
        <f ca="1"/>
        <v>#DIV/0!</v>
      </c>
    </row>
    <row r="60" spans="1:8" ht="15" customHeight="1">
      <c r="A60" s="16"/>
      <c r="B60" s="22">
        <f>'Oil supply projection'!$B60</f>
        <v>2069</v>
      </c>
      <c r="C60" s="30" t="e">
        <f ca="1"/>
        <v>#DIV/0!</v>
      </c>
      <c r="D60" s="30" t="e">
        <f ca="1"/>
        <v>#DIV/0!</v>
      </c>
      <c r="E60" s="30" t="e">
        <f ca="1"/>
        <v>#DIV/0!</v>
      </c>
      <c r="F60" s="30" t="e">
        <f ca="1"/>
        <v>#DIV/0!</v>
      </c>
      <c r="G60" s="64" t="e">
        <f ca="1"/>
        <v>#DIV/0!</v>
      </c>
      <c r="H60" s="65" t="e">
        <f ca="1"/>
        <v>#DIV/0!</v>
      </c>
    </row>
    <row r="61" spans="1:8" ht="15" customHeight="1">
      <c r="A61" s="16"/>
      <c r="B61" s="22">
        <f>'Oil supply projection'!$B61</f>
        <v>2070</v>
      </c>
      <c r="C61" s="30" t="e">
        <f ca="1"/>
        <v>#DIV/0!</v>
      </c>
      <c r="D61" s="30" t="e">
        <f ca="1"/>
        <v>#DIV/0!</v>
      </c>
      <c r="E61" s="30" t="e">
        <f ca="1"/>
        <v>#DIV/0!</v>
      </c>
      <c r="F61" s="30" t="e">
        <f ca="1"/>
        <v>#DIV/0!</v>
      </c>
      <c r="G61" s="64" t="e">
        <f ca="1"/>
        <v>#DIV/0!</v>
      </c>
      <c r="H61" s="65" t="e">
        <f ca="1"/>
        <v>#DIV/0!</v>
      </c>
    </row>
    <row r="62" spans="1:8" ht="15" customHeight="1">
      <c r="A62" s="16"/>
      <c r="B62" s="22">
        <f>'Oil supply projection'!$B62</f>
        <v>2071</v>
      </c>
      <c r="C62" s="30" t="e">
        <f ca="1"/>
        <v>#DIV/0!</v>
      </c>
      <c r="D62" s="30" t="e">
        <f ca="1"/>
        <v>#DIV/0!</v>
      </c>
      <c r="E62" s="30" t="e">
        <f ca="1"/>
        <v>#DIV/0!</v>
      </c>
      <c r="F62" s="30" t="e">
        <f ca="1"/>
        <v>#DIV/0!</v>
      </c>
      <c r="G62" s="64" t="e">
        <f ca="1"/>
        <v>#DIV/0!</v>
      </c>
      <c r="H62" s="65" t="e">
        <f ca="1"/>
        <v>#DIV/0!</v>
      </c>
    </row>
    <row r="63" spans="1:8" ht="15" customHeight="1">
      <c r="A63" s="16"/>
      <c r="B63" s="22">
        <f>'Oil supply projection'!$B63</f>
        <v>2072</v>
      </c>
      <c r="C63" s="30" t="e">
        <f ca="1"/>
        <v>#DIV/0!</v>
      </c>
      <c r="D63" s="30" t="e">
        <f ca="1"/>
        <v>#DIV/0!</v>
      </c>
      <c r="E63" s="30" t="e">
        <f ca="1"/>
        <v>#DIV/0!</v>
      </c>
      <c r="F63" s="30" t="e">
        <f ca="1"/>
        <v>#DIV/0!</v>
      </c>
      <c r="G63" s="64" t="e">
        <f ca="1"/>
        <v>#DIV/0!</v>
      </c>
      <c r="H63" s="65" t="e">
        <f ca="1"/>
        <v>#DIV/0!</v>
      </c>
    </row>
    <row r="64" spans="1:8" ht="15" customHeight="1">
      <c r="A64" s="16"/>
      <c r="B64" s="22">
        <f>'Oil supply projection'!$B64</f>
        <v>2073</v>
      </c>
      <c r="C64" s="30" t="e">
        <f ca="1"/>
        <v>#DIV/0!</v>
      </c>
      <c r="D64" s="30" t="e">
        <f ca="1"/>
        <v>#DIV/0!</v>
      </c>
      <c r="E64" s="30" t="e">
        <f ca="1"/>
        <v>#DIV/0!</v>
      </c>
      <c r="F64" s="30" t="e">
        <f ca="1"/>
        <v>#DIV/0!</v>
      </c>
      <c r="G64" s="64" t="e">
        <f ca="1"/>
        <v>#DIV/0!</v>
      </c>
      <c r="H64" s="65" t="e">
        <f ca="1"/>
        <v>#DIV/0!</v>
      </c>
    </row>
    <row r="65" spans="1:8" ht="15" customHeight="1">
      <c r="A65" s="16"/>
      <c r="B65" s="22">
        <f>'Oil supply projection'!$B65</f>
        <v>2074</v>
      </c>
      <c r="C65" s="30" t="e">
        <f ca="1"/>
        <v>#DIV/0!</v>
      </c>
      <c r="D65" s="30" t="e">
        <f ca="1"/>
        <v>#DIV/0!</v>
      </c>
      <c r="E65" s="30" t="e">
        <f ca="1"/>
        <v>#DIV/0!</v>
      </c>
      <c r="F65" s="30" t="e">
        <f ca="1"/>
        <v>#DIV/0!</v>
      </c>
      <c r="G65" s="64" t="e">
        <f ca="1"/>
        <v>#DIV/0!</v>
      </c>
      <c r="H65" s="65" t="e">
        <f ca="1"/>
        <v>#DIV/0!</v>
      </c>
    </row>
    <row r="66" spans="1:8" ht="15" customHeight="1">
      <c r="A66" s="16"/>
      <c r="B66" s="22">
        <f>'Oil supply projection'!$B66</f>
        <v>2075</v>
      </c>
      <c r="C66" s="30" t="e">
        <f ca="1"/>
        <v>#DIV/0!</v>
      </c>
      <c r="D66" s="30" t="e">
        <f ca="1"/>
        <v>#DIV/0!</v>
      </c>
      <c r="E66" s="30" t="e">
        <f ca="1"/>
        <v>#DIV/0!</v>
      </c>
      <c r="F66" s="30" t="e">
        <f ca="1"/>
        <v>#DIV/0!</v>
      </c>
      <c r="G66" s="64" t="e">
        <f ca="1"/>
        <v>#DIV/0!</v>
      </c>
      <c r="H66" s="65" t="e">
        <f ca="1"/>
        <v>#DIV/0!</v>
      </c>
    </row>
    <row r="67" spans="1:8" ht="15" customHeight="1">
      <c r="A67" s="16"/>
      <c r="B67" s="22">
        <f>'Oil supply projection'!$B67</f>
        <v>2076</v>
      </c>
      <c r="C67" s="30" t="e">
        <f ca="1"/>
        <v>#DIV/0!</v>
      </c>
      <c r="D67" s="30" t="e">
        <f ca="1"/>
        <v>#DIV/0!</v>
      </c>
      <c r="E67" s="30" t="e">
        <f ca="1"/>
        <v>#DIV/0!</v>
      </c>
      <c r="F67" s="30" t="e">
        <f ca="1"/>
        <v>#DIV/0!</v>
      </c>
      <c r="G67" s="64" t="e">
        <f ca="1"/>
        <v>#DIV/0!</v>
      </c>
      <c r="H67" s="65" t="e">
        <f ca="1"/>
        <v>#DIV/0!</v>
      </c>
    </row>
    <row r="68" spans="1:8" ht="15" customHeight="1">
      <c r="A68" s="16"/>
      <c r="B68" s="22">
        <f>'Oil supply projection'!$B68</f>
        <v>2077</v>
      </c>
      <c r="C68" s="30" t="e">
        <f ca="1"/>
        <v>#DIV/0!</v>
      </c>
      <c r="D68" s="30" t="e">
        <f ca="1"/>
        <v>#DIV/0!</v>
      </c>
      <c r="E68" s="30" t="e">
        <f ca="1"/>
        <v>#DIV/0!</v>
      </c>
      <c r="F68" s="30" t="e">
        <f ca="1"/>
        <v>#DIV/0!</v>
      </c>
      <c r="G68" s="64" t="e">
        <f ca="1"/>
        <v>#DIV/0!</v>
      </c>
      <c r="H68" s="65" t="e">
        <f ca="1"/>
        <v>#DIV/0!</v>
      </c>
    </row>
    <row r="69" spans="1:8" ht="15" customHeight="1">
      <c r="A69" s="16"/>
      <c r="B69" s="22">
        <f>'Oil supply projection'!$B69</f>
        <v>2078</v>
      </c>
      <c r="C69" s="30" t="e">
        <f ca="1"/>
        <v>#DIV/0!</v>
      </c>
      <c r="D69" s="30" t="e">
        <f ca="1"/>
        <v>#DIV/0!</v>
      </c>
      <c r="E69" s="30" t="e">
        <f ca="1"/>
        <v>#DIV/0!</v>
      </c>
      <c r="F69" s="30" t="e">
        <f ca="1"/>
        <v>#DIV/0!</v>
      </c>
      <c r="G69" s="64" t="e">
        <f ca="1"/>
        <v>#DIV/0!</v>
      </c>
      <c r="H69" s="65" t="e">
        <f ca="1"/>
        <v>#DIV/0!</v>
      </c>
    </row>
    <row r="70" spans="1:8" ht="15" customHeight="1">
      <c r="A70" s="16"/>
      <c r="B70" s="22">
        <f>'Oil supply projection'!$B70</f>
        <v>2079</v>
      </c>
      <c r="C70" s="30" t="e">
        <f ca="1"/>
        <v>#DIV/0!</v>
      </c>
      <c r="D70" s="30" t="e">
        <f ca="1"/>
        <v>#DIV/0!</v>
      </c>
      <c r="E70" s="30" t="e">
        <f ca="1"/>
        <v>#DIV/0!</v>
      </c>
      <c r="F70" s="30" t="e">
        <f ca="1"/>
        <v>#DIV/0!</v>
      </c>
      <c r="G70" s="64" t="e">
        <f ca="1"/>
        <v>#DIV/0!</v>
      </c>
      <c r="H70" s="65" t="e">
        <f ca="1"/>
        <v>#DIV/0!</v>
      </c>
    </row>
    <row r="71" spans="1:8" ht="15" customHeight="1">
      <c r="A71" s="16"/>
      <c r="B71" s="22">
        <f>'Oil supply projection'!$B71</f>
        <v>2080</v>
      </c>
      <c r="C71" s="30" t="e">
        <f ca="1"/>
        <v>#DIV/0!</v>
      </c>
      <c r="D71" s="30" t="e">
        <f ca="1"/>
        <v>#DIV/0!</v>
      </c>
      <c r="E71" s="30" t="e">
        <f ca="1"/>
        <v>#DIV/0!</v>
      </c>
      <c r="F71" s="30" t="e">
        <f ca="1"/>
        <v>#DIV/0!</v>
      </c>
      <c r="G71" s="64" t="e">
        <f ca="1"/>
        <v>#DIV/0!</v>
      </c>
      <c r="H71" s="65" t="e">
        <f ca="1"/>
        <v>#DIV/0!</v>
      </c>
    </row>
    <row r="72" spans="1:8" ht="15" customHeight="1">
      <c r="A72" s="16"/>
      <c r="B72" s="22">
        <f>'Oil supply projection'!$B72</f>
        <v>2081</v>
      </c>
      <c r="C72" s="30" t="e">
        <f ca="1"/>
        <v>#DIV/0!</v>
      </c>
      <c r="D72" s="30" t="e">
        <f ca="1"/>
        <v>#DIV/0!</v>
      </c>
      <c r="E72" s="30" t="e">
        <f ca="1"/>
        <v>#DIV/0!</v>
      </c>
      <c r="F72" s="30" t="e">
        <f ca="1"/>
        <v>#DIV/0!</v>
      </c>
      <c r="G72" s="64" t="e">
        <f ca="1"/>
        <v>#DIV/0!</v>
      </c>
      <c r="H72" s="65" t="e">
        <f ca="1"/>
        <v>#DIV/0!</v>
      </c>
    </row>
    <row r="73" spans="1:8" ht="15" customHeight="1">
      <c r="A73" s="16"/>
      <c r="B73" s="22">
        <f>'Oil supply projection'!$B73</f>
        <v>2082</v>
      </c>
      <c r="C73" s="30" t="e">
        <f ca="1"/>
        <v>#DIV/0!</v>
      </c>
      <c r="D73" s="30" t="e">
        <f ca="1"/>
        <v>#DIV/0!</v>
      </c>
      <c r="E73" s="30" t="e">
        <f ca="1"/>
        <v>#DIV/0!</v>
      </c>
      <c r="F73" s="30" t="e">
        <f ca="1"/>
        <v>#DIV/0!</v>
      </c>
      <c r="G73" s="64" t="e">
        <f ca="1"/>
        <v>#DIV/0!</v>
      </c>
      <c r="H73" s="65" t="e">
        <f ca="1"/>
        <v>#DIV/0!</v>
      </c>
    </row>
    <row r="74" spans="1:8" ht="15" customHeight="1">
      <c r="A74" s="16"/>
      <c r="B74" s="22">
        <f>'Oil supply projection'!$B74</f>
        <v>2083</v>
      </c>
      <c r="C74" s="30" t="e">
        <f ca="1"/>
        <v>#DIV/0!</v>
      </c>
      <c r="D74" s="30" t="e">
        <f ca="1"/>
        <v>#DIV/0!</v>
      </c>
      <c r="E74" s="30" t="e">
        <f ca="1"/>
        <v>#DIV/0!</v>
      </c>
      <c r="F74" s="30" t="e">
        <f ca="1"/>
        <v>#DIV/0!</v>
      </c>
      <c r="G74" s="64" t="e">
        <f ca="1"/>
        <v>#DIV/0!</v>
      </c>
      <c r="H74" s="65" t="e">
        <f ca="1"/>
        <v>#DIV/0!</v>
      </c>
    </row>
    <row r="75" spans="1:8" ht="15" customHeight="1">
      <c r="A75" s="16"/>
      <c r="B75" s="22">
        <f>'Oil supply projection'!$B75</f>
        <v>2084</v>
      </c>
      <c r="C75" s="30" t="e">
        <f ca="1"/>
        <v>#DIV/0!</v>
      </c>
      <c r="D75" s="30" t="e">
        <f ca="1"/>
        <v>#DIV/0!</v>
      </c>
      <c r="E75" s="30" t="e">
        <f ca="1"/>
        <v>#DIV/0!</v>
      </c>
      <c r="F75" s="30" t="e">
        <f ca="1"/>
        <v>#DIV/0!</v>
      </c>
      <c r="G75" s="64" t="e">
        <f ca="1"/>
        <v>#DIV/0!</v>
      </c>
      <c r="H75" s="65" t="e">
        <f ca="1"/>
        <v>#DIV/0!</v>
      </c>
    </row>
    <row r="76" spans="1:8" ht="15" customHeight="1">
      <c r="A76" s="16"/>
      <c r="B76" s="22">
        <f>'Oil supply projection'!$B76</f>
        <v>2085</v>
      </c>
      <c r="C76" s="30" t="e">
        <f ca="1"/>
        <v>#DIV/0!</v>
      </c>
      <c r="D76" s="30" t="e">
        <f ca="1"/>
        <v>#DIV/0!</v>
      </c>
      <c r="E76" s="30" t="e">
        <f ca="1"/>
        <v>#DIV/0!</v>
      </c>
      <c r="F76" s="30" t="e">
        <f ca="1"/>
        <v>#DIV/0!</v>
      </c>
      <c r="G76" s="64" t="e">
        <f ca="1"/>
        <v>#DIV/0!</v>
      </c>
      <c r="H76" s="65" t="e">
        <f ca="1"/>
        <v>#DIV/0!</v>
      </c>
    </row>
    <row r="77" spans="1:8" ht="15" customHeight="1">
      <c r="A77" s="16"/>
      <c r="B77" s="22">
        <f>'Oil supply projection'!$B77</f>
        <v>2086</v>
      </c>
      <c r="C77" s="30" t="e">
        <f ca="1"/>
        <v>#DIV/0!</v>
      </c>
      <c r="D77" s="30" t="e">
        <f ca="1"/>
        <v>#DIV/0!</v>
      </c>
      <c r="E77" s="30" t="e">
        <f ca="1"/>
        <v>#DIV/0!</v>
      </c>
      <c r="F77" s="30" t="e">
        <f ca="1"/>
        <v>#DIV/0!</v>
      </c>
      <c r="G77" s="64" t="e">
        <f ca="1"/>
        <v>#DIV/0!</v>
      </c>
      <c r="H77" s="65" t="e">
        <f ca="1"/>
        <v>#DIV/0!</v>
      </c>
    </row>
    <row r="78" spans="1:8" ht="15" customHeight="1">
      <c r="A78" s="16"/>
      <c r="B78" s="22">
        <f>'Oil supply projection'!$B78</f>
        <v>2087</v>
      </c>
      <c r="C78" s="30" t="e">
        <f ca="1"/>
        <v>#DIV/0!</v>
      </c>
      <c r="D78" s="30" t="e">
        <f ca="1"/>
        <v>#DIV/0!</v>
      </c>
      <c r="E78" s="30" t="e">
        <f ca="1"/>
        <v>#DIV/0!</v>
      </c>
      <c r="F78" s="30" t="e">
        <f ca="1"/>
        <v>#DIV/0!</v>
      </c>
      <c r="G78" s="64" t="e">
        <f ca="1"/>
        <v>#DIV/0!</v>
      </c>
      <c r="H78" s="65" t="e">
        <f ca="1"/>
        <v>#DIV/0!</v>
      </c>
    </row>
    <row r="79" spans="1:8" ht="15" customHeight="1">
      <c r="A79" s="16"/>
      <c r="B79" s="22">
        <f>'Oil supply projection'!$B79</f>
        <v>2088</v>
      </c>
      <c r="C79" s="30" t="e">
        <f ca="1"/>
        <v>#DIV/0!</v>
      </c>
      <c r="D79" s="30" t="e">
        <f ca="1"/>
        <v>#DIV/0!</v>
      </c>
      <c r="E79" s="30" t="e">
        <f ca="1"/>
        <v>#DIV/0!</v>
      </c>
      <c r="F79" s="30" t="e">
        <f ca="1"/>
        <v>#DIV/0!</v>
      </c>
      <c r="G79" s="64" t="e">
        <f ca="1"/>
        <v>#DIV/0!</v>
      </c>
      <c r="H79" s="65" t="e">
        <f ca="1"/>
        <v>#DIV/0!</v>
      </c>
    </row>
    <row r="80" spans="1:8" ht="15" customHeight="1">
      <c r="A80" s="16"/>
      <c r="B80" s="22">
        <f>'Oil supply projection'!$B80</f>
        <v>2089</v>
      </c>
      <c r="C80" s="30" t="e">
        <f ca="1"/>
        <v>#DIV/0!</v>
      </c>
      <c r="D80" s="30" t="e">
        <f ca="1"/>
        <v>#DIV/0!</v>
      </c>
      <c r="E80" s="30" t="e">
        <f ca="1"/>
        <v>#DIV/0!</v>
      </c>
      <c r="F80" s="30" t="e">
        <f ca="1"/>
        <v>#DIV/0!</v>
      </c>
      <c r="G80" s="64" t="e">
        <f ca="1"/>
        <v>#DIV/0!</v>
      </c>
      <c r="H80" s="65" t="e">
        <f ca="1"/>
        <v>#DIV/0!</v>
      </c>
    </row>
    <row r="81" spans="1:9" ht="15" customHeight="1">
      <c r="A81" s="16"/>
      <c r="B81" s="22">
        <f>'Oil supply projection'!$B81</f>
        <v>2090</v>
      </c>
      <c r="C81" s="30" t="e">
        <f ca="1"/>
        <v>#DIV/0!</v>
      </c>
      <c r="D81" s="30" t="e">
        <f ca="1"/>
        <v>#DIV/0!</v>
      </c>
      <c r="E81" s="30" t="e">
        <f ca="1"/>
        <v>#DIV/0!</v>
      </c>
      <c r="F81" s="30" t="e">
        <f ca="1"/>
        <v>#DIV/0!</v>
      </c>
      <c r="G81" s="64" t="e">
        <f ca="1"/>
        <v>#DIV/0!</v>
      </c>
      <c r="H81" s="65" t="e">
        <f ca="1"/>
        <v>#DIV/0!</v>
      </c>
    </row>
    <row r="82" spans="1:9" ht="15" customHeight="1">
      <c r="A82" s="16"/>
      <c r="B82" s="22">
        <f>'Oil supply projection'!$B82</f>
        <v>2091</v>
      </c>
      <c r="C82" s="30" t="e">
        <f ca="1"/>
        <v>#DIV/0!</v>
      </c>
      <c r="D82" s="30" t="e">
        <f ca="1"/>
        <v>#DIV/0!</v>
      </c>
      <c r="E82" s="30" t="e">
        <f ca="1"/>
        <v>#DIV/0!</v>
      </c>
      <c r="F82" s="30" t="e">
        <f ca="1"/>
        <v>#DIV/0!</v>
      </c>
      <c r="G82" s="64" t="e">
        <f ca="1"/>
        <v>#DIV/0!</v>
      </c>
      <c r="H82" s="65" t="e">
        <f ca="1"/>
        <v>#DIV/0!</v>
      </c>
    </row>
    <row r="83" spans="1:9" s="21" customFormat="1" ht="15" customHeight="1">
      <c r="A83" s="16"/>
      <c r="B83" s="22">
        <f>'Oil supply projection'!$B83</f>
        <v>2092</v>
      </c>
      <c r="C83" s="30" t="e">
        <f ca="1"/>
        <v>#DIV/0!</v>
      </c>
      <c r="D83" s="30" t="e">
        <f ca="1"/>
        <v>#DIV/0!</v>
      </c>
      <c r="E83" s="30" t="e">
        <f ca="1"/>
        <v>#DIV/0!</v>
      </c>
      <c r="F83" s="30" t="e">
        <f ca="1"/>
        <v>#DIV/0!</v>
      </c>
      <c r="G83" s="64" t="e">
        <f ca="1"/>
        <v>#DIV/0!</v>
      </c>
      <c r="H83" s="65" t="e">
        <f ca="1"/>
        <v>#DIV/0!</v>
      </c>
      <c r="I83" s="1"/>
    </row>
    <row r="84" spans="1:9" ht="15" customHeight="1">
      <c r="A84" s="16"/>
      <c r="B84" s="22">
        <f>'Oil supply projection'!$B84</f>
        <v>2093</v>
      </c>
      <c r="C84" s="30" t="e">
        <f ca="1"/>
        <v>#DIV/0!</v>
      </c>
      <c r="D84" s="30" t="e">
        <f ca="1"/>
        <v>#DIV/0!</v>
      </c>
      <c r="E84" s="30" t="e">
        <f ca="1"/>
        <v>#DIV/0!</v>
      </c>
      <c r="F84" s="30" t="e">
        <f ca="1"/>
        <v>#DIV/0!</v>
      </c>
      <c r="G84" s="64" t="e">
        <f ca="1"/>
        <v>#DIV/0!</v>
      </c>
      <c r="H84" s="65" t="e">
        <f ca="1"/>
        <v>#DIV/0!</v>
      </c>
    </row>
    <row r="85" spans="1:9" ht="15" customHeight="1">
      <c r="A85" s="16"/>
    </row>
    <row r="86" spans="1:9" ht="15" customHeight="1">
      <c r="A86" s="16"/>
      <c r="F86" s="21"/>
      <c r="G86" s="21"/>
    </row>
    <row r="87" spans="1:9" ht="15" customHeight="1">
      <c r="F87" s="21"/>
      <c r="G87" s="21"/>
    </row>
  </sheetData>
  <mergeCells count="1">
    <mergeCell ref="A1:B1"/>
  </mergeCells>
  <phoneticPr fontId="29" type="noConversion"/>
  <conditionalFormatting sqref="C10:H84">
    <cfRule type="expression" dxfId="94" priority="1" stopIfTrue="1">
      <formula>ISERROR(C10)</formula>
    </cfRule>
  </conditionalFormatting>
  <hyperlinks>
    <hyperlink ref="A1" location="'Table of Contents'!A1" tooltip="Click here to return to the Table of Contents tab" display="Return to Table of Contents" xr:uid="{00000000-0004-0000-1B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5">
    <pageSetUpPr fitToPage="1"/>
  </sheetPr>
  <dimension ref="A1:H86"/>
  <sheetViews>
    <sheetView workbookViewId="0">
      <pane xSplit="2" ySplit="9" topLeftCell="C10" activePane="bottomRight" state="frozen"/>
      <selection pane="topRight" sqref="A1:B1"/>
      <selection pane="bottomLeft" sqref="A1:B1"/>
      <selection pane="bottomRight" sqref="A1:B1"/>
    </sheetView>
  </sheetViews>
  <sheetFormatPr defaultColWidth="9.28515625" defaultRowHeight="15" customHeight="1"/>
  <cols>
    <col min="1" max="1" width="15.5703125" style="18" customWidth="1"/>
    <col min="2" max="2" width="10.28515625" style="1" customWidth="1"/>
    <col min="3" max="5" width="14.5703125" style="1" customWidth="1"/>
    <col min="6" max="6" width="14.5703125" style="48" customWidth="1"/>
    <col min="7" max="14" width="14.5703125" style="1" customWidth="1"/>
    <col min="15" max="15" width="14" style="1" customWidth="1"/>
    <col min="16" max="16384" width="9.28515625" style="1"/>
  </cols>
  <sheetData>
    <row r="1" spans="1:7" ht="15.75" thickBot="1">
      <c r="A1" s="701" t="s">
        <v>27</v>
      </c>
      <c r="B1" s="702"/>
      <c r="C1" s="180"/>
      <c r="D1" s="180"/>
      <c r="E1" s="21"/>
      <c r="F1" s="21"/>
    </row>
    <row r="2" spans="1:7" ht="16.5" customHeight="1">
      <c r="A2" s="1"/>
      <c r="B2" s="2"/>
      <c r="C2" s="2"/>
      <c r="D2" s="2"/>
      <c r="F2" s="1"/>
    </row>
    <row r="3" spans="1:7" ht="16.5" customHeight="1">
      <c r="A3" s="1"/>
      <c r="B3" s="2"/>
      <c r="C3" s="2"/>
      <c r="D3" s="2"/>
      <c r="F3" s="1"/>
    </row>
    <row r="4" spans="1:7" ht="16.5" customHeight="1">
      <c r="A4" s="1"/>
      <c r="B4" s="2"/>
      <c r="C4" s="2"/>
      <c r="D4" s="2"/>
      <c r="F4" s="1"/>
    </row>
    <row r="5" spans="1:7" ht="16.5" customHeight="1">
      <c r="A5" s="1"/>
      <c r="B5" s="2"/>
      <c r="C5" s="2"/>
      <c r="D5" s="2"/>
      <c r="F5" s="1"/>
    </row>
    <row r="6" spans="1:7" ht="19.5" customHeight="1">
      <c r="A6" s="16"/>
      <c r="B6" s="11" t="s">
        <v>516</v>
      </c>
      <c r="C6" s="12"/>
      <c r="D6" s="12"/>
      <c r="E6" s="12"/>
      <c r="F6" s="60"/>
      <c r="G6" s="60"/>
    </row>
    <row r="7" spans="1:7" ht="19.5" customHeight="1">
      <c r="A7" s="16"/>
      <c r="B7" s="14"/>
      <c r="C7" s="58"/>
      <c r="D7" s="58"/>
      <c r="E7" s="58"/>
      <c r="F7" s="58"/>
      <c r="G7" s="111"/>
    </row>
    <row r="8" spans="1:7" ht="29.25" customHeight="1">
      <c r="A8" s="16"/>
      <c r="B8" s="650"/>
      <c r="C8" s="650" t="s">
        <v>283</v>
      </c>
      <c r="D8" s="650" t="s">
        <v>14</v>
      </c>
      <c r="E8" s="653" t="s">
        <v>200</v>
      </c>
      <c r="F8" s="653" t="s">
        <v>279</v>
      </c>
      <c r="G8" s="650" t="s">
        <v>405</v>
      </c>
    </row>
    <row r="9" spans="1:7" ht="29.25" customHeight="1" thickBot="1">
      <c r="A9" s="16"/>
      <c r="B9" s="66" t="s">
        <v>268</v>
      </c>
      <c r="C9" s="67" t="s">
        <v>395</v>
      </c>
      <c r="D9" s="67" t="s">
        <v>395</v>
      </c>
      <c r="E9" s="67" t="s">
        <v>395</v>
      </c>
      <c r="F9" s="67" t="s">
        <v>395</v>
      </c>
      <c r="G9" s="67" t="s">
        <v>395</v>
      </c>
    </row>
    <row r="10" spans="1:7" ht="15" customHeight="1" thickTop="1">
      <c r="A10" s="16"/>
      <c r="B10" s="22">
        <f>'Oil supply projection'!$B10</f>
        <v>2019</v>
      </c>
      <c r="C10" s="30">
        <f t="array" ref="C10:G10">aeo_dem_coa_2010</f>
        <v>48.36</v>
      </c>
      <c r="D10" s="30">
        <v>552.61505099999999</v>
      </c>
      <c r="E10" s="64">
        <v>7.0980220000000003</v>
      </c>
      <c r="F10" s="64">
        <v>92.851996999999997</v>
      </c>
      <c r="G10" s="65">
        <v>700.92507000000001</v>
      </c>
    </row>
    <row r="11" spans="1:7" ht="15" customHeight="1">
      <c r="A11" s="17"/>
      <c r="B11" s="22">
        <f>'Oil supply projection'!$B11</f>
        <v>2020</v>
      </c>
      <c r="C11" s="30">
        <f t="array" ref="C11:C84" ca="1">(a_coa_ind*(sim_price_coa^e_dem_coa_ind)*(sim_price_oil^e_coa_ind_oil)*(sim_price_gas^e_coa_ind_gas)*(sim_price_ele^e_coa_ind_ele)+(1-g_dem_coa_ind)*OFFSET(sim_dem_coa_ind,-1,0))*display</f>
        <v>39.939003999999997</v>
      </c>
      <c r="D11" s="30">
        <f t="array" aca="1" ref="D11:D84" ca="1">(k_coa_ele*sim_sup_ele_coa)*display</f>
        <v>436.60287499999998</v>
      </c>
      <c r="E11" s="64">
        <f t="array" ref="E11:E84" ca="1">(a_coa_oth*(sim_price_coa^e_dem_coa_oth)*(sim_price_ele^e_coa_oth_ele)*(sim_price_oil^e_coa_oth_oil)*(sim_price_gas^e_coa_oth_gas)+(1-g_dem_coa_oth)*OFFSET(sim_dem_coa_oth,-1,0))*display</f>
        <v>3.2481409999999999</v>
      </c>
      <c r="F11" s="64">
        <f t="array" ref="F11:F84" ca="1">(a_coa_exp*sim_price_coa^e_dem_coa_exp+(1-g_dem_coa_exp)*OFFSET(sim_dem_coa_exp,-1,0))*display</f>
        <v>69.069999999999993</v>
      </c>
      <c r="G11" s="65">
        <f t="array" aca="1" ref="G11:G84" ca="1">(sim_dem_coa_ind+sim_dem_coa_ele+sim_dem_coa_oth+sim_dem_coa_exp)*display</f>
        <v>548.86001999999996</v>
      </c>
    </row>
    <row r="12" spans="1:7" ht="15" customHeight="1">
      <c r="B12" s="22">
        <f>'Oil supply projection'!$B12</f>
        <v>2021</v>
      </c>
      <c r="C12" s="30">
        <f ca="1"/>
        <v>43.271608000000001</v>
      </c>
      <c r="D12" s="30">
        <f ca="1"/>
        <v>501.24996899999996</v>
      </c>
      <c r="E12" s="64">
        <f ca="1"/>
        <v>-44.651609000000001</v>
      </c>
      <c r="F12" s="64">
        <f ca="1"/>
        <v>90.869995000000003</v>
      </c>
      <c r="G12" s="65">
        <f ca="1"/>
        <v>590.73996299999999</v>
      </c>
    </row>
    <row r="13" spans="1:7" ht="15" customHeight="1">
      <c r="B13" s="22">
        <f>'Oil supply projection'!$B13</f>
        <v>2022</v>
      </c>
      <c r="C13" s="30">
        <f ca="1"/>
        <v>40.484535999999999</v>
      </c>
      <c r="D13" s="30">
        <f ca="1"/>
        <v>458.041718</v>
      </c>
      <c r="E13" s="64">
        <f ca="1"/>
        <v>14.473816999999997</v>
      </c>
      <c r="F13" s="64">
        <f ca="1"/>
        <v>85.043937999999997</v>
      </c>
      <c r="G13" s="65">
        <f ca="1"/>
        <v>598.04400899999996</v>
      </c>
    </row>
    <row r="14" spans="1:7" ht="15" customHeight="1">
      <c r="B14" s="22">
        <f>'Oil supply projection'!$B14</f>
        <v>2023</v>
      </c>
      <c r="C14" s="30">
        <f ca="1"/>
        <v>38.204970000000003</v>
      </c>
      <c r="D14" s="30">
        <f ca="1"/>
        <v>429.44375600000006</v>
      </c>
      <c r="E14" s="64">
        <f ca="1"/>
        <v>24.831984999999996</v>
      </c>
      <c r="F14" s="64">
        <f ca="1"/>
        <v>85.385040000000004</v>
      </c>
      <c r="G14" s="65">
        <f ca="1"/>
        <v>577.86575100000005</v>
      </c>
    </row>
    <row r="15" spans="1:7" ht="15" customHeight="1">
      <c r="B15" s="22">
        <f>'Oil supply projection'!$B15</f>
        <v>2024</v>
      </c>
      <c r="C15" s="30">
        <f ca="1"/>
        <v>38.801312000000003</v>
      </c>
      <c r="D15" s="30">
        <f ca="1"/>
        <v>449.53472899999997</v>
      </c>
      <c r="E15" s="64">
        <f ca="1"/>
        <v>-8.3710660000000026</v>
      </c>
      <c r="F15" s="64">
        <f ca="1"/>
        <v>109.27423899999999</v>
      </c>
      <c r="G15" s="65">
        <f ca="1"/>
        <v>589.23921399999995</v>
      </c>
    </row>
    <row r="16" spans="1:7" ht="15" customHeight="1">
      <c r="B16" s="22">
        <f>'Oil supply projection'!$B16</f>
        <v>2025</v>
      </c>
      <c r="C16" s="30">
        <f ca="1"/>
        <v>38.492277000000001</v>
      </c>
      <c r="D16" s="30">
        <f ca="1"/>
        <v>408.03463699999998</v>
      </c>
      <c r="E16" s="64">
        <f ca="1"/>
        <v>-3.0587800000000023</v>
      </c>
      <c r="F16" s="64">
        <f ca="1"/>
        <v>107.51786800000001</v>
      </c>
      <c r="G16" s="65">
        <f ca="1"/>
        <v>550.98600199999998</v>
      </c>
    </row>
    <row r="17" spans="1:7" ht="15" customHeight="1">
      <c r="B17" s="22">
        <f>'Oil supply projection'!$B17</f>
        <v>2026</v>
      </c>
      <c r="C17" s="30">
        <f ca="1"/>
        <v>38.554705999999996</v>
      </c>
      <c r="D17" s="30">
        <f ca="1"/>
        <v>343.55801400000001</v>
      </c>
      <c r="E17" s="64">
        <f ca="1"/>
        <v>-0.5449280000000023</v>
      </c>
      <c r="F17" s="64">
        <f ca="1"/>
        <v>117.770073</v>
      </c>
      <c r="G17" s="65">
        <f ca="1"/>
        <v>499.33786499999997</v>
      </c>
    </row>
    <row r="18" spans="1:7" ht="15" customHeight="1">
      <c r="B18" s="22">
        <f>'Oil supply projection'!$B18</f>
        <v>2027</v>
      </c>
      <c r="C18" s="30">
        <f ca="1"/>
        <v>38.400812999999999</v>
      </c>
      <c r="D18" s="30">
        <f ca="1"/>
        <v>287.96148699999998</v>
      </c>
      <c r="E18" s="64">
        <f ca="1"/>
        <v>-2.7837470000000022</v>
      </c>
      <c r="F18" s="64">
        <f ca="1"/>
        <v>116.416832</v>
      </c>
      <c r="G18" s="65">
        <f ca="1"/>
        <v>439.995385</v>
      </c>
    </row>
    <row r="19" spans="1:7" ht="15" customHeight="1">
      <c r="B19" s="22">
        <f>'Oil supply projection'!$B19</f>
        <v>2028</v>
      </c>
      <c r="C19" s="30">
        <f ca="1"/>
        <v>38.099316999999999</v>
      </c>
      <c r="D19" s="30">
        <f ca="1"/>
        <v>237.22894300000002</v>
      </c>
      <c r="E19" s="64">
        <f ca="1"/>
        <v>-0.13738700000000215</v>
      </c>
      <c r="F19" s="64">
        <f ca="1"/>
        <v>116.613823</v>
      </c>
      <c r="G19" s="65">
        <f ca="1"/>
        <v>391.80469600000004</v>
      </c>
    </row>
    <row r="20" spans="1:7" ht="15" customHeight="1">
      <c r="B20" s="22">
        <f>'Oil supply projection'!$B20</f>
        <v>2029</v>
      </c>
      <c r="C20" s="30">
        <f ca="1"/>
        <v>37.697583999999999</v>
      </c>
      <c r="D20" s="30">
        <f ca="1"/>
        <v>211.316147</v>
      </c>
      <c r="E20" s="64">
        <f ca="1"/>
        <v>-6.7668930000000032</v>
      </c>
      <c r="F20" s="64">
        <f ca="1"/>
        <v>115.98806</v>
      </c>
      <c r="G20" s="65">
        <f ca="1"/>
        <v>358.23489799999999</v>
      </c>
    </row>
    <row r="21" spans="1:7" ht="15" customHeight="1">
      <c r="A21" s="17"/>
      <c r="B21" s="22">
        <f>'Oil supply projection'!$B21</f>
        <v>2030</v>
      </c>
      <c r="C21" s="30">
        <f ca="1"/>
        <v>37.206507353580626</v>
      </c>
      <c r="D21" s="30">
        <f ca="1"/>
        <v>187.86075918197645</v>
      </c>
      <c r="E21" s="64">
        <f ca="1"/>
        <v>-4.1496626713810754</v>
      </c>
      <c r="F21" s="64">
        <f ca="1"/>
        <v>114.5009923007355</v>
      </c>
      <c r="G21" s="65">
        <f ca="1"/>
        <v>335.41859616491149</v>
      </c>
    </row>
    <row r="22" spans="1:7" ht="15" customHeight="1">
      <c r="A22" s="17"/>
      <c r="B22" s="22">
        <f>'Oil supply projection'!$B22</f>
        <v>2031</v>
      </c>
      <c r="C22" s="30">
        <f ca="1"/>
        <v>36.772474636919988</v>
      </c>
      <c r="D22" s="30">
        <f ca="1"/>
        <v>183.87142084293131</v>
      </c>
      <c r="E22" s="64">
        <f ca="1"/>
        <v>-3.1092007817431595</v>
      </c>
      <c r="F22" s="64">
        <f ca="1"/>
        <v>116.27582785712889</v>
      </c>
      <c r="G22" s="65">
        <f ca="1"/>
        <v>333.81052255523701</v>
      </c>
    </row>
    <row r="23" spans="1:7" ht="15" customHeight="1">
      <c r="A23" s="17"/>
      <c r="B23" s="22">
        <f>'Oil supply projection'!$B23</f>
        <v>2032</v>
      </c>
      <c r="C23" s="30">
        <f ca="1"/>
        <v>36.520952087337164</v>
      </c>
      <c r="D23" s="30">
        <f ca="1"/>
        <v>187.672514931878</v>
      </c>
      <c r="E23" s="64">
        <f ca="1"/>
        <v>-3.8825227493772894</v>
      </c>
      <c r="F23" s="64">
        <f ca="1"/>
        <v>118.76776546406185</v>
      </c>
      <c r="G23" s="65">
        <f ca="1"/>
        <v>339.0787097338997</v>
      </c>
    </row>
    <row r="24" spans="1:7" ht="15" customHeight="1">
      <c r="A24" s="17"/>
      <c r="B24" s="22">
        <f>'Oil supply projection'!$B24</f>
        <v>2033</v>
      </c>
      <c r="C24" s="30">
        <f ca="1"/>
        <v>35.955491555441434</v>
      </c>
      <c r="D24" s="30">
        <f ca="1"/>
        <v>190.71645711421229</v>
      </c>
      <c r="E24" s="64">
        <f ca="1"/>
        <v>-3.2679357809897138</v>
      </c>
      <c r="F24" s="64">
        <f ca="1"/>
        <v>115.13407486827333</v>
      </c>
      <c r="G24" s="65">
        <f ca="1"/>
        <v>338.53808775693733</v>
      </c>
    </row>
    <row r="25" spans="1:7" ht="15" customHeight="1">
      <c r="A25" s="17"/>
      <c r="B25" s="22">
        <f>'Oil supply projection'!$B25</f>
        <v>2034</v>
      </c>
      <c r="C25" s="30">
        <f ca="1"/>
        <v>35.328047456791225</v>
      </c>
      <c r="D25" s="30">
        <f ca="1"/>
        <v>186.60158998286417</v>
      </c>
      <c r="E25" s="64">
        <f ca="1"/>
        <v>-4.6384911047619184</v>
      </c>
      <c r="F25" s="64">
        <f ca="1"/>
        <v>114.09605175960139</v>
      </c>
      <c r="G25" s="65">
        <f ca="1"/>
        <v>331.38719809449486</v>
      </c>
    </row>
    <row r="26" spans="1:7" ht="15" customHeight="1">
      <c r="A26" s="17"/>
      <c r="B26" s="22">
        <f>'Oil supply projection'!$B26</f>
        <v>2035</v>
      </c>
      <c r="C26" s="30">
        <f ca="1"/>
        <v>34.749591322480775</v>
      </c>
      <c r="D26" s="30">
        <f ca="1"/>
        <v>186.53853739156668</v>
      </c>
      <c r="E26" s="64">
        <f ca="1"/>
        <v>-3.1301461011567384</v>
      </c>
      <c r="F26" s="64">
        <f ca="1"/>
        <v>115.49483564015787</v>
      </c>
      <c r="G26" s="65">
        <f ca="1"/>
        <v>333.65281825304862</v>
      </c>
    </row>
    <row r="27" spans="1:7" ht="15" customHeight="1">
      <c r="A27" s="17"/>
      <c r="B27" s="22">
        <f>'Oil supply projection'!$B27</f>
        <v>2036</v>
      </c>
      <c r="C27" s="30">
        <f ca="1"/>
        <v>34.16539300469271</v>
      </c>
      <c r="D27" s="30">
        <f ca="1"/>
        <v>182.64802706048604</v>
      </c>
      <c r="E27" s="64">
        <f ca="1"/>
        <v>-3.2002479585576569</v>
      </c>
      <c r="F27" s="64">
        <f ca="1"/>
        <v>113.35348610657766</v>
      </c>
      <c r="G27" s="65">
        <f ca="1"/>
        <v>326.96665821319874</v>
      </c>
    </row>
    <row r="28" spans="1:7" ht="15" customHeight="1">
      <c r="A28" s="19"/>
      <c r="B28" s="22">
        <f>'Oil supply projection'!$B28</f>
        <v>2037</v>
      </c>
      <c r="C28" s="30">
        <f ca="1"/>
        <v>33.664550063493571</v>
      </c>
      <c r="D28" s="30">
        <f ca="1"/>
        <v>174.66454038103691</v>
      </c>
      <c r="E28" s="64">
        <f ca="1"/>
        <v>-5.5804121593997627</v>
      </c>
      <c r="F28" s="64">
        <f ca="1"/>
        <v>112.15670717972228</v>
      </c>
      <c r="G28" s="65">
        <f ca="1"/>
        <v>314.905385464853</v>
      </c>
    </row>
    <row r="29" spans="1:7" ht="15" customHeight="1">
      <c r="A29" s="17"/>
      <c r="B29" s="22">
        <f>'Oil supply projection'!$B29</f>
        <v>2038</v>
      </c>
      <c r="C29" s="30">
        <f ca="1"/>
        <v>33.057429154948871</v>
      </c>
      <c r="D29" s="30">
        <f ca="1"/>
        <v>161.36212067350979</v>
      </c>
      <c r="E29" s="64">
        <f ca="1"/>
        <v>-3.5856593023054639</v>
      </c>
      <c r="F29" s="64">
        <f ca="1"/>
        <v>113.86809753481367</v>
      </c>
      <c r="G29" s="65">
        <f ca="1"/>
        <v>304.70198806096687</v>
      </c>
    </row>
    <row r="30" spans="1:7" ht="15" customHeight="1">
      <c r="A30" s="17"/>
      <c r="B30" s="22">
        <f>'Oil supply projection'!$B30</f>
        <v>2039</v>
      </c>
      <c r="C30" s="30">
        <f ca="1"/>
        <v>32.424215370369623</v>
      </c>
      <c r="D30" s="30">
        <f ca="1"/>
        <v>155.48092233598291</v>
      </c>
      <c r="E30" s="64">
        <f ca="1"/>
        <v>-1.0571504334046691</v>
      </c>
      <c r="F30" s="64">
        <f ca="1"/>
        <v>111.47663014588011</v>
      </c>
      <c r="G30" s="65">
        <f ca="1"/>
        <v>298.32461741882798</v>
      </c>
    </row>
    <row r="31" spans="1:7" ht="15" customHeight="1">
      <c r="A31" s="17"/>
      <c r="B31" s="22">
        <f>'Oil supply projection'!$B31</f>
        <v>2040</v>
      </c>
      <c r="C31" s="30">
        <f ca="1"/>
        <v>31.957709160663359</v>
      </c>
      <c r="D31" s="30">
        <f ca="1"/>
        <v>153.2657008480875</v>
      </c>
      <c r="E31" s="64">
        <f ca="1"/>
        <v>-1.5110202646335966</v>
      </c>
      <c r="F31" s="64">
        <f ca="1"/>
        <v>111.50005469530903</v>
      </c>
      <c r="G31" s="65">
        <f ca="1"/>
        <v>295.21244443942629</v>
      </c>
    </row>
    <row r="32" spans="1:7" ht="15" customHeight="1">
      <c r="A32" s="17"/>
      <c r="B32" s="22">
        <f>'Oil supply projection'!$B32</f>
        <v>2041</v>
      </c>
      <c r="C32" s="30">
        <f ca="1"/>
        <v>31.602370094583748</v>
      </c>
      <c r="D32" s="30">
        <f ca="1"/>
        <v>155.18464472477962</v>
      </c>
      <c r="E32" s="64">
        <f ca="1"/>
        <v>-1.9914698619543327</v>
      </c>
      <c r="F32" s="64">
        <f ca="1"/>
        <v>110.76810017240969</v>
      </c>
      <c r="G32" s="65">
        <f ca="1"/>
        <v>295.56364512981872</v>
      </c>
    </row>
    <row r="33" spans="1:7" ht="15" customHeight="1">
      <c r="A33" s="17"/>
      <c r="B33" s="22">
        <f>'Oil supply projection'!$B33</f>
        <v>2042</v>
      </c>
      <c r="C33" s="30">
        <f ca="1"/>
        <v>31.264190848915376</v>
      </c>
      <c r="D33" s="30">
        <f ca="1"/>
        <v>155.15680340775944</v>
      </c>
      <c r="E33" s="64">
        <f ca="1"/>
        <v>-1.9609692776772809</v>
      </c>
      <c r="F33" s="64">
        <f ca="1"/>
        <v>111.61167093206775</v>
      </c>
      <c r="G33" s="65">
        <f ca="1"/>
        <v>296.07169591106526</v>
      </c>
    </row>
    <row r="34" spans="1:7" ht="15" customHeight="1">
      <c r="A34" s="17"/>
      <c r="B34" s="22">
        <f>'Oil supply projection'!$B34</f>
        <v>2043</v>
      </c>
      <c r="C34" s="30">
        <f ca="1"/>
        <v>30.857447107728728</v>
      </c>
      <c r="D34" s="30">
        <f ca="1"/>
        <v>152.83168197522252</v>
      </c>
      <c r="E34" s="64">
        <f ca="1"/>
        <v>-1.4240888248622001</v>
      </c>
      <c r="F34" s="64">
        <f ca="1"/>
        <v>109.50483918925698</v>
      </c>
      <c r="G34" s="65">
        <f ca="1"/>
        <v>291.76987944734606</v>
      </c>
    </row>
    <row r="35" spans="1:7" ht="15" customHeight="1">
      <c r="A35" s="17"/>
      <c r="B35" s="22">
        <f>'Oil supply projection'!$B35</f>
        <v>2044</v>
      </c>
      <c r="C35" s="30">
        <f ca="1"/>
        <v>30.411867806539238</v>
      </c>
      <c r="D35" s="30">
        <f ca="1"/>
        <v>150.3398476272906</v>
      </c>
      <c r="E35" s="64">
        <f ca="1"/>
        <v>-0.65847798666027779</v>
      </c>
      <c r="F35" s="64">
        <f ca="1"/>
        <v>109.56040259796571</v>
      </c>
      <c r="G35" s="65">
        <f ca="1"/>
        <v>289.65364004513526</v>
      </c>
    </row>
    <row r="36" spans="1:7" ht="15" customHeight="1">
      <c r="A36" s="17"/>
      <c r="B36" s="22">
        <f>'Oil supply projection'!$B36</f>
        <v>2045</v>
      </c>
      <c r="C36" s="30" t="e">
        <f ca="1"/>
        <v>#DIV/0!</v>
      </c>
      <c r="D36" s="30" t="e">
        <f ca="1"/>
        <v>#DIV/0!</v>
      </c>
      <c r="E36" s="64" t="e">
        <f ca="1"/>
        <v>#DIV/0!</v>
      </c>
      <c r="F36" s="64" t="e">
        <f ca="1"/>
        <v>#DIV/0!</v>
      </c>
      <c r="G36" s="65" t="e">
        <f ca="1"/>
        <v>#DIV/0!</v>
      </c>
    </row>
    <row r="37" spans="1:7" ht="15" customHeight="1">
      <c r="A37" s="17"/>
      <c r="B37" s="22">
        <f>'Oil supply projection'!$B37</f>
        <v>2046</v>
      </c>
      <c r="C37" s="30" t="e">
        <f ca="1"/>
        <v>#DIV/0!</v>
      </c>
      <c r="D37" s="30" t="e">
        <f ca="1"/>
        <v>#DIV/0!</v>
      </c>
      <c r="E37" s="64" t="e">
        <f ca="1"/>
        <v>#DIV/0!</v>
      </c>
      <c r="F37" s="64" t="e">
        <f ca="1"/>
        <v>#DIV/0!</v>
      </c>
      <c r="G37" s="65" t="e">
        <f ca="1"/>
        <v>#DIV/0!</v>
      </c>
    </row>
    <row r="38" spans="1:7" ht="15" customHeight="1">
      <c r="A38" s="17"/>
      <c r="B38" s="22">
        <f>'Oil supply projection'!$B38</f>
        <v>2047</v>
      </c>
      <c r="C38" s="30" t="e">
        <f ca="1"/>
        <v>#DIV/0!</v>
      </c>
      <c r="D38" s="30" t="e">
        <f ca="1"/>
        <v>#DIV/0!</v>
      </c>
      <c r="E38" s="64" t="e">
        <f ca="1"/>
        <v>#DIV/0!</v>
      </c>
      <c r="F38" s="64" t="e">
        <f ca="1"/>
        <v>#DIV/0!</v>
      </c>
      <c r="G38" s="65" t="e">
        <f ca="1"/>
        <v>#DIV/0!</v>
      </c>
    </row>
    <row r="39" spans="1:7" ht="15" customHeight="1">
      <c r="A39" s="19"/>
      <c r="B39" s="22">
        <f>'Oil supply projection'!$B39</f>
        <v>2048</v>
      </c>
      <c r="C39" s="30" t="e">
        <f ca="1"/>
        <v>#DIV/0!</v>
      </c>
      <c r="D39" s="30" t="e">
        <f ca="1"/>
        <v>#DIV/0!</v>
      </c>
      <c r="E39" s="64" t="e">
        <f ca="1"/>
        <v>#DIV/0!</v>
      </c>
      <c r="F39" s="64" t="e">
        <f ca="1"/>
        <v>#DIV/0!</v>
      </c>
      <c r="G39" s="65" t="e">
        <f ca="1"/>
        <v>#DIV/0!</v>
      </c>
    </row>
    <row r="40" spans="1:7" ht="15" customHeight="1">
      <c r="A40" s="17"/>
      <c r="B40" s="22">
        <f>'Oil supply projection'!$B40</f>
        <v>2049</v>
      </c>
      <c r="C40" s="30" t="e">
        <f ca="1"/>
        <v>#DIV/0!</v>
      </c>
      <c r="D40" s="30" t="e">
        <f ca="1"/>
        <v>#DIV/0!</v>
      </c>
      <c r="E40" s="64" t="e">
        <f ca="1"/>
        <v>#DIV/0!</v>
      </c>
      <c r="F40" s="64" t="e">
        <f ca="1"/>
        <v>#DIV/0!</v>
      </c>
      <c r="G40" s="65" t="e">
        <f ca="1"/>
        <v>#DIV/0!</v>
      </c>
    </row>
    <row r="41" spans="1:7" ht="15" customHeight="1">
      <c r="A41" s="17"/>
      <c r="B41" s="22">
        <f>'Oil supply projection'!$B41</f>
        <v>2050</v>
      </c>
      <c r="C41" s="30" t="e">
        <f ca="1"/>
        <v>#DIV/0!</v>
      </c>
      <c r="D41" s="30" t="e">
        <f ca="1"/>
        <v>#DIV/0!</v>
      </c>
      <c r="E41" s="64" t="e">
        <f ca="1"/>
        <v>#DIV/0!</v>
      </c>
      <c r="F41" s="64" t="e">
        <f ca="1"/>
        <v>#DIV/0!</v>
      </c>
      <c r="G41" s="65" t="e">
        <f ca="1"/>
        <v>#DIV/0!</v>
      </c>
    </row>
    <row r="42" spans="1:7" ht="15" customHeight="1">
      <c r="A42" s="17"/>
      <c r="B42" s="22">
        <f>'Oil supply projection'!$B42</f>
        <v>2051</v>
      </c>
      <c r="C42" s="30" t="e">
        <f ca="1"/>
        <v>#DIV/0!</v>
      </c>
      <c r="D42" s="30" t="e">
        <f ca="1"/>
        <v>#DIV/0!</v>
      </c>
      <c r="E42" s="64" t="e">
        <f ca="1"/>
        <v>#DIV/0!</v>
      </c>
      <c r="F42" s="64" t="e">
        <f ca="1"/>
        <v>#DIV/0!</v>
      </c>
      <c r="G42" s="65" t="e">
        <f ca="1"/>
        <v>#DIV/0!</v>
      </c>
    </row>
    <row r="43" spans="1:7" ht="15" customHeight="1">
      <c r="A43" s="17"/>
      <c r="B43" s="22">
        <f>'Oil supply projection'!$B43</f>
        <v>2052</v>
      </c>
      <c r="C43" s="30" t="e">
        <f ca="1"/>
        <v>#DIV/0!</v>
      </c>
      <c r="D43" s="30" t="e">
        <f ca="1"/>
        <v>#DIV/0!</v>
      </c>
      <c r="E43" s="64" t="e">
        <f ca="1"/>
        <v>#DIV/0!</v>
      </c>
      <c r="F43" s="64" t="e">
        <f ca="1"/>
        <v>#DIV/0!</v>
      </c>
      <c r="G43" s="65" t="e">
        <f ca="1"/>
        <v>#DIV/0!</v>
      </c>
    </row>
    <row r="44" spans="1:7" ht="15" customHeight="1">
      <c r="A44" s="17"/>
      <c r="B44" s="22">
        <f>'Oil supply projection'!$B44</f>
        <v>2053</v>
      </c>
      <c r="C44" s="30" t="e">
        <f ca="1"/>
        <v>#DIV/0!</v>
      </c>
      <c r="D44" s="30" t="e">
        <f ca="1"/>
        <v>#DIV/0!</v>
      </c>
      <c r="E44" s="64" t="e">
        <f ca="1"/>
        <v>#DIV/0!</v>
      </c>
      <c r="F44" s="64" t="e">
        <f ca="1"/>
        <v>#DIV/0!</v>
      </c>
      <c r="G44" s="65" t="e">
        <f ca="1"/>
        <v>#DIV/0!</v>
      </c>
    </row>
    <row r="45" spans="1:7" ht="15" customHeight="1">
      <c r="A45" s="17"/>
      <c r="B45" s="22">
        <f>'Oil supply projection'!$B45</f>
        <v>2054</v>
      </c>
      <c r="C45" s="30" t="e">
        <f ca="1"/>
        <v>#DIV/0!</v>
      </c>
      <c r="D45" s="30" t="e">
        <f ca="1"/>
        <v>#DIV/0!</v>
      </c>
      <c r="E45" s="64" t="e">
        <f ca="1"/>
        <v>#DIV/0!</v>
      </c>
      <c r="F45" s="64" t="e">
        <f ca="1"/>
        <v>#DIV/0!</v>
      </c>
      <c r="G45" s="65" t="e">
        <f ca="1"/>
        <v>#DIV/0!</v>
      </c>
    </row>
    <row r="46" spans="1:7" ht="15" customHeight="1">
      <c r="A46" s="17"/>
      <c r="B46" s="22">
        <f>'Oil supply projection'!$B46</f>
        <v>2055</v>
      </c>
      <c r="C46" s="30" t="e">
        <f ca="1"/>
        <v>#DIV/0!</v>
      </c>
      <c r="D46" s="30" t="e">
        <f ca="1"/>
        <v>#DIV/0!</v>
      </c>
      <c r="E46" s="64" t="e">
        <f ca="1"/>
        <v>#DIV/0!</v>
      </c>
      <c r="F46" s="64" t="e">
        <f ca="1"/>
        <v>#DIV/0!</v>
      </c>
      <c r="G46" s="65" t="e">
        <f ca="1"/>
        <v>#DIV/0!</v>
      </c>
    </row>
    <row r="47" spans="1:7" ht="15" customHeight="1">
      <c r="A47" s="17"/>
      <c r="B47" s="22">
        <f>'Oil supply projection'!$B47</f>
        <v>2056</v>
      </c>
      <c r="C47" s="30" t="e">
        <f ca="1"/>
        <v>#DIV/0!</v>
      </c>
      <c r="D47" s="30" t="e">
        <f ca="1"/>
        <v>#DIV/0!</v>
      </c>
      <c r="E47" s="64" t="e">
        <f ca="1"/>
        <v>#DIV/0!</v>
      </c>
      <c r="F47" s="64" t="e">
        <f ca="1"/>
        <v>#DIV/0!</v>
      </c>
      <c r="G47" s="65" t="e">
        <f ca="1"/>
        <v>#DIV/0!</v>
      </c>
    </row>
    <row r="48" spans="1:7" ht="15" customHeight="1">
      <c r="A48" s="17"/>
      <c r="B48" s="22">
        <f>'Oil supply projection'!$B48</f>
        <v>2057</v>
      </c>
      <c r="C48" s="30" t="e">
        <f ca="1"/>
        <v>#DIV/0!</v>
      </c>
      <c r="D48" s="30" t="e">
        <f ca="1"/>
        <v>#DIV/0!</v>
      </c>
      <c r="E48" s="64" t="e">
        <f ca="1"/>
        <v>#DIV/0!</v>
      </c>
      <c r="F48" s="64" t="e">
        <f ca="1"/>
        <v>#DIV/0!</v>
      </c>
      <c r="G48" s="65" t="e">
        <f ca="1"/>
        <v>#DIV/0!</v>
      </c>
    </row>
    <row r="49" spans="1:7" ht="15" customHeight="1">
      <c r="A49" s="17"/>
      <c r="B49" s="22">
        <f>'Oil supply projection'!$B49</f>
        <v>2058</v>
      </c>
      <c r="C49" s="30" t="e">
        <f ca="1"/>
        <v>#DIV/0!</v>
      </c>
      <c r="D49" s="30" t="e">
        <f ca="1"/>
        <v>#DIV/0!</v>
      </c>
      <c r="E49" s="64" t="e">
        <f ca="1"/>
        <v>#DIV/0!</v>
      </c>
      <c r="F49" s="64" t="e">
        <f ca="1"/>
        <v>#DIV/0!</v>
      </c>
      <c r="G49" s="65" t="e">
        <f ca="1"/>
        <v>#DIV/0!</v>
      </c>
    </row>
    <row r="50" spans="1:7" ht="15" customHeight="1">
      <c r="A50" s="17"/>
      <c r="B50" s="22">
        <f>'Oil supply projection'!$B50</f>
        <v>2059</v>
      </c>
      <c r="C50" s="30" t="e">
        <f ca="1"/>
        <v>#DIV/0!</v>
      </c>
      <c r="D50" s="30" t="e">
        <f ca="1"/>
        <v>#DIV/0!</v>
      </c>
      <c r="E50" s="64" t="e">
        <f ca="1"/>
        <v>#DIV/0!</v>
      </c>
      <c r="F50" s="64" t="e">
        <f ca="1"/>
        <v>#DIV/0!</v>
      </c>
      <c r="G50" s="65" t="e">
        <f ca="1"/>
        <v>#DIV/0!</v>
      </c>
    </row>
    <row r="51" spans="1:7" ht="15" customHeight="1">
      <c r="A51" s="17"/>
      <c r="B51" s="22">
        <f>'Oil supply projection'!$B51</f>
        <v>2060</v>
      </c>
      <c r="C51" s="30" t="e">
        <f ca="1"/>
        <v>#DIV/0!</v>
      </c>
      <c r="D51" s="30" t="e">
        <f ca="1"/>
        <v>#DIV/0!</v>
      </c>
      <c r="E51" s="64" t="e">
        <f ca="1"/>
        <v>#DIV/0!</v>
      </c>
      <c r="F51" s="64" t="e">
        <f ca="1"/>
        <v>#DIV/0!</v>
      </c>
      <c r="G51" s="65" t="e">
        <f ca="1"/>
        <v>#DIV/0!</v>
      </c>
    </row>
    <row r="52" spans="1:7" ht="15" customHeight="1">
      <c r="A52" s="17"/>
      <c r="B52" s="22">
        <f>'Oil supply projection'!$B52</f>
        <v>2061</v>
      </c>
      <c r="C52" s="30" t="e">
        <f ca="1"/>
        <v>#DIV/0!</v>
      </c>
      <c r="D52" s="30" t="e">
        <f ca="1"/>
        <v>#DIV/0!</v>
      </c>
      <c r="E52" s="64" t="e">
        <f ca="1"/>
        <v>#DIV/0!</v>
      </c>
      <c r="F52" s="64" t="e">
        <f ca="1"/>
        <v>#DIV/0!</v>
      </c>
      <c r="G52" s="65" t="e">
        <f ca="1"/>
        <v>#DIV/0!</v>
      </c>
    </row>
    <row r="53" spans="1:7" ht="15" customHeight="1">
      <c r="A53" s="16"/>
      <c r="B53" s="22">
        <f>'Oil supply projection'!$B53</f>
        <v>2062</v>
      </c>
      <c r="C53" s="30" t="e">
        <f ca="1"/>
        <v>#DIV/0!</v>
      </c>
      <c r="D53" s="30" t="e">
        <f ca="1"/>
        <v>#DIV/0!</v>
      </c>
      <c r="E53" s="64" t="e">
        <f ca="1"/>
        <v>#DIV/0!</v>
      </c>
      <c r="F53" s="64" t="e">
        <f ca="1"/>
        <v>#DIV/0!</v>
      </c>
      <c r="G53" s="65" t="e">
        <f ca="1"/>
        <v>#DIV/0!</v>
      </c>
    </row>
    <row r="54" spans="1:7" ht="15" customHeight="1">
      <c r="A54" s="16"/>
      <c r="B54" s="22">
        <f>'Oil supply projection'!$B54</f>
        <v>2063</v>
      </c>
      <c r="C54" s="30" t="e">
        <f ca="1"/>
        <v>#DIV/0!</v>
      </c>
      <c r="D54" s="30" t="e">
        <f ca="1"/>
        <v>#DIV/0!</v>
      </c>
      <c r="E54" s="64" t="e">
        <f ca="1"/>
        <v>#DIV/0!</v>
      </c>
      <c r="F54" s="64" t="e">
        <f ca="1"/>
        <v>#DIV/0!</v>
      </c>
      <c r="G54" s="65" t="e">
        <f ca="1"/>
        <v>#DIV/0!</v>
      </c>
    </row>
    <row r="55" spans="1:7" ht="15" customHeight="1">
      <c r="A55" s="16"/>
      <c r="B55" s="22">
        <f>'Oil supply projection'!$B55</f>
        <v>2064</v>
      </c>
      <c r="C55" s="30" t="e">
        <f ca="1"/>
        <v>#DIV/0!</v>
      </c>
      <c r="D55" s="30" t="e">
        <f ca="1"/>
        <v>#DIV/0!</v>
      </c>
      <c r="E55" s="64" t="e">
        <f ca="1"/>
        <v>#DIV/0!</v>
      </c>
      <c r="F55" s="64" t="e">
        <f ca="1"/>
        <v>#DIV/0!</v>
      </c>
      <c r="G55" s="65" t="e">
        <f ca="1"/>
        <v>#DIV/0!</v>
      </c>
    </row>
    <row r="56" spans="1:7" ht="15" customHeight="1">
      <c r="A56" s="16"/>
      <c r="B56" s="22">
        <f>'Oil supply projection'!$B56</f>
        <v>2065</v>
      </c>
      <c r="C56" s="30" t="e">
        <f ca="1"/>
        <v>#DIV/0!</v>
      </c>
      <c r="D56" s="30" t="e">
        <f ca="1"/>
        <v>#DIV/0!</v>
      </c>
      <c r="E56" s="64" t="e">
        <f ca="1"/>
        <v>#DIV/0!</v>
      </c>
      <c r="F56" s="64" t="e">
        <f ca="1"/>
        <v>#DIV/0!</v>
      </c>
      <c r="G56" s="65" t="e">
        <f ca="1"/>
        <v>#DIV/0!</v>
      </c>
    </row>
    <row r="57" spans="1:7" ht="15" customHeight="1">
      <c r="A57" s="16"/>
      <c r="B57" s="22">
        <f>'Oil supply projection'!$B57</f>
        <v>2066</v>
      </c>
      <c r="C57" s="30" t="e">
        <f ca="1"/>
        <v>#DIV/0!</v>
      </c>
      <c r="D57" s="30" t="e">
        <f ca="1"/>
        <v>#DIV/0!</v>
      </c>
      <c r="E57" s="64" t="e">
        <f ca="1"/>
        <v>#DIV/0!</v>
      </c>
      <c r="F57" s="64" t="e">
        <f ca="1"/>
        <v>#DIV/0!</v>
      </c>
      <c r="G57" s="65" t="e">
        <f ca="1"/>
        <v>#DIV/0!</v>
      </c>
    </row>
    <row r="58" spans="1:7" ht="15" customHeight="1">
      <c r="A58" s="16"/>
      <c r="B58" s="22">
        <f>'Oil supply projection'!$B58</f>
        <v>2067</v>
      </c>
      <c r="C58" s="30" t="e">
        <f ca="1"/>
        <v>#DIV/0!</v>
      </c>
      <c r="D58" s="30" t="e">
        <f ca="1"/>
        <v>#DIV/0!</v>
      </c>
      <c r="E58" s="64" t="e">
        <f ca="1"/>
        <v>#DIV/0!</v>
      </c>
      <c r="F58" s="64" t="e">
        <f ca="1"/>
        <v>#DIV/0!</v>
      </c>
      <c r="G58" s="65" t="e">
        <f ca="1"/>
        <v>#DIV/0!</v>
      </c>
    </row>
    <row r="59" spans="1:7" ht="15" customHeight="1">
      <c r="A59" s="16"/>
      <c r="B59" s="22">
        <f>'Oil supply projection'!$B59</f>
        <v>2068</v>
      </c>
      <c r="C59" s="30" t="e">
        <f ca="1"/>
        <v>#DIV/0!</v>
      </c>
      <c r="D59" s="30" t="e">
        <f ca="1"/>
        <v>#DIV/0!</v>
      </c>
      <c r="E59" s="64" t="e">
        <f ca="1"/>
        <v>#DIV/0!</v>
      </c>
      <c r="F59" s="64" t="e">
        <f ca="1"/>
        <v>#DIV/0!</v>
      </c>
      <c r="G59" s="65" t="e">
        <f ca="1"/>
        <v>#DIV/0!</v>
      </c>
    </row>
    <row r="60" spans="1:7" ht="15" customHeight="1">
      <c r="A60" s="16"/>
      <c r="B60" s="22">
        <f>'Oil supply projection'!$B60</f>
        <v>2069</v>
      </c>
      <c r="C60" s="30" t="e">
        <f ca="1"/>
        <v>#DIV/0!</v>
      </c>
      <c r="D60" s="30" t="e">
        <f ca="1"/>
        <v>#DIV/0!</v>
      </c>
      <c r="E60" s="64" t="e">
        <f ca="1"/>
        <v>#DIV/0!</v>
      </c>
      <c r="F60" s="64" t="e">
        <f ca="1"/>
        <v>#DIV/0!</v>
      </c>
      <c r="G60" s="65" t="e">
        <f ca="1"/>
        <v>#DIV/0!</v>
      </c>
    </row>
    <row r="61" spans="1:7" ht="15" customHeight="1">
      <c r="A61" s="16"/>
      <c r="B61" s="22">
        <f>'Oil supply projection'!$B61</f>
        <v>2070</v>
      </c>
      <c r="C61" s="30" t="e">
        <f ca="1"/>
        <v>#DIV/0!</v>
      </c>
      <c r="D61" s="30" t="e">
        <f ca="1"/>
        <v>#DIV/0!</v>
      </c>
      <c r="E61" s="64" t="e">
        <f ca="1"/>
        <v>#DIV/0!</v>
      </c>
      <c r="F61" s="64" t="e">
        <f ca="1"/>
        <v>#DIV/0!</v>
      </c>
      <c r="G61" s="65" t="e">
        <f ca="1"/>
        <v>#DIV/0!</v>
      </c>
    </row>
    <row r="62" spans="1:7" ht="15" customHeight="1">
      <c r="A62" s="16"/>
      <c r="B62" s="22">
        <f>'Oil supply projection'!$B62</f>
        <v>2071</v>
      </c>
      <c r="C62" s="30" t="e">
        <f ca="1"/>
        <v>#DIV/0!</v>
      </c>
      <c r="D62" s="30" t="e">
        <f ca="1"/>
        <v>#DIV/0!</v>
      </c>
      <c r="E62" s="64" t="e">
        <f ca="1"/>
        <v>#DIV/0!</v>
      </c>
      <c r="F62" s="64" t="e">
        <f ca="1"/>
        <v>#DIV/0!</v>
      </c>
      <c r="G62" s="65" t="e">
        <f ca="1"/>
        <v>#DIV/0!</v>
      </c>
    </row>
    <row r="63" spans="1:7" ht="15" customHeight="1">
      <c r="A63" s="16"/>
      <c r="B63" s="22">
        <f>'Oil supply projection'!$B63</f>
        <v>2072</v>
      </c>
      <c r="C63" s="30" t="e">
        <f ca="1"/>
        <v>#DIV/0!</v>
      </c>
      <c r="D63" s="30" t="e">
        <f ca="1"/>
        <v>#DIV/0!</v>
      </c>
      <c r="E63" s="64" t="e">
        <f ca="1"/>
        <v>#DIV/0!</v>
      </c>
      <c r="F63" s="64" t="e">
        <f ca="1"/>
        <v>#DIV/0!</v>
      </c>
      <c r="G63" s="65" t="e">
        <f ca="1"/>
        <v>#DIV/0!</v>
      </c>
    </row>
    <row r="64" spans="1:7" ht="15" customHeight="1">
      <c r="A64" s="16"/>
      <c r="B64" s="22">
        <f>'Oil supply projection'!$B64</f>
        <v>2073</v>
      </c>
      <c r="C64" s="30" t="e">
        <f ca="1"/>
        <v>#DIV/0!</v>
      </c>
      <c r="D64" s="30" t="e">
        <f ca="1"/>
        <v>#DIV/0!</v>
      </c>
      <c r="E64" s="64" t="e">
        <f ca="1"/>
        <v>#DIV/0!</v>
      </c>
      <c r="F64" s="64" t="e">
        <f ca="1"/>
        <v>#DIV/0!</v>
      </c>
      <c r="G64" s="65" t="e">
        <f ca="1"/>
        <v>#DIV/0!</v>
      </c>
    </row>
    <row r="65" spans="1:7" ht="15" customHeight="1">
      <c r="A65" s="16"/>
      <c r="B65" s="22">
        <f>'Oil supply projection'!$B65</f>
        <v>2074</v>
      </c>
      <c r="C65" s="30" t="e">
        <f ca="1"/>
        <v>#DIV/0!</v>
      </c>
      <c r="D65" s="30" t="e">
        <f ca="1"/>
        <v>#DIV/0!</v>
      </c>
      <c r="E65" s="64" t="e">
        <f ca="1"/>
        <v>#DIV/0!</v>
      </c>
      <c r="F65" s="64" t="e">
        <f ca="1"/>
        <v>#DIV/0!</v>
      </c>
      <c r="G65" s="65" t="e">
        <f ca="1"/>
        <v>#DIV/0!</v>
      </c>
    </row>
    <row r="66" spans="1:7" ht="15" customHeight="1">
      <c r="A66" s="16"/>
      <c r="B66" s="22">
        <f>'Oil supply projection'!$B66</f>
        <v>2075</v>
      </c>
      <c r="C66" s="30" t="e">
        <f ca="1"/>
        <v>#DIV/0!</v>
      </c>
      <c r="D66" s="30" t="e">
        <f ca="1"/>
        <v>#DIV/0!</v>
      </c>
      <c r="E66" s="64" t="e">
        <f ca="1"/>
        <v>#DIV/0!</v>
      </c>
      <c r="F66" s="64" t="e">
        <f ca="1"/>
        <v>#DIV/0!</v>
      </c>
      <c r="G66" s="65" t="e">
        <f ca="1"/>
        <v>#DIV/0!</v>
      </c>
    </row>
    <row r="67" spans="1:7" ht="15" customHeight="1">
      <c r="A67" s="16"/>
      <c r="B67" s="22">
        <f>'Oil supply projection'!$B67</f>
        <v>2076</v>
      </c>
      <c r="C67" s="30" t="e">
        <f ca="1"/>
        <v>#DIV/0!</v>
      </c>
      <c r="D67" s="30" t="e">
        <f ca="1"/>
        <v>#DIV/0!</v>
      </c>
      <c r="E67" s="64" t="e">
        <f ca="1"/>
        <v>#DIV/0!</v>
      </c>
      <c r="F67" s="64" t="e">
        <f ca="1"/>
        <v>#DIV/0!</v>
      </c>
      <c r="G67" s="65" t="e">
        <f ca="1"/>
        <v>#DIV/0!</v>
      </c>
    </row>
    <row r="68" spans="1:7" ht="15" customHeight="1">
      <c r="A68" s="16"/>
      <c r="B68" s="22">
        <f>'Oil supply projection'!$B68</f>
        <v>2077</v>
      </c>
      <c r="C68" s="30" t="e">
        <f ca="1"/>
        <v>#DIV/0!</v>
      </c>
      <c r="D68" s="30" t="e">
        <f ca="1"/>
        <v>#DIV/0!</v>
      </c>
      <c r="E68" s="64" t="e">
        <f ca="1"/>
        <v>#DIV/0!</v>
      </c>
      <c r="F68" s="64" t="e">
        <f ca="1"/>
        <v>#DIV/0!</v>
      </c>
      <c r="G68" s="65" t="e">
        <f ca="1"/>
        <v>#DIV/0!</v>
      </c>
    </row>
    <row r="69" spans="1:7" ht="15" customHeight="1">
      <c r="A69" s="16"/>
      <c r="B69" s="22">
        <f>'Oil supply projection'!$B69</f>
        <v>2078</v>
      </c>
      <c r="C69" s="30" t="e">
        <f ca="1"/>
        <v>#DIV/0!</v>
      </c>
      <c r="D69" s="30" t="e">
        <f ca="1"/>
        <v>#DIV/0!</v>
      </c>
      <c r="E69" s="64" t="e">
        <f ca="1"/>
        <v>#DIV/0!</v>
      </c>
      <c r="F69" s="64" t="e">
        <f ca="1"/>
        <v>#DIV/0!</v>
      </c>
      <c r="G69" s="65" t="e">
        <f ca="1"/>
        <v>#DIV/0!</v>
      </c>
    </row>
    <row r="70" spans="1:7" ht="15" customHeight="1">
      <c r="A70" s="16"/>
      <c r="B70" s="22">
        <f>'Oil supply projection'!$B70</f>
        <v>2079</v>
      </c>
      <c r="C70" s="30" t="e">
        <f ca="1"/>
        <v>#DIV/0!</v>
      </c>
      <c r="D70" s="30" t="e">
        <f ca="1"/>
        <v>#DIV/0!</v>
      </c>
      <c r="E70" s="64" t="e">
        <f ca="1"/>
        <v>#DIV/0!</v>
      </c>
      <c r="F70" s="64" t="e">
        <f ca="1"/>
        <v>#DIV/0!</v>
      </c>
      <c r="G70" s="65" t="e">
        <f ca="1"/>
        <v>#DIV/0!</v>
      </c>
    </row>
    <row r="71" spans="1:7" ht="15" customHeight="1">
      <c r="A71" s="16"/>
      <c r="B71" s="22">
        <f>'Oil supply projection'!$B71</f>
        <v>2080</v>
      </c>
      <c r="C71" s="30" t="e">
        <f ca="1"/>
        <v>#DIV/0!</v>
      </c>
      <c r="D71" s="30" t="e">
        <f ca="1"/>
        <v>#DIV/0!</v>
      </c>
      <c r="E71" s="64" t="e">
        <f ca="1"/>
        <v>#DIV/0!</v>
      </c>
      <c r="F71" s="64" t="e">
        <f ca="1"/>
        <v>#DIV/0!</v>
      </c>
      <c r="G71" s="65" t="e">
        <f ca="1"/>
        <v>#DIV/0!</v>
      </c>
    </row>
    <row r="72" spans="1:7" ht="15" customHeight="1">
      <c r="A72" s="16"/>
      <c r="B72" s="22">
        <f>'Oil supply projection'!$B72</f>
        <v>2081</v>
      </c>
      <c r="C72" s="30" t="e">
        <f ca="1"/>
        <v>#DIV/0!</v>
      </c>
      <c r="D72" s="30" t="e">
        <f ca="1"/>
        <v>#DIV/0!</v>
      </c>
      <c r="E72" s="64" t="e">
        <f ca="1"/>
        <v>#DIV/0!</v>
      </c>
      <c r="F72" s="64" t="e">
        <f ca="1"/>
        <v>#DIV/0!</v>
      </c>
      <c r="G72" s="65" t="e">
        <f ca="1"/>
        <v>#DIV/0!</v>
      </c>
    </row>
    <row r="73" spans="1:7" ht="15" customHeight="1">
      <c r="A73" s="16"/>
      <c r="B73" s="22">
        <f>'Oil supply projection'!$B73</f>
        <v>2082</v>
      </c>
      <c r="C73" s="30" t="e">
        <f ca="1"/>
        <v>#DIV/0!</v>
      </c>
      <c r="D73" s="30" t="e">
        <f ca="1"/>
        <v>#DIV/0!</v>
      </c>
      <c r="E73" s="64" t="e">
        <f ca="1"/>
        <v>#DIV/0!</v>
      </c>
      <c r="F73" s="64" t="e">
        <f ca="1"/>
        <v>#DIV/0!</v>
      </c>
      <c r="G73" s="65" t="e">
        <f ca="1"/>
        <v>#DIV/0!</v>
      </c>
    </row>
    <row r="74" spans="1:7" ht="15" customHeight="1">
      <c r="A74" s="16"/>
      <c r="B74" s="22">
        <f>'Oil supply projection'!$B74</f>
        <v>2083</v>
      </c>
      <c r="C74" s="30" t="e">
        <f ca="1"/>
        <v>#DIV/0!</v>
      </c>
      <c r="D74" s="30" t="e">
        <f ca="1"/>
        <v>#DIV/0!</v>
      </c>
      <c r="E74" s="64" t="e">
        <f ca="1"/>
        <v>#DIV/0!</v>
      </c>
      <c r="F74" s="64" t="e">
        <f ca="1"/>
        <v>#DIV/0!</v>
      </c>
      <c r="G74" s="65" t="e">
        <f ca="1"/>
        <v>#DIV/0!</v>
      </c>
    </row>
    <row r="75" spans="1:7" ht="15" customHeight="1">
      <c r="A75" s="16"/>
      <c r="B75" s="22">
        <f>'Oil supply projection'!$B75</f>
        <v>2084</v>
      </c>
      <c r="C75" s="30" t="e">
        <f ca="1"/>
        <v>#DIV/0!</v>
      </c>
      <c r="D75" s="30" t="e">
        <f ca="1"/>
        <v>#DIV/0!</v>
      </c>
      <c r="E75" s="64" t="e">
        <f ca="1"/>
        <v>#DIV/0!</v>
      </c>
      <c r="F75" s="64" t="e">
        <f ca="1"/>
        <v>#DIV/0!</v>
      </c>
      <c r="G75" s="65" t="e">
        <f ca="1"/>
        <v>#DIV/0!</v>
      </c>
    </row>
    <row r="76" spans="1:7" ht="15" customHeight="1">
      <c r="A76" s="16"/>
      <c r="B76" s="22">
        <f>'Oil supply projection'!$B76</f>
        <v>2085</v>
      </c>
      <c r="C76" s="30" t="e">
        <f ca="1"/>
        <v>#DIV/0!</v>
      </c>
      <c r="D76" s="30" t="e">
        <f ca="1"/>
        <v>#DIV/0!</v>
      </c>
      <c r="E76" s="64" t="e">
        <f ca="1"/>
        <v>#DIV/0!</v>
      </c>
      <c r="F76" s="64" t="e">
        <f ca="1"/>
        <v>#DIV/0!</v>
      </c>
      <c r="G76" s="65" t="e">
        <f ca="1"/>
        <v>#DIV/0!</v>
      </c>
    </row>
    <row r="77" spans="1:7" ht="15" customHeight="1">
      <c r="A77" s="16"/>
      <c r="B77" s="22">
        <f>'Oil supply projection'!$B77</f>
        <v>2086</v>
      </c>
      <c r="C77" s="30" t="e">
        <f ca="1"/>
        <v>#DIV/0!</v>
      </c>
      <c r="D77" s="30" t="e">
        <f ca="1"/>
        <v>#DIV/0!</v>
      </c>
      <c r="E77" s="64" t="e">
        <f ca="1"/>
        <v>#DIV/0!</v>
      </c>
      <c r="F77" s="64" t="e">
        <f ca="1"/>
        <v>#DIV/0!</v>
      </c>
      <c r="G77" s="65" t="e">
        <f ca="1"/>
        <v>#DIV/0!</v>
      </c>
    </row>
    <row r="78" spans="1:7" ht="15" customHeight="1">
      <c r="A78" s="16"/>
      <c r="B78" s="22">
        <f>'Oil supply projection'!$B78</f>
        <v>2087</v>
      </c>
      <c r="C78" s="30" t="e">
        <f ca="1"/>
        <v>#DIV/0!</v>
      </c>
      <c r="D78" s="30" t="e">
        <f ca="1"/>
        <v>#DIV/0!</v>
      </c>
      <c r="E78" s="64" t="e">
        <f ca="1"/>
        <v>#DIV/0!</v>
      </c>
      <c r="F78" s="64" t="e">
        <f ca="1"/>
        <v>#DIV/0!</v>
      </c>
      <c r="G78" s="65" t="e">
        <f ca="1"/>
        <v>#DIV/0!</v>
      </c>
    </row>
    <row r="79" spans="1:7" ht="15" customHeight="1">
      <c r="A79" s="16"/>
      <c r="B79" s="22">
        <f>'Oil supply projection'!$B79</f>
        <v>2088</v>
      </c>
      <c r="C79" s="30" t="e">
        <f ca="1"/>
        <v>#DIV/0!</v>
      </c>
      <c r="D79" s="30" t="e">
        <f ca="1"/>
        <v>#DIV/0!</v>
      </c>
      <c r="E79" s="64" t="e">
        <f ca="1"/>
        <v>#DIV/0!</v>
      </c>
      <c r="F79" s="64" t="e">
        <f ca="1"/>
        <v>#DIV/0!</v>
      </c>
      <c r="G79" s="65" t="e">
        <f ca="1"/>
        <v>#DIV/0!</v>
      </c>
    </row>
    <row r="80" spans="1:7" ht="15" customHeight="1">
      <c r="A80" s="16"/>
      <c r="B80" s="22">
        <f>'Oil supply projection'!$B80</f>
        <v>2089</v>
      </c>
      <c r="C80" s="30" t="e">
        <f ca="1"/>
        <v>#DIV/0!</v>
      </c>
      <c r="D80" s="30" t="e">
        <f ca="1"/>
        <v>#DIV/0!</v>
      </c>
      <c r="E80" s="64" t="e">
        <f ca="1"/>
        <v>#DIV/0!</v>
      </c>
      <c r="F80" s="64" t="e">
        <f ca="1"/>
        <v>#DIV/0!</v>
      </c>
      <c r="G80" s="65" t="e">
        <f ca="1"/>
        <v>#DIV/0!</v>
      </c>
    </row>
    <row r="81" spans="1:8" ht="15" customHeight="1">
      <c r="A81" s="16"/>
      <c r="B81" s="22">
        <f>'Oil supply projection'!$B81</f>
        <v>2090</v>
      </c>
      <c r="C81" s="30" t="e">
        <f ca="1"/>
        <v>#DIV/0!</v>
      </c>
      <c r="D81" s="30" t="e">
        <f ca="1"/>
        <v>#DIV/0!</v>
      </c>
      <c r="E81" s="64" t="e">
        <f ca="1"/>
        <v>#DIV/0!</v>
      </c>
      <c r="F81" s="64" t="e">
        <f ca="1"/>
        <v>#DIV/0!</v>
      </c>
      <c r="G81" s="65" t="e">
        <f ca="1"/>
        <v>#DIV/0!</v>
      </c>
    </row>
    <row r="82" spans="1:8" ht="15" customHeight="1">
      <c r="A82" s="16"/>
      <c r="B82" s="22">
        <f>'Oil supply projection'!$B82</f>
        <v>2091</v>
      </c>
      <c r="C82" s="30" t="e">
        <f ca="1"/>
        <v>#DIV/0!</v>
      </c>
      <c r="D82" s="30" t="e">
        <f ca="1"/>
        <v>#DIV/0!</v>
      </c>
      <c r="E82" s="64" t="e">
        <f ca="1"/>
        <v>#DIV/0!</v>
      </c>
      <c r="F82" s="64" t="e">
        <f ca="1"/>
        <v>#DIV/0!</v>
      </c>
      <c r="G82" s="65" t="e">
        <f ca="1"/>
        <v>#DIV/0!</v>
      </c>
    </row>
    <row r="83" spans="1:8" s="21" customFormat="1" ht="15" customHeight="1">
      <c r="A83" s="16"/>
      <c r="B83" s="22">
        <f>'Oil supply projection'!$B83</f>
        <v>2092</v>
      </c>
      <c r="C83" s="30" t="e">
        <f ca="1"/>
        <v>#DIV/0!</v>
      </c>
      <c r="D83" s="30" t="e">
        <f ca="1"/>
        <v>#DIV/0!</v>
      </c>
      <c r="E83" s="64" t="e">
        <f ca="1"/>
        <v>#DIV/0!</v>
      </c>
      <c r="F83" s="64" t="e">
        <f ca="1"/>
        <v>#DIV/0!</v>
      </c>
      <c r="G83" s="65" t="e">
        <f ca="1"/>
        <v>#DIV/0!</v>
      </c>
      <c r="H83" s="1"/>
    </row>
    <row r="84" spans="1:8" ht="15" customHeight="1">
      <c r="A84" s="16"/>
      <c r="B84" s="22">
        <f>'Oil supply projection'!$B84</f>
        <v>2093</v>
      </c>
      <c r="C84" s="30" t="e">
        <f ca="1"/>
        <v>#DIV/0!</v>
      </c>
      <c r="D84" s="30" t="e">
        <f ca="1"/>
        <v>#DIV/0!</v>
      </c>
      <c r="E84" s="64" t="e">
        <f ca="1"/>
        <v>#DIV/0!</v>
      </c>
      <c r="F84" s="64" t="e">
        <f ca="1"/>
        <v>#DIV/0!</v>
      </c>
      <c r="G84" s="65" t="e">
        <f ca="1"/>
        <v>#DIV/0!</v>
      </c>
    </row>
    <row r="85" spans="1:8" ht="15" customHeight="1">
      <c r="A85" s="16"/>
      <c r="F85" s="1"/>
    </row>
    <row r="86" spans="1:8" ht="15" customHeight="1">
      <c r="A86" s="16"/>
    </row>
  </sheetData>
  <mergeCells count="1">
    <mergeCell ref="A1:B1"/>
  </mergeCells>
  <phoneticPr fontId="29" type="noConversion"/>
  <conditionalFormatting sqref="C10:G84">
    <cfRule type="expression" dxfId="93" priority="1" stopIfTrue="1">
      <formula>ISERROR(C10)</formula>
    </cfRule>
  </conditionalFormatting>
  <hyperlinks>
    <hyperlink ref="A1" location="'Table of Contents'!A1" tooltip="Click here to return to the Table of Contents tab" display="Return to Table of Contents" xr:uid="{00000000-0004-0000-1C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2">
    <tabColor indexed="42"/>
    <pageSetUpPr fitToPage="1"/>
  </sheetPr>
  <dimension ref="A1:H25"/>
  <sheetViews>
    <sheetView zoomScale="70" zoomScaleNormal="70" workbookViewId="0"/>
  </sheetViews>
  <sheetFormatPr defaultColWidth="9.28515625" defaultRowHeight="15"/>
  <cols>
    <col min="1" max="1" width="4.7109375" style="18" customWidth="1"/>
    <col min="2" max="2" width="15" style="1" customWidth="1"/>
    <col min="3" max="6" width="14.5703125" style="1" customWidth="1"/>
    <col min="7" max="7" width="19.28515625" style="1" bestFit="1" customWidth="1"/>
    <col min="8" max="8" width="22.42578125" style="1" bestFit="1" customWidth="1"/>
    <col min="9" max="9" width="23.28515625" style="1" customWidth="1"/>
    <col min="10" max="16384" width="9.28515625" style="1"/>
  </cols>
  <sheetData>
    <row r="1" spans="1:8" ht="15.75" thickBot="1">
      <c r="B1" s="701" t="s">
        <v>27</v>
      </c>
      <c r="C1" s="702"/>
      <c r="D1" s="2"/>
      <c r="E1" s="803"/>
      <c r="F1" s="803"/>
      <c r="G1" s="2"/>
      <c r="H1" s="2"/>
    </row>
    <row r="2" spans="1:8">
      <c r="A2" s="21"/>
      <c r="B2" s="2"/>
      <c r="C2" s="2"/>
      <c r="D2" s="2"/>
      <c r="E2" s="2"/>
      <c r="F2" s="2"/>
      <c r="G2" s="2"/>
      <c r="H2" s="2"/>
    </row>
    <row r="3" spans="1:8" ht="18">
      <c r="A3" s="21"/>
      <c r="B3" s="100" t="s">
        <v>517</v>
      </c>
      <c r="C3" s="38"/>
      <c r="D3" s="38"/>
      <c r="E3" s="38"/>
      <c r="F3" s="38"/>
      <c r="G3" s="38"/>
      <c r="H3" s="38"/>
    </row>
    <row r="4" spans="1:8">
      <c r="A4" s="21"/>
      <c r="B4" s="2"/>
      <c r="C4" s="2"/>
      <c r="D4" s="2"/>
      <c r="E4" s="2"/>
      <c r="F4" s="2"/>
      <c r="G4" s="2"/>
      <c r="H4" s="2"/>
    </row>
    <row r="5" spans="1:8" ht="15.75" customHeight="1">
      <c r="A5" s="16"/>
      <c r="B5" s="800" t="s">
        <v>518</v>
      </c>
      <c r="C5" s="801"/>
      <c r="D5" s="801"/>
      <c r="E5" s="801"/>
      <c r="F5" s="801"/>
      <c r="G5" s="801"/>
      <c r="H5" s="802"/>
    </row>
    <row r="6" spans="1:8" ht="30" customHeight="1">
      <c r="A6" s="16"/>
      <c r="B6" s="661" t="s">
        <v>281</v>
      </c>
      <c r="C6" s="661" t="s">
        <v>282</v>
      </c>
      <c r="D6" s="661" t="s">
        <v>283</v>
      </c>
      <c r="E6" s="661" t="s">
        <v>284</v>
      </c>
      <c r="F6" s="661" t="s">
        <v>402</v>
      </c>
      <c r="G6" s="661" t="s">
        <v>403</v>
      </c>
      <c r="H6" s="661" t="s">
        <v>519</v>
      </c>
    </row>
    <row r="7" spans="1:8" ht="30" customHeight="1">
      <c r="A7" s="16"/>
      <c r="B7" s="485">
        <v>-1.002</v>
      </c>
      <c r="C7" s="485">
        <v>-0.93899999999999995</v>
      </c>
      <c r="D7" s="485">
        <v>-0.26400000000000001</v>
      </c>
      <c r="E7" s="485">
        <v>-0.3</v>
      </c>
      <c r="F7" s="485">
        <v>-0.15</v>
      </c>
      <c r="G7" s="485">
        <v>-0.15</v>
      </c>
      <c r="H7" s="485">
        <v>-0.15</v>
      </c>
    </row>
    <row r="8" spans="1:8" ht="30" customHeight="1">
      <c r="A8" s="17"/>
      <c r="B8" s="804" t="s">
        <v>520</v>
      </c>
      <c r="C8" s="804"/>
      <c r="D8" s="804"/>
      <c r="E8" s="804"/>
      <c r="F8" s="804"/>
    </row>
    <row r="9" spans="1:8" ht="15.75" customHeight="1">
      <c r="B9" s="800" t="s">
        <v>521</v>
      </c>
      <c r="C9" s="801"/>
      <c r="D9" s="801"/>
      <c r="E9" s="801"/>
      <c r="F9" s="802"/>
    </row>
    <row r="10" spans="1:8" ht="30" customHeight="1">
      <c r="B10" s="661"/>
      <c r="C10" s="661" t="s">
        <v>281</v>
      </c>
      <c r="D10" s="661" t="s">
        <v>282</v>
      </c>
      <c r="E10" s="661" t="s">
        <v>283</v>
      </c>
      <c r="F10" s="661" t="s">
        <v>284</v>
      </c>
    </row>
    <row r="11" spans="1:8" ht="30" customHeight="1">
      <c r="B11" s="650" t="s">
        <v>12</v>
      </c>
      <c r="C11" s="52">
        <v>0.2</v>
      </c>
      <c r="D11" s="52">
        <v>0.2</v>
      </c>
      <c r="E11" s="52">
        <v>0.249</v>
      </c>
      <c r="F11" s="52">
        <v>0</v>
      </c>
    </row>
    <row r="12" spans="1:8" ht="30" customHeight="1">
      <c r="B12" s="650" t="s">
        <v>15</v>
      </c>
      <c r="C12" s="114"/>
      <c r="D12" s="114"/>
      <c r="E12" s="52">
        <v>0.09</v>
      </c>
      <c r="F12" s="114"/>
    </row>
    <row r="13" spans="1:8" ht="30" customHeight="1">
      <c r="B13" s="661" t="s">
        <v>14</v>
      </c>
      <c r="C13" s="53">
        <v>1.151</v>
      </c>
      <c r="D13" s="53">
        <v>1.08</v>
      </c>
      <c r="E13" s="53">
        <v>0.01</v>
      </c>
      <c r="F13" s="53">
        <v>0</v>
      </c>
    </row>
    <row r="14" spans="1:8" ht="39.75" customHeight="1"/>
    <row r="15" spans="1:8" ht="17.25" customHeight="1"/>
    <row r="16" spans="1:8" ht="15.75" customHeight="1">
      <c r="B16" s="805" t="s">
        <v>522</v>
      </c>
      <c r="C16" s="806"/>
      <c r="D16" s="806"/>
      <c r="E16" s="806"/>
      <c r="F16" s="806"/>
      <c r="G16" s="806"/>
      <c r="H16" s="807"/>
    </row>
    <row r="17" spans="2:8" ht="30" customHeight="1">
      <c r="B17" s="34" t="s">
        <v>281</v>
      </c>
      <c r="C17" s="34" t="s">
        <v>282</v>
      </c>
      <c r="D17" s="34" t="s">
        <v>283</v>
      </c>
      <c r="E17" s="34" t="s">
        <v>284</v>
      </c>
      <c r="F17" s="34" t="s">
        <v>402</v>
      </c>
      <c r="G17" s="34" t="s">
        <v>403</v>
      </c>
      <c r="H17" s="34" t="s">
        <v>519</v>
      </c>
    </row>
    <row r="18" spans="2:8" ht="30" customHeight="1">
      <c r="B18" s="35" t="str">
        <f>IF(e_dem_oil_res=def_dem_oil_res,sou_dem_oil_res,"")</f>
        <v>Serletis et al 2010</v>
      </c>
      <c r="C18" s="35" t="str">
        <f>IF(e_dem_oil_com=def_dem_oil_com,sou_dem_oil_com,"")</f>
        <v>Serletis et al 2010</v>
      </c>
      <c r="D18" s="35" t="str">
        <f>IF(e_dem_oil_ind=def_dem_oil_ind,sou_dem_oil_ind,"")</f>
        <v>Jones (2014)</v>
      </c>
      <c r="E18" s="35" t="str">
        <f>IF(e_dem_oil_tra=def_dem_oil_tra,sou_dem_oil_tra,"")</f>
        <v>Dahl (2012)</v>
      </c>
      <c r="F18" s="35" t="str">
        <f>IF(e_dem_oil_row_crude=def_dem_oil_row_crude,sou_dem_oil_row_crude,"")</f>
        <v>Huntington et al (2019)</v>
      </c>
      <c r="G18" s="35" t="str">
        <f>IF(e_dem_oil_row_ref=def_dem_oil_row_ref,sou_dem_oil_row_ref,"")</f>
        <v>Huntington et al (2019)</v>
      </c>
      <c r="H18" s="35" t="str">
        <f>IF(e_dem_oil_row_non_us=def_dem_oil_row_non_us,sou_dem_oil_row_non_us,"")</f>
        <v>Huntington et al (2019)</v>
      </c>
    </row>
    <row r="19" spans="2:8" ht="30" customHeight="1"/>
    <row r="20" spans="2:8" ht="15.75" customHeight="1">
      <c r="B20" s="799" t="s">
        <v>523</v>
      </c>
      <c r="C20" s="799"/>
      <c r="D20" s="799"/>
      <c r="E20" s="799"/>
      <c r="F20" s="799"/>
    </row>
    <row r="21" spans="2:8" ht="30" customHeight="1">
      <c r="B21" s="32"/>
      <c r="C21" s="34" t="s">
        <v>281</v>
      </c>
      <c r="D21" s="34" t="s">
        <v>282</v>
      </c>
      <c r="E21" s="34" t="s">
        <v>283</v>
      </c>
      <c r="F21" s="34" t="s">
        <v>284</v>
      </c>
    </row>
    <row r="22" spans="2:8" ht="30" customHeight="1">
      <c r="B22" s="32" t="s">
        <v>12</v>
      </c>
      <c r="C22" s="39" t="str">
        <f>IF(e_oil_res_gas=def_oil_res_gas,sou_oil_res_gas,"")</f>
        <v>Newell and Pizer (2008)</v>
      </c>
      <c r="D22" s="39" t="str">
        <f>IF(e_oil_com_gas=def_oil_com_gas,sou_oil_com_gas,"")</f>
        <v>Newell and Pizer (2008)</v>
      </c>
      <c r="E22" s="39" t="str">
        <f>IF(e_oil_ind_gas=def_oil_ind_gas,sou_oil_ind_gas,"")</f>
        <v>Jones (2014)</v>
      </c>
      <c r="F22" s="39" t="str">
        <f>IF(e_oil_tra_gas=def_oil_tra_gas,sou_oil_tra_gas,"")</f>
        <v/>
      </c>
    </row>
    <row r="23" spans="2:8" ht="30" customHeight="1">
      <c r="B23" s="32" t="s">
        <v>15</v>
      </c>
      <c r="C23" s="247"/>
      <c r="D23" s="247"/>
      <c r="E23" s="40" t="str">
        <f>IF(e_oil_ind_coa=def_oil_ind_coa,sou_oil_ind_coa,"")</f>
        <v>Jones (2014)</v>
      </c>
      <c r="F23" s="247"/>
    </row>
    <row r="24" spans="2:8" ht="30" customHeight="1">
      <c r="B24" s="34" t="s">
        <v>14</v>
      </c>
      <c r="C24" s="41" t="str">
        <f>IF(e_oil_res_ele=def_oil_res_ele,sou_oil_res_ele,"")</f>
        <v>Serletis et al. (2010)</v>
      </c>
      <c r="D24" s="41" t="str">
        <f>IF(e_oil_com_ele=def_oil_com_ele,sou_oil_com_ele,"")</f>
        <v>Serletis et al. (2010)</v>
      </c>
      <c r="E24" s="41" t="str">
        <f>IF(e_oil_ind_ele=def_oil_ind_ele,sou_oil_ind_ele,"")</f>
        <v>Serletis et al. (2010)</v>
      </c>
      <c r="F24" s="41" t="str">
        <f>IF(e_oil_tra_ele=def_oil_tra_ele,sou_oil_tra_ele,"")</f>
        <v/>
      </c>
    </row>
    <row r="25" spans="2:8" ht="30" customHeight="1">
      <c r="B25" s="18"/>
    </row>
  </sheetData>
  <mergeCells count="7">
    <mergeCell ref="B20:F20"/>
    <mergeCell ref="B9:F9"/>
    <mergeCell ref="B1:C1"/>
    <mergeCell ref="E1:F1"/>
    <mergeCell ref="B8:F8"/>
    <mergeCell ref="B16:H16"/>
    <mergeCell ref="B5:H5"/>
  </mergeCells>
  <phoneticPr fontId="29" type="noConversion"/>
  <hyperlinks>
    <hyperlink ref="B1" location="'Table of Contents'!A1" tooltip="Click here to return to the Table of Contents tab" display="Return to Table of Contents" xr:uid="{00000000-0004-0000-1D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5300" r:id="rId4" name="Button 4">
              <controlPr defaultSize="0" print="0" autoFill="0" autoPict="0" macro="[0]!default_elasticity_sheet">
                <anchor moveWithCells="1" sizeWithCells="1">
                  <from>
                    <xdr:col>4</xdr:col>
                    <xdr:colOff>0</xdr:colOff>
                    <xdr:row>1</xdr:row>
                    <xdr:rowOff>0</xdr:rowOff>
                  </from>
                  <to>
                    <xdr:col>5</xdr:col>
                    <xdr:colOff>400050</xdr:colOff>
                    <xdr:row>3</xdr:row>
                    <xdr:rowOff>57150</xdr:rowOff>
                  </to>
                </anchor>
              </controlPr>
            </control>
          </mc:Choice>
        </mc:AlternateContent>
        <mc:AlternateContent xmlns:mc="http://schemas.openxmlformats.org/markup-compatibility/2006">
          <mc:Choice Requires="x14">
            <control shapeId="55301" r:id="rId5" name="Button 5">
              <controlPr defaultSize="0" print="0" autoFill="0" autoPict="0" macro="[0]!default_elasticity">
                <anchor moveWithCells="1" sizeWithCells="1">
                  <from>
                    <xdr:col>5</xdr:col>
                    <xdr:colOff>628650</xdr:colOff>
                    <xdr:row>1</xdr:row>
                    <xdr:rowOff>0</xdr:rowOff>
                  </from>
                  <to>
                    <xdr:col>6</xdr:col>
                    <xdr:colOff>1028700</xdr:colOff>
                    <xdr:row>3</xdr:row>
                    <xdr:rowOff>57150</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1">
    <tabColor indexed="42"/>
    <pageSetUpPr fitToPage="1"/>
  </sheetPr>
  <dimension ref="A1:G24"/>
  <sheetViews>
    <sheetView zoomScale="85" workbookViewId="0"/>
  </sheetViews>
  <sheetFormatPr defaultColWidth="9.28515625" defaultRowHeight="15"/>
  <cols>
    <col min="1" max="1" width="4.7109375" style="18" customWidth="1"/>
    <col min="2" max="2" width="15" style="1" customWidth="1"/>
    <col min="3" max="3" width="17.42578125" style="1" customWidth="1"/>
    <col min="4" max="4" width="14.5703125" style="1" customWidth="1"/>
    <col min="5" max="5" width="15.28515625" style="1" customWidth="1"/>
    <col min="6" max="6" width="14.5703125" style="1" customWidth="1"/>
    <col min="7" max="16384" width="9.28515625" style="1"/>
  </cols>
  <sheetData>
    <row r="1" spans="1:7" ht="15.75" thickBot="1">
      <c r="B1" s="701" t="s">
        <v>27</v>
      </c>
      <c r="C1" s="702"/>
      <c r="D1" s="2"/>
      <c r="E1" s="803"/>
      <c r="F1" s="803"/>
    </row>
    <row r="2" spans="1:7">
      <c r="A2" s="21"/>
      <c r="B2" s="2"/>
      <c r="C2" s="2"/>
      <c r="D2" s="2"/>
      <c r="E2" s="2"/>
      <c r="F2" s="2"/>
    </row>
    <row r="3" spans="1:7" ht="18">
      <c r="A3" s="21"/>
      <c r="B3" s="100" t="s">
        <v>524</v>
      </c>
      <c r="C3" s="38"/>
      <c r="D3" s="38"/>
      <c r="E3" s="38"/>
      <c r="F3" s="38"/>
    </row>
    <row r="4" spans="1:7">
      <c r="A4" s="21"/>
      <c r="C4" s="2"/>
      <c r="D4" s="2"/>
      <c r="E4" s="2"/>
      <c r="F4" s="2"/>
    </row>
    <row r="5" spans="1:7" ht="15.75" customHeight="1">
      <c r="A5" s="16"/>
      <c r="B5" s="36" t="s">
        <v>525</v>
      </c>
      <c r="C5" s="12"/>
      <c r="D5" s="12"/>
      <c r="E5" s="12"/>
      <c r="F5" s="13"/>
    </row>
    <row r="6" spans="1:7" ht="30" customHeight="1">
      <c r="A6" s="16"/>
      <c r="B6" s="661" t="s">
        <v>281</v>
      </c>
      <c r="C6" s="661" t="s">
        <v>282</v>
      </c>
      <c r="D6" s="661" t="s">
        <v>283</v>
      </c>
      <c r="E6" s="661" t="s">
        <v>284</v>
      </c>
      <c r="F6" s="661" t="s">
        <v>279</v>
      </c>
    </row>
    <row r="7" spans="1:7" ht="30" customHeight="1">
      <c r="A7" s="16"/>
      <c r="B7" s="105">
        <v>-0.313</v>
      </c>
      <c r="C7" s="105">
        <v>-0.29599999999999999</v>
      </c>
      <c r="D7" s="105">
        <v>-0.46800000000000003</v>
      </c>
      <c r="E7" s="105">
        <v>-1</v>
      </c>
      <c r="F7" s="105">
        <v>-0.89</v>
      </c>
    </row>
    <row r="8" spans="1:7" ht="30" customHeight="1">
      <c r="A8" s="17"/>
      <c r="B8" s="808" t="s">
        <v>526</v>
      </c>
      <c r="C8" s="808"/>
      <c r="D8" s="808"/>
      <c r="E8" s="808"/>
      <c r="F8" s="808"/>
    </row>
    <row r="9" spans="1:7" ht="15.75" customHeight="1">
      <c r="B9" s="36" t="s">
        <v>521</v>
      </c>
      <c r="C9" s="12"/>
      <c r="D9" s="12"/>
      <c r="E9" s="12"/>
      <c r="F9" s="33"/>
    </row>
    <row r="10" spans="1:7" ht="30" customHeight="1">
      <c r="B10" s="661"/>
      <c r="C10" s="661" t="s">
        <v>281</v>
      </c>
      <c r="D10" s="661" t="s">
        <v>282</v>
      </c>
      <c r="E10" s="661" t="s">
        <v>283</v>
      </c>
      <c r="F10" s="661" t="s">
        <v>284</v>
      </c>
    </row>
    <row r="11" spans="1:7" ht="30" customHeight="1">
      <c r="B11" s="650" t="s">
        <v>11</v>
      </c>
      <c r="C11" s="51">
        <v>7.0000000000000007E-2</v>
      </c>
      <c r="D11" s="51">
        <v>7.0000000000000007E-2</v>
      </c>
      <c r="E11" s="51">
        <v>0.17199999999999999</v>
      </c>
      <c r="F11" s="51">
        <v>0</v>
      </c>
    </row>
    <row r="12" spans="1:7" ht="30" customHeight="1">
      <c r="B12" s="650" t="s">
        <v>15</v>
      </c>
      <c r="C12" s="114"/>
      <c r="D12" s="114"/>
      <c r="E12" s="51">
        <v>0.05</v>
      </c>
      <c r="F12" s="114"/>
    </row>
    <row r="13" spans="1:7" ht="30" customHeight="1">
      <c r="B13" s="661" t="s">
        <v>14</v>
      </c>
      <c r="C13" s="51">
        <v>0.50700000000000001</v>
      </c>
      <c r="D13" s="51">
        <v>0.41899999999999998</v>
      </c>
      <c r="E13" s="51">
        <v>0.17799999999999999</v>
      </c>
      <c r="F13" s="51">
        <v>0</v>
      </c>
    </row>
    <row r="14" spans="1:7" ht="39.75" customHeight="1"/>
    <row r="15" spans="1:7" ht="17.25" customHeight="1"/>
    <row r="16" spans="1:7" ht="15.75" customHeight="1">
      <c r="B16" s="46" t="s">
        <v>522</v>
      </c>
      <c r="C16" s="54"/>
      <c r="D16" s="54"/>
      <c r="E16" s="54"/>
      <c r="F16" s="55"/>
      <c r="G16" s="47"/>
    </row>
    <row r="17" spans="2:7" ht="30" customHeight="1">
      <c r="B17" s="34" t="s">
        <v>281</v>
      </c>
      <c r="C17" s="34" t="s">
        <v>282</v>
      </c>
      <c r="D17" s="34" t="s">
        <v>283</v>
      </c>
      <c r="E17" s="34" t="s">
        <v>284</v>
      </c>
      <c r="F17" s="34" t="s">
        <v>279</v>
      </c>
      <c r="G17" s="47"/>
    </row>
    <row r="18" spans="2:7" ht="30">
      <c r="B18" s="35" t="str">
        <f>IF(e_dem_gas_res=def_dem_gas_res,sou_dem_gas_res,"")</f>
        <v>Serletis et al 2010</v>
      </c>
      <c r="C18" s="35" t="str">
        <f>IF(e_dem_gas_com=def_dem_gas_com,sou_dem_gas_com,"")</f>
        <v>Serletis et al 2010</v>
      </c>
      <c r="D18" s="35" t="str">
        <f>IF(e_dem_gas_ind=def_dem_gas_ind,sou_dem_gas_ind,"")</f>
        <v>Jones (2014)</v>
      </c>
      <c r="E18" s="35" t="str">
        <f>IF(e_dem_gas_tra=def_dem_gas_tra,sou_dem_gas_tra,"")</f>
        <v>Assumed value</v>
      </c>
      <c r="F18" s="35" t="str">
        <f>IF(e_dem_gas_exp=def_dem_gas_exp,sou_dem_gas_exp,"")</f>
        <v>Dahl (2010)</v>
      </c>
    </row>
    <row r="19" spans="2:7" ht="30" customHeight="1"/>
    <row r="20" spans="2:7" ht="15.75" customHeight="1">
      <c r="B20" s="46" t="s">
        <v>523</v>
      </c>
      <c r="C20" s="54"/>
      <c r="D20" s="54"/>
      <c r="E20" s="54"/>
      <c r="F20" s="50"/>
    </row>
    <row r="21" spans="2:7" ht="30" customHeight="1">
      <c r="B21" s="32"/>
      <c r="C21" s="34" t="s">
        <v>281</v>
      </c>
      <c r="D21" s="34" t="s">
        <v>282</v>
      </c>
      <c r="E21" s="34" t="s">
        <v>283</v>
      </c>
      <c r="F21" s="34" t="s">
        <v>284</v>
      </c>
    </row>
    <row r="22" spans="2:7" ht="30" customHeight="1">
      <c r="B22" s="32" t="s">
        <v>11</v>
      </c>
      <c r="C22" s="39" t="str">
        <f>IF(e_gas_res_oil=def_gas_res_oil,sou_gas_res_oil,"")</f>
        <v>Newell and Pizer (2008)</v>
      </c>
      <c r="D22" s="39" t="str">
        <f>IF(e_gas_com_oil=def_gas_com_oil,sou_gas_com_oil,"")</f>
        <v>Newell and Pizer (2008)</v>
      </c>
      <c r="E22" s="39" t="str">
        <f>IF(e_gas_ind_oil=def_gas_ind_oil,sou_gas_ind_oil,"")</f>
        <v>Jones (2014)</v>
      </c>
      <c r="F22" s="39" t="str">
        <f>IF(e_gas_tra_oil=def_gas_tra_oil,sou_gas_tra_oil,"")</f>
        <v/>
      </c>
    </row>
    <row r="23" spans="2:7" ht="30" customHeight="1">
      <c r="B23" s="32" t="s">
        <v>15</v>
      </c>
      <c r="C23" s="247"/>
      <c r="D23" s="247"/>
      <c r="E23" s="40" t="str">
        <f>IF(e_gas_ind_coa=def_gas_ind_coa,sou_gas_ind_coa,"")</f>
        <v>Jones (2014)</v>
      </c>
      <c r="F23" s="247"/>
    </row>
    <row r="24" spans="2:7" ht="30" customHeight="1">
      <c r="B24" s="34" t="s">
        <v>14</v>
      </c>
      <c r="C24" s="41" t="str">
        <f>IF(e_gas_res_ele=def_gas_res_ele,sou_gas_res_ele,"")</f>
        <v>Serletis et al 2010</v>
      </c>
      <c r="D24" s="41" t="str">
        <f>IF(e_gas_com_ele=def_gas_com_ele,sou_gas_com_ele,"")</f>
        <v>Serletis et al 2010</v>
      </c>
      <c r="E24" s="41" t="str">
        <f>IF(e_gas_ind_ele=def_gas_ind_ele,sou_gas_ind_ele,"")</f>
        <v>Jones (2014)</v>
      </c>
      <c r="F24" s="41" t="str">
        <f>IF(e_gas_tra_ele=def_gas_tra_ele,sou_gas_tra_ele,"")</f>
        <v/>
      </c>
    </row>
  </sheetData>
  <mergeCells count="3">
    <mergeCell ref="B1:C1"/>
    <mergeCell ref="E1:F1"/>
    <mergeCell ref="B8:F8"/>
  </mergeCells>
  <phoneticPr fontId="29" type="noConversion"/>
  <hyperlinks>
    <hyperlink ref="B1" location="'Table of Contents'!A1" tooltip="Click here to return to the Table of Contents tab" display="Return to Table of Contents" xr:uid="{00000000-0004-0000-1E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4276" r:id="rId4" name="Button 4">
              <controlPr defaultSize="0" print="0" autoFill="0" autoPict="0" macro="[0]!default_elasticity_sheet">
                <anchor moveWithCells="1" sizeWithCells="1">
                  <from>
                    <xdr:col>4</xdr:col>
                    <xdr:colOff>19050</xdr:colOff>
                    <xdr:row>0</xdr:row>
                    <xdr:rowOff>190500</xdr:rowOff>
                  </from>
                  <to>
                    <xdr:col>5</xdr:col>
                    <xdr:colOff>371475</xdr:colOff>
                    <xdr:row>3</xdr:row>
                    <xdr:rowOff>38100</xdr:rowOff>
                  </to>
                </anchor>
              </controlPr>
            </control>
          </mc:Choice>
        </mc:AlternateContent>
        <mc:AlternateContent xmlns:mc="http://schemas.openxmlformats.org/markup-compatibility/2006">
          <mc:Choice Requires="x14">
            <control shapeId="54277" r:id="rId5" name="Button 5">
              <controlPr defaultSize="0" print="0" autoFill="0" autoPict="0" macro="[0]!default_elasticity">
                <anchor moveWithCells="1" sizeWithCells="1">
                  <from>
                    <xdr:col>5</xdr:col>
                    <xdr:colOff>552450</xdr:colOff>
                    <xdr:row>0</xdr:row>
                    <xdr:rowOff>190500</xdr:rowOff>
                  </from>
                  <to>
                    <xdr:col>7</xdr:col>
                    <xdr:colOff>333375</xdr:colOff>
                    <xdr:row>3</xdr:row>
                    <xdr:rowOff>38100</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4">
    <tabColor indexed="42"/>
    <pageSetUpPr fitToPage="1"/>
  </sheetPr>
  <dimension ref="A1:G24"/>
  <sheetViews>
    <sheetView zoomScale="85" workbookViewId="0"/>
  </sheetViews>
  <sheetFormatPr defaultColWidth="9.28515625" defaultRowHeight="15"/>
  <cols>
    <col min="1" max="1" width="4.7109375" style="18" customWidth="1"/>
    <col min="2" max="2" width="15" style="1" customWidth="1"/>
    <col min="3" max="7" width="14.5703125" style="1" customWidth="1"/>
    <col min="8" max="16384" width="9.28515625" style="1"/>
  </cols>
  <sheetData>
    <row r="1" spans="1:7" ht="15.75" thickBot="1">
      <c r="B1" s="701" t="s">
        <v>27</v>
      </c>
      <c r="C1" s="702"/>
      <c r="D1" s="2"/>
      <c r="E1" s="803"/>
      <c r="F1" s="803"/>
      <c r="G1" s="2"/>
    </row>
    <row r="2" spans="1:7">
      <c r="A2" s="21"/>
      <c r="B2" s="2"/>
      <c r="C2" s="2"/>
      <c r="D2" s="2"/>
      <c r="E2" s="2"/>
      <c r="F2" s="2"/>
      <c r="G2" s="2"/>
    </row>
    <row r="3" spans="1:7" ht="18">
      <c r="A3" s="21"/>
      <c r="B3" s="100" t="s">
        <v>527</v>
      </c>
      <c r="C3" s="38"/>
      <c r="D3" s="38"/>
      <c r="E3" s="38"/>
      <c r="F3" s="38"/>
      <c r="G3" s="38"/>
    </row>
    <row r="4" spans="1:7">
      <c r="A4" s="21"/>
      <c r="B4" s="2"/>
      <c r="C4" s="2"/>
      <c r="D4" s="2"/>
      <c r="E4" s="2"/>
      <c r="F4" s="2"/>
      <c r="G4" s="2"/>
    </row>
    <row r="5" spans="1:7" ht="15.75" customHeight="1">
      <c r="A5" s="16"/>
      <c r="B5" s="42" t="s">
        <v>525</v>
      </c>
      <c r="C5" s="43"/>
      <c r="D5" s="33"/>
      <c r="E5" s="43"/>
      <c r="F5" s="33"/>
    </row>
    <row r="6" spans="1:7" ht="30" customHeight="1">
      <c r="A6" s="16"/>
      <c r="B6" s="661" t="s">
        <v>281</v>
      </c>
      <c r="C6" s="661" t="s">
        <v>282</v>
      </c>
      <c r="D6" s="661" t="s">
        <v>283</v>
      </c>
      <c r="E6" s="661" t="s">
        <v>284</v>
      </c>
      <c r="F6" s="661" t="s">
        <v>200</v>
      </c>
    </row>
    <row r="7" spans="1:7" ht="30" customHeight="1">
      <c r="A7" s="16"/>
      <c r="B7" s="105">
        <v>-0.28699999999999998</v>
      </c>
      <c r="C7" s="105">
        <v>-0.13400000000000001</v>
      </c>
      <c r="D7" s="105">
        <v>-0.125</v>
      </c>
      <c r="E7" s="105">
        <v>-1</v>
      </c>
      <c r="F7" s="105">
        <v>-0.18200000000000002</v>
      </c>
    </row>
    <row r="8" spans="1:7" ht="30" customHeight="1">
      <c r="A8" s="17"/>
      <c r="B8" s="316"/>
      <c r="C8" s="316"/>
      <c r="D8" s="316"/>
      <c r="E8" s="316"/>
      <c r="F8" s="316"/>
    </row>
    <row r="9" spans="1:7" ht="15.75" customHeight="1">
      <c r="B9" s="42" t="s">
        <v>521</v>
      </c>
      <c r="C9" s="43"/>
      <c r="D9" s="43"/>
      <c r="E9" s="33"/>
      <c r="F9" s="43"/>
      <c r="G9" s="33"/>
    </row>
    <row r="10" spans="1:7" ht="30" customHeight="1">
      <c r="B10" s="661"/>
      <c r="C10" s="661" t="s">
        <v>281</v>
      </c>
      <c r="D10" s="661" t="s">
        <v>282</v>
      </c>
      <c r="E10" s="661" t="s">
        <v>283</v>
      </c>
      <c r="F10" s="661" t="s">
        <v>284</v>
      </c>
      <c r="G10" s="661" t="s">
        <v>200</v>
      </c>
    </row>
    <row r="11" spans="1:7" ht="30" customHeight="1">
      <c r="B11" s="650" t="s">
        <v>11</v>
      </c>
      <c r="C11" s="51">
        <v>0.214</v>
      </c>
      <c r="D11" s="51">
        <v>9.1999999999999998E-2</v>
      </c>
      <c r="E11" s="51">
        <v>8.9999999999999993E-3</v>
      </c>
      <c r="F11" s="51">
        <v>0</v>
      </c>
      <c r="G11" s="51">
        <v>0</v>
      </c>
    </row>
    <row r="12" spans="1:7" ht="30" customHeight="1">
      <c r="B12" s="650" t="s">
        <v>12</v>
      </c>
      <c r="C12" s="51">
        <v>7.1999999999999995E-2</v>
      </c>
      <c r="D12" s="51">
        <v>4.1000000000000002E-2</v>
      </c>
      <c r="E12" s="51">
        <v>0.11799999999999999</v>
      </c>
      <c r="F12" s="51">
        <v>0</v>
      </c>
      <c r="G12" s="51">
        <v>0</v>
      </c>
    </row>
    <row r="13" spans="1:7" ht="30" customHeight="1">
      <c r="B13" s="661" t="s">
        <v>15</v>
      </c>
      <c r="C13" s="115"/>
      <c r="D13" s="115"/>
      <c r="E13" s="51">
        <v>6.0999999999999999E-2</v>
      </c>
      <c r="F13" s="233"/>
      <c r="G13" s="51">
        <v>0</v>
      </c>
    </row>
    <row r="14" spans="1:7" ht="39.75" customHeight="1"/>
    <row r="15" spans="1:7" ht="17.25" customHeight="1"/>
    <row r="16" spans="1:7" ht="15.75" customHeight="1">
      <c r="B16" s="44" t="s">
        <v>522</v>
      </c>
      <c r="C16" s="49"/>
      <c r="D16" s="50"/>
      <c r="E16" s="49"/>
      <c r="F16" s="50"/>
    </row>
    <row r="17" spans="2:7" ht="30" customHeight="1">
      <c r="B17" s="34" t="s">
        <v>281</v>
      </c>
      <c r="C17" s="34" t="s">
        <v>282</v>
      </c>
      <c r="D17" s="34" t="s">
        <v>283</v>
      </c>
      <c r="E17" s="34" t="s">
        <v>284</v>
      </c>
      <c r="F17" s="34" t="s">
        <v>200</v>
      </c>
    </row>
    <row r="18" spans="2:7" ht="30" customHeight="1">
      <c r="B18" s="35" t="str">
        <f>IF(e_dem_ele_res=def_dem_ele_res,sou_dem_ele_res,"")</f>
        <v>Serletis et al 2010</v>
      </c>
      <c r="C18" s="35" t="str">
        <f>IF(e_dem_ele_com=def_dem_ele_com,sou_dem_ele_com,"")</f>
        <v>Serletis et al 2010</v>
      </c>
      <c r="D18" s="35" t="str">
        <f>IF(e_dem_ele_ind=def_dem_ele_ind,sou_dem_ele_ind,"")</f>
        <v>Jones (2014)</v>
      </c>
      <c r="E18" s="35" t="str">
        <f>IF(e_dem_ele_tra=def_dem_ele_tra,sou_dem_ele_tra,"")</f>
        <v>Assumed value</v>
      </c>
      <c r="F18" s="35" t="str">
        <f>IF(e_dem_ele_oth=def_dem_ele_oth,sou_dem_ele_oth,"")</f>
        <v>Average of res., com., and ind.</v>
      </c>
    </row>
    <row r="19" spans="2:7" ht="30" customHeight="1"/>
    <row r="20" spans="2:7" ht="15.75" customHeight="1">
      <c r="B20" s="44" t="s">
        <v>523</v>
      </c>
      <c r="C20" s="49"/>
      <c r="D20" s="49"/>
      <c r="E20" s="50"/>
      <c r="F20" s="49"/>
      <c r="G20" s="50"/>
    </row>
    <row r="21" spans="2:7" ht="30" customHeight="1">
      <c r="B21" s="32"/>
      <c r="C21" s="34" t="s">
        <v>281</v>
      </c>
      <c r="D21" s="34" t="s">
        <v>282</v>
      </c>
      <c r="E21" s="34" t="s">
        <v>283</v>
      </c>
      <c r="F21" s="34" t="s">
        <v>284</v>
      </c>
      <c r="G21" s="34" t="s">
        <v>200</v>
      </c>
    </row>
    <row r="22" spans="2:7" ht="30" customHeight="1">
      <c r="B22" s="32" t="s">
        <v>11</v>
      </c>
      <c r="C22" s="39" t="str">
        <f>IF(e_ele_res_oil=def_ele_res_oil,sou_ele_res_oil,"")</f>
        <v>Serletis et al 2010</v>
      </c>
      <c r="D22" s="39" t="str">
        <f>IF(e_ele_com_oil=def_ele_com_oil,sou_ele_com_oil,"")</f>
        <v>Serletis et al 2010</v>
      </c>
      <c r="E22" s="39" t="str">
        <f>IF(e_ele_ind_oil=def_ele_ind_oil,sou_ele_ind_oil,"")</f>
        <v>Serletis et al. (2010)</v>
      </c>
      <c r="F22" s="39" t="str">
        <f>IF(e_ele_tra_oil=def_ele_tra_oil,sou_ele_tra_oil,"")</f>
        <v/>
      </c>
      <c r="G22" s="39" t="str">
        <f>IF(e_ele_oth_oil=def_ele_oth_oil,sou_ele_oth_oil,"")</f>
        <v/>
      </c>
    </row>
    <row r="23" spans="2:7" ht="30" customHeight="1">
      <c r="B23" s="32" t="s">
        <v>12</v>
      </c>
      <c r="C23" s="39" t="str">
        <f>IF(e_ele_res_gas=def_ele_res_gas,sou_ele_res_gas,"")</f>
        <v>Serletis et al 2010</v>
      </c>
      <c r="D23" s="39" t="str">
        <f>IF(e_ele_com_gas=def_ele_com_gas,sou_ele_com_gas,"")</f>
        <v>Serletis et al 2010</v>
      </c>
      <c r="E23" s="40" t="str">
        <f>IF(e_ele_ind_gas=def_ele_ind_gas,sou_ele_ind_gas,"")</f>
        <v>Jones (2014)</v>
      </c>
      <c r="F23" s="40" t="str">
        <f>IF(e_ele_tra_gas=def_ele_tra_gas,sou_ele_tra_gas,"")</f>
        <v/>
      </c>
      <c r="G23" s="40" t="str">
        <f>IF(e_ele_oth_gas=def_ele_oth_gas,sou_ele_oth_gas,"")</f>
        <v/>
      </c>
    </row>
    <row r="24" spans="2:7" ht="30" customHeight="1">
      <c r="B24" s="34" t="s">
        <v>15</v>
      </c>
      <c r="C24" s="248"/>
      <c r="D24" s="248"/>
      <c r="E24" s="41" t="str">
        <f>IF(e_ele_ind_coa=def_ele_ind_coa,sou_ele_ind_coa,"")</f>
        <v>Jones (2014)</v>
      </c>
      <c r="F24" s="248"/>
      <c r="G24" s="41" t="str">
        <f>IF(e_ele_oth_coa=def_ele_oth_coa,sou_ele_oth_coa,"")</f>
        <v/>
      </c>
    </row>
  </sheetData>
  <mergeCells count="2">
    <mergeCell ref="B1:C1"/>
    <mergeCell ref="E1:F1"/>
  </mergeCells>
  <phoneticPr fontId="29" type="noConversion"/>
  <hyperlinks>
    <hyperlink ref="B1" location="'Table of Contents'!A1" tooltip="Click here to return to the Table of Contents tab" display="Return to Table of Contents" xr:uid="{00000000-0004-0000-1F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9396" r:id="rId4" name="Button 4">
              <controlPr defaultSize="0" print="0" autoFill="0" autoPict="0" macro="[0]!default_elasticity_sheet">
                <anchor moveWithCells="1" sizeWithCells="1">
                  <from>
                    <xdr:col>4</xdr:col>
                    <xdr:colOff>19050</xdr:colOff>
                    <xdr:row>0</xdr:row>
                    <xdr:rowOff>171450</xdr:rowOff>
                  </from>
                  <to>
                    <xdr:col>5</xdr:col>
                    <xdr:colOff>400050</xdr:colOff>
                    <xdr:row>3</xdr:row>
                    <xdr:rowOff>19050</xdr:rowOff>
                  </to>
                </anchor>
              </controlPr>
            </control>
          </mc:Choice>
        </mc:AlternateContent>
        <mc:AlternateContent xmlns:mc="http://schemas.openxmlformats.org/markup-compatibility/2006">
          <mc:Choice Requires="x14">
            <control shapeId="59397" r:id="rId5" name="Button 5">
              <controlPr defaultSize="0" print="0" autoFill="0" autoPict="0" macro="[0]!default_elasticity">
                <anchor moveWithCells="1" sizeWithCells="1">
                  <from>
                    <xdr:col>5</xdr:col>
                    <xdr:colOff>590550</xdr:colOff>
                    <xdr:row>0</xdr:row>
                    <xdr:rowOff>171450</xdr:rowOff>
                  </from>
                  <to>
                    <xdr:col>7</xdr:col>
                    <xdr:colOff>19050</xdr:colOff>
                    <xdr:row>3</xdr:row>
                    <xdr:rowOff>19050</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3">
    <tabColor indexed="42"/>
    <pageSetUpPr fitToPage="1"/>
  </sheetPr>
  <dimension ref="A1:I24"/>
  <sheetViews>
    <sheetView zoomScale="85" workbookViewId="0"/>
  </sheetViews>
  <sheetFormatPr defaultColWidth="9.28515625" defaultRowHeight="15"/>
  <cols>
    <col min="1" max="1" width="4.7109375" style="18" customWidth="1"/>
    <col min="2" max="2" width="15" style="1" customWidth="1"/>
    <col min="3" max="9" width="14.5703125" style="1" customWidth="1"/>
    <col min="10" max="16384" width="9.28515625" style="1"/>
  </cols>
  <sheetData>
    <row r="1" spans="1:9" ht="15.75" thickBot="1">
      <c r="B1" s="701" t="s">
        <v>27</v>
      </c>
      <c r="C1" s="702"/>
      <c r="D1" s="86"/>
      <c r="E1" s="803"/>
      <c r="F1" s="803"/>
      <c r="G1" s="2"/>
      <c r="H1" s="2"/>
      <c r="I1" s="2"/>
    </row>
    <row r="2" spans="1:9">
      <c r="A2" s="21"/>
      <c r="B2" s="2"/>
      <c r="C2" s="2"/>
      <c r="D2" s="2"/>
      <c r="E2" s="2"/>
      <c r="F2" s="2"/>
      <c r="G2" s="2"/>
      <c r="H2" s="2"/>
      <c r="I2" s="2"/>
    </row>
    <row r="3" spans="1:9" ht="18">
      <c r="A3" s="21"/>
      <c r="B3" s="100" t="s">
        <v>528</v>
      </c>
      <c r="C3" s="38"/>
      <c r="D3" s="38"/>
      <c r="E3" s="38"/>
      <c r="F3" s="38"/>
      <c r="G3" s="38"/>
      <c r="H3" s="38"/>
      <c r="I3" s="38"/>
    </row>
    <row r="4" spans="1:9">
      <c r="A4" s="21"/>
      <c r="F4" s="2"/>
      <c r="G4" s="2"/>
      <c r="H4" s="2"/>
      <c r="I4" s="2"/>
    </row>
    <row r="5" spans="1:9" ht="15.75" customHeight="1">
      <c r="A5" s="16"/>
      <c r="B5" s="42" t="s">
        <v>525</v>
      </c>
      <c r="C5" s="43"/>
      <c r="D5" s="33"/>
    </row>
    <row r="6" spans="1:9" ht="30" customHeight="1">
      <c r="A6" s="16"/>
      <c r="B6" s="661" t="s">
        <v>283</v>
      </c>
      <c r="C6" s="661" t="s">
        <v>200</v>
      </c>
      <c r="D6" s="661" t="s">
        <v>279</v>
      </c>
    </row>
    <row r="7" spans="1:9" ht="30" customHeight="1">
      <c r="A7" s="16"/>
      <c r="B7" s="105">
        <v>-1.468</v>
      </c>
      <c r="C7" s="105">
        <v>-1.468</v>
      </c>
      <c r="D7" s="105">
        <v>-1</v>
      </c>
    </row>
    <row r="8" spans="1:9" ht="30" customHeight="1">
      <c r="A8" s="17"/>
      <c r="B8" s="735" t="s">
        <v>529</v>
      </c>
      <c r="C8" s="735"/>
      <c r="D8" s="735"/>
      <c r="E8" s="735"/>
      <c r="F8" s="735"/>
    </row>
    <row r="9" spans="1:9" ht="15.75" customHeight="1">
      <c r="B9" s="42" t="s">
        <v>521</v>
      </c>
      <c r="C9" s="33"/>
      <c r="D9" s="33"/>
    </row>
    <row r="10" spans="1:9" ht="30" customHeight="1">
      <c r="B10" s="661"/>
      <c r="C10" s="661" t="s">
        <v>283</v>
      </c>
      <c r="D10" s="661" t="s">
        <v>200</v>
      </c>
    </row>
    <row r="11" spans="1:9" ht="30" customHeight="1">
      <c r="B11" s="650" t="s">
        <v>11</v>
      </c>
      <c r="C11" s="51">
        <v>0.44</v>
      </c>
      <c r="D11" s="51">
        <v>0</v>
      </c>
    </row>
    <row r="12" spans="1:9" ht="30" customHeight="1">
      <c r="B12" s="650" t="s">
        <v>12</v>
      </c>
      <c r="C12" s="52">
        <v>0.35099999999999998</v>
      </c>
      <c r="D12" s="51">
        <v>0</v>
      </c>
    </row>
    <row r="13" spans="1:9" ht="30" customHeight="1">
      <c r="B13" s="661" t="s">
        <v>14</v>
      </c>
      <c r="C13" s="53">
        <v>0.65200000000000002</v>
      </c>
      <c r="D13" s="51">
        <v>0</v>
      </c>
    </row>
    <row r="14" spans="1:9" ht="39.75" customHeight="1"/>
    <row r="15" spans="1:9" ht="17.25" customHeight="1"/>
    <row r="16" spans="1:9" ht="15.75" customHeight="1">
      <c r="B16" s="44" t="s">
        <v>522</v>
      </c>
      <c r="C16" s="49"/>
      <c r="D16" s="50"/>
      <c r="G16" s="47"/>
    </row>
    <row r="17" spans="2:7" ht="30" customHeight="1">
      <c r="B17" s="34" t="s">
        <v>283</v>
      </c>
      <c r="C17" s="34" t="s">
        <v>200</v>
      </c>
      <c r="D17" s="34" t="s">
        <v>279</v>
      </c>
      <c r="G17" s="47"/>
    </row>
    <row r="18" spans="2:7" ht="30" customHeight="1">
      <c r="B18" s="35" t="str">
        <f>IF(e_dem_coa_ind=def_dem_coa_ind,sou_dem_coa_ind,"")</f>
        <v>Jones (2014)</v>
      </c>
      <c r="C18" s="35" t="str">
        <f>IF(e_dem_coa_oth=def_dem_coa_oth,sou_dem_coa_oth,"")</f>
        <v>Jones (2014)</v>
      </c>
      <c r="D18" s="35" t="str">
        <f>IF(e_dem_coa_exp=def_dem_coa_exp,sou_dem_coa_exp,"")</f>
        <v>Assumed value</v>
      </c>
    </row>
    <row r="19" spans="2:7" ht="30" customHeight="1"/>
    <row r="20" spans="2:7" ht="15.75" customHeight="1">
      <c r="B20" s="44" t="s">
        <v>530</v>
      </c>
      <c r="C20" s="50"/>
      <c r="D20" s="50"/>
    </row>
    <row r="21" spans="2:7" ht="30" customHeight="1">
      <c r="B21" s="32"/>
      <c r="C21" s="34" t="s">
        <v>283</v>
      </c>
      <c r="D21" s="34" t="s">
        <v>200</v>
      </c>
    </row>
    <row r="22" spans="2:7" ht="30" customHeight="1">
      <c r="B22" s="32" t="s">
        <v>11</v>
      </c>
      <c r="C22" s="39" t="str">
        <f>IF(e_coa_ind_oil=def_coa_ind_oil,sou_coa_ind_oil,"")</f>
        <v>Jones (2014)</v>
      </c>
      <c r="D22" s="39" t="str">
        <f>IF(e_coa_oth_oil=def_coa_oth_oil,sou_coa_oth_oil,"")</f>
        <v/>
      </c>
    </row>
    <row r="23" spans="2:7" ht="30" customHeight="1">
      <c r="B23" s="32" t="s">
        <v>12</v>
      </c>
      <c r="C23" s="40" t="str">
        <f>IF(e_coa_ind_gas=def_coa_ind_gas,sou_coa_ind_gas,"")</f>
        <v>Jones (2014)</v>
      </c>
      <c r="D23" s="40" t="str">
        <f>IF(e_coa_oth_gas=def_coa_oth_gas,sou_coa_oth_gas,"")</f>
        <v/>
      </c>
    </row>
    <row r="24" spans="2:7" ht="30" customHeight="1">
      <c r="B24" s="34" t="s">
        <v>14</v>
      </c>
      <c r="C24" s="41" t="str">
        <f>IF(e_coa_ind_ele=def_coa_ind_ele,sou_coa_ind_ele,"")</f>
        <v>Jones (2014)</v>
      </c>
      <c r="D24" s="41" t="str">
        <f>IF(e_coa_oth_ele=def_coa_oth_ele,sou_coa_oth_ele,"")</f>
        <v/>
      </c>
    </row>
  </sheetData>
  <mergeCells count="3">
    <mergeCell ref="B1:C1"/>
    <mergeCell ref="E1:F1"/>
    <mergeCell ref="B8:F8"/>
  </mergeCells>
  <phoneticPr fontId="29" type="noConversion"/>
  <hyperlinks>
    <hyperlink ref="B1" location="'Table of Contents'!A1" tooltip="Click here to return to the Table of Contents tab" display="Return to Table of Contents" xr:uid="{00000000-0004-0000-20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8372" r:id="rId4" name="Button 4">
              <controlPr defaultSize="0" print="0" autoFill="0" autoPict="0" macro="[0]!default_elasticity_sheet">
                <anchor moveWithCells="1" sizeWithCells="1">
                  <from>
                    <xdr:col>3</xdr:col>
                    <xdr:colOff>952500</xdr:colOff>
                    <xdr:row>0</xdr:row>
                    <xdr:rowOff>171450</xdr:rowOff>
                  </from>
                  <to>
                    <xdr:col>5</xdr:col>
                    <xdr:colOff>371475</xdr:colOff>
                    <xdr:row>3</xdr:row>
                    <xdr:rowOff>19050</xdr:rowOff>
                  </to>
                </anchor>
              </controlPr>
            </control>
          </mc:Choice>
        </mc:AlternateContent>
        <mc:AlternateContent xmlns:mc="http://schemas.openxmlformats.org/markup-compatibility/2006">
          <mc:Choice Requires="x14">
            <control shapeId="58373" r:id="rId5" name="Button 5">
              <controlPr defaultSize="0" print="0" autoFill="0" autoPict="0" macro="[0]!default_elasticity">
                <anchor moveWithCells="1" sizeWithCells="1">
                  <from>
                    <xdr:col>5</xdr:col>
                    <xdr:colOff>552450</xdr:colOff>
                    <xdr:row>0</xdr:row>
                    <xdr:rowOff>171450</xdr:rowOff>
                  </from>
                  <to>
                    <xdr:col>6</xdr:col>
                    <xdr:colOff>942975</xdr:colOff>
                    <xdr:row>3</xdr:row>
                    <xdr:rowOff>19050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6"/>
  <dimension ref="A1:I168"/>
  <sheetViews>
    <sheetView zoomScale="85" zoomScaleNormal="85" workbookViewId="0">
      <selection sqref="A1:F1048576"/>
    </sheetView>
  </sheetViews>
  <sheetFormatPr defaultColWidth="9.28515625" defaultRowHeight="12.75"/>
  <cols>
    <col min="1" max="1" width="11.7109375" style="85" customWidth="1"/>
    <col min="2" max="2" width="33.28515625" style="85" bestFit="1" customWidth="1"/>
    <col min="3" max="3" width="25.140625" style="85" customWidth="1"/>
    <col min="4" max="4" width="23.5703125" style="85" bestFit="1" customWidth="1"/>
    <col min="5" max="5" width="34.42578125" style="85" bestFit="1" customWidth="1"/>
    <col min="6" max="6" width="33.42578125" style="85" bestFit="1" customWidth="1"/>
    <col min="7" max="7" width="23.7109375" style="85" bestFit="1" customWidth="1"/>
    <col min="8" max="8" width="16.7109375" style="85" customWidth="1"/>
    <col min="9" max="16384" width="9.28515625" style="85"/>
  </cols>
  <sheetData>
    <row r="1" spans="1:8" ht="33" customHeight="1">
      <c r="A1" s="232" t="s">
        <v>531</v>
      </c>
    </row>
    <row r="2" spans="1:8" ht="18">
      <c r="A2" s="228" t="s">
        <v>532</v>
      </c>
      <c r="F2" s="100"/>
    </row>
    <row r="3" spans="1:8">
      <c r="A3" s="230" t="s">
        <v>129</v>
      </c>
      <c r="B3" s="230" t="s">
        <v>533</v>
      </c>
      <c r="C3" s="230" t="s">
        <v>534</v>
      </c>
      <c r="D3" s="230" t="s">
        <v>466</v>
      </c>
      <c r="E3" s="230" t="s">
        <v>165</v>
      </c>
      <c r="F3" s="231" t="s">
        <v>535</v>
      </c>
    </row>
    <row r="4" spans="1:8">
      <c r="A4" s="85" t="s">
        <v>11</v>
      </c>
      <c r="B4" s="85" t="s">
        <v>281</v>
      </c>
      <c r="C4" s="181" t="s">
        <v>536</v>
      </c>
      <c r="D4" s="354">
        <v>-1.002</v>
      </c>
      <c r="E4" s="354" t="s">
        <v>537</v>
      </c>
      <c r="F4" s="181" t="str">
        <f>"sou"&amp;MID(C4,4,100)</f>
        <v>sou_dem_oil_res</v>
      </c>
      <c r="H4" s="181"/>
    </row>
    <row r="5" spans="1:8">
      <c r="A5" s="85" t="s">
        <v>11</v>
      </c>
      <c r="B5" s="85" t="s">
        <v>282</v>
      </c>
      <c r="C5" s="181" t="s">
        <v>538</v>
      </c>
      <c r="D5" s="354">
        <v>-0.93899999999999995</v>
      </c>
      <c r="E5" s="354" t="s">
        <v>537</v>
      </c>
      <c r="F5" s="181" t="str">
        <f t="shared" ref="F5:F23" si="0">"sou"&amp;MID(C5,4,100)</f>
        <v>sou_dem_oil_com</v>
      </c>
      <c r="H5" s="181"/>
    </row>
    <row r="6" spans="1:8">
      <c r="A6" s="85" t="s">
        <v>11</v>
      </c>
      <c r="B6" s="85" t="s">
        <v>283</v>
      </c>
      <c r="C6" s="181" t="s">
        <v>539</v>
      </c>
      <c r="D6" s="482">
        <v>-0.26400000000000001</v>
      </c>
      <c r="E6" s="482" t="s">
        <v>540</v>
      </c>
      <c r="F6" s="181" t="str">
        <f t="shared" si="0"/>
        <v>sou_dem_oil_ind</v>
      </c>
      <c r="H6" s="181"/>
    </row>
    <row r="7" spans="1:8">
      <c r="A7" s="85" t="s">
        <v>11</v>
      </c>
      <c r="B7" s="85" t="s">
        <v>421</v>
      </c>
      <c r="C7" s="181" t="s">
        <v>541</v>
      </c>
      <c r="D7" s="483">
        <v>-0.3</v>
      </c>
      <c r="E7" s="483" t="s">
        <v>542</v>
      </c>
      <c r="F7" s="181" t="str">
        <f t="shared" si="0"/>
        <v>sou_dem_oil_tra</v>
      </c>
      <c r="H7" s="181"/>
    </row>
    <row r="8" spans="1:8">
      <c r="A8" s="487" t="s">
        <v>11</v>
      </c>
      <c r="B8" s="487" t="s">
        <v>543</v>
      </c>
      <c r="C8" s="488" t="s">
        <v>544</v>
      </c>
      <c r="D8" s="633">
        <v>-0.15</v>
      </c>
      <c r="E8" s="634" t="s">
        <v>545</v>
      </c>
      <c r="F8" s="488" t="str">
        <f t="shared" si="0"/>
        <v>sou_dem_oil_row_crude</v>
      </c>
      <c r="H8" s="181"/>
    </row>
    <row r="9" spans="1:8">
      <c r="A9" s="487" t="s">
        <v>11</v>
      </c>
      <c r="B9" s="487" t="s">
        <v>546</v>
      </c>
      <c r="C9" s="488" t="s">
        <v>547</v>
      </c>
      <c r="D9" s="633">
        <v>-0.15</v>
      </c>
      <c r="E9" s="634" t="s">
        <v>545</v>
      </c>
      <c r="F9" s="488" t="str">
        <f t="shared" si="0"/>
        <v>sou_dem_oil_row_ref</v>
      </c>
      <c r="H9" s="181"/>
    </row>
    <row r="10" spans="1:8">
      <c r="A10" s="487" t="s">
        <v>11</v>
      </c>
      <c r="B10" s="487" t="s">
        <v>548</v>
      </c>
      <c r="C10" s="488" t="s">
        <v>549</v>
      </c>
      <c r="D10" s="633">
        <v>-0.15</v>
      </c>
      <c r="E10" s="634" t="s">
        <v>545</v>
      </c>
      <c r="F10" s="488" t="str">
        <f t="shared" si="0"/>
        <v>sou_dem_oil_row_non_us</v>
      </c>
      <c r="H10" s="181"/>
    </row>
    <row r="11" spans="1:8">
      <c r="A11" s="85" t="s">
        <v>12</v>
      </c>
      <c r="B11" s="85" t="s">
        <v>281</v>
      </c>
      <c r="C11" s="181" t="s">
        <v>550</v>
      </c>
      <c r="D11" s="354">
        <v>-0.313</v>
      </c>
      <c r="E11" s="354" t="s">
        <v>537</v>
      </c>
      <c r="F11" s="181" t="str">
        <f t="shared" si="0"/>
        <v>sou_dem_gas_res</v>
      </c>
      <c r="H11" s="181"/>
    </row>
    <row r="12" spans="1:8">
      <c r="A12" s="85" t="s">
        <v>12</v>
      </c>
      <c r="B12" s="85" t="s">
        <v>282</v>
      </c>
      <c r="C12" s="181" t="s">
        <v>551</v>
      </c>
      <c r="D12" s="354">
        <v>-0.29599999999999999</v>
      </c>
      <c r="E12" s="354" t="s">
        <v>537</v>
      </c>
      <c r="F12" s="181" t="str">
        <f t="shared" si="0"/>
        <v>sou_dem_gas_com</v>
      </c>
      <c r="H12" s="181"/>
    </row>
    <row r="13" spans="1:8">
      <c r="A13" s="85" t="s">
        <v>12</v>
      </c>
      <c r="B13" s="85" t="s">
        <v>283</v>
      </c>
      <c r="C13" s="181" t="s">
        <v>552</v>
      </c>
      <c r="D13" s="482">
        <v>-0.46800000000000003</v>
      </c>
      <c r="E13" s="482" t="s">
        <v>540</v>
      </c>
      <c r="F13" s="181" t="str">
        <f t="shared" si="0"/>
        <v>sou_dem_gas_ind</v>
      </c>
      <c r="H13" s="181"/>
    </row>
    <row r="14" spans="1:8">
      <c r="A14" s="85" t="s">
        <v>12</v>
      </c>
      <c r="B14" s="85" t="s">
        <v>421</v>
      </c>
      <c r="C14" s="181" t="s">
        <v>553</v>
      </c>
      <c r="D14" s="375">
        <v>-1</v>
      </c>
      <c r="E14" s="376" t="s">
        <v>554</v>
      </c>
      <c r="F14" s="181" t="str">
        <f t="shared" si="0"/>
        <v>sou_dem_gas_tra</v>
      </c>
      <c r="H14" s="181"/>
    </row>
    <row r="15" spans="1:8">
      <c r="A15" s="85" t="s">
        <v>12</v>
      </c>
      <c r="B15" s="85" t="s">
        <v>279</v>
      </c>
      <c r="C15" s="181" t="s">
        <v>555</v>
      </c>
      <c r="D15" s="483">
        <v>-0.89</v>
      </c>
      <c r="E15" s="483" t="s">
        <v>556</v>
      </c>
      <c r="F15" s="181" t="str">
        <f t="shared" si="0"/>
        <v>sou_dem_gas_exp</v>
      </c>
      <c r="H15" s="181"/>
    </row>
    <row r="16" spans="1:8">
      <c r="A16" s="85" t="s">
        <v>14</v>
      </c>
      <c r="B16" s="85" t="s">
        <v>281</v>
      </c>
      <c r="C16" s="181" t="s">
        <v>557</v>
      </c>
      <c r="D16" s="354">
        <v>-0.28699999999999998</v>
      </c>
      <c r="E16" s="354" t="s">
        <v>537</v>
      </c>
      <c r="F16" s="181" t="str">
        <f t="shared" si="0"/>
        <v>sou_dem_ele_res</v>
      </c>
      <c r="H16" s="181"/>
    </row>
    <row r="17" spans="1:8">
      <c r="A17" s="85" t="s">
        <v>14</v>
      </c>
      <c r="B17" s="85" t="s">
        <v>282</v>
      </c>
      <c r="C17" s="181" t="s">
        <v>558</v>
      </c>
      <c r="D17" s="354">
        <v>-0.13400000000000001</v>
      </c>
      <c r="E17" s="354" t="s">
        <v>537</v>
      </c>
      <c r="F17" s="181" t="str">
        <f t="shared" si="0"/>
        <v>sou_dem_ele_com</v>
      </c>
      <c r="H17" s="181"/>
    </row>
    <row r="18" spans="1:8">
      <c r="A18" s="85" t="s">
        <v>14</v>
      </c>
      <c r="B18" s="85" t="s">
        <v>283</v>
      </c>
      <c r="C18" s="181" t="s">
        <v>559</v>
      </c>
      <c r="D18" s="482">
        <v>-0.125</v>
      </c>
      <c r="E18" s="482" t="s">
        <v>540</v>
      </c>
      <c r="F18" s="181" t="str">
        <f t="shared" si="0"/>
        <v>sou_dem_ele_ind</v>
      </c>
      <c r="H18" s="181"/>
    </row>
    <row r="19" spans="1:8">
      <c r="A19" s="85" t="s">
        <v>14</v>
      </c>
      <c r="B19" s="85" t="s">
        <v>421</v>
      </c>
      <c r="C19" s="181" t="s">
        <v>560</v>
      </c>
      <c r="D19" s="375">
        <v>-1</v>
      </c>
      <c r="E19" s="376" t="s">
        <v>554</v>
      </c>
      <c r="F19" s="181" t="str">
        <f t="shared" si="0"/>
        <v>sou_dem_ele_tra</v>
      </c>
      <c r="H19" s="181"/>
    </row>
    <row r="20" spans="1:8">
      <c r="A20" s="85" t="s">
        <v>14</v>
      </c>
      <c r="B20" s="85" t="s">
        <v>200</v>
      </c>
      <c r="C20" s="181" t="s">
        <v>561</v>
      </c>
      <c r="D20" s="146">
        <f>AVERAGE(D16:D18)</f>
        <v>-0.18200000000000002</v>
      </c>
      <c r="E20" s="85" t="s">
        <v>562</v>
      </c>
      <c r="F20" s="181" t="str">
        <f t="shared" si="0"/>
        <v>sou_dem_ele_oth</v>
      </c>
      <c r="H20" s="181"/>
    </row>
    <row r="21" spans="1:8">
      <c r="A21" s="85" t="s">
        <v>15</v>
      </c>
      <c r="B21" s="85" t="s">
        <v>279</v>
      </c>
      <c r="C21" s="181" t="s">
        <v>563</v>
      </c>
      <c r="D21" s="376">
        <v>-1</v>
      </c>
      <c r="E21" s="376" t="s">
        <v>554</v>
      </c>
      <c r="F21" s="181" t="str">
        <f t="shared" si="0"/>
        <v>sou_dem_coa_exp</v>
      </c>
      <c r="H21" s="181"/>
    </row>
    <row r="22" spans="1:8">
      <c r="A22" s="85" t="s">
        <v>15</v>
      </c>
      <c r="B22" s="85" t="s">
        <v>200</v>
      </c>
      <c r="C22" s="85" t="s">
        <v>564</v>
      </c>
      <c r="D22" s="482">
        <v>-1.468</v>
      </c>
      <c r="E22" s="482" t="s">
        <v>540</v>
      </c>
      <c r="F22" s="181" t="str">
        <f t="shared" si="0"/>
        <v>sou_dem_coa_oth</v>
      </c>
    </row>
    <row r="23" spans="1:8">
      <c r="A23" s="85" t="s">
        <v>15</v>
      </c>
      <c r="B23" s="85" t="s">
        <v>283</v>
      </c>
      <c r="C23" s="85" t="s">
        <v>565</v>
      </c>
      <c r="D23" s="482">
        <v>-1.468</v>
      </c>
      <c r="E23" s="482" t="s">
        <v>540</v>
      </c>
      <c r="F23" s="181" t="str">
        <f t="shared" si="0"/>
        <v>sou_dem_coa_ind</v>
      </c>
    </row>
    <row r="29" spans="1:8" ht="18">
      <c r="A29" s="228" t="s">
        <v>566</v>
      </c>
      <c r="F29" s="100"/>
    </row>
    <row r="30" spans="1:8">
      <c r="A30" s="230" t="s">
        <v>129</v>
      </c>
      <c r="B30" s="230" t="s">
        <v>8</v>
      </c>
      <c r="C30" s="230" t="s">
        <v>534</v>
      </c>
      <c r="D30" s="230" t="s">
        <v>466</v>
      </c>
      <c r="E30" s="230" t="s">
        <v>165</v>
      </c>
      <c r="F30" s="231" t="s">
        <v>535</v>
      </c>
      <c r="G30" s="181"/>
      <c r="H30" s="181"/>
    </row>
    <row r="31" spans="1:8">
      <c r="A31" s="85" t="s">
        <v>11</v>
      </c>
      <c r="B31" s="85" t="s">
        <v>567</v>
      </c>
      <c r="C31" s="85" t="s">
        <v>568</v>
      </c>
      <c r="D31" s="635">
        <v>0.38</v>
      </c>
      <c r="E31" s="636" t="s">
        <v>569</v>
      </c>
      <c r="F31" s="85" t="s">
        <v>570</v>
      </c>
      <c r="G31" s="229"/>
      <c r="H31" s="229"/>
    </row>
    <row r="32" spans="1:8">
      <c r="A32" s="85" t="s">
        <v>11</v>
      </c>
      <c r="B32" s="85" t="s">
        <v>202</v>
      </c>
      <c r="C32" s="181" t="s">
        <v>571</v>
      </c>
      <c r="D32" s="635">
        <v>0.28000000000000003</v>
      </c>
      <c r="E32" s="636" t="s">
        <v>569</v>
      </c>
      <c r="F32" s="181" t="str">
        <f>"sou"&amp;MID(C32,4,100)</f>
        <v>sou_sup_oil_row</v>
      </c>
    </row>
    <row r="33" spans="1:8">
      <c r="A33" s="353" t="s">
        <v>11</v>
      </c>
      <c r="B33" s="353" t="s">
        <v>572</v>
      </c>
      <c r="C33" s="181" t="s">
        <v>573</v>
      </c>
      <c r="D33" s="604">
        <v>0.24099999999999999</v>
      </c>
      <c r="E33" s="605" t="s">
        <v>574</v>
      </c>
      <c r="F33" s="181" t="str">
        <f t="shared" ref="F33:F53" si="1">"sou"&amp;MID(C33,4,100)</f>
        <v>sou_sup_oil_bio</v>
      </c>
      <c r="G33" s="181"/>
      <c r="H33" s="181"/>
    </row>
    <row r="34" spans="1:8">
      <c r="A34" s="353" t="s">
        <v>11</v>
      </c>
      <c r="B34" s="353" t="s">
        <v>174</v>
      </c>
      <c r="C34" s="85" t="s">
        <v>575</v>
      </c>
      <c r="D34" s="618">
        <v>0.45</v>
      </c>
      <c r="E34" s="617" t="s">
        <v>576</v>
      </c>
      <c r="F34" s="181" t="str">
        <f t="shared" si="1"/>
        <v>sou_sup_oil_ala_on</v>
      </c>
      <c r="G34" s="181"/>
      <c r="H34" s="181"/>
    </row>
    <row r="35" spans="1:8">
      <c r="A35" s="353" t="s">
        <v>11</v>
      </c>
      <c r="B35" s="353" t="s">
        <v>192</v>
      </c>
      <c r="C35" s="85" t="s">
        <v>577</v>
      </c>
      <c r="D35" s="618">
        <v>0.7</v>
      </c>
      <c r="E35" s="617" t="s">
        <v>576</v>
      </c>
      <c r="F35" s="181" t="str">
        <f>"sou"&amp;MID(C35,4,100)</f>
        <v>sou_sup_oil_ala_off</v>
      </c>
      <c r="G35" s="181"/>
      <c r="H35" s="181"/>
    </row>
    <row r="36" spans="1:8">
      <c r="A36" s="353" t="s">
        <v>11</v>
      </c>
      <c r="B36" s="353" t="s">
        <v>578</v>
      </c>
      <c r="C36" s="85" t="s">
        <v>579</v>
      </c>
      <c r="D36" s="639">
        <v>0.93</v>
      </c>
      <c r="E36" s="640" t="s">
        <v>580</v>
      </c>
      <c r="F36" s="181" t="str">
        <f t="shared" si="1"/>
        <v>sou_sup_oil_l48</v>
      </c>
      <c r="G36" s="181"/>
      <c r="H36" s="181"/>
    </row>
    <row r="37" spans="1:8">
      <c r="A37" s="353" t="s">
        <v>11</v>
      </c>
      <c r="B37" s="353" t="s">
        <v>581</v>
      </c>
      <c r="C37" s="85" t="s">
        <v>582</v>
      </c>
      <c r="D37" s="635">
        <v>0.19</v>
      </c>
      <c r="E37" s="636" t="s">
        <v>569</v>
      </c>
      <c r="F37" s="181" t="str">
        <f t="shared" si="1"/>
        <v>sou_sup_oil_off</v>
      </c>
      <c r="G37" s="181"/>
      <c r="H37" s="181"/>
    </row>
    <row r="38" spans="1:8">
      <c r="A38" s="353" t="s">
        <v>11</v>
      </c>
      <c r="B38" s="353" t="s">
        <v>200</v>
      </c>
      <c r="C38" s="85" t="s">
        <v>583</v>
      </c>
      <c r="D38" s="635">
        <v>0.67</v>
      </c>
      <c r="E38" s="636" t="s">
        <v>569</v>
      </c>
      <c r="F38" s="181" t="str">
        <f t="shared" si="1"/>
        <v>sou_sup_oil_oth</v>
      </c>
      <c r="G38" s="181"/>
      <c r="H38" s="181"/>
    </row>
    <row r="39" spans="1:8">
      <c r="A39" s="353" t="s">
        <v>11</v>
      </c>
      <c r="B39" s="353" t="s">
        <v>584</v>
      </c>
      <c r="C39" s="353" t="s">
        <v>585</v>
      </c>
      <c r="D39" s="641">
        <v>0.73</v>
      </c>
      <c r="E39" s="641" t="s">
        <v>580</v>
      </c>
      <c r="F39" s="353" t="str">
        <f>"sou"&amp;MID(C39,4,100)</f>
        <v>sou_sup_oil_l48_t</v>
      </c>
      <c r="G39" s="181"/>
      <c r="H39" s="181"/>
    </row>
    <row r="40" spans="1:8">
      <c r="A40" s="353" t="s">
        <v>12</v>
      </c>
      <c r="B40" s="353" t="s">
        <v>586</v>
      </c>
      <c r="C40" s="181" t="s">
        <v>587</v>
      </c>
      <c r="D40" s="602">
        <v>1.1299999999999999</v>
      </c>
      <c r="E40" s="603" t="s">
        <v>576</v>
      </c>
      <c r="F40" s="181" t="str">
        <f t="shared" si="1"/>
        <v>sou_sup_gas_pip</v>
      </c>
      <c r="G40" s="181"/>
      <c r="H40" s="181"/>
    </row>
    <row r="41" spans="1:8">
      <c r="A41" s="353" t="s">
        <v>12</v>
      </c>
      <c r="B41" s="353" t="s">
        <v>246</v>
      </c>
      <c r="C41" s="181" t="s">
        <v>588</v>
      </c>
      <c r="D41" s="602">
        <v>1</v>
      </c>
      <c r="E41" s="603" t="s">
        <v>554</v>
      </c>
      <c r="F41" s="181" t="str">
        <f t="shared" si="1"/>
        <v>sou_sup_gas_lng</v>
      </c>
      <c r="G41" s="181"/>
      <c r="H41" s="181"/>
    </row>
    <row r="42" spans="1:8">
      <c r="A42" s="353" t="s">
        <v>12</v>
      </c>
      <c r="B42" s="353" t="s">
        <v>174</v>
      </c>
      <c r="C42" s="85" t="s">
        <v>589</v>
      </c>
      <c r="D42" s="618">
        <v>1.93</v>
      </c>
      <c r="E42" s="617" t="s">
        <v>576</v>
      </c>
      <c r="F42" s="181" t="str">
        <f t="shared" si="1"/>
        <v>sou_sup_gas_ala_on</v>
      </c>
      <c r="G42" s="181"/>
      <c r="H42" s="181"/>
    </row>
    <row r="43" spans="1:8">
      <c r="A43" s="353" t="s">
        <v>12</v>
      </c>
      <c r="B43" s="353" t="s">
        <v>192</v>
      </c>
      <c r="C43" s="85" t="s">
        <v>590</v>
      </c>
      <c r="D43" s="618">
        <v>1.93</v>
      </c>
      <c r="E43" s="617" t="s">
        <v>576</v>
      </c>
      <c r="F43" s="181" t="str">
        <f t="shared" si="1"/>
        <v>sou_sup_gas_ala_off</v>
      </c>
      <c r="G43" s="181"/>
      <c r="H43" s="181"/>
    </row>
    <row r="44" spans="1:8">
      <c r="A44" s="353" t="s">
        <v>12</v>
      </c>
      <c r="B44" s="353" t="s">
        <v>223</v>
      </c>
      <c r="C44" s="85" t="s">
        <v>591</v>
      </c>
      <c r="D44" s="635">
        <v>0.75</v>
      </c>
      <c r="E44" s="636" t="s">
        <v>592</v>
      </c>
      <c r="F44" s="181" t="str">
        <f t="shared" si="1"/>
        <v>sou_sup_gas_con</v>
      </c>
      <c r="G44" s="181"/>
      <c r="H44" s="181"/>
    </row>
    <row r="45" spans="1:8">
      <c r="A45" s="353" t="s">
        <v>12</v>
      </c>
      <c r="B45" s="353" t="s">
        <v>581</v>
      </c>
      <c r="C45" s="85" t="s">
        <v>593</v>
      </c>
      <c r="D45" s="604">
        <v>0.19</v>
      </c>
      <c r="E45" s="608" t="s">
        <v>594</v>
      </c>
      <c r="F45" s="181" t="str">
        <f t="shared" si="1"/>
        <v>sou_sup_gas_off</v>
      </c>
      <c r="G45" s="181"/>
      <c r="H45" s="181"/>
    </row>
    <row r="46" spans="1:8">
      <c r="A46" s="353" t="s">
        <v>12</v>
      </c>
      <c r="B46" s="353" t="s">
        <v>200</v>
      </c>
      <c r="C46" s="85" t="s">
        <v>595</v>
      </c>
      <c r="D46" s="604">
        <v>0.51</v>
      </c>
      <c r="E46" s="608" t="s">
        <v>596</v>
      </c>
      <c r="F46" s="181" t="str">
        <f t="shared" si="1"/>
        <v>sou_sup_gas_oth</v>
      </c>
    </row>
    <row r="47" spans="1:8">
      <c r="A47" s="353" t="s">
        <v>12</v>
      </c>
      <c r="B47" s="353" t="s">
        <v>225</v>
      </c>
      <c r="C47" s="85" t="s">
        <v>597</v>
      </c>
      <c r="D47" s="635">
        <v>0.68</v>
      </c>
      <c r="E47" s="636" t="s">
        <v>592</v>
      </c>
      <c r="F47" s="181" t="str">
        <f t="shared" si="1"/>
        <v>sou_sup_gas_unc</v>
      </c>
    </row>
    <row r="48" spans="1:8">
      <c r="A48" s="353" t="s">
        <v>14</v>
      </c>
      <c r="B48" s="353" t="s">
        <v>15</v>
      </c>
      <c r="C48" s="181" t="s">
        <v>598</v>
      </c>
      <c r="D48" s="606">
        <v>0.27</v>
      </c>
      <c r="E48" s="607" t="s">
        <v>599</v>
      </c>
      <c r="F48" s="181" t="str">
        <f t="shared" si="1"/>
        <v>sou_sup_ele_coa</v>
      </c>
    </row>
    <row r="49" spans="1:8">
      <c r="A49" s="353" t="s">
        <v>14</v>
      </c>
      <c r="B49" s="353" t="s">
        <v>12</v>
      </c>
      <c r="C49" s="181" t="s">
        <v>600</v>
      </c>
      <c r="D49" s="618">
        <v>1.5</v>
      </c>
      <c r="E49" s="617" t="s">
        <v>601</v>
      </c>
      <c r="F49" s="181" t="str">
        <f t="shared" si="1"/>
        <v>sou_sup_ele_gas</v>
      </c>
    </row>
    <row r="50" spans="1:8">
      <c r="A50" s="353" t="s">
        <v>14</v>
      </c>
      <c r="B50" s="353" t="s">
        <v>261</v>
      </c>
      <c r="C50" s="181" t="s">
        <v>602</v>
      </c>
      <c r="D50" s="618">
        <v>0.05</v>
      </c>
      <c r="E50" s="617" t="s">
        <v>601</v>
      </c>
      <c r="F50" s="181" t="str">
        <f t="shared" si="1"/>
        <v>sou_sup_ele_hyd</v>
      </c>
    </row>
    <row r="51" spans="1:8">
      <c r="A51" s="353" t="s">
        <v>14</v>
      </c>
      <c r="B51" s="353" t="s">
        <v>394</v>
      </c>
      <c r="C51" s="181" t="s">
        <v>603</v>
      </c>
      <c r="D51" s="618">
        <v>0.36</v>
      </c>
      <c r="E51" s="617" t="s">
        <v>601</v>
      </c>
      <c r="F51" s="181" t="str">
        <f t="shared" si="1"/>
        <v>sou_sup_ele_imp</v>
      </c>
    </row>
    <row r="52" spans="1:8">
      <c r="A52" s="353" t="s">
        <v>14</v>
      </c>
      <c r="B52" s="353" t="s">
        <v>260</v>
      </c>
      <c r="C52" s="181" t="s">
        <v>604</v>
      </c>
      <c r="D52" s="618">
        <v>0.53</v>
      </c>
      <c r="E52" s="617" t="s">
        <v>601</v>
      </c>
      <c r="F52" s="181" t="str">
        <f t="shared" si="1"/>
        <v>sou_sup_ele_nuc</v>
      </c>
    </row>
    <row r="53" spans="1:8">
      <c r="A53" s="353" t="s">
        <v>14</v>
      </c>
      <c r="B53" s="353" t="s">
        <v>11</v>
      </c>
      <c r="C53" s="181" t="s">
        <v>605</v>
      </c>
      <c r="D53" s="606">
        <v>0.22</v>
      </c>
      <c r="E53" s="607" t="s">
        <v>599</v>
      </c>
      <c r="F53" s="181" t="str">
        <f t="shared" si="1"/>
        <v>sou_sup_ele_oil</v>
      </c>
    </row>
    <row r="54" spans="1:8">
      <c r="A54" s="353" t="s">
        <v>14</v>
      </c>
      <c r="B54" s="353" t="s">
        <v>606</v>
      </c>
      <c r="C54" s="181" t="s">
        <v>607</v>
      </c>
      <c r="D54" s="618">
        <v>0.68</v>
      </c>
      <c r="E54" s="617" t="s">
        <v>601</v>
      </c>
      <c r="F54" s="181" t="str">
        <f t="shared" ref="F54:F59" si="2">"sou"&amp;MID(C54,4,100)</f>
        <v>sou_sup_ele_rnh</v>
      </c>
    </row>
    <row r="55" spans="1:8">
      <c r="A55" s="353" t="s">
        <v>14</v>
      </c>
      <c r="B55" s="353" t="s">
        <v>262</v>
      </c>
      <c r="C55" s="181" t="s">
        <v>608</v>
      </c>
      <c r="D55" s="618">
        <v>2.0299999999999998</v>
      </c>
      <c r="E55" s="617" t="s">
        <v>601</v>
      </c>
      <c r="F55" s="181" t="str">
        <f t="shared" si="2"/>
        <v>sou_sup_ele_sol</v>
      </c>
    </row>
    <row r="56" spans="1:8">
      <c r="A56" s="353" t="s">
        <v>14</v>
      </c>
      <c r="B56" s="353" t="s">
        <v>609</v>
      </c>
      <c r="C56" s="85" t="s">
        <v>610</v>
      </c>
      <c r="D56" s="618">
        <v>0.01</v>
      </c>
      <c r="E56" s="617" t="s">
        <v>601</v>
      </c>
      <c r="F56" s="181" t="str">
        <f t="shared" si="2"/>
        <v>sou_sup_ele_wof</v>
      </c>
    </row>
    <row r="57" spans="1:8">
      <c r="A57" s="353" t="s">
        <v>14</v>
      </c>
      <c r="B57" s="648" t="s">
        <v>611</v>
      </c>
      <c r="C57" s="181" t="s">
        <v>612</v>
      </c>
      <c r="D57" s="618">
        <v>0.65</v>
      </c>
      <c r="E57" s="617" t="s">
        <v>601</v>
      </c>
      <c r="F57" s="181" t="str">
        <f t="shared" si="2"/>
        <v>sou_sup_ele_won</v>
      </c>
    </row>
    <row r="58" spans="1:8">
      <c r="A58" s="648" t="s">
        <v>15</v>
      </c>
      <c r="B58" s="648" t="s">
        <v>393</v>
      </c>
      <c r="C58" s="181" t="s">
        <v>613</v>
      </c>
      <c r="D58" s="635">
        <v>4.3899999999999997</v>
      </c>
      <c r="E58" s="637" t="s">
        <v>614</v>
      </c>
      <c r="F58" s="181" t="str">
        <f t="shared" si="2"/>
        <v>sou_sup_coa_dom</v>
      </c>
    </row>
    <row r="59" spans="1:8">
      <c r="A59" s="648" t="s">
        <v>15</v>
      </c>
      <c r="B59" s="648" t="s">
        <v>394</v>
      </c>
      <c r="C59" s="181" t="s">
        <v>615</v>
      </c>
      <c r="D59" s="618">
        <v>1</v>
      </c>
      <c r="E59" s="617" t="s">
        <v>616</v>
      </c>
      <c r="F59" s="181" t="str">
        <f t="shared" si="2"/>
        <v>sou_sup_coa_imp</v>
      </c>
    </row>
    <row r="62" spans="1:8">
      <c r="H62" s="181"/>
    </row>
    <row r="63" spans="1:8">
      <c r="H63" s="181"/>
    </row>
    <row r="64" spans="1:8">
      <c r="C64" s="181"/>
      <c r="D64" s="181"/>
      <c r="E64" s="181"/>
      <c r="H64" s="181"/>
    </row>
    <row r="65" spans="1:8">
      <c r="C65" s="181"/>
      <c r="D65" s="181"/>
      <c r="E65" s="181"/>
      <c r="H65" s="181"/>
    </row>
    <row r="66" spans="1:8">
      <c r="C66" s="181"/>
      <c r="D66" s="181"/>
      <c r="E66" s="181"/>
      <c r="H66" s="181"/>
    </row>
    <row r="67" spans="1:8" ht="18">
      <c r="A67" s="228" t="s">
        <v>617</v>
      </c>
      <c r="C67" s="181"/>
      <c r="D67" s="181"/>
      <c r="E67" s="181"/>
      <c r="H67" s="181"/>
    </row>
    <row r="68" spans="1:8">
      <c r="C68" s="181"/>
      <c r="D68" s="181"/>
      <c r="E68" s="181"/>
      <c r="H68" s="181"/>
    </row>
    <row r="69" spans="1:8">
      <c r="A69" s="230" t="s">
        <v>618</v>
      </c>
      <c r="B69" s="230" t="s">
        <v>619</v>
      </c>
      <c r="C69" s="230" t="s">
        <v>533</v>
      </c>
      <c r="D69" s="230" t="s">
        <v>534</v>
      </c>
      <c r="E69" s="230" t="s">
        <v>466</v>
      </c>
      <c r="F69" s="230" t="s">
        <v>165</v>
      </c>
      <c r="H69" s="181"/>
    </row>
    <row r="70" spans="1:8">
      <c r="A70" s="85" t="s">
        <v>11</v>
      </c>
      <c r="B70" s="181" t="s">
        <v>12</v>
      </c>
      <c r="C70" s="181" t="s">
        <v>281</v>
      </c>
      <c r="D70" s="181" t="s">
        <v>620</v>
      </c>
      <c r="E70" s="355">
        <v>0.2</v>
      </c>
      <c r="F70" s="355" t="s">
        <v>621</v>
      </c>
      <c r="G70" s="181" t="str">
        <f t="shared" ref="G70:G104" si="3">"sou"&amp;MID(D70,4,100)</f>
        <v>sou_oil_res_gas</v>
      </c>
      <c r="H70" s="229"/>
    </row>
    <row r="71" spans="1:8">
      <c r="A71" s="85" t="s">
        <v>11</v>
      </c>
      <c r="B71" s="181" t="s">
        <v>12</v>
      </c>
      <c r="C71" s="181" t="s">
        <v>282</v>
      </c>
      <c r="D71" s="181" t="s">
        <v>622</v>
      </c>
      <c r="E71" s="355">
        <v>0.2</v>
      </c>
      <c r="F71" s="355" t="s">
        <v>621</v>
      </c>
      <c r="G71" s="181" t="str">
        <f t="shared" si="3"/>
        <v>sou_oil_com_gas</v>
      </c>
      <c r="H71" s="229"/>
    </row>
    <row r="72" spans="1:8">
      <c r="A72" s="85" t="s">
        <v>11</v>
      </c>
      <c r="B72" s="181" t="s">
        <v>12</v>
      </c>
      <c r="C72" s="181" t="s">
        <v>283</v>
      </c>
      <c r="D72" s="181" t="s">
        <v>623</v>
      </c>
      <c r="E72" s="482">
        <v>0.249</v>
      </c>
      <c r="F72" s="482" t="s">
        <v>540</v>
      </c>
      <c r="G72" s="181" t="str">
        <f t="shared" si="3"/>
        <v>sou_oil_ind_gas</v>
      </c>
      <c r="H72" s="181"/>
    </row>
    <row r="73" spans="1:8">
      <c r="A73" s="85" t="s">
        <v>11</v>
      </c>
      <c r="B73" s="181" t="s">
        <v>12</v>
      </c>
      <c r="C73" s="181" t="s">
        <v>421</v>
      </c>
      <c r="D73" s="181" t="s">
        <v>624</v>
      </c>
      <c r="E73" s="85">
        <v>0</v>
      </c>
      <c r="F73" s="85" t="str">
        <f>""</f>
        <v/>
      </c>
      <c r="G73" s="181" t="str">
        <f t="shared" si="3"/>
        <v>sou_oil_tra_gas</v>
      </c>
      <c r="H73" s="181"/>
    </row>
    <row r="74" spans="1:8">
      <c r="A74" s="85" t="s">
        <v>11</v>
      </c>
      <c r="B74" s="85" t="s">
        <v>14</v>
      </c>
      <c r="C74" s="181" t="s">
        <v>281</v>
      </c>
      <c r="D74" s="181" t="s">
        <v>625</v>
      </c>
      <c r="E74" s="354">
        <v>1.151</v>
      </c>
      <c r="F74" s="354" t="s">
        <v>626</v>
      </c>
      <c r="G74" s="181" t="str">
        <f t="shared" si="3"/>
        <v>sou_oil_res_ele</v>
      </c>
      <c r="H74" s="181"/>
    </row>
    <row r="75" spans="1:8">
      <c r="A75" s="85" t="s">
        <v>11</v>
      </c>
      <c r="B75" s="85" t="s">
        <v>14</v>
      </c>
      <c r="C75" s="181" t="s">
        <v>282</v>
      </c>
      <c r="D75" s="181" t="s">
        <v>627</v>
      </c>
      <c r="E75" s="354">
        <v>1.08</v>
      </c>
      <c r="F75" s="354" t="s">
        <v>626</v>
      </c>
      <c r="G75" s="181" t="str">
        <f t="shared" si="3"/>
        <v>sou_oil_com_ele</v>
      </c>
      <c r="H75" s="181"/>
    </row>
    <row r="76" spans="1:8">
      <c r="A76" s="85" t="s">
        <v>11</v>
      </c>
      <c r="B76" s="85" t="s">
        <v>14</v>
      </c>
      <c r="C76" s="181" t="s">
        <v>283</v>
      </c>
      <c r="D76" s="181" t="s">
        <v>628</v>
      </c>
      <c r="E76" s="354">
        <v>0.01</v>
      </c>
      <c r="F76" s="354" t="s">
        <v>626</v>
      </c>
      <c r="G76" s="181" t="str">
        <f t="shared" si="3"/>
        <v>sou_oil_ind_ele</v>
      </c>
      <c r="H76" s="181"/>
    </row>
    <row r="77" spans="1:8">
      <c r="A77" s="85" t="s">
        <v>11</v>
      </c>
      <c r="B77" s="85" t="s">
        <v>14</v>
      </c>
      <c r="C77" s="181" t="s">
        <v>421</v>
      </c>
      <c r="D77" s="181" t="s">
        <v>629</v>
      </c>
      <c r="E77" s="85">
        <v>0</v>
      </c>
      <c r="F77" s="85" t="str">
        <f>""</f>
        <v/>
      </c>
      <c r="G77" s="181" t="str">
        <f t="shared" si="3"/>
        <v>sou_oil_tra_ele</v>
      </c>
      <c r="H77" s="181"/>
    </row>
    <row r="78" spans="1:8">
      <c r="A78" s="85" t="s">
        <v>11</v>
      </c>
      <c r="B78" s="85" t="s">
        <v>15</v>
      </c>
      <c r="C78" s="181" t="s">
        <v>283</v>
      </c>
      <c r="D78" s="181" t="s">
        <v>630</v>
      </c>
      <c r="E78" s="482">
        <v>0.09</v>
      </c>
      <c r="F78" s="482" t="s">
        <v>540</v>
      </c>
      <c r="G78" s="181" t="str">
        <f t="shared" si="3"/>
        <v>sou_oil_ind_coa</v>
      </c>
      <c r="H78" s="181"/>
    </row>
    <row r="79" spans="1:8">
      <c r="A79" s="85" t="s">
        <v>12</v>
      </c>
      <c r="B79" s="85" t="s">
        <v>11</v>
      </c>
      <c r="C79" s="181" t="s">
        <v>281</v>
      </c>
      <c r="D79" s="181" t="s">
        <v>631</v>
      </c>
      <c r="E79" s="355">
        <v>7.0000000000000007E-2</v>
      </c>
      <c r="F79" s="355" t="s">
        <v>621</v>
      </c>
      <c r="G79" s="181" t="str">
        <f t="shared" si="3"/>
        <v>sou_gas_res_oil</v>
      </c>
      <c r="H79" s="181"/>
    </row>
    <row r="80" spans="1:8">
      <c r="A80" s="85" t="s">
        <v>12</v>
      </c>
      <c r="B80" s="85" t="s">
        <v>11</v>
      </c>
      <c r="C80" s="181" t="s">
        <v>282</v>
      </c>
      <c r="D80" s="181" t="s">
        <v>632</v>
      </c>
      <c r="E80" s="355">
        <v>7.0000000000000007E-2</v>
      </c>
      <c r="F80" s="355" t="s">
        <v>621</v>
      </c>
      <c r="G80" s="181" t="str">
        <f t="shared" si="3"/>
        <v>sou_gas_com_oil</v>
      </c>
      <c r="H80" s="181"/>
    </row>
    <row r="81" spans="1:8">
      <c r="A81" s="85" t="s">
        <v>12</v>
      </c>
      <c r="B81" s="85" t="s">
        <v>11</v>
      </c>
      <c r="C81" s="181" t="s">
        <v>283</v>
      </c>
      <c r="D81" s="181" t="s">
        <v>633</v>
      </c>
      <c r="E81" s="482">
        <v>0.17199999999999999</v>
      </c>
      <c r="F81" s="482" t="s">
        <v>540</v>
      </c>
      <c r="G81" s="181" t="str">
        <f t="shared" si="3"/>
        <v>sou_gas_ind_oil</v>
      </c>
      <c r="H81" s="181"/>
    </row>
    <row r="82" spans="1:8">
      <c r="A82" s="85" t="s">
        <v>12</v>
      </c>
      <c r="B82" s="85" t="s">
        <v>11</v>
      </c>
      <c r="C82" s="181" t="s">
        <v>421</v>
      </c>
      <c r="D82" s="181" t="s">
        <v>634</v>
      </c>
      <c r="E82" s="85">
        <v>0</v>
      </c>
      <c r="F82" s="85" t="str">
        <f>""</f>
        <v/>
      </c>
      <c r="G82" s="181" t="str">
        <f t="shared" si="3"/>
        <v>sou_gas_tra_oil</v>
      </c>
      <c r="H82" s="181"/>
    </row>
    <row r="83" spans="1:8">
      <c r="A83" s="85" t="s">
        <v>12</v>
      </c>
      <c r="B83" s="85" t="s">
        <v>14</v>
      </c>
      <c r="C83" s="181" t="s">
        <v>281</v>
      </c>
      <c r="D83" s="181" t="s">
        <v>635</v>
      </c>
      <c r="E83" s="354">
        <v>0.50700000000000001</v>
      </c>
      <c r="F83" s="354" t="s">
        <v>537</v>
      </c>
      <c r="G83" s="181" t="str">
        <f t="shared" si="3"/>
        <v>sou_gas_res_ele</v>
      </c>
      <c r="H83" s="181"/>
    </row>
    <row r="84" spans="1:8">
      <c r="A84" s="85" t="s">
        <v>12</v>
      </c>
      <c r="B84" s="85" t="s">
        <v>14</v>
      </c>
      <c r="C84" s="181" t="s">
        <v>282</v>
      </c>
      <c r="D84" s="181" t="s">
        <v>636</v>
      </c>
      <c r="E84" s="354">
        <v>0.41899999999999998</v>
      </c>
      <c r="F84" s="354" t="s">
        <v>537</v>
      </c>
      <c r="G84" s="181" t="str">
        <f t="shared" si="3"/>
        <v>sou_gas_com_ele</v>
      </c>
      <c r="H84" s="181"/>
    </row>
    <row r="85" spans="1:8">
      <c r="A85" s="85" t="s">
        <v>12</v>
      </c>
      <c r="B85" s="85" t="s">
        <v>14</v>
      </c>
      <c r="C85" s="181" t="s">
        <v>283</v>
      </c>
      <c r="D85" s="181" t="s">
        <v>637</v>
      </c>
      <c r="E85" s="482">
        <v>0.17799999999999999</v>
      </c>
      <c r="F85" s="482" t="s">
        <v>540</v>
      </c>
      <c r="G85" s="181" t="str">
        <f t="shared" si="3"/>
        <v>sou_gas_ind_ele</v>
      </c>
      <c r="H85" s="181"/>
    </row>
    <row r="86" spans="1:8">
      <c r="A86" s="85" t="s">
        <v>12</v>
      </c>
      <c r="B86" s="85" t="s">
        <v>14</v>
      </c>
      <c r="C86" s="181" t="s">
        <v>421</v>
      </c>
      <c r="D86" s="181" t="s">
        <v>638</v>
      </c>
      <c r="E86" s="85">
        <v>0</v>
      </c>
      <c r="F86" s="85" t="str">
        <f>""</f>
        <v/>
      </c>
      <c r="G86" s="181" t="str">
        <f t="shared" si="3"/>
        <v>sou_gas_tra_ele</v>
      </c>
      <c r="H86" s="181"/>
    </row>
    <row r="87" spans="1:8">
      <c r="A87" s="85" t="s">
        <v>12</v>
      </c>
      <c r="B87" s="85" t="s">
        <v>15</v>
      </c>
      <c r="C87" s="85" t="s">
        <v>283</v>
      </c>
      <c r="D87" s="181" t="s">
        <v>639</v>
      </c>
      <c r="E87" s="482">
        <v>0.05</v>
      </c>
      <c r="F87" s="482" t="s">
        <v>540</v>
      </c>
      <c r="G87" s="181" t="str">
        <f t="shared" si="3"/>
        <v>sou_gas_ind_coa</v>
      </c>
      <c r="H87" s="181"/>
    </row>
    <row r="88" spans="1:8">
      <c r="A88" s="85" t="s">
        <v>14</v>
      </c>
      <c r="B88" s="85" t="s">
        <v>11</v>
      </c>
      <c r="C88" s="181" t="s">
        <v>281</v>
      </c>
      <c r="D88" s="181" t="s">
        <v>640</v>
      </c>
      <c r="E88" s="354">
        <v>0.214</v>
      </c>
      <c r="F88" s="354" t="s">
        <v>537</v>
      </c>
      <c r="G88" s="181" t="str">
        <f t="shared" si="3"/>
        <v>sou_ele_res_oil</v>
      </c>
      <c r="H88" s="181"/>
    </row>
    <row r="89" spans="1:8">
      <c r="A89" s="85" t="s">
        <v>14</v>
      </c>
      <c r="B89" s="85" t="s">
        <v>11</v>
      </c>
      <c r="C89" s="181" t="s">
        <v>282</v>
      </c>
      <c r="D89" s="181" t="s">
        <v>641</v>
      </c>
      <c r="E89" s="354">
        <v>9.1999999999999998E-2</v>
      </c>
      <c r="F89" s="354" t="s">
        <v>537</v>
      </c>
      <c r="G89" s="181" t="str">
        <f t="shared" si="3"/>
        <v>sou_ele_com_oil</v>
      </c>
      <c r="H89" s="181"/>
    </row>
    <row r="90" spans="1:8">
      <c r="A90" s="85" t="s">
        <v>14</v>
      </c>
      <c r="B90" s="85" t="s">
        <v>11</v>
      </c>
      <c r="C90" s="181" t="s">
        <v>283</v>
      </c>
      <c r="D90" s="181" t="s">
        <v>642</v>
      </c>
      <c r="E90" s="354">
        <v>8.9999999999999993E-3</v>
      </c>
      <c r="F90" s="354" t="s">
        <v>626</v>
      </c>
      <c r="G90" s="181" t="str">
        <f t="shared" si="3"/>
        <v>sou_ele_ind_oil</v>
      </c>
      <c r="H90" s="181"/>
    </row>
    <row r="91" spans="1:8">
      <c r="A91" s="85" t="s">
        <v>14</v>
      </c>
      <c r="B91" s="85" t="s">
        <v>11</v>
      </c>
      <c r="C91" s="181" t="s">
        <v>421</v>
      </c>
      <c r="D91" s="181" t="s">
        <v>643</v>
      </c>
      <c r="E91" s="85">
        <v>0</v>
      </c>
      <c r="F91" s="85" t="str">
        <f>""</f>
        <v/>
      </c>
      <c r="G91" s="181" t="str">
        <f t="shared" si="3"/>
        <v>sou_ele_tra_oil</v>
      </c>
      <c r="H91" s="181"/>
    </row>
    <row r="92" spans="1:8">
      <c r="A92" s="85" t="s">
        <v>14</v>
      </c>
      <c r="B92" s="85" t="s">
        <v>12</v>
      </c>
      <c r="C92" s="181" t="s">
        <v>281</v>
      </c>
      <c r="D92" s="181" t="s">
        <v>644</v>
      </c>
      <c r="E92" s="354">
        <v>7.1999999999999995E-2</v>
      </c>
      <c r="F92" s="354" t="s">
        <v>537</v>
      </c>
      <c r="G92" s="181" t="str">
        <f t="shared" si="3"/>
        <v>sou_ele_res_gas</v>
      </c>
      <c r="H92" s="181"/>
    </row>
    <row r="93" spans="1:8">
      <c r="A93" s="85" t="s">
        <v>14</v>
      </c>
      <c r="B93" s="85" t="s">
        <v>12</v>
      </c>
      <c r="C93" s="181" t="s">
        <v>282</v>
      </c>
      <c r="D93" s="181" t="s">
        <v>645</v>
      </c>
      <c r="E93" s="354">
        <v>4.1000000000000002E-2</v>
      </c>
      <c r="F93" s="354" t="s">
        <v>537</v>
      </c>
      <c r="G93" s="181" t="str">
        <f t="shared" si="3"/>
        <v>sou_ele_com_gas</v>
      </c>
      <c r="H93" s="181"/>
    </row>
    <row r="94" spans="1:8">
      <c r="A94" s="85" t="s">
        <v>14</v>
      </c>
      <c r="B94" s="85" t="s">
        <v>12</v>
      </c>
      <c r="C94" s="181" t="s">
        <v>283</v>
      </c>
      <c r="D94" s="181" t="s">
        <v>646</v>
      </c>
      <c r="E94" s="482">
        <v>0.11799999999999999</v>
      </c>
      <c r="F94" s="482" t="s">
        <v>540</v>
      </c>
      <c r="G94" s="181" t="str">
        <f t="shared" si="3"/>
        <v>sou_ele_ind_gas</v>
      </c>
      <c r="H94" s="181"/>
    </row>
    <row r="95" spans="1:8">
      <c r="A95" s="85" t="s">
        <v>14</v>
      </c>
      <c r="B95" s="85" t="s">
        <v>12</v>
      </c>
      <c r="C95" s="181" t="s">
        <v>421</v>
      </c>
      <c r="D95" s="181" t="s">
        <v>647</v>
      </c>
      <c r="E95" s="85">
        <v>0</v>
      </c>
      <c r="F95" s="85" t="str">
        <f>""</f>
        <v/>
      </c>
      <c r="G95" s="181" t="str">
        <f t="shared" si="3"/>
        <v>sou_ele_tra_gas</v>
      </c>
      <c r="H95" s="181"/>
    </row>
    <row r="96" spans="1:8">
      <c r="A96" s="85" t="s">
        <v>14</v>
      </c>
      <c r="B96" s="85" t="s">
        <v>15</v>
      </c>
      <c r="C96" s="85" t="s">
        <v>283</v>
      </c>
      <c r="D96" s="181" t="s">
        <v>648</v>
      </c>
      <c r="E96" s="482">
        <v>6.0999999999999999E-2</v>
      </c>
      <c r="F96" s="482" t="s">
        <v>540</v>
      </c>
      <c r="G96" s="181" t="str">
        <f t="shared" si="3"/>
        <v>sou_ele_ind_coa</v>
      </c>
    </row>
    <row r="97" spans="1:9">
      <c r="A97" s="85" t="s">
        <v>14</v>
      </c>
      <c r="B97" s="85" t="s">
        <v>15</v>
      </c>
      <c r="C97" s="85" t="s">
        <v>200</v>
      </c>
      <c r="D97" s="181" t="s">
        <v>649</v>
      </c>
      <c r="E97" s="344">
        <v>0</v>
      </c>
      <c r="F97" s="344" t="str">
        <f>""</f>
        <v/>
      </c>
      <c r="G97" s="181" t="str">
        <f t="shared" si="3"/>
        <v>sou_ele_oth_coa</v>
      </c>
      <c r="I97" s="181"/>
    </row>
    <row r="98" spans="1:9">
      <c r="A98" s="85" t="s">
        <v>14</v>
      </c>
      <c r="B98" s="85" t="s">
        <v>11</v>
      </c>
      <c r="C98" s="85" t="s">
        <v>200</v>
      </c>
      <c r="D98" s="181" t="s">
        <v>650</v>
      </c>
      <c r="E98" s="344">
        <v>0</v>
      </c>
      <c r="F98" s="344" t="str">
        <f>""</f>
        <v/>
      </c>
      <c r="G98" s="181" t="str">
        <f t="shared" si="3"/>
        <v>sou_ele_oth_oil</v>
      </c>
      <c r="I98" s="181"/>
    </row>
    <row r="99" spans="1:9">
      <c r="A99" s="85" t="s">
        <v>14</v>
      </c>
      <c r="B99" s="85" t="s">
        <v>12</v>
      </c>
      <c r="C99" s="85" t="s">
        <v>200</v>
      </c>
      <c r="D99" s="181" t="s">
        <v>651</v>
      </c>
      <c r="E99" s="344">
        <v>0</v>
      </c>
      <c r="F99" s="344" t="str">
        <f>""</f>
        <v/>
      </c>
      <c r="G99" s="181" t="str">
        <f t="shared" si="3"/>
        <v>sou_ele_oth_gas</v>
      </c>
      <c r="I99" s="181"/>
    </row>
    <row r="100" spans="1:9">
      <c r="A100" s="85" t="s">
        <v>15</v>
      </c>
      <c r="B100" s="85" t="s">
        <v>11</v>
      </c>
      <c r="C100" s="85" t="s">
        <v>200</v>
      </c>
      <c r="D100" s="181" t="s">
        <v>652</v>
      </c>
      <c r="E100" s="344">
        <v>0</v>
      </c>
      <c r="F100" s="344" t="str">
        <f>""</f>
        <v/>
      </c>
      <c r="G100" s="181" t="str">
        <f t="shared" si="3"/>
        <v>sou_coa_oth_oil</v>
      </c>
      <c r="I100" s="181"/>
    </row>
    <row r="101" spans="1:9">
      <c r="A101" s="85" t="s">
        <v>15</v>
      </c>
      <c r="B101" s="85" t="s">
        <v>12</v>
      </c>
      <c r="C101" s="85" t="s">
        <v>200</v>
      </c>
      <c r="D101" s="181" t="s">
        <v>653</v>
      </c>
      <c r="E101" s="344">
        <v>0</v>
      </c>
      <c r="F101" s="344" t="str">
        <f>""</f>
        <v/>
      </c>
      <c r="G101" s="181" t="str">
        <f t="shared" si="3"/>
        <v>sou_coa_oth_gas</v>
      </c>
      <c r="I101" s="181"/>
    </row>
    <row r="102" spans="1:9">
      <c r="A102" s="85" t="s">
        <v>15</v>
      </c>
      <c r="B102" s="85" t="s">
        <v>11</v>
      </c>
      <c r="C102" s="85" t="s">
        <v>283</v>
      </c>
      <c r="D102" s="181" t="s">
        <v>654</v>
      </c>
      <c r="E102" s="482">
        <v>0.44</v>
      </c>
      <c r="F102" s="482" t="s">
        <v>540</v>
      </c>
      <c r="G102" s="181" t="str">
        <f t="shared" si="3"/>
        <v>sou_coa_ind_oil</v>
      </c>
      <c r="I102" s="181"/>
    </row>
    <row r="103" spans="1:9">
      <c r="A103" s="85" t="s">
        <v>15</v>
      </c>
      <c r="B103" s="85" t="s">
        <v>12</v>
      </c>
      <c r="C103" s="85" t="s">
        <v>283</v>
      </c>
      <c r="D103" s="181" t="s">
        <v>655</v>
      </c>
      <c r="E103" s="482">
        <v>0.35099999999999998</v>
      </c>
      <c r="F103" s="482" t="s">
        <v>540</v>
      </c>
      <c r="G103" s="181" t="str">
        <f t="shared" si="3"/>
        <v>sou_coa_ind_gas</v>
      </c>
    </row>
    <row r="104" spans="1:9">
      <c r="A104" s="85" t="s">
        <v>15</v>
      </c>
      <c r="B104" s="85" t="s">
        <v>14</v>
      </c>
      <c r="C104" s="85" t="s">
        <v>283</v>
      </c>
      <c r="D104" s="181" t="s">
        <v>656</v>
      </c>
      <c r="E104" s="482">
        <v>0.65200000000000002</v>
      </c>
      <c r="F104" s="482" t="s">
        <v>540</v>
      </c>
      <c r="G104" s="181" t="str">
        <f t="shared" si="3"/>
        <v>sou_coa_ind_ele</v>
      </c>
    </row>
    <row r="105" spans="1:9">
      <c r="A105" s="85" t="s">
        <v>15</v>
      </c>
      <c r="B105" s="85" t="s">
        <v>14</v>
      </c>
      <c r="C105" s="85" t="s">
        <v>200</v>
      </c>
      <c r="D105" s="181" t="s">
        <v>657</v>
      </c>
      <c r="E105" s="344">
        <v>0</v>
      </c>
      <c r="F105" s="344" t="str">
        <f>""</f>
        <v/>
      </c>
      <c r="G105" s="181" t="s">
        <v>658</v>
      </c>
    </row>
    <row r="106" spans="1:9">
      <c r="D106" s="181"/>
      <c r="E106" s="181"/>
    </row>
    <row r="107" spans="1:9">
      <c r="D107" s="181"/>
      <c r="E107" s="181"/>
    </row>
    <row r="108" spans="1:9">
      <c r="D108" s="181"/>
      <c r="E108" s="181"/>
    </row>
    <row r="109" spans="1:9">
      <c r="D109" s="181"/>
      <c r="E109" s="181"/>
    </row>
    <row r="110" spans="1:9">
      <c r="D110" s="181"/>
      <c r="E110" s="181"/>
    </row>
    <row r="111" spans="1:9">
      <c r="D111" s="181"/>
      <c r="E111" s="181"/>
    </row>
    <row r="112" spans="1:9">
      <c r="D112" s="181"/>
      <c r="E112" s="181"/>
    </row>
    <row r="113" spans="1:7" ht="18">
      <c r="A113" s="228" t="s">
        <v>659</v>
      </c>
      <c r="D113" s="181"/>
      <c r="E113" s="181"/>
    </row>
    <row r="115" spans="1:7">
      <c r="A115" s="85" t="s">
        <v>660</v>
      </c>
    </row>
    <row r="116" spans="1:7">
      <c r="A116" s="85" t="s">
        <v>15</v>
      </c>
      <c r="B116" s="85" t="s">
        <v>661</v>
      </c>
      <c r="D116" s="85" t="s">
        <v>662</v>
      </c>
      <c r="E116" s="357">
        <f>1/25</f>
        <v>0.04</v>
      </c>
      <c r="F116" s="357" t="s">
        <v>663</v>
      </c>
      <c r="G116" s="85" t="s">
        <v>664</v>
      </c>
    </row>
    <row r="117" spans="1:7">
      <c r="A117" s="85" t="s">
        <v>15</v>
      </c>
      <c r="B117" s="85" t="s">
        <v>283</v>
      </c>
      <c r="D117" s="85" t="s">
        <v>665</v>
      </c>
      <c r="E117" s="357">
        <f>1/25</f>
        <v>0.04</v>
      </c>
      <c r="F117" s="357" t="s">
        <v>666</v>
      </c>
      <c r="G117" s="85" t="s">
        <v>667</v>
      </c>
    </row>
    <row r="118" spans="1:7">
      <c r="A118" s="85" t="s">
        <v>15</v>
      </c>
      <c r="B118" s="85" t="s">
        <v>200</v>
      </c>
      <c r="D118" s="85" t="s">
        <v>668</v>
      </c>
      <c r="E118" s="357">
        <f>1/25</f>
        <v>0.04</v>
      </c>
      <c r="F118" s="357" t="s">
        <v>663</v>
      </c>
      <c r="G118" s="85" t="s">
        <v>669</v>
      </c>
    </row>
    <row r="119" spans="1:7">
      <c r="A119" s="85" t="s">
        <v>14</v>
      </c>
      <c r="B119" s="85" t="s">
        <v>282</v>
      </c>
      <c r="D119" s="85" t="s">
        <v>670</v>
      </c>
      <c r="E119" s="375">
        <v>0.1</v>
      </c>
      <c r="F119" s="375" t="s">
        <v>671</v>
      </c>
      <c r="G119" s="85" t="s">
        <v>672</v>
      </c>
    </row>
    <row r="120" spans="1:7">
      <c r="A120" s="85" t="s">
        <v>14</v>
      </c>
      <c r="B120" s="85" t="s">
        <v>283</v>
      </c>
      <c r="D120" s="85" t="s">
        <v>673</v>
      </c>
      <c r="E120" s="375">
        <v>0.2</v>
      </c>
      <c r="F120" s="375" t="s">
        <v>671</v>
      </c>
      <c r="G120" s="85" t="s">
        <v>674</v>
      </c>
    </row>
    <row r="121" spans="1:7">
      <c r="A121" s="85" t="s">
        <v>14</v>
      </c>
      <c r="B121" s="85" t="s">
        <v>200</v>
      </c>
      <c r="D121" s="85" t="s">
        <v>675</v>
      </c>
      <c r="E121" s="375">
        <v>0.1</v>
      </c>
      <c r="F121" s="375" t="s">
        <v>554</v>
      </c>
      <c r="G121" s="85" t="s">
        <v>676</v>
      </c>
    </row>
    <row r="122" spans="1:7">
      <c r="A122" s="85" t="s">
        <v>14</v>
      </c>
      <c r="B122" s="85" t="s">
        <v>281</v>
      </c>
      <c r="D122" s="85" t="s">
        <v>677</v>
      </c>
      <c r="E122" s="375">
        <v>0.1</v>
      </c>
      <c r="F122" s="375" t="s">
        <v>671</v>
      </c>
      <c r="G122" s="85" t="s">
        <v>678</v>
      </c>
    </row>
    <row r="123" spans="1:7">
      <c r="A123" s="85" t="s">
        <v>14</v>
      </c>
      <c r="B123" s="85" t="s">
        <v>421</v>
      </c>
      <c r="D123" s="85" t="s">
        <v>679</v>
      </c>
      <c r="E123" s="375">
        <v>0.1</v>
      </c>
      <c r="F123" s="375" t="s">
        <v>554</v>
      </c>
      <c r="G123" s="85" t="s">
        <v>680</v>
      </c>
    </row>
    <row r="124" spans="1:7">
      <c r="A124" s="85" t="s">
        <v>12</v>
      </c>
      <c r="B124" s="85" t="s">
        <v>282</v>
      </c>
      <c r="D124" s="85" t="s">
        <v>681</v>
      </c>
      <c r="E124" s="634">
        <v>0.04</v>
      </c>
      <c r="F124" s="634" t="s">
        <v>682</v>
      </c>
      <c r="G124" s="85" t="s">
        <v>683</v>
      </c>
    </row>
    <row r="125" spans="1:7">
      <c r="A125" s="85" t="s">
        <v>12</v>
      </c>
      <c r="B125" s="85" t="s">
        <v>661</v>
      </c>
      <c r="D125" s="85" t="s">
        <v>684</v>
      </c>
      <c r="E125" s="357">
        <f>1/25</f>
        <v>0.04</v>
      </c>
      <c r="F125" s="357" t="s">
        <v>663</v>
      </c>
      <c r="G125" s="85" t="s">
        <v>685</v>
      </c>
    </row>
    <row r="126" spans="1:7">
      <c r="A126" s="85" t="s">
        <v>12</v>
      </c>
      <c r="B126" s="85" t="s">
        <v>283</v>
      </c>
      <c r="D126" s="85" t="s">
        <v>686</v>
      </c>
      <c r="E126" s="357">
        <f>1/25</f>
        <v>0.04</v>
      </c>
      <c r="F126" s="357" t="s">
        <v>666</v>
      </c>
      <c r="G126" s="85" t="s">
        <v>687</v>
      </c>
    </row>
    <row r="127" spans="1:7">
      <c r="A127" s="85" t="s">
        <v>12</v>
      </c>
      <c r="B127" s="85" t="s">
        <v>281</v>
      </c>
      <c r="D127" s="85" t="s">
        <v>688</v>
      </c>
      <c r="E127" s="634">
        <v>0.05</v>
      </c>
      <c r="F127" s="634" t="s">
        <v>682</v>
      </c>
      <c r="G127" s="85" t="s">
        <v>689</v>
      </c>
    </row>
    <row r="128" spans="1:7">
      <c r="A128" s="85" t="s">
        <v>12</v>
      </c>
      <c r="B128" s="85" t="s">
        <v>421</v>
      </c>
      <c r="D128" s="85" t="s">
        <v>690</v>
      </c>
      <c r="E128" s="368">
        <f>1/12</f>
        <v>8.3333333333333329E-2</v>
      </c>
      <c r="F128" s="634" t="s">
        <v>691</v>
      </c>
      <c r="G128" s="85" t="s">
        <v>692</v>
      </c>
    </row>
    <row r="129" spans="1:7">
      <c r="A129" s="85" t="s">
        <v>11</v>
      </c>
      <c r="B129" s="85" t="s">
        <v>282</v>
      </c>
      <c r="D129" s="85" t="s">
        <v>693</v>
      </c>
      <c r="E129" s="638">
        <v>0.04</v>
      </c>
      <c r="F129" s="634" t="s">
        <v>694</v>
      </c>
      <c r="G129" s="85" t="s">
        <v>695</v>
      </c>
    </row>
    <row r="130" spans="1:7">
      <c r="A130" s="85" t="s">
        <v>11</v>
      </c>
      <c r="B130" s="85" t="s">
        <v>283</v>
      </c>
      <c r="D130" s="85" t="s">
        <v>696</v>
      </c>
      <c r="E130" s="368">
        <f>1/25</f>
        <v>0.04</v>
      </c>
      <c r="F130" s="357" t="s">
        <v>666</v>
      </c>
      <c r="G130" s="85" t="s">
        <v>697</v>
      </c>
    </row>
    <row r="131" spans="1:7">
      <c r="A131" s="85" t="s">
        <v>11</v>
      </c>
      <c r="B131" s="85" t="s">
        <v>281</v>
      </c>
      <c r="D131" s="85" t="s">
        <v>698</v>
      </c>
      <c r="E131" s="638">
        <v>0.06</v>
      </c>
      <c r="F131" s="634" t="s">
        <v>694</v>
      </c>
      <c r="G131" s="85" t="s">
        <v>699</v>
      </c>
    </row>
    <row r="132" spans="1:7">
      <c r="A132" s="487" t="s">
        <v>11</v>
      </c>
      <c r="B132" s="487" t="s">
        <v>543</v>
      </c>
      <c r="C132" s="487"/>
      <c r="D132" s="487" t="s">
        <v>700</v>
      </c>
      <c r="E132" s="368">
        <f>def_g_dem_oil_tra</f>
        <v>0.09</v>
      </c>
      <c r="F132" s="357" t="s">
        <v>701</v>
      </c>
      <c r="G132" s="487" t="s">
        <v>702</v>
      </c>
    </row>
    <row r="133" spans="1:7">
      <c r="A133" s="487" t="s">
        <v>11</v>
      </c>
      <c r="B133" s="487" t="s">
        <v>546</v>
      </c>
      <c r="C133" s="487"/>
      <c r="D133" s="487" t="s">
        <v>703</v>
      </c>
      <c r="E133" s="368">
        <f>def_g_dem_oil_tra</f>
        <v>0.09</v>
      </c>
      <c r="F133" s="357" t="s">
        <v>701</v>
      </c>
      <c r="G133" s="487" t="s">
        <v>704</v>
      </c>
    </row>
    <row r="134" spans="1:7">
      <c r="A134" s="487" t="s">
        <v>11</v>
      </c>
      <c r="B134" s="487" t="s">
        <v>548</v>
      </c>
      <c r="C134" s="487"/>
      <c r="D134" s="487" t="s">
        <v>705</v>
      </c>
      <c r="E134" s="368">
        <f>def_g_dem_oil_tra</f>
        <v>0.09</v>
      </c>
      <c r="F134" s="357" t="s">
        <v>701</v>
      </c>
      <c r="G134" s="487" t="s">
        <v>706</v>
      </c>
    </row>
    <row r="135" spans="1:7">
      <c r="A135" s="85" t="s">
        <v>11</v>
      </c>
      <c r="B135" s="85" t="s">
        <v>421</v>
      </c>
      <c r="D135" s="85" t="s">
        <v>707</v>
      </c>
      <c r="E135" s="638">
        <v>0.09</v>
      </c>
      <c r="F135" s="634" t="s">
        <v>708</v>
      </c>
      <c r="G135" s="85" t="s">
        <v>709</v>
      </c>
    </row>
    <row r="136" spans="1:7">
      <c r="E136" s="146"/>
    </row>
    <row r="137" spans="1:7">
      <c r="E137" s="146"/>
    </row>
    <row r="138" spans="1:7">
      <c r="E138" s="146"/>
    </row>
    <row r="139" spans="1:7">
      <c r="A139" s="85" t="s">
        <v>710</v>
      </c>
      <c r="E139" s="146"/>
    </row>
    <row r="140" spans="1:7">
      <c r="A140" s="85" t="s">
        <v>14</v>
      </c>
      <c r="C140" s="85" t="s">
        <v>15</v>
      </c>
      <c r="D140" s="85" t="s">
        <v>711</v>
      </c>
      <c r="E140" s="368">
        <v>3.3333333333333326E-2</v>
      </c>
      <c r="F140" s="634" t="s">
        <v>712</v>
      </c>
      <c r="G140" s="85" t="s">
        <v>713</v>
      </c>
    </row>
    <row r="141" spans="1:7">
      <c r="A141" s="85" t="s">
        <v>14</v>
      </c>
      <c r="C141" s="85" t="s">
        <v>12</v>
      </c>
      <c r="D141" s="85" t="s">
        <v>714</v>
      </c>
      <c r="E141" s="368">
        <v>3.3333333333333326E-2</v>
      </c>
      <c r="F141" s="634" t="s">
        <v>712</v>
      </c>
      <c r="G141" s="85" t="s">
        <v>715</v>
      </c>
    </row>
    <row r="142" spans="1:7">
      <c r="A142" s="85" t="s">
        <v>14</v>
      </c>
      <c r="C142" s="85" t="s">
        <v>261</v>
      </c>
      <c r="D142" s="85" t="s">
        <v>716</v>
      </c>
      <c r="E142" s="368">
        <v>1.3333333333333308E-2</v>
      </c>
      <c r="F142" s="357" t="s">
        <v>717</v>
      </c>
      <c r="G142" s="85" t="s">
        <v>718</v>
      </c>
    </row>
    <row r="143" spans="1:7">
      <c r="A143" s="85" t="s">
        <v>14</v>
      </c>
      <c r="C143" s="85" t="s">
        <v>394</v>
      </c>
      <c r="D143" s="85" t="s">
        <v>719</v>
      </c>
      <c r="E143" s="368">
        <v>2.6000000000000002E-2</v>
      </c>
      <c r="F143" s="357" t="s">
        <v>720</v>
      </c>
      <c r="G143" s="85" t="s">
        <v>721</v>
      </c>
    </row>
    <row r="144" spans="1:7">
      <c r="A144" s="85" t="s">
        <v>14</v>
      </c>
      <c r="C144" s="85" t="s">
        <v>260</v>
      </c>
      <c r="D144" s="85" t="s">
        <v>722</v>
      </c>
      <c r="E144" s="368">
        <v>1.6666666666666718E-2</v>
      </c>
      <c r="F144" s="357" t="s">
        <v>723</v>
      </c>
      <c r="G144" s="85" t="s">
        <v>724</v>
      </c>
    </row>
    <row r="145" spans="1:7">
      <c r="A145" s="85" t="s">
        <v>14</v>
      </c>
      <c r="C145" s="85" t="s">
        <v>11</v>
      </c>
      <c r="D145" s="85" t="s">
        <v>725</v>
      </c>
      <c r="E145" s="368">
        <v>3.3333333333333326E-2</v>
      </c>
      <c r="F145" s="357" t="s">
        <v>723</v>
      </c>
      <c r="G145" s="85" t="s">
        <v>726</v>
      </c>
    </row>
    <row r="146" spans="1:7">
      <c r="A146" s="85" t="s">
        <v>14</v>
      </c>
      <c r="C146" s="85" t="s">
        <v>200</v>
      </c>
      <c r="D146" s="85" t="s">
        <v>727</v>
      </c>
      <c r="E146" s="368">
        <v>3.1428571428571361E-2</v>
      </c>
      <c r="F146" s="357" t="s">
        <v>728</v>
      </c>
      <c r="G146" s="85" t="s">
        <v>729</v>
      </c>
    </row>
    <row r="147" spans="1:7">
      <c r="A147" s="85" t="s">
        <v>14</v>
      </c>
      <c r="C147" s="85" t="s">
        <v>262</v>
      </c>
      <c r="D147" s="85" t="s">
        <v>730</v>
      </c>
      <c r="E147" s="357">
        <v>0.04</v>
      </c>
      <c r="F147" s="634" t="s">
        <v>731</v>
      </c>
      <c r="G147" s="85" t="s">
        <v>732</v>
      </c>
    </row>
    <row r="148" spans="1:7">
      <c r="A148" s="85" t="s">
        <v>14</v>
      </c>
      <c r="C148" s="85" t="s">
        <v>733</v>
      </c>
      <c r="D148" s="85" t="s">
        <v>734</v>
      </c>
      <c r="E148" s="357">
        <v>0.05</v>
      </c>
      <c r="F148" s="634" t="s">
        <v>735</v>
      </c>
      <c r="G148" s="85" t="s">
        <v>736</v>
      </c>
    </row>
    <row r="149" spans="1:7">
      <c r="A149" s="85" t="s">
        <v>14</v>
      </c>
      <c r="C149" s="85" t="s">
        <v>737</v>
      </c>
      <c r="D149" s="85" t="s">
        <v>738</v>
      </c>
      <c r="E149" s="357">
        <v>0.05</v>
      </c>
      <c r="F149" s="634" t="s">
        <v>735</v>
      </c>
      <c r="G149" s="85" t="s">
        <v>739</v>
      </c>
    </row>
    <row r="150" spans="1:7">
      <c r="A150" s="85" t="s">
        <v>12</v>
      </c>
      <c r="C150" s="85" t="s">
        <v>174</v>
      </c>
      <c r="D150" s="85" t="s">
        <v>740</v>
      </c>
      <c r="E150" s="357">
        <v>0.15</v>
      </c>
      <c r="F150" s="357" t="s">
        <v>741</v>
      </c>
      <c r="G150" s="85" t="s">
        <v>742</v>
      </c>
    </row>
    <row r="151" spans="1:7">
      <c r="A151" s="85" t="s">
        <v>12</v>
      </c>
      <c r="C151" s="85" t="s">
        <v>192</v>
      </c>
      <c r="D151" s="85" t="s">
        <v>743</v>
      </c>
      <c r="E151" s="357">
        <v>0.15</v>
      </c>
      <c r="F151" s="357" t="s">
        <v>741</v>
      </c>
      <c r="G151" s="85" t="s">
        <v>744</v>
      </c>
    </row>
    <row r="152" spans="1:7">
      <c r="A152" s="85" t="s">
        <v>12</v>
      </c>
      <c r="C152" s="85" t="s">
        <v>223</v>
      </c>
      <c r="D152" s="85" t="s">
        <v>745</v>
      </c>
      <c r="E152" s="357">
        <v>0.15</v>
      </c>
      <c r="F152" s="357" t="s">
        <v>746</v>
      </c>
      <c r="G152" s="85" t="s">
        <v>747</v>
      </c>
    </row>
    <row r="153" spans="1:7">
      <c r="A153" s="85" t="s">
        <v>12</v>
      </c>
      <c r="C153" s="85" t="s">
        <v>748</v>
      </c>
      <c r="D153" s="85" t="s">
        <v>749</v>
      </c>
      <c r="E153" s="357">
        <v>0.15</v>
      </c>
      <c r="F153" s="357" t="s">
        <v>741</v>
      </c>
      <c r="G153" s="85" t="s">
        <v>750</v>
      </c>
    </row>
    <row r="154" spans="1:7">
      <c r="A154" s="85" t="s">
        <v>12</v>
      </c>
      <c r="C154" s="85" t="s">
        <v>581</v>
      </c>
      <c r="D154" s="85" t="s">
        <v>751</v>
      </c>
      <c r="E154" s="357">
        <v>0.15</v>
      </c>
      <c r="F154" s="357" t="s">
        <v>741</v>
      </c>
      <c r="G154" s="85" t="s">
        <v>752</v>
      </c>
    </row>
    <row r="155" spans="1:7">
      <c r="A155" s="85" t="s">
        <v>12</v>
      </c>
      <c r="C155" s="85" t="s">
        <v>200</v>
      </c>
      <c r="D155" s="85" t="s">
        <v>753</v>
      </c>
      <c r="E155" s="357">
        <v>0.15</v>
      </c>
      <c r="F155" s="357" t="s">
        <v>741</v>
      </c>
      <c r="G155" s="85" t="s">
        <v>754</v>
      </c>
    </row>
    <row r="156" spans="1:7">
      <c r="A156" s="85" t="s">
        <v>12</v>
      </c>
      <c r="C156" s="85" t="s">
        <v>755</v>
      </c>
      <c r="D156" s="85" t="s">
        <v>756</v>
      </c>
      <c r="E156" s="357">
        <v>0.15</v>
      </c>
      <c r="F156" s="357" t="s">
        <v>741</v>
      </c>
      <c r="G156" s="85" t="s">
        <v>757</v>
      </c>
    </row>
    <row r="157" spans="1:7">
      <c r="A157" s="85" t="s">
        <v>12</v>
      </c>
      <c r="C157" s="85" t="s">
        <v>225</v>
      </c>
      <c r="D157" s="85" t="s">
        <v>758</v>
      </c>
      <c r="E157" s="375">
        <v>0.3</v>
      </c>
      <c r="F157" s="375" t="s">
        <v>671</v>
      </c>
      <c r="G157" s="85" t="s">
        <v>759</v>
      </c>
    </row>
    <row r="158" spans="1:7">
      <c r="A158" s="85" t="s">
        <v>11</v>
      </c>
      <c r="C158" s="85" t="s">
        <v>174</v>
      </c>
      <c r="D158" s="85" t="s">
        <v>760</v>
      </c>
      <c r="E158" s="375">
        <v>0.15</v>
      </c>
      <c r="F158" s="375" t="s">
        <v>671</v>
      </c>
      <c r="G158" s="85" t="s">
        <v>761</v>
      </c>
    </row>
    <row r="159" spans="1:7">
      <c r="A159" s="85" t="s">
        <v>11</v>
      </c>
      <c r="C159" s="85" t="s">
        <v>174</v>
      </c>
      <c r="D159" s="85" t="s">
        <v>762</v>
      </c>
      <c r="E159" s="375">
        <v>0.15</v>
      </c>
      <c r="F159" s="375" t="s">
        <v>671</v>
      </c>
      <c r="G159" s="85" t="s">
        <v>763</v>
      </c>
    </row>
    <row r="160" spans="1:7">
      <c r="A160" s="85" t="s">
        <v>11</v>
      </c>
      <c r="C160" s="85" t="s">
        <v>198</v>
      </c>
      <c r="D160" s="85" t="s">
        <v>764</v>
      </c>
      <c r="E160" s="375">
        <v>0.15</v>
      </c>
      <c r="F160" s="375" t="s">
        <v>671</v>
      </c>
      <c r="G160" s="85" t="s">
        <v>765</v>
      </c>
    </row>
    <row r="161" spans="1:7">
      <c r="A161" s="85" t="s">
        <v>11</v>
      </c>
      <c r="C161" s="85" t="s">
        <v>766</v>
      </c>
      <c r="D161" s="85" t="s">
        <v>767</v>
      </c>
      <c r="E161" s="375">
        <v>0.15</v>
      </c>
      <c r="F161" s="375" t="s">
        <v>671</v>
      </c>
      <c r="G161" s="85" t="s">
        <v>768</v>
      </c>
    </row>
    <row r="162" spans="1:7">
      <c r="A162" s="85" t="s">
        <v>11</v>
      </c>
      <c r="C162" s="85" t="s">
        <v>769</v>
      </c>
      <c r="D162" s="85" t="s">
        <v>770</v>
      </c>
      <c r="E162" s="375">
        <v>0.15</v>
      </c>
      <c r="F162" s="375" t="s">
        <v>671</v>
      </c>
      <c r="G162" s="85" t="s">
        <v>771</v>
      </c>
    </row>
    <row r="163" spans="1:7">
      <c r="A163" s="85" t="s">
        <v>11</v>
      </c>
      <c r="C163" s="85" t="s">
        <v>200</v>
      </c>
      <c r="D163" s="85" t="s">
        <v>772</v>
      </c>
      <c r="E163" s="375">
        <v>0.15</v>
      </c>
      <c r="F163" s="375" t="s">
        <v>671</v>
      </c>
      <c r="G163" s="85" t="s">
        <v>773</v>
      </c>
    </row>
    <row r="164" spans="1:7">
      <c r="A164" s="85" t="s">
        <v>11</v>
      </c>
      <c r="C164" s="85" t="s">
        <v>202</v>
      </c>
      <c r="D164" s="85" t="s">
        <v>774</v>
      </c>
      <c r="E164" s="375">
        <v>0.15</v>
      </c>
      <c r="F164" s="375" t="s">
        <v>671</v>
      </c>
      <c r="G164" s="85" t="s">
        <v>775</v>
      </c>
    </row>
    <row r="165" spans="1:7">
      <c r="A165" s="85" t="s">
        <v>11</v>
      </c>
      <c r="C165" s="85" t="s">
        <v>776</v>
      </c>
      <c r="D165" s="85" t="s">
        <v>777</v>
      </c>
      <c r="E165" s="375">
        <v>0.15</v>
      </c>
      <c r="F165" s="375" t="s">
        <v>778</v>
      </c>
      <c r="G165" s="85" t="s">
        <v>779</v>
      </c>
    </row>
    <row r="166" spans="1:7">
      <c r="A166" s="85" t="s">
        <v>15</v>
      </c>
      <c r="C166" s="85" t="s">
        <v>393</v>
      </c>
      <c r="D166" s="85" t="s">
        <v>780</v>
      </c>
      <c r="E166" s="375">
        <v>0.1</v>
      </c>
      <c r="F166" s="375" t="s">
        <v>671</v>
      </c>
      <c r="G166" s="85" t="s">
        <v>781</v>
      </c>
    </row>
    <row r="167" spans="1:7">
      <c r="A167" s="85" t="s">
        <v>15</v>
      </c>
      <c r="C167" s="85" t="s">
        <v>394</v>
      </c>
      <c r="D167" s="85" t="s">
        <v>782</v>
      </c>
      <c r="E167" s="375">
        <v>0.1</v>
      </c>
      <c r="F167" s="375" t="s">
        <v>671</v>
      </c>
      <c r="G167" s="85" t="s">
        <v>783</v>
      </c>
    </row>
    <row r="168" spans="1:7">
      <c r="A168" s="85" t="s">
        <v>11</v>
      </c>
      <c r="C168" s="85" t="s">
        <v>784</v>
      </c>
      <c r="D168" s="85" t="s">
        <v>785</v>
      </c>
      <c r="E168" s="375">
        <v>0.15</v>
      </c>
      <c r="F168" s="375" t="s">
        <v>671</v>
      </c>
      <c r="G168" s="85" t="s">
        <v>786</v>
      </c>
    </row>
  </sheetData>
  <phoneticPr fontId="29" type="noConversion"/>
  <pageMargins left="0.75" right="0.75" top="1" bottom="1" header="0.5" footer="0.5"/>
  <headerFooter alignWithMargins="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tabColor indexed="44"/>
    <pageSetUpPr fitToPage="1"/>
  </sheetPr>
  <dimension ref="A1:J15"/>
  <sheetViews>
    <sheetView zoomScale="85" workbookViewId="0">
      <selection activeCell="E21" sqref="E21"/>
    </sheetView>
  </sheetViews>
  <sheetFormatPr defaultColWidth="9.28515625" defaultRowHeight="15"/>
  <cols>
    <col min="1" max="1" width="4.7109375" style="18" customWidth="1"/>
    <col min="2" max="3" width="15" style="1" customWidth="1"/>
    <col min="4" max="9" width="14.5703125" style="1" customWidth="1"/>
    <col min="10" max="10" width="15.5703125" style="1" customWidth="1"/>
    <col min="11" max="16384" width="9.28515625" style="1"/>
  </cols>
  <sheetData>
    <row r="1" spans="1:10" ht="15.75" thickBot="1">
      <c r="B1" s="701" t="s">
        <v>27</v>
      </c>
      <c r="C1" s="809"/>
      <c r="D1" s="702"/>
      <c r="E1" s="2"/>
      <c r="F1" s="2"/>
      <c r="G1" s="803"/>
      <c r="H1" s="803"/>
      <c r="I1" s="2"/>
      <c r="J1" s="2"/>
    </row>
    <row r="2" spans="1:10">
      <c r="A2" s="21"/>
      <c r="B2" s="2"/>
      <c r="C2" s="2"/>
      <c r="D2" s="2"/>
      <c r="E2" s="2"/>
      <c r="F2" s="2"/>
      <c r="G2" s="2"/>
      <c r="H2" s="2"/>
      <c r="I2" s="2"/>
      <c r="J2" s="2"/>
    </row>
    <row r="3" spans="1:10" ht="18">
      <c r="A3" s="21"/>
      <c r="B3" s="100" t="s">
        <v>787</v>
      </c>
      <c r="C3" s="100"/>
      <c r="D3" s="101"/>
      <c r="E3" s="101"/>
      <c r="F3" s="101"/>
      <c r="G3" s="101"/>
      <c r="H3" s="38"/>
      <c r="I3" s="38"/>
      <c r="J3" s="38"/>
    </row>
    <row r="4" spans="1:10">
      <c r="A4" s="21"/>
      <c r="B4" s="2"/>
      <c r="C4" s="2"/>
      <c r="D4" s="2"/>
      <c r="E4" s="2"/>
      <c r="F4" s="2"/>
      <c r="G4" s="2"/>
      <c r="H4" s="2"/>
      <c r="I4" s="2"/>
      <c r="J4" s="2"/>
    </row>
    <row r="5" spans="1:10" ht="15.75" customHeight="1">
      <c r="A5" s="16"/>
      <c r="B5" s="42" t="s">
        <v>518</v>
      </c>
      <c r="C5" s="42"/>
      <c r="D5" s="42"/>
      <c r="E5" s="42"/>
      <c r="F5" s="42"/>
      <c r="G5" s="42"/>
      <c r="H5" s="42"/>
      <c r="I5" s="104"/>
      <c r="J5" s="104"/>
    </row>
    <row r="6" spans="1:10" ht="47.1" customHeight="1">
      <c r="A6" s="16"/>
      <c r="B6" s="652" t="s">
        <v>167</v>
      </c>
      <c r="C6" s="652" t="s">
        <v>172</v>
      </c>
      <c r="D6" s="652" t="s">
        <v>187</v>
      </c>
      <c r="E6" s="652" t="s">
        <v>174</v>
      </c>
      <c r="F6" s="652" t="s">
        <v>192</v>
      </c>
      <c r="G6" s="652" t="s">
        <v>200</v>
      </c>
      <c r="H6" s="652" t="s">
        <v>788</v>
      </c>
      <c r="I6" s="652" t="s">
        <v>202</v>
      </c>
      <c r="J6" s="652" t="s">
        <v>789</v>
      </c>
    </row>
    <row r="7" spans="1:10" ht="30" customHeight="1">
      <c r="A7" s="16"/>
      <c r="B7" s="631">
        <v>0.73</v>
      </c>
      <c r="C7" s="105">
        <v>0.93</v>
      </c>
      <c r="D7" s="105">
        <v>0.19</v>
      </c>
      <c r="E7" s="105">
        <v>0.45</v>
      </c>
      <c r="F7" s="105">
        <v>0.7</v>
      </c>
      <c r="G7" s="105">
        <v>0.67</v>
      </c>
      <c r="H7" s="105">
        <v>0.24099999999999999</v>
      </c>
      <c r="I7" s="105">
        <v>0.28000000000000003</v>
      </c>
      <c r="J7" s="105">
        <v>0.38</v>
      </c>
    </row>
    <row r="8" spans="1:10" ht="30" customHeight="1">
      <c r="A8" s="17"/>
    </row>
    <row r="9" spans="1:10" ht="39.75" customHeight="1"/>
    <row r="10" spans="1:10" ht="17.25" customHeight="1"/>
    <row r="11" spans="1:10" ht="15.75" customHeight="1">
      <c r="B11" s="44" t="s">
        <v>518</v>
      </c>
      <c r="C11" s="44"/>
      <c r="D11" s="44"/>
      <c r="E11" s="44"/>
      <c r="F11" s="44"/>
      <c r="G11" s="44"/>
      <c r="H11" s="44"/>
      <c r="I11" s="150"/>
      <c r="J11" s="150"/>
    </row>
    <row r="12" spans="1:10" ht="46.5" customHeight="1">
      <c r="B12" s="619" t="s">
        <v>167</v>
      </c>
      <c r="C12" s="619" t="s">
        <v>172</v>
      </c>
      <c r="D12" s="45" t="s">
        <v>187</v>
      </c>
      <c r="E12" s="45" t="s">
        <v>174</v>
      </c>
      <c r="F12" s="45" t="s">
        <v>192</v>
      </c>
      <c r="G12" s="45" t="s">
        <v>200</v>
      </c>
      <c r="H12" s="45" t="s">
        <v>788</v>
      </c>
      <c r="I12" s="45" t="s">
        <v>202</v>
      </c>
      <c r="J12" s="45" t="s">
        <v>789</v>
      </c>
    </row>
    <row r="13" spans="1:10" ht="54" customHeight="1">
      <c r="B13" s="632" t="str">
        <f>IF(e_sup_oil_l48_t=def_sup_oil_l48_t,sou_sup_oil_l48_t,"")</f>
        <v>Newell &amp; Prest (2019)</v>
      </c>
      <c r="C13" s="35" t="str">
        <f>IF(e_sup_oil_l48=def_sup_oil_l48,sou_sup_oil_l48,"")</f>
        <v>Newell &amp; Prest (2019)</v>
      </c>
      <c r="D13" s="35" t="str">
        <f>IF(e_sup_oil_off=def_sup_oil_off,sou_sup_oil_off,"")</f>
        <v>Expert input from Blumsak, Mason, &amp; Roberts</v>
      </c>
      <c r="E13" s="35" t="str">
        <f>IF(e_sup_oil_ala_on=def_sup_oil_ala_on,sou_sup_oil_ala_on,"")</f>
        <v>Derived from specialized NEMS runs 2023</v>
      </c>
      <c r="F13" s="35" t="str">
        <f>IF(e_sup_oil_ala_off=def_sup_oil_ala_off,sou_sup_oil_ala_off,"")</f>
        <v>Derived from specialized NEMS runs 2023</v>
      </c>
      <c r="G13" s="35" t="str">
        <f>IF(e_sup_oil_oth=def_sup_oil_oth,sou_sup_oil_oth,"")</f>
        <v>Expert input from Blumsak, Mason, &amp; Roberts</v>
      </c>
      <c r="H13" s="35" t="str">
        <f>IF(e_sup_oil_bio=def_sup_oil_bio,sou_sup_oil_bio,"")</f>
        <v>Luchansky and Monks (2009)</v>
      </c>
      <c r="I13" s="35" t="str">
        <f>IF(e_sup_oil_row=def_sup_oil_row,sou_sup_oil_row,"")</f>
        <v>Expert input from Blumsak, Mason, &amp; Roberts</v>
      </c>
      <c r="J13" s="35" t="str">
        <f>IF(e_sup_oil_can=def_sup_oil_can,sou_sup_oil_can,"")</f>
        <v>Expert input from Blumsak, Mason, &amp; Roberts</v>
      </c>
    </row>
    <row r="14" spans="1:10" ht="30" customHeight="1">
      <c r="B14" s="1" t="s">
        <v>790</v>
      </c>
    </row>
    <row r="15" spans="1:10" ht="30" customHeight="1">
      <c r="B15" s="18"/>
      <c r="C15" s="18"/>
    </row>
  </sheetData>
  <mergeCells count="2">
    <mergeCell ref="B1:D1"/>
    <mergeCell ref="G1:H1"/>
  </mergeCells>
  <phoneticPr fontId="29" type="noConversion"/>
  <hyperlinks>
    <hyperlink ref="B1" location="'Table of Contents'!A1" tooltip="Click here to return to the Table of Contents tab" display="Return to Table of Contents" xr:uid="{00000000-0004-0000-22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44" r:id="rId4" name="Button 4">
              <controlPr defaultSize="0" print="0" autoFill="0" autoPict="0" macro="[0]!default_elasticity_sheet">
                <anchor moveWithCells="1" sizeWithCells="1">
                  <from>
                    <xdr:col>6</xdr:col>
                    <xdr:colOff>19050</xdr:colOff>
                    <xdr:row>0</xdr:row>
                    <xdr:rowOff>180975</xdr:rowOff>
                  </from>
                  <to>
                    <xdr:col>7</xdr:col>
                    <xdr:colOff>409575</xdr:colOff>
                    <xdr:row>3</xdr:row>
                    <xdr:rowOff>28575</xdr:rowOff>
                  </to>
                </anchor>
              </controlPr>
            </control>
          </mc:Choice>
        </mc:AlternateContent>
        <mc:AlternateContent xmlns:mc="http://schemas.openxmlformats.org/markup-compatibility/2006">
          <mc:Choice Requires="x14">
            <control shapeId="61445" r:id="rId5" name="Button 5">
              <controlPr defaultSize="0" print="0" autoFill="0" autoPict="0" macro="[0]!default_elasticity">
                <anchor moveWithCells="1" sizeWithCells="1">
                  <from>
                    <xdr:col>7</xdr:col>
                    <xdr:colOff>590550</xdr:colOff>
                    <xdr:row>0</xdr:row>
                    <xdr:rowOff>180975</xdr:rowOff>
                  </from>
                  <to>
                    <xdr:col>9</xdr:col>
                    <xdr:colOff>19050</xdr:colOff>
                    <xdr:row>3</xdr:row>
                    <xdr:rowOff>28575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5">
    <tabColor indexed="44"/>
    <pageSetUpPr fitToPage="1"/>
  </sheetPr>
  <dimension ref="A1:I14"/>
  <sheetViews>
    <sheetView zoomScale="85" workbookViewId="0">
      <selection activeCell="G25" sqref="G25"/>
    </sheetView>
  </sheetViews>
  <sheetFormatPr defaultColWidth="9.28515625" defaultRowHeight="15"/>
  <cols>
    <col min="1" max="1" width="4.7109375" style="18" customWidth="1"/>
    <col min="2" max="2" width="15" style="1" customWidth="1"/>
    <col min="3" max="3" width="15.28515625" style="1" customWidth="1"/>
    <col min="4" max="4" width="18.42578125" style="1" customWidth="1"/>
    <col min="5" max="9" width="14.5703125" style="1" customWidth="1"/>
    <col min="10" max="16384" width="9.28515625" style="1"/>
  </cols>
  <sheetData>
    <row r="1" spans="1:9" ht="15.75" thickBot="1">
      <c r="B1" s="701" t="s">
        <v>27</v>
      </c>
      <c r="C1" s="702"/>
      <c r="D1" s="2"/>
      <c r="E1" s="2"/>
      <c r="F1" s="803"/>
      <c r="G1" s="803"/>
      <c r="H1" s="2"/>
      <c r="I1" s="2"/>
    </row>
    <row r="2" spans="1:9">
      <c r="A2" s="21"/>
      <c r="B2" s="2"/>
      <c r="C2" s="2"/>
      <c r="D2" s="2"/>
      <c r="E2" s="2"/>
      <c r="F2" s="2"/>
      <c r="G2" s="2"/>
      <c r="H2" s="2"/>
      <c r="I2" s="2"/>
    </row>
    <row r="3" spans="1:9" ht="18">
      <c r="A3" s="21"/>
      <c r="B3" s="100" t="s">
        <v>791</v>
      </c>
      <c r="C3" s="38"/>
      <c r="D3" s="38"/>
      <c r="E3" s="38"/>
      <c r="F3" s="38"/>
      <c r="G3" s="38"/>
      <c r="H3" s="38"/>
      <c r="I3" s="38"/>
    </row>
    <row r="4" spans="1:9">
      <c r="A4" s="21"/>
      <c r="B4" s="2"/>
      <c r="C4" s="2"/>
      <c r="D4" s="2"/>
      <c r="E4" s="2"/>
      <c r="F4" s="2"/>
      <c r="G4" s="2"/>
      <c r="H4" s="2"/>
      <c r="I4" s="2"/>
    </row>
    <row r="5" spans="1:9" ht="15.75" customHeight="1">
      <c r="A5" s="16"/>
      <c r="B5" s="36" t="s">
        <v>525</v>
      </c>
      <c r="C5" s="36"/>
      <c r="D5" s="36"/>
      <c r="E5" s="36"/>
      <c r="F5" s="36"/>
      <c r="G5" s="36"/>
      <c r="H5" s="36"/>
      <c r="I5" s="104"/>
    </row>
    <row r="6" spans="1:9" ht="30" customHeight="1">
      <c r="A6" s="16"/>
      <c r="B6" s="661" t="s">
        <v>792</v>
      </c>
      <c r="C6" s="661" t="s">
        <v>793</v>
      </c>
      <c r="D6" s="661" t="s">
        <v>350</v>
      </c>
      <c r="E6" s="661" t="s">
        <v>351</v>
      </c>
      <c r="F6" s="661" t="s">
        <v>352</v>
      </c>
      <c r="G6" s="661" t="s">
        <v>200</v>
      </c>
      <c r="H6" s="661" t="s">
        <v>353</v>
      </c>
      <c r="I6" s="661" t="s">
        <v>354</v>
      </c>
    </row>
    <row r="7" spans="1:9" ht="30" customHeight="1">
      <c r="A7" s="16"/>
      <c r="B7" s="34">
        <v>0.75</v>
      </c>
      <c r="C7" s="34">
        <v>0.68</v>
      </c>
      <c r="D7" s="34">
        <v>0.19</v>
      </c>
      <c r="E7" s="34">
        <v>1.93</v>
      </c>
      <c r="F7" s="34">
        <v>1.93</v>
      </c>
      <c r="G7" s="34">
        <v>0.51</v>
      </c>
      <c r="H7" s="34">
        <v>1.1299999999999999</v>
      </c>
      <c r="I7" s="34">
        <v>1</v>
      </c>
    </row>
    <row r="8" spans="1:9" ht="30" customHeight="1">
      <c r="A8" s="17"/>
    </row>
    <row r="9" spans="1:9" ht="39.75" customHeight="1"/>
    <row r="10" spans="1:9" ht="17.25" customHeight="1"/>
    <row r="11" spans="1:9" ht="15.75" customHeight="1">
      <c r="B11" s="46" t="s">
        <v>525</v>
      </c>
      <c r="C11" s="46"/>
      <c r="D11" s="46"/>
      <c r="E11" s="46"/>
      <c r="F11" s="46"/>
      <c r="G11" s="46"/>
      <c r="H11" s="46"/>
      <c r="I11" s="150"/>
    </row>
    <row r="12" spans="1:9" ht="30" customHeight="1">
      <c r="B12" s="34" t="s">
        <v>792</v>
      </c>
      <c r="C12" s="34" t="s">
        <v>793</v>
      </c>
      <c r="D12" s="34" t="s">
        <v>350</v>
      </c>
      <c r="E12" s="34" t="s">
        <v>351</v>
      </c>
      <c r="F12" s="34" t="s">
        <v>352</v>
      </c>
      <c r="G12" s="34" t="s">
        <v>200</v>
      </c>
      <c r="H12" s="34" t="s">
        <v>353</v>
      </c>
      <c r="I12" s="34" t="s">
        <v>354</v>
      </c>
    </row>
    <row r="13" spans="1:9" ht="30" customHeight="1">
      <c r="B13" s="35" t="str">
        <f>IF(e_sup_gas_con=def_sup_gas_con,sou_sup_gas_con,"")</f>
        <v>Newell, Prest &amp; Vissing (2019)</v>
      </c>
      <c r="C13" s="35" t="str">
        <f>IF(e_sup_gas_unc=def_sup_gas_unc,sou_sup_gas_unc,"")</f>
        <v>Newell, Prest &amp; Vissing (2019)</v>
      </c>
      <c r="D13" s="35" t="str">
        <f>IF(e_sup_gas_off=def_sup_gas_off,sou_sup_gas_off,"")</f>
        <v>Assumed to be same as Offshore Oil</v>
      </c>
      <c r="E13" s="35" t="str">
        <f>IF(e_sup_gas_ala_on=def_sup_gas_ala_on,sou_sup_gas_ala_on,"")</f>
        <v>Derived from specialized NEMS runs 2023</v>
      </c>
      <c r="F13" s="35" t="str">
        <f>IF(e_sup_gas_ala_off=def_sup_gas_ala_off,sou_sup_gas_ala_off,"")</f>
        <v>Derived from specialized NEMS runs 2023</v>
      </c>
      <c r="G13" s="35" t="str">
        <f>IF(e_sup_gas_oth=def_sup_gas_oth,sou_sup_gas_oth,"")</f>
        <v>Brown 1998*</v>
      </c>
      <c r="H13" s="35" t="str">
        <f>IF(e_sup_gas_pip=def_sup_gas_pip,sou_sup_gas_pip,"")</f>
        <v>Derived from specialized NEMS runs 2023</v>
      </c>
      <c r="I13" s="35" t="str">
        <f>IF(e_sup_gas_lng=def_sup_gas_lng,sou_sup_gas_lng,"")</f>
        <v>Assumed value</v>
      </c>
    </row>
    <row r="14" spans="1:9" ht="30" customHeight="1">
      <c r="B14" s="1" t="s">
        <v>790</v>
      </c>
    </row>
  </sheetData>
  <mergeCells count="2">
    <mergeCell ref="B1:C1"/>
    <mergeCell ref="F1:G1"/>
  </mergeCells>
  <phoneticPr fontId="29" type="noConversion"/>
  <hyperlinks>
    <hyperlink ref="B1" location="'Table of Contents'!A1" tooltip="Click here to return to the Table of Contents tab" display="Return to Table of Contents" xr:uid="{00000000-0004-0000-23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2468" r:id="rId4" name="Button 4">
              <controlPr defaultSize="0" print="0" autoFill="0" autoPict="0" macro="[0]!default_elasticity_sheet">
                <anchor moveWithCells="1" sizeWithCells="1">
                  <from>
                    <xdr:col>5</xdr:col>
                    <xdr:colOff>19050</xdr:colOff>
                    <xdr:row>0</xdr:row>
                    <xdr:rowOff>180975</xdr:rowOff>
                  </from>
                  <to>
                    <xdr:col>6</xdr:col>
                    <xdr:colOff>400050</xdr:colOff>
                    <xdr:row>3</xdr:row>
                    <xdr:rowOff>28575</xdr:rowOff>
                  </to>
                </anchor>
              </controlPr>
            </control>
          </mc:Choice>
        </mc:AlternateContent>
        <mc:AlternateContent xmlns:mc="http://schemas.openxmlformats.org/markup-compatibility/2006">
          <mc:Choice Requires="x14">
            <control shapeId="62469" r:id="rId5" name="Button 5">
              <controlPr defaultSize="0" print="0" autoFill="0" autoPict="0" macro="[0]!default_elasticity">
                <anchor moveWithCells="1" sizeWithCells="1">
                  <from>
                    <xdr:col>6</xdr:col>
                    <xdr:colOff>590550</xdr:colOff>
                    <xdr:row>0</xdr:row>
                    <xdr:rowOff>180975</xdr:rowOff>
                  </from>
                  <to>
                    <xdr:col>8</xdr:col>
                    <xdr:colOff>0</xdr:colOff>
                    <xdr:row>3</xdr:row>
                    <xdr:rowOff>28575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tabColor indexed="44"/>
    <pageSetUpPr fitToPage="1"/>
  </sheetPr>
  <dimension ref="A1:K14"/>
  <sheetViews>
    <sheetView zoomScale="85" workbookViewId="0">
      <selection activeCell="D18" sqref="D18"/>
    </sheetView>
  </sheetViews>
  <sheetFormatPr defaultColWidth="9.28515625" defaultRowHeight="15"/>
  <cols>
    <col min="1" max="1" width="4.7109375" style="18" customWidth="1"/>
    <col min="2" max="2" width="15" style="1" customWidth="1"/>
    <col min="3" max="8" width="14.5703125" style="1" customWidth="1"/>
    <col min="9" max="10" width="14.7109375" style="1" customWidth="1"/>
    <col min="11" max="11" width="15" style="1" customWidth="1"/>
    <col min="12" max="12" width="14.7109375" style="1" customWidth="1"/>
    <col min="13" max="16384" width="9.28515625" style="1"/>
  </cols>
  <sheetData>
    <row r="1" spans="1:11" ht="15.75" thickBot="1">
      <c r="B1" s="701" t="s">
        <v>27</v>
      </c>
      <c r="C1" s="702"/>
      <c r="D1" s="2"/>
      <c r="E1" s="803"/>
      <c r="F1" s="803"/>
      <c r="G1" s="2"/>
      <c r="H1" s="2"/>
    </row>
    <row r="2" spans="1:11">
      <c r="A2" s="21"/>
      <c r="B2" s="2"/>
      <c r="C2" s="2"/>
      <c r="D2" s="2"/>
      <c r="E2" s="2"/>
      <c r="F2" s="2"/>
      <c r="G2" s="2"/>
      <c r="H2" s="2"/>
    </row>
    <row r="3" spans="1:11" ht="18">
      <c r="A3" s="21"/>
      <c r="B3" s="100" t="s">
        <v>794</v>
      </c>
      <c r="C3" s="38"/>
      <c r="D3" s="38"/>
      <c r="E3" s="38"/>
      <c r="F3" s="38"/>
      <c r="G3" s="38"/>
      <c r="H3" s="38"/>
    </row>
    <row r="4" spans="1:11">
      <c r="A4" s="21"/>
      <c r="B4" s="2"/>
      <c r="C4" s="2"/>
      <c r="D4" s="2"/>
      <c r="E4" s="2"/>
      <c r="F4" s="2"/>
      <c r="G4" s="2"/>
      <c r="H4" s="2"/>
    </row>
    <row r="5" spans="1:11" ht="15.75" customHeight="1">
      <c r="A5" s="16"/>
      <c r="B5" s="42" t="s">
        <v>525</v>
      </c>
      <c r="C5" s="42"/>
      <c r="D5" s="42"/>
      <c r="E5" s="42"/>
      <c r="F5" s="42"/>
      <c r="G5" s="42"/>
      <c r="H5" s="42"/>
      <c r="I5" s="42"/>
      <c r="J5" s="42"/>
      <c r="K5" s="104"/>
    </row>
    <row r="6" spans="1:11" ht="30" customHeight="1">
      <c r="A6" s="16"/>
      <c r="B6" s="661" t="s">
        <v>11</v>
      </c>
      <c r="C6" s="661" t="s">
        <v>256</v>
      </c>
      <c r="D6" s="661" t="s">
        <v>15</v>
      </c>
      <c r="E6" s="661" t="s">
        <v>260</v>
      </c>
      <c r="F6" s="661" t="s">
        <v>265</v>
      </c>
      <c r="G6" s="661" t="s">
        <v>261</v>
      </c>
      <c r="H6" s="661" t="s">
        <v>263</v>
      </c>
      <c r="I6" s="661" t="s">
        <v>264</v>
      </c>
      <c r="J6" s="661" t="s">
        <v>262</v>
      </c>
      <c r="K6" s="661" t="s">
        <v>394</v>
      </c>
    </row>
    <row r="7" spans="1:11" ht="30" customHeight="1">
      <c r="A7" s="16"/>
      <c r="B7" s="105">
        <v>0.22</v>
      </c>
      <c r="C7" s="105">
        <v>1.5</v>
      </c>
      <c r="D7" s="105">
        <v>0.27</v>
      </c>
      <c r="E7" s="105">
        <v>0.53</v>
      </c>
      <c r="F7" s="105">
        <v>0.68</v>
      </c>
      <c r="G7" s="105">
        <v>0.05</v>
      </c>
      <c r="H7" s="105">
        <v>0.65</v>
      </c>
      <c r="I7" s="105">
        <v>0.01</v>
      </c>
      <c r="J7" s="105">
        <v>2.0299999999999998</v>
      </c>
      <c r="K7" s="105">
        <v>0.36</v>
      </c>
    </row>
    <row r="8" spans="1:11" ht="30" customHeight="1">
      <c r="A8" s="17"/>
      <c r="G8" s="98"/>
    </row>
    <row r="9" spans="1:11" ht="39.75" customHeight="1"/>
    <row r="10" spans="1:11" ht="17.25" customHeight="1"/>
    <row r="11" spans="1:11" ht="15.75" customHeight="1">
      <c r="B11" s="44" t="s">
        <v>522</v>
      </c>
      <c r="C11" s="44"/>
      <c r="D11" s="44"/>
      <c r="E11" s="44"/>
      <c r="F11" s="44"/>
      <c r="G11" s="44"/>
      <c r="H11" s="44"/>
      <c r="I11" s="44"/>
      <c r="J11" s="150"/>
      <c r="K11" s="150"/>
    </row>
    <row r="12" spans="1:11" ht="30" customHeight="1">
      <c r="B12" s="34" t="s">
        <v>11</v>
      </c>
      <c r="C12" s="34" t="s">
        <v>256</v>
      </c>
      <c r="D12" s="34" t="s">
        <v>15</v>
      </c>
      <c r="E12" s="34" t="s">
        <v>260</v>
      </c>
      <c r="F12" s="34" t="s">
        <v>265</v>
      </c>
      <c r="G12" s="34" t="s">
        <v>261</v>
      </c>
      <c r="H12" s="34" t="s">
        <v>263</v>
      </c>
      <c r="I12" s="34" t="s">
        <v>264</v>
      </c>
      <c r="J12" s="34" t="s">
        <v>262</v>
      </c>
      <c r="K12" s="34" t="s">
        <v>394</v>
      </c>
    </row>
    <row r="13" spans="1:11" ht="50.25" customHeight="1">
      <c r="B13" s="35" t="str">
        <f>IF(e_sup_ele_oil=def_sup_ele_oil,sou_sup_ele_oil,"")</f>
        <v>Derived from AEO 2018</v>
      </c>
      <c r="C13" s="35" t="str">
        <f>IF(e_sup_ele_gas=def_sup_ele_gas,sou_sup_ele_gas,"")</f>
        <v>Derived from AEO 2020</v>
      </c>
      <c r="D13" s="35" t="str">
        <f>IF(e_sup_ele_coa=def_sup_ele_coa,sou_sup_ele_coa,"")</f>
        <v>Derived from AEO 2018</v>
      </c>
      <c r="E13" s="35" t="str">
        <f>IF(e_sup_ele_nuc=e_sup_ele_nuc,sou_sup_ele_nuc,"")</f>
        <v>Derived from AEO 2020</v>
      </c>
      <c r="F13" s="35" t="str">
        <f>IF(e_sup_ele_rnh=def_sup_ele_rnh,sou_sup_ele_rnh,"")</f>
        <v>Derived from AEO 2020</v>
      </c>
      <c r="G13" s="35" t="str">
        <f>IF(e_sup_ele_hyd=def_sup_ele_hyd,sou_sup_ele_hyd,"")</f>
        <v>Derived from AEO 2020</v>
      </c>
      <c r="H13" s="35" t="str">
        <f>IF(e_sup_ele_won=def_sup_ele_won,sou_sup_ele_won,"")</f>
        <v>Derived from AEO 2020</v>
      </c>
      <c r="I13" s="35" t="str">
        <f>IF(e_sup_ele_wof=def_sup_ele_wof,sou_sup_ele_wof,"")</f>
        <v>Derived from AEO 2020</v>
      </c>
      <c r="J13" s="35" t="str">
        <f>IF(e_sup_ele_sol=def_sup_ele_sol,sou_sup_ele_sol,"")</f>
        <v>Derived from AEO 2020</v>
      </c>
      <c r="K13" s="35" t="str">
        <f>IF(e_sup_ele_imp=def_sup_ele_imp,sou_sup_ele_imp,"")</f>
        <v>Derived from AEO 2020</v>
      </c>
    </row>
    <row r="14" spans="1:11" ht="30" customHeight="1"/>
  </sheetData>
  <mergeCells count="2">
    <mergeCell ref="B1:C1"/>
    <mergeCell ref="E1:F1"/>
  </mergeCells>
  <phoneticPr fontId="29" type="noConversion"/>
  <hyperlinks>
    <hyperlink ref="B1" location="'Table of Contents'!A1" tooltip="Click here to return to the Table of Contents tab" display="Return to Table of Contents" xr:uid="{00000000-0004-0000-24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4516" r:id="rId4" name="Button 4">
              <controlPr defaultSize="0" print="0" autoFill="0" autoPict="0" macro="[0]!default_elasticity_sheet">
                <anchor moveWithCells="1" sizeWithCells="1">
                  <from>
                    <xdr:col>3</xdr:col>
                    <xdr:colOff>971550</xdr:colOff>
                    <xdr:row>0</xdr:row>
                    <xdr:rowOff>190500</xdr:rowOff>
                  </from>
                  <to>
                    <xdr:col>5</xdr:col>
                    <xdr:colOff>381000</xdr:colOff>
                    <xdr:row>3</xdr:row>
                    <xdr:rowOff>38100</xdr:rowOff>
                  </to>
                </anchor>
              </controlPr>
            </control>
          </mc:Choice>
        </mc:AlternateContent>
        <mc:AlternateContent xmlns:mc="http://schemas.openxmlformats.org/markup-compatibility/2006">
          <mc:Choice Requires="x14">
            <control shapeId="64517" r:id="rId5" name="Button 5">
              <controlPr defaultSize="0" print="0" autoFill="0" autoPict="0" macro="[0]!default_elasticity">
                <anchor moveWithCells="1" sizeWithCells="1">
                  <from>
                    <xdr:col>5</xdr:col>
                    <xdr:colOff>561975</xdr:colOff>
                    <xdr:row>0</xdr:row>
                    <xdr:rowOff>190500</xdr:rowOff>
                  </from>
                  <to>
                    <xdr:col>6</xdr:col>
                    <xdr:colOff>952500</xdr:colOff>
                    <xdr:row>3</xdr:row>
                    <xdr:rowOff>38100</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6">
    <tabColor indexed="44"/>
    <pageSetUpPr fitToPage="1"/>
  </sheetPr>
  <dimension ref="A1:H14"/>
  <sheetViews>
    <sheetView zoomScale="85" workbookViewId="0">
      <selection activeCell="B1" sqref="B1:C1"/>
    </sheetView>
  </sheetViews>
  <sheetFormatPr defaultColWidth="9.28515625" defaultRowHeight="15"/>
  <cols>
    <col min="1" max="1" width="4.7109375" style="18" customWidth="1"/>
    <col min="2" max="2" width="15" style="1" customWidth="1"/>
    <col min="3" max="8" width="14.5703125" style="1" customWidth="1"/>
    <col min="9" max="16384" width="9.28515625" style="1"/>
  </cols>
  <sheetData>
    <row r="1" spans="1:8" ht="15.75" thickBot="1">
      <c r="B1" s="701" t="s">
        <v>27</v>
      </c>
      <c r="C1" s="702"/>
      <c r="D1" s="2"/>
      <c r="E1" s="803"/>
      <c r="F1" s="803"/>
      <c r="G1" s="2"/>
      <c r="H1" s="2"/>
    </row>
    <row r="2" spans="1:8">
      <c r="A2" s="21"/>
      <c r="B2" s="2"/>
      <c r="C2" s="2"/>
      <c r="D2" s="2"/>
      <c r="E2" s="2"/>
      <c r="F2" s="2"/>
      <c r="G2" s="2"/>
      <c r="H2" s="2"/>
    </row>
    <row r="3" spans="1:8" ht="18">
      <c r="A3" s="21"/>
      <c r="B3" s="100" t="s">
        <v>795</v>
      </c>
      <c r="C3" s="38"/>
      <c r="D3" s="38"/>
      <c r="E3" s="38"/>
      <c r="F3" s="38"/>
      <c r="G3" s="38"/>
      <c r="H3" s="38"/>
    </row>
    <row r="4" spans="1:8">
      <c r="A4" s="21"/>
      <c r="B4" s="2"/>
      <c r="C4" s="2"/>
      <c r="D4" s="2"/>
      <c r="E4" s="2"/>
      <c r="F4" s="2"/>
      <c r="G4" s="2"/>
      <c r="H4" s="2"/>
    </row>
    <row r="5" spans="1:8" ht="15.75" customHeight="1">
      <c r="A5" s="16"/>
      <c r="B5" s="42" t="s">
        <v>525</v>
      </c>
      <c r="C5" s="33"/>
    </row>
    <row r="6" spans="1:8" ht="30" customHeight="1">
      <c r="A6" s="16"/>
      <c r="B6" s="661" t="s">
        <v>393</v>
      </c>
      <c r="C6" s="661" t="s">
        <v>394</v>
      </c>
    </row>
    <row r="7" spans="1:8" ht="30" customHeight="1">
      <c r="A7" s="16"/>
      <c r="B7" s="34">
        <v>4.3899999999999997</v>
      </c>
      <c r="C7" s="105">
        <v>1</v>
      </c>
    </row>
    <row r="8" spans="1:8" ht="30" customHeight="1">
      <c r="A8" s="17"/>
      <c r="C8" s="134"/>
    </row>
    <row r="9" spans="1:8" ht="39.75" customHeight="1"/>
    <row r="10" spans="1:8" ht="17.25" customHeight="1"/>
    <row r="11" spans="1:8" ht="29.25" customHeight="1">
      <c r="B11" s="102" t="s">
        <v>522</v>
      </c>
      <c r="C11" s="103"/>
      <c r="F11" s="47"/>
    </row>
    <row r="12" spans="1:8" ht="30" customHeight="1">
      <c r="B12" s="34" t="s">
        <v>393</v>
      </c>
      <c r="C12" s="34" t="s">
        <v>394</v>
      </c>
      <c r="F12" s="47"/>
    </row>
    <row r="13" spans="1:8" ht="30" customHeight="1">
      <c r="B13" s="35" t="str">
        <f>IF(e_sup_coa_dom=def_sup_coa_dom,sou_sup_coa_dom,"")</f>
        <v>NEMS 2019 Reference Case supplemental data provided to DOI by EIA.</v>
      </c>
      <c r="C13" s="35" t="str">
        <f>IF(e_sup_coa_imp=def_sup_coa_imp,sou_sup_coa_imp,"")</f>
        <v>Derived from AEO 2023</v>
      </c>
    </row>
    <row r="14" spans="1:8" ht="30" customHeight="1"/>
  </sheetData>
  <mergeCells count="2">
    <mergeCell ref="B1:C1"/>
    <mergeCell ref="E1:F1"/>
  </mergeCells>
  <phoneticPr fontId="29" type="noConversion"/>
  <hyperlinks>
    <hyperlink ref="B1" location="'Table of Contents'!A1" tooltip="Click here to return to the Table of Contents tab" display="Return to Table of Contents" xr:uid="{00000000-0004-0000-25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3492" r:id="rId4" name="Button 4">
              <controlPr defaultSize="0" print="0" autoFill="0" autoPict="0" macro="[0]!default_elasticity_sheet">
                <anchor moveWithCells="1" sizeWithCells="1">
                  <from>
                    <xdr:col>4</xdr:col>
                    <xdr:colOff>19050</xdr:colOff>
                    <xdr:row>1</xdr:row>
                    <xdr:rowOff>57150</xdr:rowOff>
                  </from>
                  <to>
                    <xdr:col>5</xdr:col>
                    <xdr:colOff>400050</xdr:colOff>
                    <xdr:row>3</xdr:row>
                    <xdr:rowOff>95250</xdr:rowOff>
                  </to>
                </anchor>
              </controlPr>
            </control>
          </mc:Choice>
        </mc:AlternateContent>
        <mc:AlternateContent xmlns:mc="http://schemas.openxmlformats.org/markup-compatibility/2006">
          <mc:Choice Requires="x14">
            <control shapeId="63493" r:id="rId5" name="Button 5">
              <controlPr defaultSize="0" print="0" autoFill="0" autoPict="0" macro="[0]!default_elasticity">
                <anchor moveWithCells="1" sizeWithCells="1">
                  <from>
                    <xdr:col>5</xdr:col>
                    <xdr:colOff>590550</xdr:colOff>
                    <xdr:row>1</xdr:row>
                    <xdr:rowOff>57150</xdr:rowOff>
                  </from>
                  <to>
                    <xdr:col>7</xdr:col>
                    <xdr:colOff>0</xdr:colOff>
                    <xdr:row>3</xdr:row>
                    <xdr:rowOff>95250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
    <tabColor indexed="47"/>
  </sheetPr>
  <dimension ref="A1:GI90"/>
  <sheetViews>
    <sheetView zoomScale="90" zoomScaleNormal="90" workbookViewId="0">
      <pane xSplit="3" ySplit="9" topLeftCell="D10" activePane="bottomRight" state="frozen"/>
      <selection pane="topRight" activeCell="C1" sqref="C1"/>
      <selection pane="bottomLeft" activeCell="A10" sqref="A10"/>
      <selection pane="bottomRight" sqref="A1:C1"/>
    </sheetView>
  </sheetViews>
  <sheetFormatPr defaultColWidth="9.28515625" defaultRowHeight="12.75"/>
  <cols>
    <col min="1" max="1" width="7.7109375" style="85" customWidth="1"/>
    <col min="2" max="2" width="12.7109375" style="85" customWidth="1"/>
    <col min="3" max="3" width="9.42578125" style="85" customWidth="1"/>
    <col min="4" max="5" width="22.7109375" style="85" customWidth="1"/>
    <col min="6" max="6" width="11.42578125" style="85" customWidth="1"/>
    <col min="7" max="7" width="9.42578125" style="85" customWidth="1"/>
    <col min="8" max="8" width="9.7109375" style="85" customWidth="1"/>
    <col min="9" max="9" width="9.42578125" style="146" customWidth="1"/>
    <col min="10" max="10" width="12" style="146" customWidth="1"/>
    <col min="11" max="12" width="9.42578125" style="146" customWidth="1"/>
    <col min="13" max="13" width="10" style="146" bestFit="1" customWidth="1"/>
    <col min="14" max="15" width="9.42578125" style="146" customWidth="1"/>
    <col min="16" max="17" width="19.28515625" style="146" customWidth="1"/>
    <col min="18" max="18" width="10" style="146" bestFit="1" customWidth="1"/>
    <col min="19" max="19" width="9.42578125" style="146" customWidth="1"/>
    <col min="20" max="20" width="10.28515625" style="146" customWidth="1"/>
    <col min="21" max="21" width="9.42578125" style="146" customWidth="1"/>
    <col min="22" max="23" width="9.7109375" style="146" bestFit="1" customWidth="1"/>
    <col min="24" max="27" width="9.7109375" style="146" customWidth="1"/>
    <col min="28" max="29" width="19.28515625" style="174" customWidth="1"/>
    <col min="30" max="30" width="10" style="146" customWidth="1"/>
    <col min="31" max="31" width="10.28515625" style="146" bestFit="1" customWidth="1"/>
    <col min="32" max="32" width="9.7109375" style="146" customWidth="1"/>
    <col min="33" max="33" width="9.7109375" style="146" bestFit="1" customWidth="1"/>
    <col min="34" max="34" width="9.7109375" style="146" customWidth="1"/>
    <col min="35" max="35" width="9.7109375" style="146" bestFit="1" customWidth="1"/>
    <col min="36" max="36" width="9.7109375" style="146" customWidth="1"/>
    <col min="37" max="37" width="9.7109375" style="146" bestFit="1" customWidth="1"/>
    <col min="38" max="39" width="9.7109375" style="146" customWidth="1"/>
    <col min="40" max="41" width="21" style="174" customWidth="1"/>
    <col min="42" max="42" width="10" style="85" customWidth="1"/>
    <col min="43" max="43" width="10.42578125" style="85" bestFit="1" customWidth="1"/>
    <col min="44" max="44" width="10.42578125" style="85" customWidth="1"/>
    <col min="45" max="45" width="9.7109375" style="85" customWidth="1"/>
    <col min="46" max="46" width="9.7109375" style="85" bestFit="1" customWidth="1"/>
    <col min="47" max="47" width="9.7109375" style="85" customWidth="1"/>
    <col min="48" max="49" width="9.7109375" style="85" bestFit="1" customWidth="1"/>
    <col min="50" max="51" width="9.7109375" style="85" customWidth="1"/>
    <col min="52" max="53" width="22.5703125" style="171" customWidth="1"/>
    <col min="54" max="55" width="25.28515625" style="171" customWidth="1"/>
    <col min="56" max="56" width="10" style="85" customWidth="1"/>
    <col min="57" max="57" width="10.28515625" style="85" bestFit="1" customWidth="1"/>
    <col min="58" max="58" width="9.7109375" style="85" customWidth="1"/>
    <col min="59" max="60" width="9.5703125" style="85" bestFit="1" customWidth="1"/>
    <col min="61" max="64" width="9.5703125" style="85" customWidth="1"/>
    <col min="65" max="65" width="9.5703125" style="85" bestFit="1" customWidth="1"/>
    <col min="66" max="66" width="21.7109375" style="171" bestFit="1" customWidth="1"/>
    <col min="67" max="67" width="21.7109375" style="171" customWidth="1"/>
    <col min="68" max="68" width="10" style="85" customWidth="1"/>
    <col min="69" max="69" width="10.28515625" style="85" bestFit="1" customWidth="1"/>
    <col min="70" max="71" width="9.7109375" style="85" customWidth="1"/>
    <col min="72" max="72" width="9.5703125" style="85" bestFit="1" customWidth="1"/>
    <col min="73" max="73" width="9.5703125" style="85" customWidth="1"/>
    <col min="74" max="74" width="9.5703125" style="85" bestFit="1" customWidth="1"/>
    <col min="75" max="76" width="9.5703125" style="85" customWidth="1"/>
    <col min="77" max="77" width="9.5703125" style="85" bestFit="1" customWidth="1"/>
    <col min="78" max="78" width="19.7109375" style="171" bestFit="1" customWidth="1"/>
    <col min="79" max="79" width="19.7109375" style="171" customWidth="1"/>
    <col min="80" max="81" width="10" style="85" customWidth="1"/>
    <col min="82" max="82" width="10.28515625" style="85" bestFit="1" customWidth="1"/>
    <col min="83" max="84" width="9.7109375" style="85" customWidth="1"/>
    <col min="85" max="86" width="9.5703125" style="85" bestFit="1" customWidth="1"/>
    <col min="87" max="88" width="9.5703125" style="85" customWidth="1"/>
    <col min="89" max="89" width="9.5703125" style="85" bestFit="1" customWidth="1"/>
    <col min="90" max="91" width="18.42578125" style="85" customWidth="1"/>
    <col min="92" max="92" width="10" style="171" customWidth="1"/>
    <col min="93" max="93" width="9.28515625" style="85" customWidth="1"/>
    <col min="94" max="94" width="10.28515625" style="85" bestFit="1" customWidth="1"/>
    <col min="95" max="95" width="10.28515625" style="85" customWidth="1"/>
    <col min="96" max="96" width="9.7109375" style="85" customWidth="1"/>
    <col min="97" max="98" width="9.5703125" style="85" bestFit="1" customWidth="1"/>
    <col min="99" max="100" width="9.5703125" style="85" customWidth="1"/>
    <col min="101" max="101" width="9.5703125" style="85" bestFit="1" customWidth="1"/>
    <col min="102" max="103" width="18" style="171" customWidth="1"/>
    <col min="104" max="104" width="21" style="171" bestFit="1" customWidth="1"/>
    <col min="105" max="105" width="21" style="171" customWidth="1"/>
    <col min="106" max="106" width="10" style="85" customWidth="1"/>
    <col min="107" max="107" width="11.7109375" style="85" bestFit="1" customWidth="1"/>
    <col min="108" max="110" width="11.7109375" style="85" customWidth="1"/>
    <col min="111" max="111" width="11.5703125" style="85" customWidth="1"/>
    <col min="112" max="113" width="9.42578125" style="85" bestFit="1" customWidth="1"/>
    <col min="114" max="114" width="9.42578125" style="85" customWidth="1"/>
    <col min="115" max="115" width="10.28515625" style="85" bestFit="1" customWidth="1"/>
    <col min="116" max="117" width="19.28515625" style="171" customWidth="1"/>
    <col min="118" max="118" width="10" style="171" bestFit="1" customWidth="1"/>
    <col min="119" max="119" width="10" style="85" customWidth="1"/>
    <col min="120" max="120" width="11.42578125" style="85" customWidth="1"/>
    <col min="121" max="121" width="11.7109375" style="85" bestFit="1" customWidth="1"/>
    <col min="122" max="122" width="11.7109375" style="85" customWidth="1"/>
    <col min="123" max="123" width="11.5703125" style="85" customWidth="1"/>
    <col min="124" max="125" width="9.42578125" style="85" bestFit="1" customWidth="1"/>
    <col min="126" max="127" width="9.42578125" style="85" customWidth="1"/>
    <col min="128" max="129" width="20.7109375" style="85" customWidth="1"/>
    <col min="130" max="131" width="10.7109375" style="171" customWidth="1"/>
    <col min="132" max="132" width="11.5703125" style="85" bestFit="1" customWidth="1"/>
    <col min="133" max="133" width="9.28515625" style="85" bestFit="1" customWidth="1"/>
    <col min="134" max="134" width="11.7109375" style="85" customWidth="1"/>
    <col min="135" max="136" width="11.5703125" style="85" customWidth="1"/>
    <col min="137" max="137" width="10" style="85" bestFit="1" customWidth="1"/>
    <col min="138" max="138" width="10" style="85" customWidth="1"/>
    <col min="139" max="139" width="9.42578125" style="85" bestFit="1" customWidth="1"/>
    <col min="140" max="140" width="23.28515625" style="85" bestFit="1" customWidth="1"/>
    <col min="141" max="141" width="23.28515625" style="85" customWidth="1"/>
    <col min="142" max="142" width="10" style="85" bestFit="1" customWidth="1"/>
    <col min="143" max="143" width="7.7109375" style="171" bestFit="1" customWidth="1"/>
    <col min="144" max="144" width="10" style="85" customWidth="1"/>
    <col min="145" max="145" width="10" style="85" bestFit="1" customWidth="1"/>
    <col min="146" max="147" width="10" style="85" customWidth="1"/>
    <col min="148" max="148" width="9.7109375" style="85" customWidth="1"/>
    <col min="149" max="149" width="10" style="85" bestFit="1" customWidth="1"/>
    <col min="150" max="150" width="10" style="85" customWidth="1"/>
    <col min="151" max="151" width="9.42578125" style="85" bestFit="1" customWidth="1"/>
    <col min="152" max="152" width="20.5703125" style="85" bestFit="1" customWidth="1"/>
    <col min="153" max="153" width="20.5703125" style="85" customWidth="1"/>
    <col min="154" max="154" width="10" style="85" bestFit="1" customWidth="1"/>
    <col min="155" max="155" width="9.7109375" style="171" customWidth="1"/>
    <col min="156" max="163" width="10.7109375" style="171" customWidth="1"/>
    <col min="164" max="164" width="19.5703125" style="171" bestFit="1" customWidth="1"/>
    <col min="165" max="167" width="19.5703125" style="171" customWidth="1"/>
    <col min="168" max="168" width="10" style="85" customWidth="1"/>
    <col min="169" max="169" width="10" style="85" bestFit="1" customWidth="1"/>
    <col min="170" max="172" width="10" style="85" customWidth="1"/>
    <col min="173" max="173" width="9.7109375" style="85" customWidth="1"/>
    <col min="174" max="174" width="9.28515625" style="85" bestFit="1" customWidth="1"/>
    <col min="175" max="175" width="9.28515625" style="85" customWidth="1"/>
    <col min="176" max="176" width="9.5703125" style="85" bestFit="1" customWidth="1"/>
    <col min="177" max="177" width="18" style="171" bestFit="1" customWidth="1"/>
    <col min="178" max="178" width="18" style="171" customWidth="1"/>
    <col min="179" max="179" width="10" style="171" bestFit="1" customWidth="1"/>
    <col min="180" max="187" width="10.7109375" style="171" customWidth="1"/>
    <col min="188" max="189" width="17.5703125" style="171" customWidth="1"/>
    <col min="190" max="190" width="19.5703125" style="171" customWidth="1"/>
    <col min="191" max="191" width="17" style="85" customWidth="1"/>
    <col min="192" max="16384" width="9.28515625" style="85"/>
  </cols>
  <sheetData>
    <row r="1" spans="1:191" ht="15.75" thickBot="1">
      <c r="A1" s="701" t="s">
        <v>27</v>
      </c>
      <c r="B1" s="809"/>
      <c r="C1" s="702"/>
      <c r="D1" s="86"/>
      <c r="E1" s="86"/>
      <c r="G1" s="146"/>
      <c r="H1" s="146"/>
    </row>
    <row r="2" spans="1:191">
      <c r="AB2" s="480"/>
      <c r="AN2" s="480"/>
      <c r="AZ2" s="480"/>
    </row>
    <row r="4" spans="1:191">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Z4" s="85"/>
      <c r="BA4" s="85"/>
      <c r="BB4" s="85"/>
      <c r="BC4" s="85"/>
      <c r="BN4" s="85"/>
      <c r="BO4" s="85"/>
      <c r="BZ4" s="85"/>
      <c r="CA4" s="85"/>
      <c r="CN4" s="85"/>
      <c r="CX4" s="85"/>
      <c r="CY4" s="85"/>
      <c r="CZ4" s="85"/>
      <c r="DA4" s="85"/>
      <c r="DL4" s="85"/>
      <c r="DM4" s="85"/>
      <c r="DN4" s="85"/>
      <c r="DZ4" s="85"/>
      <c r="EA4" s="85"/>
      <c r="EM4" s="85"/>
      <c r="EY4" s="85"/>
      <c r="EZ4" s="85"/>
      <c r="FA4" s="85"/>
      <c r="FB4" s="85"/>
      <c r="FC4" s="85"/>
      <c r="FD4" s="85"/>
      <c r="FE4" s="85"/>
      <c r="FF4" s="85"/>
      <c r="FG4" s="85"/>
      <c r="FH4" s="85"/>
      <c r="FI4" s="85"/>
      <c r="FJ4" s="85"/>
      <c r="FK4" s="85"/>
      <c r="FU4" s="85"/>
      <c r="FV4" s="85"/>
      <c r="FW4" s="85"/>
      <c r="FX4" s="85"/>
      <c r="FY4" s="85"/>
      <c r="FZ4" s="85"/>
      <c r="GA4" s="85"/>
      <c r="GB4" s="85"/>
      <c r="GC4" s="85"/>
      <c r="GD4" s="85"/>
      <c r="GE4" s="85"/>
      <c r="GF4" s="85"/>
      <c r="GG4" s="85"/>
      <c r="GH4" s="85"/>
    </row>
    <row r="5" spans="1:191" ht="18.75">
      <c r="C5" s="167"/>
      <c r="D5" s="28"/>
      <c r="E5" s="28"/>
      <c r="F5" s="71" t="s">
        <v>796</v>
      </c>
      <c r="G5" s="12"/>
      <c r="H5" s="12"/>
      <c r="I5" s="147"/>
      <c r="J5" s="147"/>
      <c r="K5" s="147"/>
      <c r="L5" s="147"/>
      <c r="M5" s="147"/>
      <c r="N5" s="147"/>
      <c r="O5" s="147"/>
      <c r="P5" s="151"/>
      <c r="Q5" s="151"/>
      <c r="R5" s="151"/>
      <c r="S5" s="151"/>
      <c r="T5" s="151"/>
      <c r="U5" s="151"/>
      <c r="V5" s="151"/>
      <c r="W5" s="151"/>
      <c r="X5" s="151"/>
      <c r="Y5" s="151"/>
      <c r="Z5" s="151"/>
      <c r="AA5" s="151"/>
      <c r="AB5" s="175"/>
      <c r="AC5" s="175"/>
      <c r="AD5" s="151"/>
      <c r="AE5" s="151"/>
      <c r="AF5" s="151"/>
      <c r="AG5" s="151"/>
      <c r="AH5" s="151"/>
      <c r="AI5" s="151"/>
      <c r="AJ5" s="151"/>
      <c r="AK5" s="151"/>
      <c r="AL5" s="151"/>
      <c r="AM5" s="151"/>
      <c r="AN5" s="175"/>
      <c r="AO5" s="175"/>
      <c r="AP5" s="151"/>
      <c r="AQ5" s="151"/>
      <c r="AR5" s="151"/>
      <c r="AS5" s="151"/>
      <c r="AT5" s="151"/>
      <c r="AU5" s="151"/>
      <c r="AV5" s="151"/>
      <c r="AW5" s="151"/>
      <c r="AX5" s="151"/>
      <c r="AY5" s="151"/>
      <c r="AZ5" s="172"/>
      <c r="BA5" s="172"/>
      <c r="BB5" s="172"/>
      <c r="BC5" s="172"/>
      <c r="BD5" s="151"/>
      <c r="BE5" s="151"/>
      <c r="BF5" s="151"/>
      <c r="BG5" s="151"/>
      <c r="BH5" s="151"/>
      <c r="BI5" s="151"/>
      <c r="BJ5" s="151"/>
      <c r="BK5" s="151"/>
      <c r="BL5" s="151"/>
      <c r="BM5" s="151"/>
      <c r="BN5" s="172"/>
      <c r="BO5" s="172"/>
      <c r="BP5" s="151"/>
      <c r="BQ5" s="151"/>
      <c r="BR5" s="151"/>
      <c r="BS5" s="151"/>
      <c r="BT5" s="151"/>
      <c r="BU5" s="151"/>
      <c r="BV5" s="151"/>
      <c r="BW5" s="151"/>
      <c r="BX5" s="151"/>
      <c r="BY5" s="151"/>
      <c r="BZ5" s="172"/>
      <c r="CA5" s="172"/>
      <c r="CB5" s="151"/>
      <c r="CC5" s="151"/>
      <c r="CD5" s="151"/>
      <c r="CE5" s="151"/>
      <c r="CF5" s="151"/>
      <c r="CG5" s="151"/>
      <c r="CH5" s="151"/>
      <c r="CI5" s="151"/>
      <c r="CJ5" s="151"/>
      <c r="CK5" s="151"/>
      <c r="CL5" s="151"/>
      <c r="CM5" s="151"/>
      <c r="CN5" s="172"/>
      <c r="CO5" s="151"/>
      <c r="CP5" s="151"/>
      <c r="CQ5" s="151"/>
      <c r="CR5" s="151"/>
      <c r="CS5" s="151"/>
      <c r="CT5" s="151"/>
      <c r="CU5" s="151"/>
      <c r="CV5" s="151"/>
      <c r="CW5" s="151"/>
      <c r="CX5" s="172"/>
      <c r="CY5" s="172"/>
      <c r="CZ5" s="172"/>
      <c r="DA5" s="172"/>
      <c r="DB5" s="151"/>
      <c r="DC5" s="151"/>
      <c r="DD5" s="151"/>
      <c r="DE5" s="151"/>
      <c r="DF5" s="151"/>
      <c r="DG5" s="151"/>
      <c r="DH5" s="151"/>
      <c r="DI5" s="151"/>
      <c r="DJ5" s="151"/>
      <c r="DK5" s="151"/>
      <c r="DL5" s="172"/>
      <c r="DM5" s="172"/>
      <c r="DN5" s="172"/>
      <c r="DO5" s="151"/>
      <c r="DP5" s="151"/>
      <c r="DQ5" s="151"/>
      <c r="DR5" s="151"/>
      <c r="DS5" s="151"/>
      <c r="DT5" s="151"/>
      <c r="DU5" s="151"/>
      <c r="DV5" s="151"/>
      <c r="DW5" s="151"/>
      <c r="DX5" s="151"/>
      <c r="DY5" s="151"/>
      <c r="DZ5" s="172"/>
      <c r="EA5" s="172"/>
      <c r="EB5" s="151"/>
      <c r="EC5" s="151"/>
      <c r="ED5" s="151"/>
      <c r="EE5" s="151"/>
      <c r="EF5" s="151"/>
      <c r="EG5" s="151"/>
      <c r="EH5" s="151"/>
      <c r="EI5" s="151"/>
      <c r="EJ5" s="151"/>
      <c r="EK5" s="151"/>
      <c r="EL5" s="151"/>
      <c r="EM5" s="172"/>
      <c r="EN5" s="151"/>
      <c r="EO5" s="151"/>
      <c r="EP5" s="151"/>
      <c r="EQ5" s="151"/>
      <c r="ER5" s="151"/>
      <c r="ES5" s="151"/>
      <c r="ET5" s="151"/>
      <c r="EU5" s="151"/>
      <c r="EV5" s="151"/>
      <c r="EW5" s="151"/>
      <c r="EX5" s="151"/>
      <c r="EY5" s="172"/>
      <c r="EZ5" s="172"/>
      <c r="FA5" s="172"/>
      <c r="FB5" s="172"/>
      <c r="FC5" s="172"/>
      <c r="FD5" s="172"/>
      <c r="FE5" s="172"/>
      <c r="FF5" s="172"/>
      <c r="FG5" s="172"/>
      <c r="FH5" s="172"/>
      <c r="FI5" s="172"/>
      <c r="FJ5" s="172"/>
      <c r="FK5" s="172"/>
      <c r="FL5" s="151"/>
      <c r="FM5" s="151"/>
      <c r="FN5" s="151"/>
      <c r="FO5" s="151"/>
      <c r="FP5" s="151"/>
      <c r="FQ5" s="151"/>
      <c r="FR5" s="151"/>
      <c r="FS5" s="151"/>
      <c r="FT5" s="151"/>
      <c r="FU5" s="151"/>
      <c r="FV5" s="172"/>
      <c r="FW5" s="172"/>
      <c r="FX5" s="172"/>
      <c r="FY5" s="172"/>
      <c r="FZ5" s="172"/>
      <c r="GA5" s="172"/>
      <c r="GB5" s="172"/>
      <c r="GC5" s="172"/>
      <c r="GD5" s="172"/>
      <c r="GE5" s="172"/>
      <c r="GF5" s="172"/>
      <c r="GG5" s="172"/>
      <c r="GH5" s="172"/>
      <c r="GI5" s="176"/>
    </row>
    <row r="6" spans="1:191" ht="15.75" thickBot="1">
      <c r="C6" s="14"/>
      <c r="D6" s="10"/>
      <c r="E6" s="10"/>
      <c r="F6" s="406"/>
      <c r="G6" s="57"/>
      <c r="H6" s="57"/>
      <c r="I6" s="407"/>
      <c r="J6" s="407"/>
      <c r="K6" s="407"/>
      <c r="L6" s="407"/>
      <c r="M6" s="407"/>
      <c r="N6" s="407"/>
      <c r="O6" s="407"/>
      <c r="P6" s="408"/>
      <c r="Q6" s="408"/>
      <c r="R6" s="408"/>
      <c r="S6" s="408"/>
      <c r="T6" s="408"/>
      <c r="U6" s="408"/>
      <c r="V6" s="408"/>
      <c r="W6" s="408"/>
      <c r="X6" s="408"/>
      <c r="Y6" s="408"/>
      <c r="Z6" s="408"/>
      <c r="AA6" s="408"/>
      <c r="AB6" s="409"/>
      <c r="AC6" s="409"/>
      <c r="AD6" s="408"/>
      <c r="AE6" s="408"/>
      <c r="AF6" s="408"/>
      <c r="AG6" s="408"/>
      <c r="AH6" s="408"/>
      <c r="AI6" s="408"/>
      <c r="AJ6" s="408"/>
      <c r="AK6" s="408"/>
      <c r="AL6" s="408"/>
      <c r="AM6" s="408"/>
      <c r="AN6" s="409"/>
      <c r="AO6" s="409"/>
      <c r="AP6" s="408"/>
      <c r="AQ6" s="408"/>
      <c r="AR6" s="408"/>
      <c r="AS6" s="408"/>
      <c r="AT6" s="408"/>
      <c r="AU6" s="408"/>
      <c r="AV6" s="408"/>
      <c r="AW6" s="408"/>
      <c r="AX6" s="408"/>
      <c r="AY6" s="408"/>
      <c r="AZ6" s="410"/>
      <c r="BA6" s="410"/>
      <c r="BB6" s="410"/>
      <c r="BC6" s="410"/>
      <c r="BD6" s="408"/>
      <c r="BE6" s="408"/>
      <c r="BF6" s="408"/>
      <c r="BG6" s="408"/>
      <c r="BH6" s="408"/>
      <c r="BI6" s="408"/>
      <c r="BJ6" s="408"/>
      <c r="BK6" s="408"/>
      <c r="BL6" s="408"/>
      <c r="BM6" s="408"/>
      <c r="BN6" s="410"/>
      <c r="BO6" s="410"/>
      <c r="BP6" s="408"/>
      <c r="BQ6" s="408"/>
      <c r="BR6" s="408"/>
      <c r="BS6" s="408"/>
      <c r="BT6" s="408"/>
      <c r="BU6" s="408"/>
      <c r="BV6" s="408"/>
      <c r="BW6" s="408"/>
      <c r="BX6" s="408"/>
      <c r="BY6" s="408"/>
      <c r="BZ6" s="410"/>
      <c r="CA6" s="410"/>
      <c r="CB6" s="408"/>
      <c r="CC6" s="408"/>
      <c r="CD6" s="408"/>
      <c r="CE6" s="408"/>
      <c r="CF6" s="408"/>
      <c r="CG6" s="408"/>
      <c r="CH6" s="408"/>
      <c r="CI6" s="408"/>
      <c r="CJ6" s="408"/>
      <c r="CK6" s="408"/>
      <c r="CL6" s="408"/>
      <c r="CM6" s="408"/>
      <c r="CN6" s="410"/>
      <c r="CO6" s="408"/>
      <c r="CP6" s="408"/>
      <c r="CQ6" s="408"/>
      <c r="CR6" s="408"/>
      <c r="CS6" s="408"/>
      <c r="CT6" s="408"/>
      <c r="CU6" s="408"/>
      <c r="CV6" s="408"/>
      <c r="CW6" s="408"/>
      <c r="CX6" s="410"/>
      <c r="CY6" s="410"/>
      <c r="CZ6" s="410"/>
      <c r="DA6" s="410"/>
      <c r="DB6" s="408"/>
      <c r="DC6" s="408"/>
      <c r="DD6" s="408"/>
      <c r="DE6" s="408"/>
      <c r="DF6" s="408"/>
      <c r="DG6" s="408"/>
      <c r="DH6" s="408"/>
      <c r="DI6" s="408"/>
      <c r="DJ6" s="408"/>
      <c r="DK6" s="408"/>
      <c r="DL6" s="410"/>
      <c r="DM6" s="410"/>
      <c r="DN6" s="410"/>
      <c r="DO6" s="408"/>
      <c r="DP6" s="408"/>
      <c r="DQ6" s="408"/>
      <c r="DR6" s="408"/>
      <c r="DS6" s="408"/>
      <c r="DT6" s="408"/>
      <c r="DU6" s="408"/>
      <c r="DV6" s="408"/>
      <c r="DW6" s="408"/>
      <c r="DX6" s="408"/>
      <c r="DY6" s="408"/>
      <c r="DZ6" s="410"/>
      <c r="EA6" s="410"/>
      <c r="EB6" s="408"/>
      <c r="EC6" s="408"/>
      <c r="ED6" s="408"/>
      <c r="EE6" s="408"/>
      <c r="EF6" s="408"/>
      <c r="EG6" s="408"/>
      <c r="EH6" s="408"/>
      <c r="EI6" s="408"/>
      <c r="EJ6" s="408"/>
      <c r="EK6" s="408"/>
      <c r="EL6" s="408"/>
      <c r="EM6" s="410"/>
      <c r="EN6" s="408"/>
      <c r="EO6" s="408"/>
      <c r="EP6" s="408"/>
      <c r="EQ6" s="408"/>
      <c r="ER6" s="408"/>
      <c r="ES6" s="408"/>
      <c r="ET6" s="408"/>
      <c r="EU6" s="408"/>
      <c r="EV6" s="408"/>
      <c r="EW6" s="408"/>
      <c r="EX6" s="408"/>
      <c r="EY6" s="410"/>
      <c r="EZ6" s="410"/>
      <c r="FA6" s="410"/>
      <c r="FB6" s="410"/>
      <c r="FC6" s="410"/>
      <c r="FD6" s="410"/>
      <c r="FE6" s="410"/>
      <c r="FF6" s="410"/>
      <c r="FG6" s="410"/>
      <c r="FH6" s="410"/>
      <c r="FI6" s="410"/>
      <c r="FJ6" s="410"/>
      <c r="FK6" s="410"/>
      <c r="FL6" s="408"/>
      <c r="FM6" s="408"/>
      <c r="FN6" s="408"/>
      <c r="FO6" s="408"/>
      <c r="FP6" s="408"/>
      <c r="FQ6" s="408"/>
      <c r="FR6" s="408"/>
      <c r="FS6" s="408"/>
      <c r="FT6" s="408"/>
      <c r="FU6" s="408"/>
      <c r="FV6" s="410"/>
      <c r="FW6" s="410"/>
      <c r="FX6" s="410"/>
      <c r="FY6" s="410"/>
      <c r="FZ6" s="410"/>
      <c r="GA6" s="410"/>
      <c r="GB6" s="410"/>
      <c r="GC6" s="410"/>
      <c r="GD6" s="410"/>
      <c r="GE6" s="410"/>
      <c r="GF6" s="410"/>
      <c r="GG6" s="410"/>
      <c r="GH6" s="410"/>
      <c r="GI6" s="177"/>
    </row>
    <row r="7" spans="1:191" s="152" customFormat="1" ht="18" customHeight="1">
      <c r="A7" s="85"/>
      <c r="B7" s="85"/>
      <c r="C7" s="72"/>
      <c r="D7" s="196"/>
      <c r="E7" s="196"/>
      <c r="F7" s="817" t="s">
        <v>797</v>
      </c>
      <c r="G7" s="818"/>
      <c r="H7" s="818"/>
      <c r="I7" s="818"/>
      <c r="J7" s="818"/>
      <c r="K7" s="818"/>
      <c r="L7" s="818"/>
      <c r="M7" s="818"/>
      <c r="N7" s="818"/>
      <c r="O7" s="818"/>
      <c r="P7" s="818"/>
      <c r="Q7" s="819"/>
      <c r="R7" s="822" t="s">
        <v>797</v>
      </c>
      <c r="S7" s="818"/>
      <c r="T7" s="818"/>
      <c r="U7" s="818"/>
      <c r="V7" s="818"/>
      <c r="W7" s="818"/>
      <c r="X7" s="818"/>
      <c r="Y7" s="818"/>
      <c r="Z7" s="818"/>
      <c r="AA7" s="818"/>
      <c r="AB7" s="818"/>
      <c r="AC7" s="819"/>
      <c r="AD7" s="822" t="s">
        <v>797</v>
      </c>
      <c r="AE7" s="818"/>
      <c r="AF7" s="818"/>
      <c r="AG7" s="818"/>
      <c r="AH7" s="818"/>
      <c r="AI7" s="818"/>
      <c r="AJ7" s="818"/>
      <c r="AK7" s="818"/>
      <c r="AL7" s="818"/>
      <c r="AM7" s="818"/>
      <c r="AN7" s="818"/>
      <c r="AO7" s="819"/>
      <c r="AP7" s="812" t="s">
        <v>797</v>
      </c>
      <c r="AQ7" s="813"/>
      <c r="AR7" s="813"/>
      <c r="AS7" s="813"/>
      <c r="AT7" s="813"/>
      <c r="AU7" s="813"/>
      <c r="AV7" s="813"/>
      <c r="AW7" s="813"/>
      <c r="AX7" s="813"/>
      <c r="AY7" s="813"/>
      <c r="AZ7" s="813"/>
      <c r="BA7" s="821"/>
      <c r="BB7" s="260"/>
      <c r="BC7" s="374"/>
      <c r="BD7" s="817" t="s">
        <v>12</v>
      </c>
      <c r="BE7" s="818"/>
      <c r="BF7" s="818"/>
      <c r="BG7" s="818"/>
      <c r="BH7" s="818"/>
      <c r="BI7" s="818"/>
      <c r="BJ7" s="818"/>
      <c r="BK7" s="818"/>
      <c r="BL7" s="818"/>
      <c r="BM7" s="818"/>
      <c r="BN7" s="818"/>
      <c r="BO7" s="819"/>
      <c r="BP7" s="822" t="s">
        <v>12</v>
      </c>
      <c r="BQ7" s="818"/>
      <c r="BR7" s="818"/>
      <c r="BS7" s="818"/>
      <c r="BT7" s="818"/>
      <c r="BU7" s="818"/>
      <c r="BV7" s="818"/>
      <c r="BW7" s="818"/>
      <c r="BX7" s="818"/>
      <c r="BY7" s="818"/>
      <c r="BZ7" s="818"/>
      <c r="CA7" s="819"/>
      <c r="CB7" s="822" t="s">
        <v>12</v>
      </c>
      <c r="CC7" s="818"/>
      <c r="CD7" s="818"/>
      <c r="CE7" s="818"/>
      <c r="CF7" s="818"/>
      <c r="CG7" s="818"/>
      <c r="CH7" s="818"/>
      <c r="CI7" s="818"/>
      <c r="CJ7" s="818"/>
      <c r="CK7" s="818"/>
      <c r="CL7" s="818"/>
      <c r="CM7" s="819"/>
      <c r="CN7" s="812" t="s">
        <v>12</v>
      </c>
      <c r="CO7" s="813"/>
      <c r="CP7" s="813"/>
      <c r="CQ7" s="813"/>
      <c r="CR7" s="813"/>
      <c r="CS7" s="813"/>
      <c r="CT7" s="813"/>
      <c r="CU7" s="813"/>
      <c r="CV7" s="813"/>
      <c r="CW7" s="813"/>
      <c r="CX7" s="813"/>
      <c r="CY7" s="813"/>
      <c r="CZ7" s="260"/>
      <c r="DA7" s="260"/>
      <c r="DB7" s="817" t="s">
        <v>14</v>
      </c>
      <c r="DC7" s="818"/>
      <c r="DD7" s="818"/>
      <c r="DE7" s="818"/>
      <c r="DF7" s="818"/>
      <c r="DG7" s="818"/>
      <c r="DH7" s="818"/>
      <c r="DI7" s="818"/>
      <c r="DJ7" s="818"/>
      <c r="DK7" s="818"/>
      <c r="DL7" s="818"/>
      <c r="DM7" s="819"/>
      <c r="DN7" s="822" t="s">
        <v>14</v>
      </c>
      <c r="DO7" s="818"/>
      <c r="DP7" s="818"/>
      <c r="DQ7" s="818"/>
      <c r="DR7" s="818"/>
      <c r="DS7" s="818"/>
      <c r="DT7" s="818"/>
      <c r="DU7" s="818"/>
      <c r="DV7" s="818"/>
      <c r="DW7" s="818"/>
      <c r="DX7" s="818"/>
      <c r="DY7" s="819"/>
      <c r="DZ7" s="822" t="s">
        <v>14</v>
      </c>
      <c r="EA7" s="818"/>
      <c r="EB7" s="818"/>
      <c r="EC7" s="818"/>
      <c r="ED7" s="818"/>
      <c r="EE7" s="818"/>
      <c r="EF7" s="818"/>
      <c r="EG7" s="818"/>
      <c r="EH7" s="818"/>
      <c r="EI7" s="818"/>
      <c r="EJ7" s="819"/>
      <c r="EK7" s="666"/>
      <c r="EL7" s="822" t="s">
        <v>14</v>
      </c>
      <c r="EM7" s="818"/>
      <c r="EN7" s="818"/>
      <c r="EO7" s="818"/>
      <c r="EP7" s="818"/>
      <c r="EQ7" s="818"/>
      <c r="ER7" s="818"/>
      <c r="ES7" s="818"/>
      <c r="ET7" s="818"/>
      <c r="EU7" s="818"/>
      <c r="EV7" s="818"/>
      <c r="EW7" s="819"/>
      <c r="EX7" s="812" t="s">
        <v>14</v>
      </c>
      <c r="EY7" s="813"/>
      <c r="EZ7" s="813"/>
      <c r="FA7" s="813"/>
      <c r="FB7" s="813"/>
      <c r="FC7" s="813"/>
      <c r="FD7" s="813"/>
      <c r="FE7" s="813"/>
      <c r="FF7" s="813"/>
      <c r="FG7" s="813"/>
      <c r="FH7" s="813"/>
      <c r="FI7" s="821"/>
      <c r="FJ7" s="372"/>
      <c r="FK7" s="374"/>
      <c r="FL7" s="822" t="s">
        <v>15</v>
      </c>
      <c r="FM7" s="818"/>
      <c r="FN7" s="818"/>
      <c r="FO7" s="818"/>
      <c r="FP7" s="818"/>
      <c r="FQ7" s="818"/>
      <c r="FR7" s="818"/>
      <c r="FS7" s="818"/>
      <c r="FT7" s="818"/>
      <c r="FU7" s="818"/>
      <c r="FV7" s="819"/>
      <c r="FW7" s="822" t="s">
        <v>15</v>
      </c>
      <c r="FX7" s="818"/>
      <c r="FY7" s="818"/>
      <c r="FZ7" s="818"/>
      <c r="GA7" s="818"/>
      <c r="GB7" s="818"/>
      <c r="GC7" s="818"/>
      <c r="GD7" s="818"/>
      <c r="GE7" s="818"/>
      <c r="GF7" s="818"/>
      <c r="GG7" s="819"/>
      <c r="GH7" s="260"/>
      <c r="GI7" s="260"/>
    </row>
    <row r="8" spans="1:191" ht="33" customHeight="1">
      <c r="C8" s="148" t="s">
        <v>268</v>
      </c>
      <c r="D8" s="197" t="s">
        <v>138</v>
      </c>
      <c r="E8" s="197" t="s">
        <v>798</v>
      </c>
      <c r="F8" s="814" t="s">
        <v>281</v>
      </c>
      <c r="G8" s="815"/>
      <c r="H8" s="815"/>
      <c r="I8" s="815"/>
      <c r="J8" s="815"/>
      <c r="K8" s="815"/>
      <c r="L8" s="815"/>
      <c r="M8" s="815"/>
      <c r="N8" s="815"/>
      <c r="O8" s="815"/>
      <c r="P8" s="815"/>
      <c r="Q8" s="816"/>
      <c r="R8" s="823" t="s">
        <v>282</v>
      </c>
      <c r="S8" s="815"/>
      <c r="T8" s="815"/>
      <c r="U8" s="815"/>
      <c r="V8" s="815"/>
      <c r="W8" s="815"/>
      <c r="X8" s="815"/>
      <c r="Y8" s="815"/>
      <c r="Z8" s="815"/>
      <c r="AA8" s="815"/>
      <c r="AB8" s="815"/>
      <c r="AC8" s="816"/>
      <c r="AD8" s="823" t="s">
        <v>283</v>
      </c>
      <c r="AE8" s="815"/>
      <c r="AF8" s="815"/>
      <c r="AG8" s="815"/>
      <c r="AH8" s="815"/>
      <c r="AI8" s="815"/>
      <c r="AJ8" s="815"/>
      <c r="AK8" s="815"/>
      <c r="AL8" s="815"/>
      <c r="AM8" s="815"/>
      <c r="AN8" s="815"/>
      <c r="AO8" s="816"/>
      <c r="AP8" s="810" t="s">
        <v>284</v>
      </c>
      <c r="AQ8" s="811"/>
      <c r="AR8" s="811"/>
      <c r="AS8" s="811"/>
      <c r="AT8" s="811"/>
      <c r="AU8" s="811"/>
      <c r="AV8" s="811"/>
      <c r="AW8" s="811"/>
      <c r="AX8" s="811"/>
      <c r="AY8" s="811"/>
      <c r="AZ8" s="811"/>
      <c r="BA8" s="820"/>
      <c r="BB8" s="371" t="s">
        <v>799</v>
      </c>
      <c r="BC8" s="371" t="s">
        <v>800</v>
      </c>
      <c r="BD8" s="814" t="s">
        <v>281</v>
      </c>
      <c r="BE8" s="815"/>
      <c r="BF8" s="815"/>
      <c r="BG8" s="815"/>
      <c r="BH8" s="815"/>
      <c r="BI8" s="815"/>
      <c r="BJ8" s="815"/>
      <c r="BK8" s="815"/>
      <c r="BL8" s="815"/>
      <c r="BM8" s="815"/>
      <c r="BN8" s="815"/>
      <c r="BO8" s="816"/>
      <c r="BP8" s="823" t="s">
        <v>282</v>
      </c>
      <c r="BQ8" s="815"/>
      <c r="BR8" s="815"/>
      <c r="BS8" s="815"/>
      <c r="BT8" s="815"/>
      <c r="BU8" s="815"/>
      <c r="BV8" s="815"/>
      <c r="BW8" s="815"/>
      <c r="BX8" s="815"/>
      <c r="BY8" s="815"/>
      <c r="BZ8" s="815"/>
      <c r="CA8" s="816"/>
      <c r="CB8" s="823" t="s">
        <v>283</v>
      </c>
      <c r="CC8" s="815"/>
      <c r="CD8" s="815"/>
      <c r="CE8" s="815"/>
      <c r="CF8" s="815"/>
      <c r="CG8" s="815"/>
      <c r="CH8" s="815"/>
      <c r="CI8" s="815"/>
      <c r="CJ8" s="815"/>
      <c r="CK8" s="815"/>
      <c r="CL8" s="815"/>
      <c r="CM8" s="816"/>
      <c r="CN8" s="810" t="s">
        <v>284</v>
      </c>
      <c r="CO8" s="811"/>
      <c r="CP8" s="811"/>
      <c r="CQ8" s="811"/>
      <c r="CR8" s="811"/>
      <c r="CS8" s="811"/>
      <c r="CT8" s="811"/>
      <c r="CU8" s="811"/>
      <c r="CV8" s="811"/>
      <c r="CW8" s="811"/>
      <c r="CX8" s="811"/>
      <c r="CY8" s="811"/>
      <c r="CZ8" s="260" t="s">
        <v>801</v>
      </c>
      <c r="DA8" s="260" t="s">
        <v>802</v>
      </c>
      <c r="DB8" s="814" t="s">
        <v>281</v>
      </c>
      <c r="DC8" s="815"/>
      <c r="DD8" s="815"/>
      <c r="DE8" s="815"/>
      <c r="DF8" s="815"/>
      <c r="DG8" s="815"/>
      <c r="DH8" s="815"/>
      <c r="DI8" s="815"/>
      <c r="DJ8" s="815"/>
      <c r="DK8" s="815"/>
      <c r="DL8" s="815"/>
      <c r="DM8" s="816"/>
      <c r="DN8" s="823" t="s">
        <v>282</v>
      </c>
      <c r="DO8" s="815"/>
      <c r="DP8" s="815"/>
      <c r="DQ8" s="815"/>
      <c r="DR8" s="815"/>
      <c r="DS8" s="815"/>
      <c r="DT8" s="815"/>
      <c r="DU8" s="815"/>
      <c r="DV8" s="815"/>
      <c r="DW8" s="815"/>
      <c r="DX8" s="815"/>
      <c r="DY8" s="816"/>
      <c r="DZ8" s="823" t="s">
        <v>283</v>
      </c>
      <c r="EA8" s="815"/>
      <c r="EB8" s="815"/>
      <c r="EC8" s="815"/>
      <c r="ED8" s="815"/>
      <c r="EE8" s="815"/>
      <c r="EF8" s="815"/>
      <c r="EG8" s="815"/>
      <c r="EH8" s="815"/>
      <c r="EI8" s="815"/>
      <c r="EJ8" s="816"/>
      <c r="EK8" s="665"/>
      <c r="EL8" s="824" t="s">
        <v>284</v>
      </c>
      <c r="EM8" s="825"/>
      <c r="EN8" s="825"/>
      <c r="EO8" s="825"/>
      <c r="EP8" s="825"/>
      <c r="EQ8" s="825"/>
      <c r="ER8" s="825"/>
      <c r="ES8" s="825"/>
      <c r="ET8" s="825"/>
      <c r="EU8" s="825"/>
      <c r="EV8" s="825"/>
      <c r="EW8" s="826"/>
      <c r="EX8" s="810" t="s">
        <v>200</v>
      </c>
      <c r="EY8" s="811"/>
      <c r="EZ8" s="811"/>
      <c r="FA8" s="811"/>
      <c r="FB8" s="811"/>
      <c r="FC8" s="811"/>
      <c r="FD8" s="811"/>
      <c r="FE8" s="811"/>
      <c r="FF8" s="811"/>
      <c r="FG8" s="811"/>
      <c r="FH8" s="811"/>
      <c r="FI8" s="820"/>
      <c r="FJ8" s="372" t="s">
        <v>803</v>
      </c>
      <c r="FK8" s="372" t="s">
        <v>804</v>
      </c>
      <c r="FL8" s="823" t="s">
        <v>283</v>
      </c>
      <c r="FM8" s="815"/>
      <c r="FN8" s="815"/>
      <c r="FO8" s="815"/>
      <c r="FP8" s="815"/>
      <c r="FQ8" s="815"/>
      <c r="FR8" s="815"/>
      <c r="FS8" s="815"/>
      <c r="FT8" s="815"/>
      <c r="FU8" s="815"/>
      <c r="FV8" s="816"/>
      <c r="FW8" s="810" t="s">
        <v>200</v>
      </c>
      <c r="FX8" s="811"/>
      <c r="FY8" s="811"/>
      <c r="FZ8" s="811"/>
      <c r="GA8" s="811"/>
      <c r="GB8" s="811"/>
      <c r="GC8" s="811"/>
      <c r="GD8" s="811"/>
      <c r="GE8" s="811"/>
      <c r="GF8" s="811"/>
      <c r="GG8" s="820"/>
      <c r="GH8" s="260" t="s">
        <v>805</v>
      </c>
      <c r="GI8" s="260" t="s">
        <v>806</v>
      </c>
    </row>
    <row r="9" spans="1:191" ht="33" customHeight="1">
      <c r="C9" s="195"/>
      <c r="D9" s="199" t="s">
        <v>807</v>
      </c>
      <c r="E9" s="199" t="s">
        <v>808</v>
      </c>
      <c r="F9" s="382" t="s">
        <v>809</v>
      </c>
      <c r="G9" s="383" t="s">
        <v>810</v>
      </c>
      <c r="H9" s="384" t="s">
        <v>811</v>
      </c>
      <c r="I9" s="384" t="s">
        <v>812</v>
      </c>
      <c r="J9" s="384" t="s">
        <v>813</v>
      </c>
      <c r="K9" s="384" t="s">
        <v>814</v>
      </c>
      <c r="L9" s="386" t="s">
        <v>815</v>
      </c>
      <c r="M9" s="386" t="s">
        <v>816</v>
      </c>
      <c r="N9" s="385" t="s">
        <v>817</v>
      </c>
      <c r="O9" s="667" t="s">
        <v>818</v>
      </c>
      <c r="P9" s="198" t="s">
        <v>807</v>
      </c>
      <c r="Q9" s="198" t="s">
        <v>819</v>
      </c>
      <c r="R9" s="382" t="s">
        <v>809</v>
      </c>
      <c r="S9" s="383" t="s">
        <v>810</v>
      </c>
      <c r="T9" s="384" t="s">
        <v>811</v>
      </c>
      <c r="U9" s="384" t="s">
        <v>812</v>
      </c>
      <c r="V9" s="384" t="s">
        <v>813</v>
      </c>
      <c r="W9" s="384" t="s">
        <v>814</v>
      </c>
      <c r="X9" s="386" t="s">
        <v>815</v>
      </c>
      <c r="Y9" s="386" t="s">
        <v>816</v>
      </c>
      <c r="Z9" s="385" t="s">
        <v>817</v>
      </c>
      <c r="AA9" s="667" t="s">
        <v>818</v>
      </c>
      <c r="AB9" s="198" t="s">
        <v>807</v>
      </c>
      <c r="AC9" s="198" t="s">
        <v>819</v>
      </c>
      <c r="AD9" s="382" t="s">
        <v>809</v>
      </c>
      <c r="AE9" s="383" t="s">
        <v>810</v>
      </c>
      <c r="AF9" s="384" t="s">
        <v>811</v>
      </c>
      <c r="AG9" s="384" t="s">
        <v>812</v>
      </c>
      <c r="AH9" s="384" t="s">
        <v>813</v>
      </c>
      <c r="AI9" s="384" t="s">
        <v>814</v>
      </c>
      <c r="AJ9" s="386" t="s">
        <v>815</v>
      </c>
      <c r="AK9" s="386" t="s">
        <v>816</v>
      </c>
      <c r="AL9" s="385" t="s">
        <v>817</v>
      </c>
      <c r="AM9" s="667" t="s">
        <v>818</v>
      </c>
      <c r="AN9" s="198" t="s">
        <v>807</v>
      </c>
      <c r="AO9" s="198" t="s">
        <v>819</v>
      </c>
      <c r="AP9" s="382" t="s">
        <v>809</v>
      </c>
      <c r="AQ9" s="383" t="s">
        <v>810</v>
      </c>
      <c r="AR9" s="384" t="s">
        <v>811</v>
      </c>
      <c r="AS9" s="384" t="s">
        <v>812</v>
      </c>
      <c r="AT9" s="384" t="s">
        <v>813</v>
      </c>
      <c r="AU9" s="384" t="s">
        <v>814</v>
      </c>
      <c r="AV9" s="386" t="s">
        <v>815</v>
      </c>
      <c r="AW9" s="386" t="s">
        <v>816</v>
      </c>
      <c r="AX9" s="385" t="s">
        <v>817</v>
      </c>
      <c r="AY9" s="667" t="s">
        <v>818</v>
      </c>
      <c r="AZ9" s="198" t="s">
        <v>807</v>
      </c>
      <c r="BA9" s="198" t="s">
        <v>819</v>
      </c>
      <c r="BB9" s="259"/>
      <c r="BC9" s="404"/>
      <c r="BD9" s="382" t="s">
        <v>809</v>
      </c>
      <c r="BE9" s="383" t="s">
        <v>810</v>
      </c>
      <c r="BF9" s="384" t="s">
        <v>811</v>
      </c>
      <c r="BG9" s="384" t="s">
        <v>812</v>
      </c>
      <c r="BH9" s="384" t="s">
        <v>813</v>
      </c>
      <c r="BI9" s="384" t="s">
        <v>814</v>
      </c>
      <c r="BJ9" s="386" t="s">
        <v>815</v>
      </c>
      <c r="BK9" s="386" t="s">
        <v>816</v>
      </c>
      <c r="BL9" s="385" t="s">
        <v>817</v>
      </c>
      <c r="BM9" s="667" t="s">
        <v>818</v>
      </c>
      <c r="BN9" s="198" t="s">
        <v>807</v>
      </c>
      <c r="BO9" s="198" t="s">
        <v>819</v>
      </c>
      <c r="BP9" s="382" t="s">
        <v>809</v>
      </c>
      <c r="BQ9" s="383" t="s">
        <v>810</v>
      </c>
      <c r="BR9" s="384" t="s">
        <v>811</v>
      </c>
      <c r="BS9" s="384" t="s">
        <v>812</v>
      </c>
      <c r="BT9" s="384" t="s">
        <v>813</v>
      </c>
      <c r="BU9" s="384" t="s">
        <v>814</v>
      </c>
      <c r="BV9" s="386" t="s">
        <v>815</v>
      </c>
      <c r="BW9" s="386" t="s">
        <v>816</v>
      </c>
      <c r="BX9" s="385" t="s">
        <v>817</v>
      </c>
      <c r="BY9" s="667" t="s">
        <v>818</v>
      </c>
      <c r="BZ9" s="198" t="s">
        <v>807</v>
      </c>
      <c r="CA9" s="198" t="s">
        <v>819</v>
      </c>
      <c r="CB9" s="382" t="s">
        <v>809</v>
      </c>
      <c r="CC9" s="383" t="s">
        <v>810</v>
      </c>
      <c r="CD9" s="384" t="s">
        <v>811</v>
      </c>
      <c r="CE9" s="384" t="s">
        <v>812</v>
      </c>
      <c r="CF9" s="384" t="s">
        <v>813</v>
      </c>
      <c r="CG9" s="384" t="s">
        <v>814</v>
      </c>
      <c r="CH9" s="386" t="s">
        <v>815</v>
      </c>
      <c r="CI9" s="386" t="s">
        <v>816</v>
      </c>
      <c r="CJ9" s="385" t="s">
        <v>817</v>
      </c>
      <c r="CK9" s="667" t="s">
        <v>818</v>
      </c>
      <c r="CL9" s="198" t="s">
        <v>807</v>
      </c>
      <c r="CM9" s="198" t="s">
        <v>819</v>
      </c>
      <c r="CN9" s="382" t="s">
        <v>809</v>
      </c>
      <c r="CO9" s="383" t="s">
        <v>810</v>
      </c>
      <c r="CP9" s="384" t="s">
        <v>811</v>
      </c>
      <c r="CQ9" s="384" t="s">
        <v>812</v>
      </c>
      <c r="CR9" s="384" t="s">
        <v>813</v>
      </c>
      <c r="CS9" s="384" t="s">
        <v>814</v>
      </c>
      <c r="CT9" s="386" t="s">
        <v>815</v>
      </c>
      <c r="CU9" s="386" t="s">
        <v>816</v>
      </c>
      <c r="CV9" s="385" t="s">
        <v>817</v>
      </c>
      <c r="CW9" s="667" t="s">
        <v>818</v>
      </c>
      <c r="CX9" s="198" t="s">
        <v>807</v>
      </c>
      <c r="CY9" s="405" t="s">
        <v>819</v>
      </c>
      <c r="CZ9" s="259"/>
      <c r="DA9" s="259"/>
      <c r="DB9" s="382" t="s">
        <v>809</v>
      </c>
      <c r="DC9" s="383" t="s">
        <v>810</v>
      </c>
      <c r="DD9" s="384" t="s">
        <v>811</v>
      </c>
      <c r="DE9" s="384" t="s">
        <v>812</v>
      </c>
      <c r="DF9" s="384" t="s">
        <v>813</v>
      </c>
      <c r="DG9" s="384" t="s">
        <v>814</v>
      </c>
      <c r="DH9" s="386" t="s">
        <v>815</v>
      </c>
      <c r="DI9" s="386" t="s">
        <v>816</v>
      </c>
      <c r="DJ9" s="385" t="s">
        <v>817</v>
      </c>
      <c r="DK9" s="667" t="s">
        <v>818</v>
      </c>
      <c r="DL9" s="198" t="s">
        <v>807</v>
      </c>
      <c r="DM9" s="198" t="s">
        <v>819</v>
      </c>
      <c r="DN9" s="382" t="s">
        <v>809</v>
      </c>
      <c r="DO9" s="383" t="s">
        <v>810</v>
      </c>
      <c r="DP9" s="384" t="s">
        <v>811</v>
      </c>
      <c r="DQ9" s="384" t="s">
        <v>812</v>
      </c>
      <c r="DR9" s="384" t="s">
        <v>813</v>
      </c>
      <c r="DS9" s="384" t="s">
        <v>814</v>
      </c>
      <c r="DT9" s="386" t="s">
        <v>815</v>
      </c>
      <c r="DU9" s="386" t="s">
        <v>816</v>
      </c>
      <c r="DV9" s="385" t="s">
        <v>817</v>
      </c>
      <c r="DW9" s="667" t="s">
        <v>818</v>
      </c>
      <c r="DX9" s="198" t="s">
        <v>807</v>
      </c>
      <c r="DY9" s="198" t="s">
        <v>819</v>
      </c>
      <c r="DZ9" s="382" t="s">
        <v>809</v>
      </c>
      <c r="EA9" s="383" t="s">
        <v>810</v>
      </c>
      <c r="EB9" s="384" t="s">
        <v>811</v>
      </c>
      <c r="EC9" s="384" t="s">
        <v>812</v>
      </c>
      <c r="ED9" s="384" t="s">
        <v>813</v>
      </c>
      <c r="EE9" s="384" t="s">
        <v>814</v>
      </c>
      <c r="EF9" s="386" t="s">
        <v>815</v>
      </c>
      <c r="EG9" s="386" t="s">
        <v>816</v>
      </c>
      <c r="EH9" s="385" t="s">
        <v>817</v>
      </c>
      <c r="EI9" s="667" t="s">
        <v>818</v>
      </c>
      <c r="EJ9" s="198" t="s">
        <v>807</v>
      </c>
      <c r="EK9" s="198" t="s">
        <v>819</v>
      </c>
      <c r="EL9" s="382" t="s">
        <v>809</v>
      </c>
      <c r="EM9" s="383" t="s">
        <v>810</v>
      </c>
      <c r="EN9" s="384" t="s">
        <v>811</v>
      </c>
      <c r="EO9" s="384" t="s">
        <v>812</v>
      </c>
      <c r="EP9" s="384" t="s">
        <v>813</v>
      </c>
      <c r="EQ9" s="384" t="s">
        <v>814</v>
      </c>
      <c r="ER9" s="386" t="s">
        <v>815</v>
      </c>
      <c r="ES9" s="386" t="s">
        <v>816</v>
      </c>
      <c r="ET9" s="385" t="s">
        <v>817</v>
      </c>
      <c r="EU9" s="667" t="s">
        <v>818</v>
      </c>
      <c r="EV9" s="198" t="s">
        <v>807</v>
      </c>
      <c r="EW9" s="198" t="s">
        <v>819</v>
      </c>
      <c r="EX9" s="382" t="s">
        <v>809</v>
      </c>
      <c r="EY9" s="383" t="s">
        <v>810</v>
      </c>
      <c r="EZ9" s="384" t="s">
        <v>811</v>
      </c>
      <c r="FA9" s="384" t="s">
        <v>812</v>
      </c>
      <c r="FB9" s="384" t="s">
        <v>813</v>
      </c>
      <c r="FC9" s="384" t="s">
        <v>814</v>
      </c>
      <c r="FD9" s="386" t="s">
        <v>815</v>
      </c>
      <c r="FE9" s="386" t="s">
        <v>816</v>
      </c>
      <c r="FF9" s="385" t="s">
        <v>817</v>
      </c>
      <c r="FG9" s="667" t="s">
        <v>818</v>
      </c>
      <c r="FH9" s="198" t="s">
        <v>807</v>
      </c>
      <c r="FI9" s="198" t="s">
        <v>819</v>
      </c>
      <c r="FJ9" s="259"/>
      <c r="FK9" s="404"/>
      <c r="FL9" s="382" t="s">
        <v>809</v>
      </c>
      <c r="FM9" s="383" t="s">
        <v>810</v>
      </c>
      <c r="FN9" s="384" t="s">
        <v>811</v>
      </c>
      <c r="FO9" s="384" t="s">
        <v>812</v>
      </c>
      <c r="FP9" s="384" t="s">
        <v>813</v>
      </c>
      <c r="FQ9" s="384" t="s">
        <v>814</v>
      </c>
      <c r="FR9" s="385" t="s">
        <v>817</v>
      </c>
      <c r="FS9" s="387" t="s">
        <v>815</v>
      </c>
      <c r="FT9" s="664" t="s">
        <v>818</v>
      </c>
      <c r="FU9" s="373" t="s">
        <v>807</v>
      </c>
      <c r="FV9" s="198" t="s">
        <v>819</v>
      </c>
      <c r="FW9" s="382" t="s">
        <v>809</v>
      </c>
      <c r="FX9" s="383" t="s">
        <v>810</v>
      </c>
      <c r="FY9" s="384" t="s">
        <v>811</v>
      </c>
      <c r="FZ9" s="384" t="s">
        <v>812</v>
      </c>
      <c r="GA9" s="384" t="s">
        <v>813</v>
      </c>
      <c r="GB9" s="384" t="s">
        <v>814</v>
      </c>
      <c r="GC9" s="385" t="s">
        <v>817</v>
      </c>
      <c r="GD9" s="387" t="s">
        <v>815</v>
      </c>
      <c r="GE9" s="664" t="s">
        <v>818</v>
      </c>
      <c r="GF9" s="373" t="s">
        <v>807</v>
      </c>
      <c r="GG9" s="198" t="s">
        <v>819</v>
      </c>
      <c r="GH9" s="259"/>
      <c r="GI9" s="259"/>
    </row>
    <row r="10" spans="1:191" ht="15">
      <c r="A10" s="378" t="s">
        <v>820</v>
      </c>
      <c r="C10" s="87">
        <f>'Oil supply projection'!B10</f>
        <v>2019</v>
      </c>
      <c r="D10" s="200">
        <v>0</v>
      </c>
      <c r="E10" s="200">
        <v>0</v>
      </c>
      <c r="F10" s="131"/>
      <c r="G10" s="149"/>
      <c r="H10" s="149"/>
      <c r="I10" s="30"/>
      <c r="J10" s="30"/>
      <c r="K10" s="30"/>
      <c r="L10" s="30"/>
      <c r="M10" s="30"/>
      <c r="N10" s="30"/>
      <c r="O10" s="30"/>
      <c r="P10" s="65"/>
      <c r="Q10" s="179"/>
      <c r="R10" s="131"/>
      <c r="S10" s="149"/>
      <c r="T10" s="149"/>
      <c r="U10" s="30"/>
      <c r="V10" s="30"/>
      <c r="W10" s="30"/>
      <c r="X10" s="30"/>
      <c r="Y10" s="30"/>
      <c r="Z10" s="30"/>
      <c r="AA10" s="30"/>
      <c r="AB10" s="65"/>
      <c r="AC10" s="179"/>
      <c r="AD10" s="131"/>
      <c r="AE10" s="149"/>
      <c r="AF10" s="149"/>
      <c r="AG10" s="30"/>
      <c r="AH10" s="30"/>
      <c r="AI10" s="30"/>
      <c r="AJ10" s="30"/>
      <c r="AK10" s="30"/>
      <c r="AL10" s="30"/>
      <c r="AM10" s="30"/>
      <c r="AN10" s="65"/>
      <c r="AO10" s="179"/>
      <c r="AP10" s="131"/>
      <c r="AQ10" s="149"/>
      <c r="AR10" s="149"/>
      <c r="AS10" s="30"/>
      <c r="AT10" s="30"/>
      <c r="AU10" s="30"/>
      <c r="AV10" s="30"/>
      <c r="AW10" s="30"/>
      <c r="AX10" s="30"/>
      <c r="AY10" s="30"/>
      <c r="AZ10" s="65"/>
      <c r="BA10" s="65"/>
      <c r="BB10" s="173">
        <f t="shared" ref="BB10:BB41" si="0">AZ10+AN10+AB10+P10</f>
        <v>0</v>
      </c>
      <c r="BC10" s="173">
        <f t="shared" ref="BC10:BC41" si="1">BA10+AO10+AC10+Q10</f>
        <v>0</v>
      </c>
      <c r="BD10" s="131"/>
      <c r="BE10" s="149"/>
      <c r="BF10" s="149"/>
      <c r="BG10" s="30"/>
      <c r="BH10" s="30"/>
      <c r="BI10" s="30"/>
      <c r="BJ10" s="30"/>
      <c r="BK10" s="30"/>
      <c r="BL10" s="30"/>
      <c r="BM10" s="30"/>
      <c r="BN10" s="65"/>
      <c r="BO10" s="179"/>
      <c r="BP10" s="131"/>
      <c r="BQ10" s="149"/>
      <c r="BR10" s="149"/>
      <c r="BS10" s="30"/>
      <c r="BT10" s="30"/>
      <c r="BU10" s="30"/>
      <c r="BV10" s="30"/>
      <c r="BW10" s="30"/>
      <c r="BX10" s="30"/>
      <c r="BY10" s="30"/>
      <c r="BZ10" s="65"/>
      <c r="CA10" s="179"/>
      <c r="CB10" s="131"/>
      <c r="CC10" s="149"/>
      <c r="CD10" s="149"/>
      <c r="CE10" s="30"/>
      <c r="CF10" s="30"/>
      <c r="CG10" s="30"/>
      <c r="CH10" s="30"/>
      <c r="CI10" s="30"/>
      <c r="CJ10" s="30"/>
      <c r="CK10" s="30"/>
      <c r="CL10" s="65"/>
      <c r="CM10" s="179"/>
      <c r="CN10" s="131"/>
      <c r="CO10" s="149"/>
      <c r="CP10" s="149"/>
      <c r="CQ10" s="30"/>
      <c r="CR10" s="30"/>
      <c r="CS10" s="30"/>
      <c r="CT10" s="30"/>
      <c r="CU10" s="30"/>
      <c r="CV10" s="30"/>
      <c r="CW10" s="30"/>
      <c r="CX10" s="65"/>
      <c r="CY10" s="65"/>
      <c r="CZ10" s="173">
        <f>CX10+CL10+BZ10+BN10</f>
        <v>0</v>
      </c>
      <c r="DA10" s="173">
        <f>CY10+CM10+CA10+BO10</f>
        <v>0</v>
      </c>
      <c r="DB10" s="131"/>
      <c r="DC10" s="149"/>
      <c r="DD10" s="149"/>
      <c r="DE10" s="30"/>
      <c r="DF10" s="30"/>
      <c r="DG10" s="30"/>
      <c r="DH10" s="30"/>
      <c r="DI10" s="30"/>
      <c r="DJ10" s="30"/>
      <c r="DK10" s="30"/>
      <c r="DL10" s="65"/>
      <c r="DM10" s="179"/>
      <c r="DN10" s="131"/>
      <c r="DO10" s="149"/>
      <c r="DP10" s="149"/>
      <c r="DQ10" s="30"/>
      <c r="DR10" s="30"/>
      <c r="DS10" s="30"/>
      <c r="DT10" s="30"/>
      <c r="DU10" s="30"/>
      <c r="DV10" s="30"/>
      <c r="DW10" s="30"/>
      <c r="DX10" s="65"/>
      <c r="DY10" s="179"/>
      <c r="DZ10" s="131"/>
      <c r="EA10" s="149"/>
      <c r="EB10" s="149"/>
      <c r="EC10" s="30"/>
      <c r="ED10" s="30"/>
      <c r="EE10" s="30"/>
      <c r="EF10" s="30"/>
      <c r="EG10" s="30"/>
      <c r="EH10" s="30"/>
      <c r="EI10" s="30"/>
      <c r="EJ10" s="65"/>
      <c r="EK10" s="179"/>
      <c r="EL10" s="131"/>
      <c r="EM10" s="149"/>
      <c r="EN10" s="149"/>
      <c r="EO10" s="30"/>
      <c r="EP10" s="30"/>
      <c r="EQ10" s="30"/>
      <c r="ER10" s="30"/>
      <c r="ES10" s="30"/>
      <c r="ET10" s="30"/>
      <c r="EU10" s="30"/>
      <c r="EV10" s="65"/>
      <c r="EW10" s="179"/>
      <c r="EX10" s="131"/>
      <c r="EY10" s="149"/>
      <c r="EZ10" s="149"/>
      <c r="FA10" s="30"/>
      <c r="FB10" s="30"/>
      <c r="FC10" s="30"/>
      <c r="FD10" s="30"/>
      <c r="FE10" s="30"/>
      <c r="FF10" s="30"/>
      <c r="FG10" s="30"/>
      <c r="FH10" s="65"/>
      <c r="FI10" s="65"/>
      <c r="FJ10" s="173">
        <f>FH10+EV10+EJ10+DX10+DL10</f>
        <v>0</v>
      </c>
      <c r="FK10" s="173">
        <f>FI10+EW10+EK10+DY10+DM10</f>
        <v>0</v>
      </c>
      <c r="FL10" s="131"/>
      <c r="FM10" s="149"/>
      <c r="FN10" s="149"/>
      <c r="FO10" s="30"/>
      <c r="FP10" s="30"/>
      <c r="FQ10" s="30"/>
      <c r="FR10" s="30"/>
      <c r="FS10" s="30"/>
      <c r="FT10" s="30"/>
      <c r="FU10" s="65"/>
      <c r="FV10" s="65"/>
      <c r="FW10" s="131"/>
      <c r="FX10" s="149"/>
      <c r="FY10" s="149"/>
      <c r="FZ10" s="30"/>
      <c r="GA10" s="30"/>
      <c r="GB10" s="30"/>
      <c r="GC10" s="30"/>
      <c r="GD10" s="30"/>
      <c r="GE10" s="30"/>
      <c r="GF10" s="65"/>
      <c r="GG10" s="65"/>
      <c r="GH10" s="173">
        <f t="shared" ref="GH10:GI41" si="2">GF10+FU10</f>
        <v>0</v>
      </c>
      <c r="GI10" s="173">
        <f t="shared" si="2"/>
        <v>0</v>
      </c>
    </row>
    <row r="11" spans="1:191" ht="15">
      <c r="A11" s="377"/>
      <c r="B11" s="169"/>
      <c r="C11" s="87">
        <f>'Oil supply projection'!B11</f>
        <v>2020</v>
      </c>
      <c r="D11" s="460">
        <f t="array" ref="D11:D84">dcs_coa+dcs_ele+dcs_gas+dcs_oil</f>
        <v>0</v>
      </c>
      <c r="E11" s="460">
        <f t="array" ref="E11:E84">nps_oil+nps_gas+nps_ele+nps_coa</f>
        <v>0</v>
      </c>
      <c r="F11" s="462">
        <f t="array" aca="1" ref="F11:F84" ca="1">OFFSET(sim_dem_oil_res,-1,0)*(1-g_dem_oil_res)</f>
        <v>0.56882171874970078</v>
      </c>
      <c r="G11" s="464">
        <f t="array" aca="1" ref="G11:G84" ca="1">a_oil_res*(sim_price_gas^e_oil_res_gas)*(sim_price_ele^e_oil_res_ele)</f>
        <v>-1.6163211972819738</v>
      </c>
      <c r="H11" s="464">
        <f t="array" aca="1" ref="H11:H84" ca="1">G11:G84*OFFSET(aeo_price_oil,1,0)^e_dem_oil_res+F11:F84</f>
        <v>0.53212463073228566</v>
      </c>
      <c r="I11" s="466">
        <f t="array" aca="1" ref="I11:I84" ca="1">(G11:G84*((sim_dem_oil_res-F11:F84)/G11:G84)^(1 + e_dem_oil_res^(-1)))/(1 + e_dem_oil_res^(-1))-(G11:G84*((H11:H84-F11:F84)/G11:G84)^(1 + e_dem_oil_res^(-1)))/(1 + e_dem_oil_res^(-1))</f>
        <v>0</v>
      </c>
      <c r="J11" s="466">
        <f t="array" aca="1" ref="J11:J84" ca="1">(sim_dem_oil_res-H11:H84)*sim_price_oil</f>
        <v>0</v>
      </c>
      <c r="K11" s="157">
        <f t="array" aca="1" ref="K11:K84" ca="1">(OFFSET(aeo_price_oil,1,0)-sim_price_oil)*H11:H84</f>
        <v>0</v>
      </c>
      <c r="L11" s="157">
        <f t="array" aca="1" ref="L11:L84" ca="1">(OFFSET(aeo_price_oil,1,0)-sim_price_oil)*OFFSET(aeo_dem_oil_res,1,0)</f>
        <v>0</v>
      </c>
      <c r="M11" s="157">
        <f t="array" ref="M11:M84" ca="1">(OFFSET(aeo_price_oil,1,0)-sim_price_oil)*(sim_dem_oil_res-OFFSET(aeo_dem_oil_res,1,0))*0.5</f>
        <v>0</v>
      </c>
      <c r="N11" s="157">
        <f t="array" aca="1" ref="N11:N84" ca="1">(OFFSET(aeo_price_oil,1,0)-sim_price_oil)*sim_dem_oil_res</f>
        <v>0</v>
      </c>
      <c r="O11" s="468" t="str">
        <f t="array" aca="1" ref="O11:O84" ca="1">IF(sim_dem_oil_res&gt;=OFFSET(aeo_dem_oil_res,1,0),"Prim.",IF((OFFSET(aeo_price_oil,1,0)&gt;=sim_price_oil)+(sim_dem_oil_res&lt;=OFFSET(aeo_dem_oil_res,1,0))=2,"Sec1.","Sec2."))</f>
        <v>Prim.</v>
      </c>
      <c r="P11" s="470">
        <f t="array" aca="1" ref="P11:P84" ca="1">IF(O11:O84="Prim.",M11:M84+L11:L84,IF(O11:O84="Sec1.",I11:I84-J11:J84+K11:K84,N11:N84))*365*10^6</f>
        <v>0</v>
      </c>
      <c r="Q11" s="472">
        <f t="array" ref="Q11:Q84" ca="1">IF(O11:O84="Prim.",
M11:M84+
(((aeo_dem_oil_tot-aeo_dem_oil_row)-(aeo_sup_oil_tot-aeo_sup_oil_row)+aeo_dem_oil_row_crude)/(aeo_dem_oil_tot-aeo_dem_oil_row))
*L11:L84,
IF(O11:O84="Sec1.",
(((aeo_dem_oil_tot-aeo_dem_oil_row)-(aeo_sup_oil_tot-aeo_sup_oil_row)+aeo_dem_oil_row_crude)/(aeo_dem_oil_tot-aeo_dem_oil_row))
*(I11:I84-J11:J84+K11:K84),
(((aeo_dem_oil_tot-aeo_dem_oil_row)-(aeo_sup_oil_tot-aeo_sup_oil_row)+aeo_dem_oil_row_crude)/(aeo_dem_oil_tot-aeo_dem_oil_row))
*N11:N84))*365*10^6</f>
        <v>0</v>
      </c>
      <c r="R11" s="462">
        <f t="array" aca="1" ref="R11:R84" ca="1">OFFSET(sim_dem_oil_com,-1,0)*(1-g_dem_oil_com)</f>
        <v>0.49090225148966732</v>
      </c>
      <c r="S11" s="464">
        <f t="array" aca="1" ref="S11:S84" ca="1">a_oil_com*(sim_price_gas^e_oil_com_gas)*(sim_price_ele^e_oil_com_ele)</f>
        <v>0.1966736934200459</v>
      </c>
      <c r="T11" s="464">
        <f t="array" aca="1" ref="T11:T84" ca="1">S11:S84*OFFSET(aeo_price_oil,1,0)^e_dem_oil_com+R11:R84</f>
        <v>0.49656736926771422</v>
      </c>
      <c r="U11" s="466">
        <f t="array" aca="1" ref="U11:U84" ca="1">(S11:S84*((sim_dem_oil_com-R11:R84)/S11:S84)^(1 + e_dem_oil_com^(-1)))/(1 + e_dem_oil_com^(-1))-(S11:S84*((T11:T84-R11:R84)/S11:S84)^(1 + e_dem_oil_com^(-1)))/(1 + e_dem_oil_com^(-1))</f>
        <v>0</v>
      </c>
      <c r="V11" s="466">
        <f t="array" aca="1" ref="V11:V84" ca="1">(sim_dem_oil_com-T11:T84)*sim_price_oil</f>
        <v>0</v>
      </c>
      <c r="W11" s="157">
        <f t="array" aca="1" ref="W11:W84" ca="1">(OFFSET(aeo_price_oil,1,0)-sim_price_oil)*T11:T84</f>
        <v>0</v>
      </c>
      <c r="X11" s="157">
        <f t="array" aca="1" ref="X11:X84" ca="1">(OFFSET(aeo_price_oil,1,0)-sim_price_oil)*OFFSET(aeo_dem_oil_com,1,0)</f>
        <v>0</v>
      </c>
      <c r="Y11" s="157">
        <f t="array" aca="1" ref="Y11:Y84" ca="1">(OFFSET(aeo_price_oil,1,0)-sim_price_oil)*(sim_dem_oil_com-OFFSET(aeo_dem_oil_com,1,0))*0.5</f>
        <v>0</v>
      </c>
      <c r="Z11" s="157">
        <f t="array" aca="1" ref="Z11:Z84" ca="1">(OFFSET(aeo_price_oil,1,0)-sim_price_oil)*sim_dem_oil_com</f>
        <v>0</v>
      </c>
      <c r="AA11" s="468" t="str">
        <f t="array" aca="1" ref="AA11:AA84" ca="1">IF(sim_dem_oil_com&gt;=OFFSET(aeo_dem_oil_com,1,0),"Prim.",IF((OFFSET(aeo_price_oil,1,0)&gt;=sim_price_oil)+(sim_dem_oil_com&lt;=OFFSET(aeo_dem_oil_com,1,0))=2,"Sec1.","Sec2."))</f>
        <v>Prim.</v>
      </c>
      <c r="AB11" s="470">
        <f t="array" aca="1" ref="AB11:AB84" ca="1">IF(AA11:AA84="Prim.",Y11:Y84+X11:X84,IF(AA11:AA84="Sec1.",U11:U84-V11:V84+W11:W84,Z11:Z84))*365*10^6</f>
        <v>0</v>
      </c>
      <c r="AC11" s="472">
        <f t="array" ref="AC11:AC84" ca="1">IF(AA11:AA84="Prim.",Y11:Y84+
(((aeo_dem_oil_tot-aeo_dem_oil_row)-(aeo_sup_oil_tot-aeo_sup_oil_row)+aeo_dem_oil_row_crude)/(aeo_dem_oil_tot-aeo_dem_oil_row))
*X11:X84,
IF(AA11:AA84="Sec1.",
(((aeo_dem_oil_tot-aeo_dem_oil_row)-(aeo_sup_oil_tot-aeo_sup_oil_row)+aeo_dem_oil_row_crude)/(aeo_dem_oil_tot-aeo_dem_oil_row))
*(U11:U84-V11:V84+W11:W84),
(((aeo_dem_oil_tot-aeo_dem_oil_row)-(aeo_sup_oil_tot-aeo_sup_oil_row)+aeo_dem_oil_row_crude)/(aeo_dem_oil_tot-aeo_dem_oil_row))
*Z11:Z84))*365*10^6</f>
        <v>0</v>
      </c>
      <c r="AD11" s="462">
        <f t="array" aca="1" ref="AD11:AD84" ca="1">OFFSET(sim_dem_oil_ind,-1,0)*(1-g_dem_oil_ind)</f>
        <v>4.9453564800000001</v>
      </c>
      <c r="AE11" s="464">
        <f t="array" aca="1" ref="AE11:AE84" ca="1">a_oil_ind*(sim_price_gas^e_oil_ind_gas)*(sim_price_ele^e_oil_ind_ele)*(sim_price_coa^e_oil_ind_coa)</f>
        <v>0.37747479074271456</v>
      </c>
      <c r="AF11" s="464">
        <f t="array" aca="1" ref="AF11:AF84" ca="1">AE11:AE84*OFFSET(aeo_price_oil,1,0)^e_dem_oil_ind+AD11:AD84</f>
        <v>5.0845969999999996</v>
      </c>
      <c r="AG11" s="466">
        <f t="array" aca="1" ref="AG11:AG84" ca="1">(AE11:AE84*((sim_dem_oil_ind-AD11:AD84)/AE11:AE84)^(1 + e_dem_oil_ind^(-1)))/(1 + e_dem_oil_ind^(-1))-(AE11:AE84*((AF11:AF84-AD11:AD84)/AE11:AE84)^(1 + e_dem_oil_ind^(-1)))/(1 + e_dem_oil_ind^(-1))</f>
        <v>0</v>
      </c>
      <c r="AH11" s="466">
        <f t="array" aca="1" ref="AH11:AH84" ca="1">(sim_dem_oil_ind-AF11:AF84)*sim_price_oil</f>
        <v>0</v>
      </c>
      <c r="AI11" s="157">
        <f t="array" aca="1" ref="AI11:AI84" ca="1">(OFFSET(aeo_price_oil,1,0)-sim_price_oil)*AF11:AF84</f>
        <v>0</v>
      </c>
      <c r="AJ11" s="157">
        <f t="array" aca="1" ref="AJ11:AJ84" ca="1">(OFFSET(aeo_price_oil,1,0)-sim_price_oil)*OFFSET(aeo_dem_oil_ind,1,0)</f>
        <v>0</v>
      </c>
      <c r="AK11" s="157">
        <f t="array" ref="AK11:AK84" ca="1">(OFFSET(aeo_price_oil,1,0)-sim_price_oil)*(sim_dem_oil_ind-OFFSET(aeo_dem_oil_ind,1,0))*0.5</f>
        <v>0</v>
      </c>
      <c r="AL11" s="157">
        <f t="array" aca="1" ref="AL11:AL84" ca="1">(OFFSET(aeo_price_oil,1,0)-sim_price_oil)*sim_dem_oil_ind</f>
        <v>0</v>
      </c>
      <c r="AM11" s="468" t="str">
        <f t="array" aca="1" ref="AM11:AM84" ca="1">IF(sim_dem_oil_ind&gt;=OFFSET(aeo_dem_oil_ind,1,0),"Prim.",IF((OFFSET(aeo_price_oil,1,0)&gt;=sim_price_oil)+(sim_dem_oil_ind&lt;=OFFSET(aeo_dem_oil_ind,1,0))=2,"Sec1.","Sec2."))</f>
        <v>Prim.</v>
      </c>
      <c r="AN11" s="470">
        <f t="array" aca="1" ref="AN11:AN84" ca="1">IF(AM11:AM84="Prim.",AK11:AK84+AJ11:AJ84,IF(AM11:AM84="Sec1.",AG11:AG84-AH11:AH84+AI11:AI84,AL11:AL84))*365*10^6</f>
        <v>0</v>
      </c>
      <c r="AO11" s="472">
        <f t="array" ref="AO11:AO84" ca="1">IF(AM11:AM84="Prim.",AK11:AK84+
(((aeo_dem_oil_tot-aeo_dem_oil_row)-(aeo_sup_oil_tot-aeo_sup_oil_row)+aeo_dem_oil_row_crude)/(aeo_dem_oil_tot-aeo_dem_oil_row))
*AJ11:AJ84,
IF(AM11:AM84="Sec1.",
(((aeo_dem_oil_tot-aeo_dem_oil_row)-(aeo_sup_oil_tot-aeo_sup_oil_row)+aeo_dem_oil_row_crude)/(aeo_dem_oil_tot-aeo_dem_oil_row))
*(AG11:AG84-AH11:AH84+AI11:AI84),
(((aeo_dem_oil_tot-aeo_dem_oil_row)-(aeo_sup_oil_tot-aeo_sup_oil_row)+aeo_dem_oil_row_crude)/(aeo_dem_oil_tot-aeo_dem_oil_row))*AL11:AL84))*365*10^6</f>
        <v>0</v>
      </c>
      <c r="AP11" s="462">
        <f t="array" aca="1" ref="AP11:AP84" ca="1">OFFSET(sim_dem_oil_tra,-1,0)*(1-g_dem_oil_tra)</f>
        <v>12.839155420000001</v>
      </c>
      <c r="AQ11" s="464">
        <f t="array" aca="1" ref="AQ11:AQ84" ca="1">a_oil_tra*(sim_price_gas^e_oil_tra_gas)*(sim_price_ele^e_oil_tra_ele)</f>
        <v>-2.5663886392729856</v>
      </c>
      <c r="AR11" s="464">
        <f t="array" aca="1" ref="AR11:AR84" ca="1">AQ11:AQ84*OFFSET(aeo_price_oil,1,0)^e_dem_oil_tra+AP11:AP84</f>
        <v>12.012855</v>
      </c>
      <c r="AS11" s="466">
        <f t="array" aca="1" ref="AS11:AS84" ca="1">(AQ11:AQ84*((sim_dem_oil_tra-AP11:AP84)/AQ11:AQ84)^(1 + e_dem_oil_tra^(-1)))/(1 + e_dem_oil_tra^(-1))-(AQ11:AQ84*((AR11:AR84-AP11:AP84)/AQ11:AQ84)^(1 + e_dem_oil_tra^(-1)))/(1 + e_dem_oil_tra^(-1))</f>
        <v>0</v>
      </c>
      <c r="AT11" s="466">
        <f t="array" aca="1" ref="AT11:AT84" ca="1">(sim_dem_oil_tra-AR11:AR84)*sim_price_oil</f>
        <v>0</v>
      </c>
      <c r="AU11" s="157">
        <f t="array" aca="1" ref="AU11:AU84" ca="1">(OFFSET(aeo_price_oil,1,0)-sim_price_oil)*AR11:AR84</f>
        <v>0</v>
      </c>
      <c r="AV11" s="157">
        <f t="array" aca="1" ref="AV11:AV84" ca="1">(OFFSET(aeo_price_oil,1,0)-sim_price_oil)*OFFSET(aeo_dem_oil_tra,1,0)</f>
        <v>0</v>
      </c>
      <c r="AW11" s="157">
        <f t="array" aca="1" ref="AW11:AW84" ca="1">(OFFSET(aeo_price_oil,1,0)-sim_price_oil)*(sim_dem_oil_tra-OFFSET(aeo_dem_oil_tra,1,0))*0.5</f>
        <v>0</v>
      </c>
      <c r="AX11" s="157">
        <f t="array" aca="1" ref="AX11:AX84" ca="1">(OFFSET(aeo_price_oil,1,0)-sim_price_oil)*sim_dem_oil_tra</f>
        <v>0</v>
      </c>
      <c r="AY11" s="468" t="str">
        <f t="array" ref="AY11:AY84" ca="1">IF(sim_dem_oil_tra&gt;=OFFSET(aeo_dem_oil_tra,1,0),"Prim.",IF((OFFSET(aeo_price_oil,1,0)&gt;=sim_price_oil)+(sim_dem_oil_tra&lt;=OFFSET(aeo_dem_oil_tra,1,0))=2,"Sec1.","Sec2."))</f>
        <v>Prim.</v>
      </c>
      <c r="AZ11" s="470">
        <f t="array" aca="1" ref="AZ11:AZ84" ca="1">IF(AY11:AY84="Prim.",AW11:AW84+AV11:AV84,IF(AY11:AY84="Sec1.",AS11:AS84-AT11:AT84+AU11:AU84,AX11:AX84))*365*10^6</f>
        <v>0</v>
      </c>
      <c r="BA11" s="472">
        <f t="array" ref="BA11:BA84" ca="1">IF(AY11:AY84="Prim.",
AW11:AW84+
(((aeo_dem_oil_tot-aeo_dem_oil_row)-(aeo_sup_oil_tot-aeo_sup_oil_row)+aeo_dem_oil_row_crude)/(aeo_dem_oil_tot-aeo_dem_oil_row))*AV11:AV84,
IF(AY11:AY84="Sec1.",
(((aeo_dem_oil_tot-aeo_dem_oil_row)-(aeo_sup_oil_tot-aeo_sup_oil_row)+aeo_dem_oil_row_crude)/(aeo_dem_oil_tot-aeo_dem_oil_row))
*(AS11:AS84-AT11:AT84+AU11:AU84),
(((aeo_dem_oil_tot-aeo_dem_oil_row)-(aeo_sup_oil_tot-aeo_sup_oil_row)+aeo_dem_oil_row_crude)/(aeo_dem_oil_tot-aeo_dem_oil_row))*AX11:AX84))*365*10^6</f>
        <v>0</v>
      </c>
      <c r="BB11" s="173">
        <f t="shared" ca="1" si="0"/>
        <v>0</v>
      </c>
      <c r="BC11" s="173">
        <f t="shared" ca="1" si="1"/>
        <v>0</v>
      </c>
      <c r="BD11" s="462">
        <f t="array" aca="1" ref="BD11:BD84" ca="1">OFFSET(sim_dem_gas_res,-1,0)*(1-g_dem_gas_res)</f>
        <v>4.7842303999999993</v>
      </c>
      <c r="BE11" s="464">
        <f t="array" aca="1" ref="BE11:BE84" ca="1">a_gas_res*(sim_price_oil^e_gas_res_oil)*(sim_price_ele^e_gas_res_ele)</f>
        <v>-0.11785401290070462</v>
      </c>
      <c r="BF11" s="464">
        <f t="array" aca="1" ref="BF11:BF84" ca="1">BE11:BE84*OFFSET(aeo_price_gas,1,0)^e_dem_gas_res+BD11:BD84</f>
        <v>4.6925540000000003</v>
      </c>
      <c r="BG11" s="466">
        <f t="array" aca="1" ref="BG11:BG84" ca="1">(BE11:BE84*((sim_dem_gas_res-BD11:BD84)/BE11:BE84)^(1 + e_dem_gas_res^(-1)))/(1 + e_dem_gas_res^(-1))-(BE11:BE84*((BF11:BF84-BD11:BD84)/BE11:BE84)^(1 + e_dem_gas_res^(-1)))/(1 + e_dem_gas_res^(-1))</f>
        <v>0</v>
      </c>
      <c r="BH11" s="466">
        <f t="array" aca="1" ref="BH11:BH84" ca="1">(sim_dem_gas_res-BF11:BF84)*sim_price_gas</f>
        <v>0</v>
      </c>
      <c r="BI11" s="157">
        <f t="array" aca="1" ref="BI11:BI84" ca="1">(OFFSET(aeo_price_gas,1,0)-sim_price_gas)*BF11:BF84</f>
        <v>0</v>
      </c>
      <c r="BJ11" s="157">
        <f t="array" aca="1" ref="BJ11:BJ84" ca="1">(OFFSET(aeo_price_gas,1,0)-sim_price_gas)*OFFSET(aeo_dem_gas_res,1,0)</f>
        <v>0</v>
      </c>
      <c r="BK11" s="157">
        <f t="array" aca="1" ref="BK11:BK84" ca="1">(OFFSET(aeo_price_gas,1,0)-sim_price_gas)*(sim_dem_gas_res-OFFSET(aeo_dem_gas_res,1,0))*0.5</f>
        <v>0</v>
      </c>
      <c r="BL11" s="157">
        <f t="array" aca="1" ref="BL11:BL84" ca="1">(OFFSET(aeo_price_gas,1,0)-sim_price_gas)*sim_dem_gas_res</f>
        <v>0</v>
      </c>
      <c r="BM11" s="468" t="str">
        <f t="array" ref="BM11:BM84" ca="1">IF(sim_dem_gas_res&gt;=OFFSET(aeo_dem_gas_res,1,0),"Prim.",IF((OFFSET(aeo_price_gas,1,0)&gt;=sim_price_gas)+(sim_dem_gas_res&lt;=OFFSET(aeo_dem_gas_res,1,0))=2,"Sec1.","Sec2."))</f>
        <v>Prim.</v>
      </c>
      <c r="BN11" s="470">
        <f t="array" aca="1" ref="BN11:BN84" ca="1">IF(BM11:BM84="Prim.",BK11:BK84+BJ11:BJ84,IF(BM11:BM84="Sec1.",BG11:BG84-BH11:BH84+BI11:BI84,BL11:BL84))*10^9</f>
        <v>0</v>
      </c>
      <c r="BO11" s="472">
        <f t="array" aca="1" ref="BO11:BO84" ca="1">IF(BM11:BM84="Prim.",BK11:BK84+((sim_sup_gas_pip+sim_sup_gas_lng)/(sim_dem_gas_tot-sim_dem_gas_exp))*BJ11:BJ84,IF(BM11:BM84="Sec1.",((sim_sup_gas_pip+sim_sup_gas_lng)/(sim_dem_gas_tot-sim_dem_gas_exp))*(BG11:BG84-BH11:BH84+BI11:BI84),((sim_sup_gas_pip+sim_sup_gas_lng)/(sim_dem_gas_tot-sim_dem_gas_exp))*BL11:BL84))*10^9</f>
        <v>0</v>
      </c>
      <c r="BP11" s="462">
        <f t="array" aca="1" ref="BP11:BP84" ca="1">OFFSET(sim_dem_gas_com,-1,0)*(1-g_dem_gas_com)</f>
        <v>3.38256384</v>
      </c>
      <c r="BQ11" s="464">
        <f t="array" aca="1" ref="BQ11:BQ84" ca="1">a_gas_com*(sim_price_oil^e_gas_com_oil)*(sim_price_ele^e_gas_com_ele)</f>
        <v>-0.25735937547482196</v>
      </c>
      <c r="BR11" s="464">
        <f t="array" aca="1" ref="BR11:BR84" ca="1">BQ11:BQ84*OFFSET(aeo_price_gas,1,0)^e_dem_gas_com+BP11:BP84</f>
        <v>3.1796190000000002</v>
      </c>
      <c r="BS11" s="466">
        <f t="array" aca="1" ref="BS11:BS84" ca="1">(BQ11:BQ84*((sim_dem_gas_com-BP11:BP84)/BQ11:BQ84)^(1 + e_dem_gas_com^(-1)))/(1 + e_dem_gas_com^(-1))-(BQ11:BQ84*((BR11:BR84-BP11:BP84)/BQ11:BQ84)^(1 + e_dem_gas_com^(-1)))/(1 + e_dem_gas_com^(-1))</f>
        <v>0</v>
      </c>
      <c r="BT11" s="466">
        <f t="array" aca="1" ref="BT11:BT84" ca="1">(sim_dem_gas_com-BR11:BR84)*sim_price_gas</f>
        <v>0</v>
      </c>
      <c r="BU11" s="157">
        <f t="array" aca="1" ref="BU11:BU84" ca="1">(OFFSET(aeo_price_gas,1,0)-sim_price_gas)*BR11:BR84</f>
        <v>0</v>
      </c>
      <c r="BV11" s="157">
        <f t="array" aca="1" ref="BV11:BV84" ca="1">(OFFSET(aeo_price_gas,1,0)-sim_price_gas)*OFFSET(aeo_dem_gas_com,1,0)</f>
        <v>0</v>
      </c>
      <c r="BW11" s="157">
        <f t="array" aca="1" ref="BW11:BW84" ca="1">(OFFSET(aeo_price_gas,1,0)-sim_price_gas)*(sim_dem_gas_com-OFFSET(aeo_dem_gas_com,1,0))*0.5</f>
        <v>0</v>
      </c>
      <c r="BX11" s="157">
        <f t="array" ref="BX11:BX84" ca="1">(OFFSET(aeo_price_gas,1,0)-sim_price_gas)*sim_dem_gas_com</f>
        <v>0</v>
      </c>
      <c r="BY11" s="468" t="str">
        <f t="array" aca="1" ref="BY11:BY84" ca="1">IF(sim_dem_gas_com&gt;=OFFSET(aeo_dem_gas_com,1,0),"Prim.",IF((OFFSET(aeo_price_gas,1,0)&gt;=sim_price_gas)+(sim_dem_gas_com&lt;=OFFSET(aeo_dem_gas_com,1,0))=2,"Sec1.","Sec2."))</f>
        <v>Prim.</v>
      </c>
      <c r="BZ11" s="470">
        <f t="array" aca="1" ref="BZ11:BZ84" ca="1">IF(BY11:BY84="Prim.",BW11:BW84+BV11:BV84,IF(BY11:BY84="Sec1.",BS11:BS84-BT11:BT84+BU11:BU84,BX11:BX84))*10^9</f>
        <v>0</v>
      </c>
      <c r="CA11" s="472">
        <f t="array" aca="1" ref="CA11:CA84" ca="1">IF(BY11:BY84="Prim.",BW11:BW84+((sim_sup_gas_pip+sim_sup_gas_lng)/(sim_dem_gas_tot-sim_dem_gas_exp))*BV11:BV84,IF(BY11:BY84="Sec1.",((sim_sup_gas_pip+sim_sup_gas_lng)/(sim_dem_gas_tot-sim_dem_gas_exp))*(BS11:BS84-BT11:BT84+BU11:BU84),((sim_sup_gas_pip+sim_sup_gas_lng)/(sim_dem_gas_tot-sim_dem_gas_exp))*BX11:BX84))*10^9</f>
        <v>0</v>
      </c>
      <c r="CB11" s="462">
        <f t="array" aca="1" ref="CB11:CB84" ca="1">OFFSET(sim_dem_gas_ind,-1,0)*(1-g_dem_gas_ind)</f>
        <v>9.8143046399999996</v>
      </c>
      <c r="CC11" s="464">
        <f t="array" aca="1" ref="CC11:CC84" ca="1">a_gas_ind*(sim_price_oil^e_gas_ind_oil)*(sim_price_ele^e_gas_ind_ele)*(sim_price_coa^e_gas_ind_coa)</f>
        <v>0.1737962253059824</v>
      </c>
      <c r="CD11" s="464">
        <f t="array" aca="1" ref="CD11:CD84" ca="1">CC11:CC84*OFFSET(aeo_price_gas,1,0)^e_dem_gas_ind+CB11:CB84</f>
        <v>9.9336850000000005</v>
      </c>
      <c r="CE11" s="466">
        <f t="array" aca="1" ref="CE11:CE84" ca="1">(CC11:CC84*((sim_dem_gas_ind-CB11:CB84)/CC11:CC84)^(1 + e_dem_gas_ind^(-1)))/(1 + e_dem_gas_ind^(-1))-(CC11:CC84*((CD11:CD84-CB11:CB84)/CC11:CC84)^(1 + e_dem_gas_ind^(-1)))/(1 + e_dem_gas_ind^(-1))</f>
        <v>0</v>
      </c>
      <c r="CF11" s="466">
        <f t="array" aca="1" ref="CF11:CF84" ca="1">(sim_dem_gas_ind-CD11:CD84)*sim_price_gas</f>
        <v>0</v>
      </c>
      <c r="CG11" s="157">
        <f t="array" aca="1" ref="CG11:CG84" ca="1">(OFFSET(aeo_price_gas,1,0)-sim_price_gas)*CD11:CD84</f>
        <v>0</v>
      </c>
      <c r="CH11" s="157">
        <f t="array" aca="1" ref="CH11:CH84" ca="1">(OFFSET(aeo_price_gas,1,0)-sim_price_gas)*OFFSET(aeo_dem_gas_ind,1,0)</f>
        <v>0</v>
      </c>
      <c r="CI11" s="157">
        <f t="array" aca="1" ref="CI11:CI84" ca="1">(OFFSET(aeo_price_gas,1,0)-sim_price_gas)*(sim_dem_gas_ind-OFFSET(aeo_dem_gas_ind,1,0))*0.5</f>
        <v>0</v>
      </c>
      <c r="CJ11" s="157">
        <f t="array" aca="1" ref="CJ11:CJ84" ca="1">(OFFSET(aeo_price_gas,1,0)-sim_price_gas)*sim_dem_gas_ind</f>
        <v>0</v>
      </c>
      <c r="CK11" s="468" t="str">
        <f t="array" aca="1" ref="CK11:CK84" ca="1">IF(sim_dem_gas_ind&gt;=OFFSET(aeo_dem_gas_ind,1,0),"Prim.",IF((OFFSET(aeo_price_gas,1,0)&gt;=sim_price_gas)+(sim_dem_gas_ind&lt;=OFFSET(aeo_dem_gas_ind,1,0))=2,"Sec1.","Sec2."))</f>
        <v>Prim.</v>
      </c>
      <c r="CL11" s="470">
        <f t="array" aca="1" ref="CL11:CL84" ca="1">IF(CK11:CK84="Prim.",CI11:CI84+CH11:CH84,IF(CK11:CK84="Sec1.",CE11:CE84-CF11:CF84+CG11:CG84,CJ11:CJ84))*10^9</f>
        <v>0</v>
      </c>
      <c r="CM11" s="472">
        <f t="array" aca="1" ref="CM11:CM84" ca="1">IF(CK11:CK84="Prim.",CI11:CI84+((sim_sup_gas_pip+sim_sup_gas_lng)/(sim_dem_gas_tot-sim_dem_gas_exp))*CH11:CH84,IF(CK11:CK84="Sec1.",((sim_sup_gas_pip+sim_sup_gas_lng)/(sim_dem_gas_tot-sim_dem_gas_exp))*(CE11:CE84-CF11:CF84+CG11:CG84),((sim_sup_gas_pip+sim_sup_gas_lng)/(sim_dem_gas_tot-sim_dem_gas_exp))*CJ11:CJ84))*10^9</f>
        <v>0</v>
      </c>
      <c r="CN11" s="462">
        <f t="array" aca="1" ref="CN11:CN84" ca="1">OFFSET(sim_dem_gas_tra,-1,0)*(1-g_dem_gas_tra)</f>
        <v>1.0107606666666666</v>
      </c>
      <c r="CO11" s="464">
        <f t="array" aca="1" ref="CO11:CO84" ca="1">a_gas_tra*(sim_price_oil^e_gas_tra_oil)*(sim_price_ele^e_gas_tra_ele)</f>
        <v>0.17023636260799999</v>
      </c>
      <c r="CP11" s="464">
        <f t="array" aca="1" ref="CP11:CP84" ca="1">CO11:CO84*OFFSET(aeo_price_gas,1,0)^e_dem_gas_tra+CN11:CN84</f>
        <v>1.087062</v>
      </c>
      <c r="CQ11" s="466" t="e">
        <f t="array" aca="1" ref="CQ11:CQ84" ca="1">(CO11:CO84*((sim_dem_gas_tra-CN11:CN84)/CO11:CO84)^(1 + e_dem_gas_tra^(-1)))/(1 + e_dem_gas_tra^(-1))-(CO11:CO84*((CP11:CP84-CN11:CN84)/CO11:CO84)^(1 + e_dem_gas_tra^(-1)))/(1 + e_dem_gas_tra^(-1))</f>
        <v>#DIV/0!</v>
      </c>
      <c r="CR11" s="466">
        <f t="array" aca="1" ref="CR11:CR84" ca="1">(sim_dem_gas_tra-CP11:CP84)*sim_price_gas</f>
        <v>0</v>
      </c>
      <c r="CS11" s="157">
        <f t="array" aca="1" ref="CS11:CS84" ca="1">(OFFSET(aeo_price_gas,1,0)-sim_price_gas)*CP11:CP84</f>
        <v>0</v>
      </c>
      <c r="CT11" s="157">
        <f t="array" aca="1" ref="CT11:CT84" ca="1">(OFFSET(aeo_price_gas,1,0)-sim_price_gas)*OFFSET(aeo_dem_gas_tra,1,0)</f>
        <v>0</v>
      </c>
      <c r="CU11" s="157">
        <f t="array" aca="1" ref="CU11:CU84" ca="1">(OFFSET(aeo_price_gas,1,0)-sim_price_gas)*(sim_dem_gas_tra-OFFSET(aeo_dem_gas_tra,1,0))*0.5</f>
        <v>0</v>
      </c>
      <c r="CV11" s="157">
        <f t="array" ref="CV11:CV84" ca="1">(OFFSET(aeo_price_gas,1,0)-sim_price_gas)*sim_dem_gas_tra</f>
        <v>0</v>
      </c>
      <c r="CW11" s="468" t="str">
        <f t="array" aca="1" ref="CW11:CW84" ca="1">IF(sim_dem_gas_tra&gt;=OFFSET(aeo_dem_gas_tra,1,0),"Prim.",IF((OFFSET(aeo_price_gas,1,0)&gt;=sim_price_gas)+(sim_dem_gas_tra&lt;=OFFSET(aeo_dem_gas_tra,1,0))=2,"Sec1.","Sec2."))</f>
        <v>Prim.</v>
      </c>
      <c r="CX11" s="470">
        <f t="array" aca="1" ref="CX11:CX84" ca="1">IF(CW11:CW84="Prim.",CU11:CU84+CT11:CT84,IF(CW11:CW84="Sec1.",CQ11:CQ84-CR11:CR84+CS11:CS84,CV11:CV84))*10^9</f>
        <v>0</v>
      </c>
      <c r="CY11" s="472">
        <f t="array" aca="1" ref="CY11:CY84" ca="1">IF(CW11:CW84="Prim.",CU11:CU84+((sim_sup_gas_pip+sim_sup_gas_lng)/(sim_dem_gas_tot-sim_dem_gas_exp))*CT11:CT84,IF(CW11:CW84="Sec1.",((sim_sup_gas_pip+sim_sup_gas_lng)/(sim_dem_gas_tot-sim_dem_gas_exp))*(CQ11:CQ84-CR11:CR84+CS11:CS84),((sim_sup_gas_pip+sim_sup_gas_lng)/(sim_dem_gas_tot-sim_dem_gas_exp))*CV11:CV84))*10^9</f>
        <v>0</v>
      </c>
      <c r="CZ11" s="173">
        <f t="shared" ref="CZ11:DA84" ca="1" si="3">CX11+CL11+BZ11+BN11</f>
        <v>0</v>
      </c>
      <c r="DA11" s="173">
        <f t="shared" ca="1" si="3"/>
        <v>0</v>
      </c>
      <c r="DB11" s="462">
        <f t="array" aca="1" ref="DB11:DB84" ca="1">OFFSET(sim_dem_ele_res,-1,0)*(1-g_dem_ele_res)</f>
        <v>1249.358444567793</v>
      </c>
      <c r="DC11" s="464">
        <f t="array" aca="1" ref="DC11:DC84" ca="1">a_ele_res*(sim_price_oil^e_ele_res_oil)*(sim_price_gas^e_ele_res_gas)</f>
        <v>319.28433272480629</v>
      </c>
      <c r="DD11" s="464">
        <f t="array" aca="1" ref="DD11:DD84" ca="1">DC11:DC84*OFFSET(aeo_price_ele,1,0)^e_dem_ele_res+DB11:DB84</f>
        <v>1406.5371881750473</v>
      </c>
      <c r="DE11" s="466">
        <f t="array" aca="1" ref="DE11:DE84" ca="1">(DC11:DC84*((sim_dem_ele_res-DB11:DB84)/DC11:DC84)^(1 + e_dem_ele_res^(-1)))/(1 + e_dem_ele_res^(-1))-(DC11:DC84*((DD11:DD84-DB11:DB84)/DC11:DC84)^(1 + e_dem_ele_res^(-1)))/(1 + e_dem_ele_res^(-1))</f>
        <v>0</v>
      </c>
      <c r="DF11" s="466">
        <f t="array" aca="1" ref="DF11:DF84" ca="1">(sim_dem_ele_res-DD11:DD84)*sim_price_ele</f>
        <v>0</v>
      </c>
      <c r="DG11" s="157">
        <f t="array" aca="1" ref="DG11:DG84" ca="1">(OFFSET(aeo_price_ele,1,0)-sim_price_ele)*DD11:DD84</f>
        <v>0</v>
      </c>
      <c r="DH11" s="157">
        <f t="array" aca="1" ref="DH11:DH84" ca="1">(OFFSET(aeo_price_ele,1,0)-sim_price_ele)*OFFSET(aeo_dem_ele_res,1,0)</f>
        <v>0</v>
      </c>
      <c r="DI11" s="157">
        <f t="array" aca="1" ref="DI11:DI84" ca="1">(OFFSET(aeo_price_ele,1,0)-sim_price_ele)*(sim_dem_ele_res-OFFSET(aeo_dem_ele_res,1,0))*0.5</f>
        <v>0</v>
      </c>
      <c r="DJ11" s="157">
        <f t="array" aca="1" ref="DJ11:DJ84" ca="1">(OFFSET(aeo_price_ele,1,0)-sim_price_ele)*sim_dem_ele_res</f>
        <v>0</v>
      </c>
      <c r="DK11" s="468" t="str">
        <f t="array" aca="1" ref="DK11:DK84" ca="1">IF(sim_dem_ele_res&gt;=OFFSET(aeo_dem_ele_res,1,0),"Prim.",IF((OFFSET(aeo_price_ele,1,0)&gt;=sim_price_ele)+(sim_dem_ele_res&lt;=OFFSET(aeo_dem_ele_res,1,0))=2,"Sec1.","Sec2."))</f>
        <v>Prim.</v>
      </c>
      <c r="DL11" s="470">
        <f t="array" aca="1" ref="DL11:DL84" ca="1">IF(DK11:DK84="Prim.",DI11:DI84+DH11:DH84,IF(DK11:DK84="Sec1.",DE11:DE84-DF11:DF84+DG11:DG84,DJ11:DJ84))*10^7</f>
        <v>0</v>
      </c>
      <c r="DM11" s="472">
        <f t="array" aca="1" ref="DM11:DM84" ca="1">IF(DK11:DK84="Prim.",DI11:DI84+(sim_sup_ele_imp/sim_sup_ele_tot)*DH11:DH84,IF(DK11:DK84="Sec1.",(sim_sup_ele_imp/sim_sup_ele_tot)*(DE11:DE84-DF11:DF84+DG11:DG84),(sim_sup_ele_imp/sim_sup_ele_tot)*DJ11:DJ84))*10^7</f>
        <v>0</v>
      </c>
      <c r="DN11" s="462">
        <f t="array" aca="1" ref="DN11:DN84" ca="1">OFFSET(sim_dem_ele_com,-1,0)*(1-g_dem_ele_com)</f>
        <v>1180.4892387918337</v>
      </c>
      <c r="DO11" s="464">
        <f t="array" aca="1" ref="DO11:DO84" ca="1">a_ele_com*(sim_price_oil^e_ele_com_oil)*(sim_price_gas^e_ele_com_gas)</f>
        <v>77.860970160506497</v>
      </c>
      <c r="DP11" s="464">
        <f t="array" aca="1" ref="DP11:DP84" ca="1">DO11:DO84*OFFSET(aeo_price_ele,1,0)^e_dem_ele_com+DN11:DN84</f>
        <v>1236.4155118131193</v>
      </c>
      <c r="DQ11" s="466">
        <f t="array" aca="1" ref="DQ11:DQ84" ca="1">(DO11:DO84*((sim_dem_ele_com-DN11:DN84)/DO11:DO84)^(1 + e_dem_ele_com^(-1)))/(1 + e_dem_ele_com^(-1))-(DO11:DO84*((DP11:DP84-DN11:DN84)/DO11:DO84)^(1 + e_dem_ele_com^(-1)))/(1 + e_dem_ele_com^(-1))</f>
        <v>0</v>
      </c>
      <c r="DR11" s="466">
        <f t="array" aca="1" ref="DR11:DR84" ca="1">(sim_dem_ele_com-DP11:DP84)*sim_price_ele</f>
        <v>0</v>
      </c>
      <c r="DS11" s="157">
        <f t="array" aca="1" ref="DS11:DS84" ca="1">(OFFSET(aeo_price_ele,1,0)-sim_price_ele)*DP11:DP84</f>
        <v>0</v>
      </c>
      <c r="DT11" s="157">
        <f t="array" aca="1" ref="DT11:DT84" ca="1">(OFFSET(aeo_price_ele,1,0)-sim_price_ele)*OFFSET(aeo_dem_ele_com,1,0)</f>
        <v>0</v>
      </c>
      <c r="DU11" s="157">
        <f t="array" aca="1" ref="DU11:DU84" ca="1">(OFFSET(aeo_price_ele,1,0)-sim_price_ele)*(sim_dem_ele_com-OFFSET(aeo_dem_ele_com,1,0))*0.5</f>
        <v>0</v>
      </c>
      <c r="DV11" s="157">
        <f t="array" aca="1" ref="DV11:DV84" ca="1">(OFFSET(aeo_price_ele,1,0)-sim_price_ele)*sim_dem_ele_com</f>
        <v>0</v>
      </c>
      <c r="DW11" s="468" t="str">
        <f t="array" aca="1" ref="DW11:DW84" ca="1">IF(sim_dem_ele_com&gt;=OFFSET(aeo_dem_ele_com,1,0),"Prim.",IF((OFFSET(aeo_price_ele,1,0)&gt;=sim_price_ele)+(sim_dem_ele_com&lt;=OFFSET(aeo_dem_ele_com,1,0))=2,"Sec1.","Sec2."))</f>
        <v>Prim.</v>
      </c>
      <c r="DX11" s="470">
        <f t="array" aca="1" ref="DX11:DX84" ca="1">IF(DW11:DW84="Prim.",DU11:DU84+DT11:DT84,IF(DW11:DW84="Sec1.",DQ11:DQ84-DR11:DR84+DS11:DS84,DV11:DV84))*10^7</f>
        <v>0</v>
      </c>
      <c r="DY11" s="472">
        <f t="array" aca="1" ref="DY11:DY84" ca="1">IF(DW11:DW84="Prim.",DU11:DU84+(sim_sup_ele_imp/sim_sup_ele_tot)*DT11:DT84,IF(DW11:DW84="Sec1.",(sim_sup_ele_imp/sim_sup_ele_tot)*(DQ11:DQ84-DR11:DR84+DS11:DS84),(sim_sup_ele_imp/sim_sup_ele_tot)*DV11:DV84))*10^7</f>
        <v>0</v>
      </c>
      <c r="DZ11" s="462">
        <f t="array" aca="1" ref="DZ11:DZ84" ca="1">OFFSET(sim_dem_ele_ind,-1,0)*(1-g_dem_ele_ind)</f>
        <v>772.87986424540622</v>
      </c>
      <c r="EA11" s="464">
        <f t="array" aca="1" ref="EA11:EA84" ca="1">a_ele_ind*(sim_price_oil^e_ele_ind_oil)*(sim_price_gas^e_ele_ind_gas)*(sim_price_coa^e_ele_ind_coa)</f>
        <v>201.77903399735578</v>
      </c>
      <c r="EB11" s="464">
        <f t="array" aca="1" ref="EB11:EB84" ca="1">EA11:EA84*OFFSET(aeo_price_ele,1,0)^e_dem_ele_ind+DZ11:DZ84</f>
        <v>921.07155836884772</v>
      </c>
      <c r="EC11" s="466">
        <f t="array" aca="1" ref="EC11:EC84" ca="1">(EA11:EA84*((sim_dem_ele_ind-DZ11:DZ84)/EA11:EA84)^(1 + e_dem_ele_ind^(-1)))/(1 + e_dem_ele_ind^(-1))-(EA11:EA84*((EB11:EB84-DZ11:DZ84)/EA11:EA84)^(1 + e_dem_ele_ind^(-1)))/(1 + e_dem_ele_ind^(-1))</f>
        <v>0</v>
      </c>
      <c r="ED11" s="466">
        <f t="array" aca="1" ref="ED11:ED84" ca="1">(sim_dem_ele_ind-EB11:EB84)*sim_price_ele</f>
        <v>0</v>
      </c>
      <c r="EE11" s="157">
        <f t="array" aca="1" ref="EE11:EE84" ca="1">(OFFSET(aeo_price_ele,1,0)-sim_price_ele)*EB11:EB84</f>
        <v>0</v>
      </c>
      <c r="EF11" s="157">
        <f t="array" aca="1" ref="EF11:EF84" ca="1">(OFFSET(aeo_price_ele,1,0)-sim_price_ele)*OFFSET(aeo_dem_ele_ind,1,0)</f>
        <v>0</v>
      </c>
      <c r="EG11" s="157">
        <f t="array" aca="1" ref="EG11:EG84" ca="1">(OFFSET(aeo_price_ele,1,0)-sim_price_ele)*(sim_dem_ele_ind-OFFSET(aeo_dem_ele_ind,1,0))*0.5</f>
        <v>0</v>
      </c>
      <c r="EH11" s="157">
        <f t="array" aca="1" ref="EH11:EH84" ca="1">(OFFSET(aeo_price_ele,1,0)-sim_price_ele)*sim_dem_ele_ind</f>
        <v>0</v>
      </c>
      <c r="EI11" s="468" t="str">
        <f t="array" aca="1" ref="EI11:EI84" ca="1">IF(sim_dem_ele_ind&gt;=OFFSET(aeo_dem_ele_ind,1,0),"Prim.",IF((OFFSET(aeo_price_ele,1,0)&gt;=sim_price_ele)+(sim_dem_ele_ind&lt;=OFFSET(aeo_dem_ele_ind,1,0))=2,"Sec1.","Sec2."))</f>
        <v>Prim.</v>
      </c>
      <c r="EJ11" s="470">
        <f t="array" aca="1" ref="EJ11:EJ84" ca="1">IF(EI11:EI84="Prim.",EG11:EG84+EF11:EF84,IF(EI11:EI84="Sec1.",EC11:EC84-ED11:ED84+EE11:EE84,EH11:EH84))*10^7</f>
        <v>0</v>
      </c>
      <c r="EK11" s="472">
        <f t="array" aca="1" ref="EK11:EK84" ca="1">IF(EI11:EI84="Prim.",EG11:EG84+(sim_sup_ele_imp/sim_sup_ele_tot)*EF11:EF84,IF(EI11:EI84="Sec1.",(sim_sup_ele_imp/sim_sup_ele_tot)*(EC11:EC84-ED11:ED84+EE11:EE84),(sim_sup_ele_imp/sim_sup_ele_tot)*EH11:EH84))*10^7</f>
        <v>0</v>
      </c>
      <c r="EL11" s="462">
        <f t="array" aca="1" ref="EL11:EL84" ca="1">OFFSET(sim_dem_ele_tra,-1,0)*(1-g_dem_ele_tra)</f>
        <v>9.8227652001419905</v>
      </c>
      <c r="EM11" s="464">
        <f t="array" aca="1" ref="EM11:EM84" ca="1">a_ele_tra*(sim_price_oil^e_ele_tra_oil)*(sim_price_gas^e_ele_tra_gas)</f>
        <v>9.2286598935532691</v>
      </c>
      <c r="EN11" s="464">
        <f t="array" aca="1" ref="EN11:EN84" ca="1">EM11:EM84*OFFSET(aeo_price_ele,1,0)^e_dem_ele_tra+EL11:EL84</f>
        <v>10.603891456054889</v>
      </c>
      <c r="EO11" s="466" t="e">
        <f t="array" aca="1" ref="EO11:EO84" ca="1">(EM11:EM84*((sim_dem_ele_tra-EL11:EL84)/EM11:EM84)^(1 + e_dem_ele_tra^(-1)))/(1 + e_dem_ele_tra^(-1))-(EM11:EM84*((EN11:EN84-EL11:EL84)/EM11:EM84)^(1 + e_dem_ele_tra^(-1)))/(1 + e_dem_ele_tra^(-1))</f>
        <v>#DIV/0!</v>
      </c>
      <c r="EP11" s="466">
        <f t="array" aca="1" ref="EP11:EP84" ca="1">(sim_dem_ele_tra-EN11:EN84)*sim_price_ele</f>
        <v>0</v>
      </c>
      <c r="EQ11" s="157">
        <f t="array" aca="1" ref="EQ11:EQ84" ca="1">(OFFSET(aeo_price_ele,1,0)-sim_price_ele)*EN11:EN84</f>
        <v>0</v>
      </c>
      <c r="ER11" s="157">
        <f t="array" aca="1" ref="ER11:ER84" ca="1">(OFFSET(aeo_price_ele,1,0)-sim_price_ele)*OFFSET(aeo_dem_ele_tra,1,0)</f>
        <v>0</v>
      </c>
      <c r="ES11" s="157">
        <f t="array" aca="1" ref="ES11:ES84" ca="1">(OFFSET(aeo_price_ele,1,0)-sim_price_ele)*(sim_dem_ele_tra-OFFSET(aeo_dem_ele_tra,1,0))*0.5</f>
        <v>0</v>
      </c>
      <c r="ET11" s="157">
        <f t="array" aca="1" ref="ET11:ET84" ca="1">(OFFSET(aeo_price_ele,1,0)-sim_price_ele)*sim_dem_ele_tra</f>
        <v>0</v>
      </c>
      <c r="EU11" s="468" t="str">
        <f t="array" aca="1" ref="EU11:EU84" ca="1">IF(sim_dem_ele_tra&gt;=OFFSET(aeo_dem_ele_tra,1,0),"Prim.",IF((OFFSET(aeo_price_ele,1,0)&gt;=sim_price_ele)+(sim_dem_ele_tra&lt;=OFFSET(aeo_dem_ele_tra,1,0))=2,"Sec1.","Sec2."))</f>
        <v>Prim.</v>
      </c>
      <c r="EV11" s="470">
        <f t="array" aca="1" ref="EV11:EV84" ca="1">IF(EU11:EU84="Prim.",ES11:ES84+ER11:ER84,IF(EU11:EU84="Sec1.",EO11:EO84-EP11:EP84+EQ11:EQ84,ET11:ET84))*10^7</f>
        <v>0</v>
      </c>
      <c r="EW11" s="472">
        <f t="array" aca="1" ref="EW11:EW84" ca="1">IF(EU11:EU84="Prim.",ES11:ES84+(sim_sup_ele_imp/sim_sup_ele_tot)*ER11:ER84,IF(EU11:EU84="Sec1.",(sim_sup_ele_imp/sim_sup_ele_tot)*(EO11:EO84-EP11:EP84+EQ11:EQ84),(sim_sup_ele_imp/sim_sup_ele_tot)*ET11:ET84))*10^7</f>
        <v>0</v>
      </c>
      <c r="EX11" s="462">
        <f t="array" aca="1" ref="EX11:EX84" ca="1">OFFSET(sim_dem_ele_oth,-1,0)*(1-g_dem_ele_oth)</f>
        <v>148.83568366414875</v>
      </c>
      <c r="EY11" s="464">
        <f t="array" aca="1" ref="EY11:EY84" ca="1">a_ele_oth*(sim_price_oil^e_ele_oth_oil)*(sim_price_gas^e_ele_oth_gas)*(sim_price_coa^e_ele_oth_coa)</f>
        <v>25.438739312640063</v>
      </c>
      <c r="EZ11" s="464">
        <f t="array" aca="1" ref="EZ11:EZ84" ca="1">EY11:EY84*OFFSET(aeo_price_ele,1,0)^e_dem_ele_oth+EX11:EX84</f>
        <v>165.06557518693052</v>
      </c>
      <c r="FA11" s="466">
        <f t="array" aca="1" ref="FA11:FA84" ca="1">(EY11:EY84*((sim_dem_ele_oth-EX11:EX84)/EY11:EY84)^(1 + e_dem_ele_oth^(-1)))/(1 + e_dem_ele_oth^(-1))-(EY11:EY84*((EZ11:EZ84-EX11:EX84)/EY11:EY84)^(1 + e_dem_ele_oth^(-1)))/(1 + e_dem_ele_oth^(-1))</f>
        <v>0</v>
      </c>
      <c r="FB11" s="466">
        <f t="array" aca="1" ref="FB11:FB84" ca="1">(sim_dem_ele_oth-EZ11:EZ84)*sim_price_ele</f>
        <v>0</v>
      </c>
      <c r="FC11" s="157">
        <f t="array" aca="1" ref="FC11:FC84" ca="1">(OFFSET(aeo_price_ele,1,0)-sim_price_ele)*EZ11:EZ84</f>
        <v>0</v>
      </c>
      <c r="FD11" s="157">
        <f t="array" aca="1" ref="FD11:FD84" ca="1">(OFFSET(aeo_price_ele,1,0)-sim_price_ele)*OFFSET(aeo_dem_ele_oth,1,0)</f>
        <v>0</v>
      </c>
      <c r="FE11" s="157">
        <f t="array" aca="1" ref="FE11:FE84" ca="1">(OFFSET(aeo_price_ele,1,0)-sim_price_ele)*(sim_dem_ele_oth-OFFSET(aeo_dem_ele_oth,1,0))*0.5</f>
        <v>0</v>
      </c>
      <c r="FF11" s="157">
        <f t="array" aca="1" ref="FF11:FF84" ca="1">(OFFSET(aeo_price_ele,1,0)-sim_price_ele)*sim_dem_ele_oth</f>
        <v>0</v>
      </c>
      <c r="FG11" s="468" t="str">
        <f t="array" aca="1" ref="FG11:FG84" ca="1">IF(sim_dem_ele_oth&gt;=OFFSET(aeo_dem_ele_oth,1,0),"Prim.",IF((OFFSET(aeo_price_ele,1,0)&gt;=sim_price_ele)+(sim_dem_ele_oth&lt;=OFFSET(aeo_dem_ele_oth,1,0))=2,"Sec1.","Sec2."))</f>
        <v>Prim.</v>
      </c>
      <c r="FH11" s="470">
        <f t="array" aca="1" ref="FH11:FH84" ca="1">IF(FG11:FG84="Prim.",FE11:FE84+FD11:FD84,IF(FG11:FG84="Sec1.",FA11:FA84-FB11:FB84+FC11:FC84,FF11:FF84))*10^7</f>
        <v>0</v>
      </c>
      <c r="FI11" s="472">
        <f t="array" aca="1" ref="FI11:FI84" ca="1">IF(FG11:FG84="Prim.",FE11:FE84+(sim_sup_ele_imp/sim_sup_ele_tot)*FD11:FD84,IF(FG11:FG84="Sec1.",(sim_sup_ele_imp/sim_sup_ele_tot)*(FA11:FA84-FB11:FB84+FC11:FC84),(sim_sup_ele_imp/sim_sup_ele_tot)*FF11:FF84))*10^7</f>
        <v>0</v>
      </c>
      <c r="FJ11" s="173">
        <f t="shared" ref="FJ11:FK84" ca="1" si="4">FH11+EV11+EJ11+DX11+DL11</f>
        <v>0</v>
      </c>
      <c r="FK11" s="173">
        <f t="shared" ca="1" si="4"/>
        <v>0</v>
      </c>
      <c r="FL11" s="462">
        <f t="array" ref="FL11:FL84" ca="1">OFFSET(sim_dem_coa_ind,-1,0)*(1-g_dem_coa_ind)</f>
        <v>46.425599999999996</v>
      </c>
      <c r="FM11" s="464">
        <f t="array" aca="1" ref="FM11:FM84" ca="1">a_coa_ind*(sim_price_oil^e_coa_ind_oil)*(sim_price_gas^e_coa_ind_gas)*(sim_price_ele^e_coa_ind_ele)</f>
        <v>-1241.2661172797327</v>
      </c>
      <c r="FN11" s="464">
        <f t="array" aca="1" ref="FN11:FN84" ca="1">FM11:FM84*OFFSET(aeo_price_coa,1,0)^e_dem_coa_ind+FL11:FL84</f>
        <v>39.939003999999997</v>
      </c>
      <c r="FO11" s="466">
        <f t="array" aca="1" ref="FO11:FO84" ca="1">(FM11:FM84*((sim_dem_coa_ind-FL11:FL84)/FM11:FM84)^(1 + e_dem_coa_ind^(-1)))/(1 + e_dem_coa_ind^(-1))-(FM11:FM84*((FN11:FN84-FL11:FL84)/FM11:FM84)^(1 + e_dem_coa_ind^(-1)))/(1 + e_dem_coa_ind^(-1))</f>
        <v>0</v>
      </c>
      <c r="FP11" s="466">
        <f t="array" aca="1" ref="FP11:FP84" ca="1">(sim_dem_coa_ind-FN11:FN84)*sim_price_coa</f>
        <v>0</v>
      </c>
      <c r="FQ11" s="157">
        <f t="array" aca="1" ref="FQ11:FQ84" ca="1">(OFFSET(aeo_price_coa,1,0)-sim_price_coa)*FN11:FN84</f>
        <v>0</v>
      </c>
      <c r="FR11" s="157">
        <f t="array" aca="1" ref="FR11:FR84" ca="1">(OFFSET(aeo_price_coa,1,0)-sim_price_coa)*sim_dem_coa_ind</f>
        <v>0</v>
      </c>
      <c r="FS11" s="157">
        <f t="array" aca="1" ref="FS11:FS84" ca="1">(OFFSET(aeo_price_coa,1,0)-sim_price_coa)*OFFSET(aeo_dem_coa_ind,1,0)</f>
        <v>0</v>
      </c>
      <c r="FT11" s="468" t="str">
        <f t="array" ref="FT11:FT84" ca="1">IF(OFFSET(aeo_dem_coa_ind,1,0)&lt;sim_dem_coa_ind,"Sec3.",IF(OFFSET(aeo_price_coa,1,0)&gt;sim_price_coa,"Sec1.","Sec2."))</f>
        <v>Sec2.</v>
      </c>
      <c r="FU11" s="470">
        <f t="array" aca="1" ref="FU11:FU84" ca="1">IF(FT11:FT84="Sec1.",FO11:FO84-FP11:FP84+FQ11:FQ84,IF(FT11:FT84="Sec2.",FR11:FR84,FS11:FS84))*10^6</f>
        <v>0</v>
      </c>
      <c r="FV11" s="470">
        <f t="array" aca="1" ref="FV11:FV84" ca="1">IF(FT11:FT84="Sec1.",(sim_sup_coa_imp/(sim_dem_coa_tot-sim_dem_coa_exp))*(FO11:FO84-FP11:FP84+FQ11:FQ84),IF(FT11:FT84="Sec2.",(sim_sup_coa_imp/(sim_dem_coa_tot-sim_dem_coa_exp))*FR11:FR84,(sim_sup_coa_imp/(sim_dem_coa_tot-sim_dem_coa_exp))*FS11:FS84))*10^6</f>
        <v>0</v>
      </c>
      <c r="FW11" s="462">
        <f t="array" aca="1" ref="FW11:FW84" ca="1">OFFSET(sim_dem_coa_oth,-1,0)*(1-g_dem_coa_oth)</f>
        <v>6.8141011200000001</v>
      </c>
      <c r="FX11" s="464">
        <f t="array" aca="1" ref="FX11:FX84" ca="1">a_coa_oth*(sim_price_oil^e_coa_oth_oil)*(sim_price_gas^e_coa_oth_gas)*(sim_price_ele^e_coa_oth_ele)</f>
        <v>-682.37723954548267</v>
      </c>
      <c r="FY11" s="464">
        <f t="array" aca="1" ref="FY11:FY84" ca="1">FX11:FX84*OFFSET(aeo_price_coa,1,0)^e_dem_coa_oth+FW11:FW84</f>
        <v>3.2481409999999999</v>
      </c>
      <c r="FZ11" s="466">
        <f t="array" aca="1" ref="FZ11:FZ84" ca="1">(FX11:FX84*((sim_dem_coa_oth-FW11:FW84)/FX11:FX84)^(1 + e_dem_coa_oth^(-1)))/(1 + e_dem_coa_oth^(-1))-(FX11:FX84*((FY11:FY84-FW11:FW84)/FX11:FX84)^(1 + e_dem_coa_oth^(-1)))/(1 + e_dem_coa_oth^(-1))</f>
        <v>0</v>
      </c>
      <c r="GA11" s="466">
        <f t="array" aca="1" ref="GA11:GA84" ca="1">(sim_dem_coa_oth-FY11:FY84)*sim_price_coa</f>
        <v>0</v>
      </c>
      <c r="GB11" s="157">
        <f t="array" aca="1" ref="GB11:GB84" ca="1">(OFFSET(aeo_price_coa,1,0)-sim_price_coa)*FY11:FY84</f>
        <v>0</v>
      </c>
      <c r="GC11" s="157">
        <f t="array" aca="1" ref="GC11:GC84" ca="1">(OFFSET(aeo_price_coa,1,0)-sim_price_coa)*sim_dem_coa_oth</f>
        <v>0</v>
      </c>
      <c r="GD11" s="157">
        <f t="array" aca="1" ref="GD11:GD84" ca="1">(OFFSET(aeo_price_coa,1,0)-sim_price_coa)*OFFSET(aeo_dem_coa_oth,1,0)</f>
        <v>0</v>
      </c>
      <c r="GE11" s="468" t="str">
        <f t="array" aca="1" ref="GE11:GE84" ca="1">IF(OFFSET(aeo_dem_coa_oth,1,0)&lt;sim_dem_coa_oth,"Sec3.",IF(OFFSET(aeo_price_coa,1,0)&gt;sim_price_coa,"Sec1.","Sec2."))</f>
        <v>Sec2.</v>
      </c>
      <c r="GF11" s="470">
        <f t="array" aca="1" ref="GF11:GF84" ca="1">IF(GE11:GE84="Sec1.",FZ11:FZ84-GA11:GA84+GB11:GB84,IF(GE11:GE84="Sec2.",GC11:GC84,GD11:GD84))*10^6</f>
        <v>0</v>
      </c>
      <c r="GG11" s="470">
        <f t="array" aca="1" ref="GG11:GG84" ca="1">IF(GE11:GE84="Sec1.",(sim_sup_coa_imp/(sim_dem_coa_tot-sim_dem_coa_exp))*(FZ11:FZ84-GA11:GA84+GB11:GB84),IF(GE11:GE84="Sec2.",(sim_sup_coa_imp/(sim_dem_coa_tot-sim_dem_coa_exp))*GC11:GC84,(sim_sup_coa_imp/(sim_dem_coa_tot-sim_dem_coa_exp))*GD11:GD84))*10^6</f>
        <v>0</v>
      </c>
      <c r="GH11" s="173">
        <f t="shared" ca="1" si="2"/>
        <v>0</v>
      </c>
      <c r="GI11" s="173">
        <f t="shared" ca="1" si="2"/>
        <v>0</v>
      </c>
    </row>
    <row r="12" spans="1:191" ht="15">
      <c r="A12" s="168"/>
      <c r="B12" s="169"/>
      <c r="C12" s="87">
        <f>'Oil supply projection'!B12</f>
        <v>2021</v>
      </c>
      <c r="D12" s="460">
        <f ca="1"/>
        <v>0</v>
      </c>
      <c r="E12" s="460">
        <f ca="1"/>
        <v>0</v>
      </c>
      <c r="F12" s="462">
        <f ca="1"/>
        <v>0.50019715288834854</v>
      </c>
      <c r="G12" s="464">
        <f ca="1"/>
        <v>2.5517961803496618</v>
      </c>
      <c r="H12" s="464">
        <f ca="1"/>
        <v>0.53482480320201331</v>
      </c>
      <c r="I12" s="466">
        <f ca="1"/>
        <v>0</v>
      </c>
      <c r="J12" s="466">
        <f ca="1"/>
        <v>0</v>
      </c>
      <c r="K12" s="157">
        <f ca="1"/>
        <v>0</v>
      </c>
      <c r="L12" s="157">
        <f ca="1"/>
        <v>0</v>
      </c>
      <c r="M12" s="157">
        <f ca="1"/>
        <v>0</v>
      </c>
      <c r="N12" s="157">
        <f ca="1"/>
        <v>0</v>
      </c>
      <c r="O12" s="468" t="str">
        <f ca="1"/>
        <v>Prim.</v>
      </c>
      <c r="P12" s="470">
        <f ca="1"/>
        <v>0</v>
      </c>
      <c r="Q12" s="472">
        <f ca="1"/>
        <v>0</v>
      </c>
      <c r="R12" s="462">
        <f ca="1"/>
        <v>0.47670467449700565</v>
      </c>
      <c r="S12" s="464">
        <f ca="1"/>
        <v>2.5630722657457845</v>
      </c>
      <c r="T12" s="464">
        <f ca="1"/>
        <v>0.5222821967979866</v>
      </c>
      <c r="U12" s="466">
        <f ca="1"/>
        <v>0</v>
      </c>
      <c r="V12" s="466">
        <f ca="1"/>
        <v>0</v>
      </c>
      <c r="W12" s="157">
        <f ca="1"/>
        <v>0</v>
      </c>
      <c r="X12" s="157">
        <f ca="1"/>
        <v>0</v>
      </c>
      <c r="Y12" s="157">
        <f ca="1"/>
        <v>0</v>
      </c>
      <c r="Z12" s="157">
        <f ca="1"/>
        <v>0</v>
      </c>
      <c r="AA12" s="468" t="str">
        <f ca="1"/>
        <v>Prim.</v>
      </c>
      <c r="AB12" s="470">
        <f ca="1"/>
        <v>0</v>
      </c>
      <c r="AC12" s="472">
        <f ca="1"/>
        <v>0</v>
      </c>
      <c r="AD12" s="462">
        <f ca="1"/>
        <v>4.8812131199999991</v>
      </c>
      <c r="AE12" s="464">
        <f ca="1"/>
        <v>1.2642155805893716</v>
      </c>
      <c r="AF12" s="464">
        <f ca="1"/>
        <v>5.288411</v>
      </c>
      <c r="AG12" s="466">
        <f ca="1"/>
        <v>0</v>
      </c>
      <c r="AH12" s="466">
        <f ca="1"/>
        <v>0</v>
      </c>
      <c r="AI12" s="157">
        <f ca="1"/>
        <v>0</v>
      </c>
      <c r="AJ12" s="157">
        <f ca="1"/>
        <v>0</v>
      </c>
      <c r="AK12" s="157">
        <f ca="1"/>
        <v>0</v>
      </c>
      <c r="AL12" s="157">
        <f ca="1"/>
        <v>0</v>
      </c>
      <c r="AM12" s="468" t="str">
        <f ca="1"/>
        <v>Prim.</v>
      </c>
      <c r="AN12" s="470">
        <f ca="1"/>
        <v>0</v>
      </c>
      <c r="AO12" s="472">
        <f ca="1"/>
        <v>0</v>
      </c>
      <c r="AP12" s="462">
        <f ca="1"/>
        <v>10.93169805</v>
      </c>
      <c r="AQ12" s="464">
        <f ca="1"/>
        <v>8.5674406032341057</v>
      </c>
      <c r="AR12" s="464">
        <f ca="1"/>
        <v>13.296215</v>
      </c>
      <c r="AS12" s="466">
        <f ca="1"/>
        <v>0</v>
      </c>
      <c r="AT12" s="466">
        <f ca="1"/>
        <v>0</v>
      </c>
      <c r="AU12" s="157">
        <f ca="1"/>
        <v>0</v>
      </c>
      <c r="AV12" s="157">
        <f ca="1"/>
        <v>0</v>
      </c>
      <c r="AW12" s="157">
        <f ca="1"/>
        <v>0</v>
      </c>
      <c r="AX12" s="157">
        <f ca="1"/>
        <v>0</v>
      </c>
      <c r="AY12" s="468" t="str">
        <f ca="1"/>
        <v>Prim.</v>
      </c>
      <c r="AZ12" s="470">
        <f ca="1"/>
        <v>0</v>
      </c>
      <c r="BA12" s="472">
        <f ca="1"/>
        <v>0</v>
      </c>
      <c r="BB12" s="173">
        <f t="shared" ca="1" si="0"/>
        <v>0</v>
      </c>
      <c r="BC12" s="173">
        <f t="shared" ca="1" si="1"/>
        <v>0</v>
      </c>
      <c r="BD12" s="462">
        <f ca="1"/>
        <v>4.4579263000000005</v>
      </c>
      <c r="BE12" s="464">
        <f ca="1"/>
        <v>0.40576011411074869</v>
      </c>
      <c r="BF12" s="464">
        <f ca="1"/>
        <v>4.7162030000000001</v>
      </c>
      <c r="BG12" s="466">
        <f ca="1"/>
        <v>0</v>
      </c>
      <c r="BH12" s="466">
        <f ca="1"/>
        <v>0</v>
      </c>
      <c r="BI12" s="157">
        <f ca="1"/>
        <v>0</v>
      </c>
      <c r="BJ12" s="157">
        <f ca="1"/>
        <v>0</v>
      </c>
      <c r="BK12" s="157">
        <f ca="1"/>
        <v>0</v>
      </c>
      <c r="BL12" s="157">
        <f ca="1"/>
        <v>0</v>
      </c>
      <c r="BM12" s="468" t="str">
        <f ca="1"/>
        <v>Prim.</v>
      </c>
      <c r="BN12" s="470">
        <f ca="1"/>
        <v>0</v>
      </c>
      <c r="BO12" s="472">
        <f ca="1"/>
        <v>0</v>
      </c>
      <c r="BP12" s="462">
        <f ca="1"/>
        <v>3.0524342400000002</v>
      </c>
      <c r="BQ12" s="464">
        <f ca="1"/>
        <v>0.37677181493919015</v>
      </c>
      <c r="BR12" s="464">
        <f ca="1"/>
        <v>3.298216</v>
      </c>
      <c r="BS12" s="466">
        <f ca="1"/>
        <v>0</v>
      </c>
      <c r="BT12" s="466">
        <f ca="1"/>
        <v>0</v>
      </c>
      <c r="BU12" s="157">
        <f ca="1"/>
        <v>0</v>
      </c>
      <c r="BV12" s="157">
        <f ca="1"/>
        <v>0</v>
      </c>
      <c r="BW12" s="157">
        <f ca="1"/>
        <v>0</v>
      </c>
      <c r="BX12" s="157">
        <f ca="1"/>
        <v>0</v>
      </c>
      <c r="BY12" s="468" t="str">
        <f ca="1"/>
        <v>Prim.</v>
      </c>
      <c r="BZ12" s="470">
        <f ca="1"/>
        <v>0</v>
      </c>
      <c r="CA12" s="472">
        <f ca="1"/>
        <v>0</v>
      </c>
      <c r="CB12" s="462">
        <f ca="1"/>
        <v>9.5363375999999995</v>
      </c>
      <c r="CC12" s="464">
        <f ca="1"/>
        <v>1.297188947424309</v>
      </c>
      <c r="CD12" s="464">
        <f ca="1"/>
        <v>10.196525000000001</v>
      </c>
      <c r="CE12" s="466">
        <f ca="1"/>
        <v>0</v>
      </c>
      <c r="CF12" s="466">
        <f ca="1"/>
        <v>0</v>
      </c>
      <c r="CG12" s="157">
        <f ca="1"/>
        <v>0</v>
      </c>
      <c r="CH12" s="157">
        <f ca="1"/>
        <v>0</v>
      </c>
      <c r="CI12" s="157">
        <f ca="1"/>
        <v>0</v>
      </c>
      <c r="CJ12" s="157">
        <f ca="1"/>
        <v>0</v>
      </c>
      <c r="CK12" s="468" t="str">
        <f ca="1"/>
        <v>Prim.</v>
      </c>
      <c r="CL12" s="470">
        <f ca="1"/>
        <v>0</v>
      </c>
      <c r="CM12" s="472">
        <f ca="1"/>
        <v>0</v>
      </c>
      <c r="CN12" s="462">
        <f ca="1"/>
        <v>0.9964734999999999</v>
      </c>
      <c r="CO12" s="464">
        <f ca="1"/>
        <v>0.97435477219500022</v>
      </c>
      <c r="CP12" s="464">
        <f ca="1"/>
        <v>1.2265809999999999</v>
      </c>
      <c r="CQ12" s="466" t="e">
        <f ca="1"/>
        <v>#DIV/0!</v>
      </c>
      <c r="CR12" s="466">
        <f ca="1"/>
        <v>0</v>
      </c>
      <c r="CS12" s="157">
        <f ca="1"/>
        <v>0</v>
      </c>
      <c r="CT12" s="157">
        <f ca="1"/>
        <v>0</v>
      </c>
      <c r="CU12" s="157">
        <f ca="1"/>
        <v>0</v>
      </c>
      <c r="CV12" s="157">
        <f ca="1"/>
        <v>0</v>
      </c>
      <c r="CW12" s="468" t="str">
        <f ca="1"/>
        <v>Prim.</v>
      </c>
      <c r="CX12" s="470">
        <f ca="1"/>
        <v>0</v>
      </c>
      <c r="CY12" s="472">
        <f ca="1"/>
        <v>0</v>
      </c>
      <c r="CZ12" s="173">
        <f t="shared" ca="1" si="3"/>
        <v>0</v>
      </c>
      <c r="DA12" s="173">
        <f t="shared" ca="1" si="3"/>
        <v>0</v>
      </c>
      <c r="DB12" s="462">
        <f ca="1"/>
        <v>1265.8834693575425</v>
      </c>
      <c r="DC12" s="464">
        <f ca="1"/>
        <v>317.51849988251064</v>
      </c>
      <c r="DD12" s="464">
        <f ca="1"/>
        <v>1421.8543343845047</v>
      </c>
      <c r="DE12" s="466">
        <f ca="1"/>
        <v>0</v>
      </c>
      <c r="DF12" s="466">
        <f ca="1"/>
        <v>0</v>
      </c>
      <c r="DG12" s="157">
        <f ca="1"/>
        <v>0</v>
      </c>
      <c r="DH12" s="157">
        <f ca="1"/>
        <v>0</v>
      </c>
      <c r="DI12" s="157">
        <f ca="1"/>
        <v>0</v>
      </c>
      <c r="DJ12" s="157">
        <f ca="1"/>
        <v>0</v>
      </c>
      <c r="DK12" s="468" t="str">
        <f ca="1"/>
        <v>Prim.</v>
      </c>
      <c r="DL12" s="470">
        <f ca="1"/>
        <v>0</v>
      </c>
      <c r="DM12" s="472">
        <f ca="1"/>
        <v>0</v>
      </c>
      <c r="DN12" s="462">
        <f ca="1"/>
        <v>1112.7739606318075</v>
      </c>
      <c r="DO12" s="464">
        <f ca="1"/>
        <v>227.07959146911313</v>
      </c>
      <c r="DP12" s="464">
        <f ca="1"/>
        <v>1275.716494689995</v>
      </c>
      <c r="DQ12" s="466">
        <f ca="1"/>
        <v>0</v>
      </c>
      <c r="DR12" s="466">
        <f ca="1"/>
        <v>0</v>
      </c>
      <c r="DS12" s="157">
        <f ca="1"/>
        <v>0</v>
      </c>
      <c r="DT12" s="157">
        <f ca="1"/>
        <v>0</v>
      </c>
      <c r="DU12" s="157">
        <f ca="1"/>
        <v>0</v>
      </c>
      <c r="DV12" s="157">
        <f ca="1"/>
        <v>0</v>
      </c>
      <c r="DW12" s="468" t="str">
        <f ca="1"/>
        <v>Prim.</v>
      </c>
      <c r="DX12" s="470">
        <f ca="1"/>
        <v>0</v>
      </c>
      <c r="DY12" s="472">
        <f ca="1"/>
        <v>0</v>
      </c>
      <c r="DZ12" s="462">
        <f ca="1"/>
        <v>736.85724669507817</v>
      </c>
      <c r="EA12" s="464">
        <f ca="1"/>
        <v>290.83198427037127</v>
      </c>
      <c r="EB12" s="464">
        <f ca="1"/>
        <v>950.25007392094051</v>
      </c>
      <c r="EC12" s="466">
        <f ca="1"/>
        <v>0</v>
      </c>
      <c r="ED12" s="466">
        <f ca="1"/>
        <v>0</v>
      </c>
      <c r="EE12" s="157">
        <f ca="1"/>
        <v>0</v>
      </c>
      <c r="EF12" s="157">
        <f ca="1"/>
        <v>0</v>
      </c>
      <c r="EG12" s="157">
        <f ca="1"/>
        <v>0</v>
      </c>
      <c r="EH12" s="157">
        <f ca="1"/>
        <v>0</v>
      </c>
      <c r="EI12" s="468" t="str">
        <f ca="1"/>
        <v>Prim.</v>
      </c>
      <c r="EJ12" s="470">
        <f ca="1"/>
        <v>0</v>
      </c>
      <c r="EK12" s="472">
        <f ca="1"/>
        <v>0</v>
      </c>
      <c r="EL12" s="462">
        <f ca="1"/>
        <v>9.5435023104493997</v>
      </c>
      <c r="EM12" s="464">
        <f ca="1"/>
        <v>37.822471886732849</v>
      </c>
      <c r="EN12" s="464">
        <f ca="1"/>
        <v>12.720750323705676</v>
      </c>
      <c r="EO12" s="466" t="e">
        <f ca="1"/>
        <v>#DIV/0!</v>
      </c>
      <c r="EP12" s="466">
        <f ca="1"/>
        <v>0</v>
      </c>
      <c r="EQ12" s="157">
        <f ca="1"/>
        <v>0</v>
      </c>
      <c r="ER12" s="157">
        <f ca="1"/>
        <v>0</v>
      </c>
      <c r="ES12" s="157">
        <f ca="1"/>
        <v>0</v>
      </c>
      <c r="ET12" s="157">
        <f ca="1"/>
        <v>0</v>
      </c>
      <c r="EU12" s="468" t="str">
        <f ca="1"/>
        <v>Prim.</v>
      </c>
      <c r="EV12" s="470">
        <f ca="1"/>
        <v>0</v>
      </c>
      <c r="EW12" s="472">
        <f ca="1"/>
        <v>0</v>
      </c>
      <c r="EX12" s="462">
        <f ca="1"/>
        <v>148.55901766823746</v>
      </c>
      <c r="EY12" s="464">
        <f ca="1"/>
        <v>40.519796900722675</v>
      </c>
      <c r="EZ12" s="464">
        <f ca="1"/>
        <v>174.37508468085451</v>
      </c>
      <c r="FA12" s="466">
        <f ca="1"/>
        <v>0</v>
      </c>
      <c r="FB12" s="466">
        <f ca="1"/>
        <v>0</v>
      </c>
      <c r="FC12" s="157">
        <f ca="1"/>
        <v>0</v>
      </c>
      <c r="FD12" s="157">
        <f ca="1"/>
        <v>0</v>
      </c>
      <c r="FE12" s="157">
        <f ca="1"/>
        <v>0</v>
      </c>
      <c r="FF12" s="157">
        <f ca="1"/>
        <v>0</v>
      </c>
      <c r="FG12" s="468" t="str">
        <f ca="1"/>
        <v>Prim.</v>
      </c>
      <c r="FH12" s="470">
        <f ca="1"/>
        <v>0</v>
      </c>
      <c r="FI12" s="472">
        <f ca="1"/>
        <v>0</v>
      </c>
      <c r="FJ12" s="173">
        <f t="shared" ca="1" si="4"/>
        <v>0</v>
      </c>
      <c r="FK12" s="173">
        <f t="shared" ca="1" si="4"/>
        <v>0</v>
      </c>
      <c r="FL12" s="462">
        <f ca="1"/>
        <v>38.341443839999997</v>
      </c>
      <c r="FM12" s="464">
        <f ca="1"/>
        <v>1134.9072485244728</v>
      </c>
      <c r="FN12" s="464">
        <f ca="1"/>
        <v>43.271608000000001</v>
      </c>
      <c r="FO12" s="466">
        <f ca="1"/>
        <v>0</v>
      </c>
      <c r="FP12" s="466">
        <f ca="1"/>
        <v>0</v>
      </c>
      <c r="FQ12" s="157">
        <f ca="1"/>
        <v>0</v>
      </c>
      <c r="FR12" s="157">
        <f ca="1"/>
        <v>0</v>
      </c>
      <c r="FS12" s="157">
        <f ca="1"/>
        <v>0</v>
      </c>
      <c r="FT12" s="468" t="str">
        <f ca="1"/>
        <v>Sec2.</v>
      </c>
      <c r="FU12" s="470">
        <f ca="1"/>
        <v>0</v>
      </c>
      <c r="FV12" s="470">
        <f ca="1"/>
        <v>0</v>
      </c>
      <c r="FW12" s="462">
        <f ca="1"/>
        <v>3.1182153599999998</v>
      </c>
      <c r="FX12" s="464">
        <f ca="1"/>
        <v>-10996.453295969946</v>
      </c>
      <c r="FY12" s="464">
        <f ca="1"/>
        <v>-44.651609000000001</v>
      </c>
      <c r="FZ12" s="466">
        <f ca="1"/>
        <v>0</v>
      </c>
      <c r="GA12" s="466">
        <f ca="1"/>
        <v>0</v>
      </c>
      <c r="GB12" s="157">
        <f ca="1"/>
        <v>0</v>
      </c>
      <c r="GC12" s="157">
        <f ca="1"/>
        <v>0</v>
      </c>
      <c r="GD12" s="157">
        <f ca="1"/>
        <v>0</v>
      </c>
      <c r="GE12" s="468" t="str">
        <f ca="1"/>
        <v>Sec2.</v>
      </c>
      <c r="GF12" s="470">
        <f ca="1"/>
        <v>0</v>
      </c>
      <c r="GG12" s="470">
        <f ca="1"/>
        <v>0</v>
      </c>
      <c r="GH12" s="173">
        <f t="shared" ca="1" si="2"/>
        <v>0</v>
      </c>
      <c r="GI12" s="173">
        <f t="shared" ca="1" si="2"/>
        <v>0</v>
      </c>
    </row>
    <row r="13" spans="1:191" ht="15">
      <c r="A13" s="378" t="s">
        <v>821</v>
      </c>
      <c r="B13" s="169"/>
      <c r="C13" s="87">
        <f>'Oil supply projection'!B13</f>
        <v>2022</v>
      </c>
      <c r="D13" s="460">
        <f ca="1"/>
        <v>0</v>
      </c>
      <c r="E13" s="460">
        <f ca="1"/>
        <v>0</v>
      </c>
      <c r="F13" s="462">
        <f ca="1"/>
        <v>0.50273531500989244</v>
      </c>
      <c r="G13" s="464">
        <f ca="1"/>
        <v>3.064687675363444</v>
      </c>
      <c r="H13" s="464">
        <f ca="1"/>
        <v>0.53441004342297371</v>
      </c>
      <c r="I13" s="466">
        <f ca="1"/>
        <v>0</v>
      </c>
      <c r="J13" s="466">
        <f ca="1"/>
        <v>0</v>
      </c>
      <c r="K13" s="157">
        <f ca="1"/>
        <v>0</v>
      </c>
      <c r="L13" s="157">
        <f ca="1"/>
        <v>0</v>
      </c>
      <c r="M13" s="157">
        <f ca="1"/>
        <v>0</v>
      </c>
      <c r="N13" s="157">
        <f ca="1"/>
        <v>0</v>
      </c>
      <c r="O13" s="468" t="str">
        <f ca="1"/>
        <v>Prim.</v>
      </c>
      <c r="P13" s="470">
        <f ca="1"/>
        <v>0</v>
      </c>
      <c r="Q13" s="472">
        <f ca="1"/>
        <v>0</v>
      </c>
      <c r="R13" s="462">
        <f ca="1"/>
        <v>0.50139090892606708</v>
      </c>
      <c r="S13" s="464">
        <f ca="1"/>
        <v>0.61759895700480594</v>
      </c>
      <c r="T13" s="464">
        <f ca="1"/>
        <v>0.50989995657702636</v>
      </c>
      <c r="U13" s="466">
        <f ca="1"/>
        <v>0</v>
      </c>
      <c r="V13" s="466">
        <f ca="1"/>
        <v>0</v>
      </c>
      <c r="W13" s="157">
        <f ca="1"/>
        <v>0</v>
      </c>
      <c r="X13" s="157">
        <f ca="1"/>
        <v>0</v>
      </c>
      <c r="Y13" s="157">
        <f ca="1"/>
        <v>0</v>
      </c>
      <c r="Z13" s="157">
        <f ca="1"/>
        <v>0</v>
      </c>
      <c r="AA13" s="468" t="str">
        <f ca="1"/>
        <v>Prim.</v>
      </c>
      <c r="AB13" s="470">
        <f ca="1"/>
        <v>0</v>
      </c>
      <c r="AC13" s="472">
        <f ca="1"/>
        <v>0</v>
      </c>
      <c r="AD13" s="462">
        <f ca="1"/>
        <v>5.0768745599999994</v>
      </c>
      <c r="AE13" s="464">
        <f ca="1"/>
        <v>1.5507561615192804</v>
      </c>
      <c r="AF13" s="464">
        <f ca="1"/>
        <v>5.5417880000000004</v>
      </c>
      <c r="AG13" s="466">
        <f ca="1"/>
        <v>0</v>
      </c>
      <c r="AH13" s="466">
        <f ca="1"/>
        <v>0</v>
      </c>
      <c r="AI13" s="157">
        <f ca="1"/>
        <v>0</v>
      </c>
      <c r="AJ13" s="157">
        <f ca="1"/>
        <v>0</v>
      </c>
      <c r="AK13" s="157">
        <f ca="1"/>
        <v>0</v>
      </c>
      <c r="AL13" s="157">
        <f ca="1"/>
        <v>0</v>
      </c>
      <c r="AM13" s="468" t="str">
        <f ca="1"/>
        <v>Prim.</v>
      </c>
      <c r="AN13" s="470">
        <f ca="1"/>
        <v>0</v>
      </c>
      <c r="AO13" s="472">
        <f ca="1"/>
        <v>0</v>
      </c>
      <c r="AP13" s="462">
        <f ca="1"/>
        <v>12.099555650000001</v>
      </c>
      <c r="AQ13" s="464">
        <f ca="1"/>
        <v>6.2507015569745148</v>
      </c>
      <c r="AR13" s="464">
        <f ca="1"/>
        <v>13.689624</v>
      </c>
      <c r="AS13" s="466">
        <f ca="1"/>
        <v>0</v>
      </c>
      <c r="AT13" s="466">
        <f ca="1"/>
        <v>0</v>
      </c>
      <c r="AU13" s="157">
        <f ca="1"/>
        <v>0</v>
      </c>
      <c r="AV13" s="157">
        <f ca="1"/>
        <v>0</v>
      </c>
      <c r="AW13" s="157">
        <f ca="1"/>
        <v>0</v>
      </c>
      <c r="AX13" s="157">
        <f ca="1"/>
        <v>0</v>
      </c>
      <c r="AY13" s="468" t="str">
        <f ca="1"/>
        <v>Prim.</v>
      </c>
      <c r="AZ13" s="470">
        <f ca="1"/>
        <v>0</v>
      </c>
      <c r="BA13" s="472">
        <f ca="1"/>
        <v>0</v>
      </c>
      <c r="BB13" s="173">
        <f t="shared" ca="1" si="0"/>
        <v>0</v>
      </c>
      <c r="BC13" s="173">
        <f t="shared" ca="1" si="1"/>
        <v>0</v>
      </c>
      <c r="BD13" s="462">
        <f ca="1"/>
        <v>4.4803928500000003</v>
      </c>
      <c r="BE13" s="464">
        <f ca="1"/>
        <v>0.85562415117578416</v>
      </c>
      <c r="BF13" s="464">
        <f ca="1"/>
        <v>4.9561029999999997</v>
      </c>
      <c r="BG13" s="466">
        <f ca="1"/>
        <v>0</v>
      </c>
      <c r="BH13" s="466">
        <f ca="1"/>
        <v>0</v>
      </c>
      <c r="BI13" s="157">
        <f ca="1"/>
        <v>0</v>
      </c>
      <c r="BJ13" s="157">
        <f ca="1"/>
        <v>0</v>
      </c>
      <c r="BK13" s="157">
        <f ca="1"/>
        <v>0</v>
      </c>
      <c r="BL13" s="157">
        <f ca="1"/>
        <v>0</v>
      </c>
      <c r="BM13" s="468" t="str">
        <f ca="1"/>
        <v>Prim.</v>
      </c>
      <c r="BN13" s="470">
        <f ca="1"/>
        <v>0</v>
      </c>
      <c r="BO13" s="472">
        <f ca="1"/>
        <v>0</v>
      </c>
      <c r="BP13" s="462">
        <f ca="1"/>
        <v>3.1662873600000001</v>
      </c>
      <c r="BQ13" s="464">
        <f ca="1"/>
        <v>0.52468593628041904</v>
      </c>
      <c r="BR13" s="464">
        <f ca="1"/>
        <v>3.4674529999999999</v>
      </c>
      <c r="BS13" s="466">
        <f ca="1"/>
        <v>0</v>
      </c>
      <c r="BT13" s="466">
        <f ca="1"/>
        <v>0</v>
      </c>
      <c r="BU13" s="157">
        <f ca="1"/>
        <v>0</v>
      </c>
      <c r="BV13" s="157">
        <f ca="1"/>
        <v>0</v>
      </c>
      <c r="BW13" s="157">
        <f ca="1"/>
        <v>0</v>
      </c>
      <c r="BX13" s="157">
        <f ca="1"/>
        <v>0</v>
      </c>
      <c r="BY13" s="468" t="str">
        <f ca="1"/>
        <v>Prim.</v>
      </c>
      <c r="BZ13" s="470">
        <f ca="1"/>
        <v>0</v>
      </c>
      <c r="CA13" s="472">
        <f ca="1"/>
        <v>0</v>
      </c>
      <c r="CB13" s="462">
        <f ca="1"/>
        <v>9.7886640000000007</v>
      </c>
      <c r="CC13" s="464">
        <f ca="1"/>
        <v>1.6632834877650291</v>
      </c>
      <c r="CD13" s="464">
        <f ca="1"/>
        <v>10.48014</v>
      </c>
      <c r="CE13" s="466">
        <f ca="1"/>
        <v>0</v>
      </c>
      <c r="CF13" s="466">
        <f ca="1"/>
        <v>0</v>
      </c>
      <c r="CG13" s="157">
        <f ca="1"/>
        <v>0</v>
      </c>
      <c r="CH13" s="157">
        <f ca="1"/>
        <v>0</v>
      </c>
      <c r="CI13" s="157">
        <f ca="1"/>
        <v>0</v>
      </c>
      <c r="CJ13" s="157">
        <f ca="1"/>
        <v>0</v>
      </c>
      <c r="CK13" s="468" t="str">
        <f ca="1"/>
        <v>Prim.</v>
      </c>
      <c r="CL13" s="470">
        <f ca="1"/>
        <v>0</v>
      </c>
      <c r="CM13" s="472">
        <f ca="1"/>
        <v>0</v>
      </c>
      <c r="CN13" s="462">
        <f ca="1"/>
        <v>1.1243659166666666</v>
      </c>
      <c r="CO13" s="464">
        <f ca="1"/>
        <v>1.1335398264416676</v>
      </c>
      <c r="CP13" s="464">
        <f ca="1"/>
        <v>1.2981180000000001</v>
      </c>
      <c r="CQ13" s="466" t="e">
        <f ca="1"/>
        <v>#DIV/0!</v>
      </c>
      <c r="CR13" s="466">
        <f ca="1"/>
        <v>0</v>
      </c>
      <c r="CS13" s="157">
        <f ca="1"/>
        <v>0</v>
      </c>
      <c r="CT13" s="157">
        <f ca="1"/>
        <v>0</v>
      </c>
      <c r="CU13" s="157">
        <f ca="1"/>
        <v>0</v>
      </c>
      <c r="CV13" s="157">
        <f ca="1"/>
        <v>0</v>
      </c>
      <c r="CW13" s="468" t="str">
        <f ca="1"/>
        <v>Prim.</v>
      </c>
      <c r="CX13" s="470">
        <f ca="1"/>
        <v>0</v>
      </c>
      <c r="CY13" s="472">
        <f ca="1"/>
        <v>0</v>
      </c>
      <c r="CZ13" s="173">
        <f t="shared" ca="1" si="3"/>
        <v>0</v>
      </c>
      <c r="DA13" s="173">
        <f t="shared" ca="1" si="3"/>
        <v>0</v>
      </c>
      <c r="DB13" s="462">
        <f ca="1"/>
        <v>1279.6689009460542</v>
      </c>
      <c r="DC13" s="464">
        <f ca="1"/>
        <v>382.47286218597156</v>
      </c>
      <c r="DD13" s="464">
        <f ca="1"/>
        <v>1466.1501992741387</v>
      </c>
      <c r="DE13" s="466">
        <f ca="1"/>
        <v>0</v>
      </c>
      <c r="DF13" s="466">
        <f ca="1"/>
        <v>0</v>
      </c>
      <c r="DG13" s="157">
        <f ca="1"/>
        <v>0</v>
      </c>
      <c r="DH13" s="157">
        <f ca="1"/>
        <v>0</v>
      </c>
      <c r="DI13" s="157">
        <f ca="1"/>
        <v>0</v>
      </c>
      <c r="DJ13" s="157">
        <f ca="1"/>
        <v>0</v>
      </c>
      <c r="DK13" s="468" t="str">
        <f ca="1"/>
        <v>Prim.</v>
      </c>
      <c r="DL13" s="470">
        <f ca="1"/>
        <v>0</v>
      </c>
      <c r="DM13" s="472">
        <f ca="1"/>
        <v>0</v>
      </c>
      <c r="DN13" s="462">
        <f ca="1"/>
        <v>1148.1448452209954</v>
      </c>
      <c r="DO13" s="464">
        <f ca="1"/>
        <v>224.45604933873136</v>
      </c>
      <c r="DP13" s="464">
        <f ca="1"/>
        <v>1308.6448400283489</v>
      </c>
      <c r="DQ13" s="466">
        <f ca="1"/>
        <v>0</v>
      </c>
      <c r="DR13" s="466">
        <f ca="1"/>
        <v>0</v>
      </c>
      <c r="DS13" s="157">
        <f ca="1"/>
        <v>0</v>
      </c>
      <c r="DT13" s="157">
        <f ca="1"/>
        <v>0</v>
      </c>
      <c r="DU13" s="157">
        <f ca="1"/>
        <v>0</v>
      </c>
      <c r="DV13" s="157">
        <f ca="1"/>
        <v>0</v>
      </c>
      <c r="DW13" s="468" t="str">
        <f ca="1"/>
        <v>Prim.</v>
      </c>
      <c r="DX13" s="470">
        <f ca="1"/>
        <v>0</v>
      </c>
      <c r="DY13" s="472">
        <f ca="1"/>
        <v>0</v>
      </c>
      <c r="DZ13" s="462">
        <f ca="1"/>
        <v>760.20005913675243</v>
      </c>
      <c r="EA13" s="464">
        <f ca="1"/>
        <v>307.74111196403254</v>
      </c>
      <c r="EB13" s="464">
        <f ca="1"/>
        <v>985.26720939583174</v>
      </c>
      <c r="EC13" s="466">
        <f ca="1"/>
        <v>0</v>
      </c>
      <c r="ED13" s="466">
        <f ca="1"/>
        <v>0</v>
      </c>
      <c r="EE13" s="157">
        <f ca="1"/>
        <v>0</v>
      </c>
      <c r="EF13" s="157">
        <f ca="1"/>
        <v>0</v>
      </c>
      <c r="EG13" s="157">
        <f ca="1"/>
        <v>0</v>
      </c>
      <c r="EH13" s="157">
        <f ca="1"/>
        <v>0</v>
      </c>
      <c r="EI13" s="468" t="str">
        <f ca="1"/>
        <v>Prim.</v>
      </c>
      <c r="EJ13" s="470">
        <f ca="1"/>
        <v>0</v>
      </c>
      <c r="EK13" s="472">
        <f ca="1"/>
        <v>0</v>
      </c>
      <c r="EL13" s="462">
        <f ca="1"/>
        <v>11.448675291335109</v>
      </c>
      <c r="EM13" s="464">
        <f ca="1"/>
        <v>61.305478181647061</v>
      </c>
      <c r="EN13" s="464">
        <f ca="1"/>
        <v>16.466460085879444</v>
      </c>
      <c r="EO13" s="466" t="e">
        <f ca="1"/>
        <v>#DIV/0!</v>
      </c>
      <c r="EP13" s="466">
        <f ca="1"/>
        <v>0</v>
      </c>
      <c r="EQ13" s="157">
        <f ca="1"/>
        <v>0</v>
      </c>
      <c r="ER13" s="157">
        <f ca="1"/>
        <v>0</v>
      </c>
      <c r="ES13" s="157">
        <f ca="1"/>
        <v>0</v>
      </c>
      <c r="ET13" s="157">
        <f ca="1"/>
        <v>0</v>
      </c>
      <c r="EU13" s="468" t="str">
        <f ca="1"/>
        <v>Prim.</v>
      </c>
      <c r="EV13" s="470">
        <f ca="1"/>
        <v>0</v>
      </c>
      <c r="EW13" s="472">
        <f ca="1"/>
        <v>0</v>
      </c>
      <c r="EX13" s="462">
        <f ca="1"/>
        <v>156.93757621276907</v>
      </c>
      <c r="EY13" s="464">
        <f ca="1"/>
        <v>52.378126312028456</v>
      </c>
      <c r="EZ13" s="464">
        <f ca="1"/>
        <v>190.15135421580052</v>
      </c>
      <c r="FA13" s="466">
        <f ca="1"/>
        <v>0</v>
      </c>
      <c r="FB13" s="466">
        <f ca="1"/>
        <v>0</v>
      </c>
      <c r="FC13" s="157">
        <f ca="1"/>
        <v>0</v>
      </c>
      <c r="FD13" s="157">
        <f ca="1"/>
        <v>0</v>
      </c>
      <c r="FE13" s="157">
        <f ca="1"/>
        <v>0</v>
      </c>
      <c r="FF13" s="157">
        <f ca="1"/>
        <v>0</v>
      </c>
      <c r="FG13" s="468" t="str">
        <f ca="1"/>
        <v>Prim.</v>
      </c>
      <c r="FH13" s="470">
        <f ca="1"/>
        <v>0</v>
      </c>
      <c r="FI13" s="472">
        <f ca="1"/>
        <v>0</v>
      </c>
      <c r="FJ13" s="173">
        <f t="shared" ca="1" si="4"/>
        <v>0</v>
      </c>
      <c r="FK13" s="173">
        <f t="shared" ca="1" si="4"/>
        <v>0</v>
      </c>
      <c r="FL13" s="462">
        <f ca="1"/>
        <v>41.540743679999999</v>
      </c>
      <c r="FM13" s="464">
        <f ca="1"/>
        <v>-218.93149729545701</v>
      </c>
      <c r="FN13" s="464">
        <f ca="1"/>
        <v>40.484535999999999</v>
      </c>
      <c r="FO13" s="466">
        <f ca="1"/>
        <v>0</v>
      </c>
      <c r="FP13" s="466">
        <f ca="1"/>
        <v>0</v>
      </c>
      <c r="FQ13" s="157">
        <f ca="1"/>
        <v>0</v>
      </c>
      <c r="FR13" s="157">
        <f ca="1"/>
        <v>0</v>
      </c>
      <c r="FS13" s="157">
        <f ca="1"/>
        <v>0</v>
      </c>
      <c r="FT13" s="468" t="str">
        <f ca="1"/>
        <v>Sec2.</v>
      </c>
      <c r="FU13" s="470">
        <f ca="1"/>
        <v>0</v>
      </c>
      <c r="FV13" s="470">
        <f ca="1"/>
        <v>0</v>
      </c>
      <c r="FW13" s="462">
        <f ca="1"/>
        <v>-42.865544639999996</v>
      </c>
      <c r="FX13" s="464">
        <f ca="1"/>
        <v>11885.344649085386</v>
      </c>
      <c r="FY13" s="464">
        <f ca="1"/>
        <v>14.473816999999997</v>
      </c>
      <c r="FZ13" s="466">
        <f ca="1"/>
        <v>0</v>
      </c>
      <c r="GA13" s="466">
        <f ca="1"/>
        <v>0</v>
      </c>
      <c r="GB13" s="157">
        <f ca="1"/>
        <v>0</v>
      </c>
      <c r="GC13" s="157">
        <f ca="1"/>
        <v>0</v>
      </c>
      <c r="GD13" s="157">
        <f ca="1"/>
        <v>0</v>
      </c>
      <c r="GE13" s="468" t="str">
        <f ca="1"/>
        <v>Sec2.</v>
      </c>
      <c r="GF13" s="470">
        <f ca="1"/>
        <v>0</v>
      </c>
      <c r="GG13" s="470">
        <f ca="1"/>
        <v>0</v>
      </c>
      <c r="GH13" s="173">
        <f t="shared" ca="1" si="2"/>
        <v>0</v>
      </c>
      <c r="GI13" s="173">
        <f t="shared" ca="1" si="2"/>
        <v>0</v>
      </c>
    </row>
    <row r="14" spans="1:191" ht="15">
      <c r="A14" s="380"/>
      <c r="B14" s="169"/>
      <c r="C14" s="87">
        <f>'Oil supply projection'!B14</f>
        <v>2023</v>
      </c>
      <c r="D14" s="460">
        <f ca="1"/>
        <v>0</v>
      </c>
      <c r="E14" s="460">
        <f ca="1"/>
        <v>0</v>
      </c>
      <c r="F14" s="462">
        <f ca="1"/>
        <v>0.50234544081759525</v>
      </c>
      <c r="G14" s="464">
        <f ca="1"/>
        <v>1.9178447692371627</v>
      </c>
      <c r="H14" s="464">
        <f ca="1"/>
        <v>0.52450463624798915</v>
      </c>
      <c r="I14" s="466">
        <f ca="1"/>
        <v>0</v>
      </c>
      <c r="J14" s="466">
        <f ca="1"/>
        <v>0</v>
      </c>
      <c r="K14" s="157">
        <f ca="1"/>
        <v>0</v>
      </c>
      <c r="L14" s="157">
        <f ca="1"/>
        <v>0</v>
      </c>
      <c r="M14" s="157">
        <f ca="1"/>
        <v>0</v>
      </c>
      <c r="N14" s="157">
        <f ca="1"/>
        <v>0</v>
      </c>
      <c r="O14" s="468" t="str">
        <f ca="1"/>
        <v>Prim.</v>
      </c>
      <c r="P14" s="470">
        <f ca="1"/>
        <v>0</v>
      </c>
      <c r="Q14" s="472">
        <f ca="1"/>
        <v>0</v>
      </c>
      <c r="R14" s="462">
        <f ca="1"/>
        <v>0.48950395831394528</v>
      </c>
      <c r="S14" s="464">
        <f ca="1"/>
        <v>1.1634271849541449</v>
      </c>
      <c r="T14" s="464">
        <f ca="1"/>
        <v>0.50729836375201098</v>
      </c>
      <c r="U14" s="466">
        <f ca="1"/>
        <v>0</v>
      </c>
      <c r="V14" s="466">
        <f ca="1"/>
        <v>0</v>
      </c>
      <c r="W14" s="157">
        <f ca="1"/>
        <v>0</v>
      </c>
      <c r="X14" s="157">
        <f ca="1"/>
        <v>0</v>
      </c>
      <c r="Y14" s="157">
        <f ca="1"/>
        <v>0</v>
      </c>
      <c r="Z14" s="157">
        <f ca="1"/>
        <v>0</v>
      </c>
      <c r="AA14" s="468" t="str">
        <f ca="1"/>
        <v>Prim.</v>
      </c>
      <c r="AB14" s="470">
        <f ca="1"/>
        <v>0</v>
      </c>
      <c r="AC14" s="472">
        <f ca="1"/>
        <v>0</v>
      </c>
      <c r="AD14" s="462">
        <f ca="1"/>
        <v>5.3201164800000003</v>
      </c>
      <c r="AE14" s="464">
        <f ca="1"/>
        <v>0.9336211895559019</v>
      </c>
      <c r="AF14" s="464">
        <f ca="1"/>
        <v>5.6083569999999998</v>
      </c>
      <c r="AG14" s="466">
        <f ca="1"/>
        <v>0</v>
      </c>
      <c r="AH14" s="466">
        <f ca="1"/>
        <v>0</v>
      </c>
      <c r="AI14" s="157">
        <f ca="1"/>
        <v>0</v>
      </c>
      <c r="AJ14" s="157">
        <f ca="1"/>
        <v>0</v>
      </c>
      <c r="AK14" s="157">
        <f ca="1"/>
        <v>0</v>
      </c>
      <c r="AL14" s="157">
        <f ca="1"/>
        <v>0</v>
      </c>
      <c r="AM14" s="468" t="str">
        <f ca="1"/>
        <v>Prim.</v>
      </c>
      <c r="AN14" s="470">
        <f ca="1"/>
        <v>0</v>
      </c>
      <c r="AO14" s="472">
        <f ca="1"/>
        <v>0</v>
      </c>
      <c r="AP14" s="462">
        <f ca="1"/>
        <v>12.45755784</v>
      </c>
      <c r="AQ14" s="464">
        <f ca="1"/>
        <v>4.6273994081881122</v>
      </c>
      <c r="AR14" s="464">
        <f ca="1"/>
        <v>13.674638</v>
      </c>
      <c r="AS14" s="466">
        <f ca="1"/>
        <v>0</v>
      </c>
      <c r="AT14" s="466">
        <f ca="1"/>
        <v>0</v>
      </c>
      <c r="AU14" s="157">
        <f ca="1"/>
        <v>0</v>
      </c>
      <c r="AV14" s="157">
        <f ca="1"/>
        <v>0</v>
      </c>
      <c r="AW14" s="157">
        <f ca="1"/>
        <v>0</v>
      </c>
      <c r="AX14" s="157">
        <f ca="1"/>
        <v>0</v>
      </c>
      <c r="AY14" s="468" t="str">
        <f ca="1"/>
        <v>Prim.</v>
      </c>
      <c r="AZ14" s="470">
        <f ca="1"/>
        <v>0</v>
      </c>
      <c r="BA14" s="472">
        <f ca="1"/>
        <v>0</v>
      </c>
      <c r="BB14" s="173">
        <f t="shared" ca="1" si="0"/>
        <v>0</v>
      </c>
      <c r="BC14" s="173">
        <f t="shared" ca="1" si="1"/>
        <v>0</v>
      </c>
      <c r="BD14" s="462">
        <f ca="1"/>
        <v>4.7082978499999992</v>
      </c>
      <c r="BE14" s="464">
        <f ca="1"/>
        <v>0.4767476775337407</v>
      </c>
      <c r="BF14" s="464">
        <f ca="1"/>
        <v>4.9917720000000001</v>
      </c>
      <c r="BG14" s="466">
        <f ca="1"/>
        <v>0</v>
      </c>
      <c r="BH14" s="466">
        <f ca="1"/>
        <v>0</v>
      </c>
      <c r="BI14" s="157">
        <f ca="1"/>
        <v>0</v>
      </c>
      <c r="BJ14" s="157">
        <f ca="1"/>
        <v>0</v>
      </c>
      <c r="BK14" s="157">
        <f ca="1"/>
        <v>0</v>
      </c>
      <c r="BL14" s="157">
        <f ca="1"/>
        <v>0</v>
      </c>
      <c r="BM14" s="468" t="str">
        <f ca="1"/>
        <v>Prim.</v>
      </c>
      <c r="BN14" s="470">
        <f ca="1"/>
        <v>0</v>
      </c>
      <c r="BO14" s="472">
        <f ca="1"/>
        <v>0</v>
      </c>
      <c r="BP14" s="462">
        <f ca="1"/>
        <v>3.32875488</v>
      </c>
      <c r="BQ14" s="464">
        <f ca="1"/>
        <v>0.23850624678215041</v>
      </c>
      <c r="BR14" s="464">
        <f ca="1"/>
        <v>3.4746320000000002</v>
      </c>
      <c r="BS14" s="466">
        <f ca="1"/>
        <v>0</v>
      </c>
      <c r="BT14" s="466">
        <f ca="1"/>
        <v>0</v>
      </c>
      <c r="BU14" s="157">
        <f ca="1"/>
        <v>0</v>
      </c>
      <c r="BV14" s="157">
        <f ca="1"/>
        <v>0</v>
      </c>
      <c r="BW14" s="157">
        <f ca="1"/>
        <v>0</v>
      </c>
      <c r="BX14" s="157">
        <f ca="1"/>
        <v>0</v>
      </c>
      <c r="BY14" s="468" t="str">
        <f ca="1"/>
        <v>Prim.</v>
      </c>
      <c r="BZ14" s="470">
        <f ca="1"/>
        <v>0</v>
      </c>
      <c r="CA14" s="472">
        <f ca="1"/>
        <v>0</v>
      </c>
      <c r="CB14" s="462">
        <f ca="1"/>
        <v>10.060934400000001</v>
      </c>
      <c r="CC14" s="464">
        <f ca="1"/>
        <v>0.36100650917700655</v>
      </c>
      <c r="CD14" s="464">
        <f ca="1"/>
        <v>10.226868</v>
      </c>
      <c r="CE14" s="466">
        <f ca="1"/>
        <v>0</v>
      </c>
      <c r="CF14" s="466">
        <f ca="1"/>
        <v>0</v>
      </c>
      <c r="CG14" s="157">
        <f ca="1"/>
        <v>0</v>
      </c>
      <c r="CH14" s="157">
        <f ca="1"/>
        <v>0</v>
      </c>
      <c r="CI14" s="157">
        <f ca="1"/>
        <v>0</v>
      </c>
      <c r="CJ14" s="157">
        <f ca="1"/>
        <v>0</v>
      </c>
      <c r="CK14" s="468" t="str">
        <f ca="1"/>
        <v>Prim.</v>
      </c>
      <c r="CL14" s="470">
        <f ca="1"/>
        <v>0</v>
      </c>
      <c r="CM14" s="472">
        <f ca="1"/>
        <v>0</v>
      </c>
      <c r="CN14" s="462">
        <f ca="1"/>
        <v>1.1899415</v>
      </c>
      <c r="CO14" s="464">
        <f ca="1"/>
        <v>0.40707749564299983</v>
      </c>
      <c r="CP14" s="464">
        <f ca="1"/>
        <v>1.267272</v>
      </c>
      <c r="CQ14" s="466" t="e">
        <f ca="1"/>
        <v>#DIV/0!</v>
      </c>
      <c r="CR14" s="466">
        <f ca="1"/>
        <v>0</v>
      </c>
      <c r="CS14" s="157">
        <f ca="1"/>
        <v>0</v>
      </c>
      <c r="CT14" s="157">
        <f ca="1"/>
        <v>0</v>
      </c>
      <c r="CU14" s="157">
        <f ca="1"/>
        <v>0</v>
      </c>
      <c r="CV14" s="157">
        <f ca="1"/>
        <v>0</v>
      </c>
      <c r="CW14" s="468" t="str">
        <f ca="1"/>
        <v>Prim.</v>
      </c>
      <c r="CX14" s="470">
        <f ca="1"/>
        <v>0</v>
      </c>
      <c r="CY14" s="472">
        <f ca="1"/>
        <v>0</v>
      </c>
      <c r="CZ14" s="173">
        <f t="shared" ca="1" si="3"/>
        <v>0</v>
      </c>
      <c r="DA14" s="173">
        <f t="shared" ca="1" si="3"/>
        <v>0</v>
      </c>
      <c r="DB14" s="462">
        <f ca="1"/>
        <v>1319.5351793467248</v>
      </c>
      <c r="DC14" s="464">
        <f ca="1"/>
        <v>226.89244612922241</v>
      </c>
      <c r="DD14" s="464">
        <f ca="1"/>
        <v>1430.9564471766626</v>
      </c>
      <c r="DE14" s="466">
        <f ca="1"/>
        <v>0</v>
      </c>
      <c r="DF14" s="466">
        <f ca="1"/>
        <v>0</v>
      </c>
      <c r="DG14" s="157">
        <f ca="1"/>
        <v>0</v>
      </c>
      <c r="DH14" s="157">
        <f ca="1"/>
        <v>0</v>
      </c>
      <c r="DI14" s="157">
        <f ca="1"/>
        <v>0</v>
      </c>
      <c r="DJ14" s="157">
        <f ca="1"/>
        <v>0</v>
      </c>
      <c r="DK14" s="468" t="str">
        <f ca="1"/>
        <v>Prim.</v>
      </c>
      <c r="DL14" s="470">
        <f ca="1"/>
        <v>0</v>
      </c>
      <c r="DM14" s="472">
        <f ca="1"/>
        <v>0</v>
      </c>
      <c r="DN14" s="462">
        <f ca="1"/>
        <v>1177.780356025514</v>
      </c>
      <c r="DO14" s="464">
        <f ca="1"/>
        <v>144.34772072698118</v>
      </c>
      <c r="DP14" s="464">
        <f ca="1"/>
        <v>1281.3439902322871</v>
      </c>
      <c r="DQ14" s="466">
        <f ca="1"/>
        <v>0</v>
      </c>
      <c r="DR14" s="466">
        <f ca="1"/>
        <v>0</v>
      </c>
      <c r="DS14" s="157">
        <f ca="1"/>
        <v>0</v>
      </c>
      <c r="DT14" s="157">
        <f ca="1"/>
        <v>0</v>
      </c>
      <c r="DU14" s="157">
        <f ca="1"/>
        <v>0</v>
      </c>
      <c r="DV14" s="157">
        <f ca="1"/>
        <v>0</v>
      </c>
      <c r="DW14" s="468" t="str">
        <f ca="1"/>
        <v>Prim.</v>
      </c>
      <c r="DX14" s="470">
        <f ca="1"/>
        <v>0</v>
      </c>
      <c r="DY14" s="472">
        <f ca="1"/>
        <v>0</v>
      </c>
      <c r="DZ14" s="462">
        <f ca="1"/>
        <v>788.21376751666548</v>
      </c>
      <c r="EA14" s="464">
        <f ca="1"/>
        <v>266.8138528721675</v>
      </c>
      <c r="EB14" s="464">
        <f ca="1"/>
        <v>983.95890302468922</v>
      </c>
      <c r="EC14" s="466">
        <f ca="1"/>
        <v>0</v>
      </c>
      <c r="ED14" s="466">
        <f ca="1"/>
        <v>0</v>
      </c>
      <c r="EE14" s="157">
        <f ca="1"/>
        <v>0</v>
      </c>
      <c r="EF14" s="157">
        <f ca="1"/>
        <v>0</v>
      </c>
      <c r="EG14" s="157">
        <f ca="1"/>
        <v>0</v>
      </c>
      <c r="EH14" s="157">
        <f ca="1"/>
        <v>0</v>
      </c>
      <c r="EI14" s="468" t="str">
        <f ca="1"/>
        <v>Prim.</v>
      </c>
      <c r="EJ14" s="470">
        <f ca="1"/>
        <v>0</v>
      </c>
      <c r="EK14" s="472">
        <f ca="1"/>
        <v>0</v>
      </c>
      <c r="EL14" s="462">
        <f ca="1"/>
        <v>14.8198140772915</v>
      </c>
      <c r="EM14" s="464">
        <f ca="1"/>
        <v>59.994194077647521</v>
      </c>
      <c r="EN14" s="464">
        <f ca="1"/>
        <v>19.854473008881111</v>
      </c>
      <c r="EO14" s="466" t="e">
        <f ca="1"/>
        <v>#DIV/0!</v>
      </c>
      <c r="EP14" s="466">
        <f ca="1"/>
        <v>0</v>
      </c>
      <c r="EQ14" s="157">
        <f ca="1"/>
        <v>0</v>
      </c>
      <c r="ER14" s="157">
        <f ca="1"/>
        <v>0</v>
      </c>
      <c r="ES14" s="157">
        <f ca="1"/>
        <v>0</v>
      </c>
      <c r="ET14" s="157">
        <f ca="1"/>
        <v>0</v>
      </c>
      <c r="EU14" s="468" t="str">
        <f ca="1"/>
        <v>Prim.</v>
      </c>
      <c r="EV14" s="470">
        <f ca="1"/>
        <v>0</v>
      </c>
      <c r="EW14" s="472">
        <f ca="1"/>
        <v>0</v>
      </c>
      <c r="EX14" s="462">
        <f ca="1"/>
        <v>171.13621879422047</v>
      </c>
      <c r="EY14" s="464">
        <f ca="1"/>
        <v>42.202885820351263</v>
      </c>
      <c r="EZ14" s="464">
        <f ca="1"/>
        <v>198.01965755747912</v>
      </c>
      <c r="FA14" s="466">
        <f ca="1"/>
        <v>0</v>
      </c>
      <c r="FB14" s="466">
        <f ca="1"/>
        <v>0</v>
      </c>
      <c r="FC14" s="157">
        <f ca="1"/>
        <v>0</v>
      </c>
      <c r="FD14" s="157">
        <f ca="1"/>
        <v>0</v>
      </c>
      <c r="FE14" s="157">
        <f ca="1"/>
        <v>0</v>
      </c>
      <c r="FF14" s="157">
        <f ca="1"/>
        <v>0</v>
      </c>
      <c r="FG14" s="468" t="str">
        <f ca="1"/>
        <v>Prim.</v>
      </c>
      <c r="FH14" s="470">
        <f ca="1"/>
        <v>0</v>
      </c>
      <c r="FI14" s="472">
        <f ca="1"/>
        <v>0</v>
      </c>
      <c r="FJ14" s="173">
        <f t="shared" ca="1" si="4"/>
        <v>0</v>
      </c>
      <c r="FK14" s="173">
        <f t="shared" ca="1" si="4"/>
        <v>0</v>
      </c>
      <c r="FL14" s="462">
        <f ca="1"/>
        <v>38.865154560000001</v>
      </c>
      <c r="FM14" s="464">
        <f ca="1"/>
        <v>-133.85432747879182</v>
      </c>
      <c r="FN14" s="464">
        <f ca="1"/>
        <v>38.204970000000003</v>
      </c>
      <c r="FO14" s="466">
        <f ca="1"/>
        <v>0</v>
      </c>
      <c r="FP14" s="466">
        <f ca="1"/>
        <v>0</v>
      </c>
      <c r="FQ14" s="157">
        <f ca="1"/>
        <v>0</v>
      </c>
      <c r="FR14" s="157">
        <f ca="1"/>
        <v>0</v>
      </c>
      <c r="FS14" s="157">
        <f ca="1"/>
        <v>0</v>
      </c>
      <c r="FT14" s="468" t="str">
        <f ca="1"/>
        <v>Sec2.</v>
      </c>
      <c r="FU14" s="470">
        <f ca="1"/>
        <v>0</v>
      </c>
      <c r="FV14" s="470">
        <f ca="1"/>
        <v>0</v>
      </c>
      <c r="FW14" s="462">
        <f ca="1"/>
        <v>13.894864319999996</v>
      </c>
      <c r="FX14" s="464">
        <f ca="1"/>
        <v>2217.5328262384569</v>
      </c>
      <c r="FY14" s="464">
        <f ca="1"/>
        <v>24.831984999999996</v>
      </c>
      <c r="FZ14" s="466">
        <f ca="1"/>
        <v>0</v>
      </c>
      <c r="GA14" s="466">
        <f ca="1"/>
        <v>0</v>
      </c>
      <c r="GB14" s="157">
        <f ca="1"/>
        <v>0</v>
      </c>
      <c r="GC14" s="157">
        <f ca="1"/>
        <v>0</v>
      </c>
      <c r="GD14" s="157">
        <f ca="1"/>
        <v>0</v>
      </c>
      <c r="GE14" s="468" t="str">
        <f ca="1"/>
        <v>Sec2.</v>
      </c>
      <c r="GF14" s="470">
        <f ca="1"/>
        <v>0</v>
      </c>
      <c r="GG14" s="470">
        <f ca="1"/>
        <v>0</v>
      </c>
      <c r="GH14" s="173">
        <f t="shared" ca="1" si="2"/>
        <v>0</v>
      </c>
      <c r="GI14" s="173">
        <f t="shared" ca="1" si="2"/>
        <v>0</v>
      </c>
    </row>
    <row r="15" spans="1:191" ht="15">
      <c r="A15" s="168"/>
      <c r="B15" s="169"/>
      <c r="C15" s="87">
        <f>'Oil supply projection'!B15</f>
        <v>2024</v>
      </c>
      <c r="D15" s="460">
        <f ca="1"/>
        <v>0</v>
      </c>
      <c r="E15" s="460">
        <f ca="1"/>
        <v>0</v>
      </c>
      <c r="F15" s="462">
        <f ca="1"/>
        <v>0.4930343580731098</v>
      </c>
      <c r="G15" s="464">
        <f ca="1"/>
        <v>-1.7187580871660397</v>
      </c>
      <c r="H15" s="464">
        <f ca="1"/>
        <v>0.47464441625052495</v>
      </c>
      <c r="I15" s="466">
        <f ca="1"/>
        <v>0</v>
      </c>
      <c r="J15" s="466">
        <f ca="1"/>
        <v>0</v>
      </c>
      <c r="K15" s="157">
        <f ca="1"/>
        <v>0</v>
      </c>
      <c r="L15" s="157">
        <f ca="1"/>
        <v>0</v>
      </c>
      <c r="M15" s="157">
        <f ca="1"/>
        <v>0</v>
      </c>
      <c r="N15" s="157">
        <f ca="1"/>
        <v>0</v>
      </c>
      <c r="O15" s="468" t="str">
        <f ca="1"/>
        <v>Prim.</v>
      </c>
      <c r="P15" s="470">
        <f ca="1"/>
        <v>0</v>
      </c>
      <c r="Q15" s="472">
        <f ca="1"/>
        <v>0</v>
      </c>
      <c r="R15" s="462">
        <f ca="1"/>
        <v>0.48700642920193055</v>
      </c>
      <c r="S15" s="464">
        <f ca="1"/>
        <v>0.95728619926034197</v>
      </c>
      <c r="T15" s="464">
        <f ca="1"/>
        <v>0.50063058374947489</v>
      </c>
      <c r="U15" s="466">
        <f ca="1"/>
        <v>0</v>
      </c>
      <c r="V15" s="466">
        <f ca="1"/>
        <v>0</v>
      </c>
      <c r="W15" s="157">
        <f ca="1"/>
        <v>0</v>
      </c>
      <c r="X15" s="157">
        <f ca="1"/>
        <v>0</v>
      </c>
      <c r="Y15" s="157">
        <f ca="1"/>
        <v>0</v>
      </c>
      <c r="Z15" s="157">
        <f ca="1"/>
        <v>0</v>
      </c>
      <c r="AA15" s="468" t="str">
        <f ca="1"/>
        <v>Prim.</v>
      </c>
      <c r="AB15" s="470">
        <f ca="1"/>
        <v>0</v>
      </c>
      <c r="AC15" s="472">
        <f ca="1"/>
        <v>0</v>
      </c>
      <c r="AD15" s="462">
        <f ca="1"/>
        <v>5.3840227199999999</v>
      </c>
      <c r="AE15" s="464">
        <f ca="1"/>
        <v>0.32198207010565971</v>
      </c>
      <c r="AF15" s="464">
        <f ca="1"/>
        <v>5.4814369999999997</v>
      </c>
      <c r="AG15" s="466">
        <f ca="1"/>
        <v>0</v>
      </c>
      <c r="AH15" s="466">
        <f ca="1"/>
        <v>0</v>
      </c>
      <c r="AI15" s="157">
        <f ca="1"/>
        <v>0</v>
      </c>
      <c r="AJ15" s="157">
        <f ca="1"/>
        <v>0</v>
      </c>
      <c r="AK15" s="157">
        <f ca="1"/>
        <v>0</v>
      </c>
      <c r="AL15" s="157">
        <f ca="1"/>
        <v>0</v>
      </c>
      <c r="AM15" s="468" t="str">
        <f ca="1"/>
        <v>Prim.</v>
      </c>
      <c r="AN15" s="470">
        <f ca="1"/>
        <v>0</v>
      </c>
      <c r="AO15" s="472">
        <f ca="1"/>
        <v>0</v>
      </c>
      <c r="AP15" s="462">
        <f ca="1"/>
        <v>12.44392058</v>
      </c>
      <c r="AQ15" s="464">
        <f ca="1"/>
        <v>4.1191303514958229</v>
      </c>
      <c r="AR15" s="464">
        <f ca="1"/>
        <v>13.502675</v>
      </c>
      <c r="AS15" s="466">
        <f ca="1"/>
        <v>0</v>
      </c>
      <c r="AT15" s="466">
        <f ca="1"/>
        <v>0</v>
      </c>
      <c r="AU15" s="157">
        <f ca="1"/>
        <v>0</v>
      </c>
      <c r="AV15" s="157">
        <f ca="1"/>
        <v>0</v>
      </c>
      <c r="AW15" s="157">
        <f ca="1"/>
        <v>0</v>
      </c>
      <c r="AX15" s="157">
        <f ca="1"/>
        <v>0</v>
      </c>
      <c r="AY15" s="468" t="str">
        <f ca="1"/>
        <v>Prim.</v>
      </c>
      <c r="AZ15" s="470">
        <f ca="1"/>
        <v>0</v>
      </c>
      <c r="BA15" s="472">
        <f ca="1"/>
        <v>0</v>
      </c>
      <c r="BB15" s="173">
        <f t="shared" ca="1" si="0"/>
        <v>0</v>
      </c>
      <c r="BC15" s="173">
        <f t="shared" ca="1" si="1"/>
        <v>0</v>
      </c>
      <c r="BD15" s="462">
        <f ca="1"/>
        <v>4.7421834</v>
      </c>
      <c r="BE15" s="464">
        <f ca="1"/>
        <v>2.595980119776441E-2</v>
      </c>
      <c r="BF15" s="464">
        <f ca="1"/>
        <v>4.7589079999999999</v>
      </c>
      <c r="BG15" s="466">
        <f ca="1"/>
        <v>0</v>
      </c>
      <c r="BH15" s="466">
        <f ca="1"/>
        <v>0</v>
      </c>
      <c r="BI15" s="157">
        <f ca="1"/>
        <v>0</v>
      </c>
      <c r="BJ15" s="157">
        <f ca="1"/>
        <v>0</v>
      </c>
      <c r="BK15" s="157">
        <f ca="1"/>
        <v>0</v>
      </c>
      <c r="BL15" s="157">
        <f ca="1"/>
        <v>0</v>
      </c>
      <c r="BM15" s="468" t="str">
        <f ca="1"/>
        <v>Prim.</v>
      </c>
      <c r="BN15" s="470">
        <f ca="1"/>
        <v>0</v>
      </c>
      <c r="BO15" s="472">
        <f ca="1"/>
        <v>0</v>
      </c>
      <c r="BP15" s="462">
        <f ca="1"/>
        <v>3.3356467200000002</v>
      </c>
      <c r="BQ15" s="464">
        <f ca="1"/>
        <v>5.3983359812156191E-2</v>
      </c>
      <c r="BR15" s="464">
        <f ca="1"/>
        <v>3.3712659999999999</v>
      </c>
      <c r="BS15" s="466">
        <f ca="1"/>
        <v>0</v>
      </c>
      <c r="BT15" s="466">
        <f ca="1"/>
        <v>0</v>
      </c>
      <c r="BU15" s="157">
        <f ca="1"/>
        <v>0</v>
      </c>
      <c r="BV15" s="157">
        <f ca="1"/>
        <v>0</v>
      </c>
      <c r="BW15" s="157">
        <f ca="1"/>
        <v>0</v>
      </c>
      <c r="BX15" s="157">
        <f ca="1"/>
        <v>0</v>
      </c>
      <c r="BY15" s="468" t="str">
        <f ca="1"/>
        <v>Prim.</v>
      </c>
      <c r="BZ15" s="470">
        <f ca="1"/>
        <v>0</v>
      </c>
      <c r="CA15" s="472">
        <f ca="1"/>
        <v>0</v>
      </c>
      <c r="CB15" s="462">
        <f ca="1"/>
        <v>9.8177932800000001</v>
      </c>
      <c r="CC15" s="464">
        <f ca="1"/>
        <v>0.60429809652309696</v>
      </c>
      <c r="CD15" s="464">
        <f ca="1"/>
        <v>10.130940000000001</v>
      </c>
      <c r="CE15" s="466">
        <f ca="1"/>
        <v>0</v>
      </c>
      <c r="CF15" s="466">
        <f ca="1"/>
        <v>0</v>
      </c>
      <c r="CG15" s="157">
        <f ca="1"/>
        <v>0</v>
      </c>
      <c r="CH15" s="157">
        <f ca="1"/>
        <v>0</v>
      </c>
      <c r="CI15" s="157">
        <f ca="1"/>
        <v>0</v>
      </c>
      <c r="CJ15" s="157">
        <f ca="1"/>
        <v>0</v>
      </c>
      <c r="CK15" s="468" t="str">
        <f ca="1"/>
        <v>Prim.</v>
      </c>
      <c r="CL15" s="470">
        <f ca="1"/>
        <v>0</v>
      </c>
      <c r="CM15" s="472">
        <f ca="1"/>
        <v>0</v>
      </c>
      <c r="CN15" s="462">
        <f ca="1"/>
        <v>1.1616659999999999</v>
      </c>
      <c r="CO15" s="464">
        <f ca="1"/>
        <v>0.25518788981400031</v>
      </c>
      <c r="CP15" s="464">
        <f ca="1"/>
        <v>1.2242999999999999</v>
      </c>
      <c r="CQ15" s="466" t="e">
        <f ca="1"/>
        <v>#DIV/0!</v>
      </c>
      <c r="CR15" s="466">
        <f ca="1"/>
        <v>0</v>
      </c>
      <c r="CS15" s="157">
        <f ca="1"/>
        <v>0</v>
      </c>
      <c r="CT15" s="157">
        <f ca="1"/>
        <v>0</v>
      </c>
      <c r="CU15" s="157">
        <f ca="1"/>
        <v>0</v>
      </c>
      <c r="CV15" s="157">
        <f ca="1"/>
        <v>0</v>
      </c>
      <c r="CW15" s="468" t="str">
        <f ca="1"/>
        <v>Prim.</v>
      </c>
      <c r="CX15" s="470">
        <f ca="1"/>
        <v>0</v>
      </c>
      <c r="CY15" s="472">
        <f ca="1"/>
        <v>0</v>
      </c>
      <c r="CZ15" s="173">
        <f t="shared" ca="1" si="3"/>
        <v>0</v>
      </c>
      <c r="DA15" s="173">
        <f t="shared" ca="1" si="3"/>
        <v>0</v>
      </c>
      <c r="DB15" s="462">
        <f ca="1"/>
        <v>1287.8608024589964</v>
      </c>
      <c r="DC15" s="464">
        <f ca="1"/>
        <v>319.62435227951619</v>
      </c>
      <c r="DD15" s="464">
        <f ca="1"/>
        <v>1446.5406666985562</v>
      </c>
      <c r="DE15" s="466">
        <f ca="1"/>
        <v>0</v>
      </c>
      <c r="DF15" s="466">
        <f ca="1"/>
        <v>0</v>
      </c>
      <c r="DG15" s="157">
        <f ca="1"/>
        <v>0</v>
      </c>
      <c r="DH15" s="157">
        <f ca="1"/>
        <v>0</v>
      </c>
      <c r="DI15" s="157">
        <f ca="1"/>
        <v>0</v>
      </c>
      <c r="DJ15" s="157">
        <f ca="1"/>
        <v>0</v>
      </c>
      <c r="DK15" s="468" t="str">
        <f ca="1"/>
        <v>Prim.</v>
      </c>
      <c r="DL15" s="470">
        <f ca="1"/>
        <v>0</v>
      </c>
      <c r="DM15" s="472">
        <f ca="1"/>
        <v>0</v>
      </c>
      <c r="DN15" s="462">
        <f ca="1"/>
        <v>1153.2095912090583</v>
      </c>
      <c r="DO15" s="464">
        <f ca="1"/>
        <v>183.92410394488172</v>
      </c>
      <c r="DP15" s="464">
        <f ca="1"/>
        <v>1285.8409605801696</v>
      </c>
      <c r="DQ15" s="466">
        <f ca="1"/>
        <v>0</v>
      </c>
      <c r="DR15" s="466">
        <f ca="1"/>
        <v>0</v>
      </c>
      <c r="DS15" s="157">
        <f ca="1"/>
        <v>0</v>
      </c>
      <c r="DT15" s="157">
        <f ca="1"/>
        <v>0</v>
      </c>
      <c r="DU15" s="157">
        <f ca="1"/>
        <v>0</v>
      </c>
      <c r="DV15" s="157">
        <f ca="1"/>
        <v>0</v>
      </c>
      <c r="DW15" s="468" t="str">
        <f ca="1"/>
        <v>Prim.</v>
      </c>
      <c r="DX15" s="470">
        <f ca="1"/>
        <v>0</v>
      </c>
      <c r="DY15" s="472">
        <f ca="1"/>
        <v>0</v>
      </c>
      <c r="DZ15" s="462">
        <f ca="1"/>
        <v>787.16712241975142</v>
      </c>
      <c r="EA15" s="464">
        <f ca="1"/>
        <v>255.11672076744637</v>
      </c>
      <c r="EB15" s="464">
        <f ca="1"/>
        <v>975.22144967348515</v>
      </c>
      <c r="EC15" s="466">
        <f ca="1"/>
        <v>0</v>
      </c>
      <c r="ED15" s="466">
        <f ca="1"/>
        <v>0</v>
      </c>
      <c r="EE15" s="157">
        <f ca="1"/>
        <v>0</v>
      </c>
      <c r="EF15" s="157">
        <f ca="1"/>
        <v>0</v>
      </c>
      <c r="EG15" s="157">
        <f ca="1"/>
        <v>0</v>
      </c>
      <c r="EH15" s="157">
        <f ca="1"/>
        <v>0</v>
      </c>
      <c r="EI15" s="468" t="str">
        <f ca="1"/>
        <v>Prim.</v>
      </c>
      <c r="EJ15" s="470">
        <f ca="1"/>
        <v>0</v>
      </c>
      <c r="EK15" s="472">
        <f ca="1"/>
        <v>0</v>
      </c>
      <c r="EL15" s="462">
        <f ca="1"/>
        <v>17.869025707993</v>
      </c>
      <c r="EM15" s="464">
        <f ca="1"/>
        <v>70.242749555946745</v>
      </c>
      <c r="EN15" s="464">
        <f ca="1"/>
        <v>23.991920004331117</v>
      </c>
      <c r="EO15" s="466" t="e">
        <f ca="1"/>
        <v>#DIV/0!</v>
      </c>
      <c r="EP15" s="466">
        <f ca="1"/>
        <v>0</v>
      </c>
      <c r="EQ15" s="157">
        <f ca="1"/>
        <v>0</v>
      </c>
      <c r="ER15" s="157">
        <f ca="1"/>
        <v>0</v>
      </c>
      <c r="ES15" s="157">
        <f ca="1"/>
        <v>0</v>
      </c>
      <c r="ET15" s="157">
        <f ca="1"/>
        <v>0</v>
      </c>
      <c r="EU15" s="468" t="str">
        <f ca="1"/>
        <v>Prim.</v>
      </c>
      <c r="EV15" s="470">
        <f ca="1"/>
        <v>0</v>
      </c>
      <c r="EW15" s="472">
        <f ca="1"/>
        <v>0</v>
      </c>
      <c r="EX15" s="462">
        <f ca="1"/>
        <v>178.21769180173121</v>
      </c>
      <c r="EY15" s="464">
        <f ca="1"/>
        <v>60.116434615167641</v>
      </c>
      <c r="EZ15" s="464">
        <f ca="1"/>
        <v>216.777767043458</v>
      </c>
      <c r="FA15" s="466">
        <f ca="1"/>
        <v>0</v>
      </c>
      <c r="FB15" s="466">
        <f ca="1"/>
        <v>0</v>
      </c>
      <c r="FC15" s="157">
        <f ca="1"/>
        <v>0</v>
      </c>
      <c r="FD15" s="157">
        <f ca="1"/>
        <v>0</v>
      </c>
      <c r="FE15" s="157">
        <f ca="1"/>
        <v>0</v>
      </c>
      <c r="FF15" s="157">
        <f ca="1"/>
        <v>0</v>
      </c>
      <c r="FG15" s="468" t="str">
        <f ca="1"/>
        <v>Prim.</v>
      </c>
      <c r="FH15" s="470">
        <f ca="1"/>
        <v>0</v>
      </c>
      <c r="FI15" s="472">
        <f ca="1"/>
        <v>0</v>
      </c>
      <c r="FJ15" s="173">
        <f t="shared" ca="1" si="4"/>
        <v>0</v>
      </c>
      <c r="FK15" s="173">
        <f t="shared" ca="1" si="4"/>
        <v>0</v>
      </c>
      <c r="FL15" s="462">
        <f ca="1"/>
        <v>36.676771200000005</v>
      </c>
      <c r="FM15" s="464">
        <f ca="1"/>
        <v>479.01490128164562</v>
      </c>
      <c r="FN15" s="464">
        <f ca="1"/>
        <v>38.801312000000003</v>
      </c>
      <c r="FO15" s="466">
        <f ca="1"/>
        <v>0</v>
      </c>
      <c r="FP15" s="466">
        <f ca="1"/>
        <v>0</v>
      </c>
      <c r="FQ15" s="157">
        <f ca="1"/>
        <v>0</v>
      </c>
      <c r="FR15" s="157">
        <f ca="1"/>
        <v>0</v>
      </c>
      <c r="FS15" s="157">
        <f ca="1"/>
        <v>0</v>
      </c>
      <c r="FT15" s="468" t="str">
        <f ca="1"/>
        <v>Sec2.</v>
      </c>
      <c r="FU15" s="470">
        <f ca="1"/>
        <v>0</v>
      </c>
      <c r="FV15" s="470">
        <f ca="1"/>
        <v>0</v>
      </c>
      <c r="FW15" s="462">
        <f ca="1"/>
        <v>23.838705599999994</v>
      </c>
      <c r="FX15" s="464">
        <f ca="1"/>
        <v>-7262.2566548396553</v>
      </c>
      <c r="FY15" s="464">
        <f ca="1"/>
        <v>-8.3710660000000026</v>
      </c>
      <c r="FZ15" s="466">
        <f ca="1"/>
        <v>0</v>
      </c>
      <c r="GA15" s="466">
        <f ca="1"/>
        <v>0</v>
      </c>
      <c r="GB15" s="157">
        <f ca="1"/>
        <v>0</v>
      </c>
      <c r="GC15" s="157">
        <f ca="1"/>
        <v>0</v>
      </c>
      <c r="GD15" s="157">
        <f ca="1"/>
        <v>0</v>
      </c>
      <c r="GE15" s="468" t="str">
        <f ca="1"/>
        <v>Sec2.</v>
      </c>
      <c r="GF15" s="470">
        <f ca="1"/>
        <v>0</v>
      </c>
      <c r="GG15" s="470">
        <f ca="1"/>
        <v>0</v>
      </c>
      <c r="GH15" s="173">
        <f t="shared" ca="1" si="2"/>
        <v>0</v>
      </c>
      <c r="GI15" s="173">
        <f t="shared" ca="1" si="2"/>
        <v>0</v>
      </c>
    </row>
    <row r="16" spans="1:191" ht="15">
      <c r="A16" s="378" t="s">
        <v>822</v>
      </c>
      <c r="B16" s="169"/>
      <c r="C16" s="87">
        <f>'Oil supply projection'!B16</f>
        <v>2025</v>
      </c>
      <c r="D16" s="460">
        <f ca="1"/>
        <v>0</v>
      </c>
      <c r="E16" s="460">
        <f ca="1"/>
        <v>0</v>
      </c>
      <c r="F16" s="462">
        <f ca="1"/>
        <v>0.44616575127549341</v>
      </c>
      <c r="G16" s="464">
        <f ca="1"/>
        <v>2.0339605956354703</v>
      </c>
      <c r="H16" s="464">
        <f ca="1"/>
        <v>0.46978633211015519</v>
      </c>
      <c r="I16" s="466">
        <f ca="1"/>
        <v>0</v>
      </c>
      <c r="J16" s="466">
        <f ca="1"/>
        <v>0</v>
      </c>
      <c r="K16" s="157">
        <f ca="1"/>
        <v>0</v>
      </c>
      <c r="L16" s="157">
        <f ca="1"/>
        <v>0</v>
      </c>
      <c r="M16" s="157">
        <f ca="1"/>
        <v>0</v>
      </c>
      <c r="N16" s="157">
        <f ca="1"/>
        <v>0</v>
      </c>
      <c r="O16" s="468" t="str">
        <f ca="1"/>
        <v>Prim.</v>
      </c>
      <c r="P16" s="470">
        <f ca="1"/>
        <v>0</v>
      </c>
      <c r="Q16" s="472">
        <f ca="1"/>
        <v>0</v>
      </c>
      <c r="R16" s="462">
        <f ca="1"/>
        <v>0.48060536039949586</v>
      </c>
      <c r="S16" s="464">
        <f ca="1"/>
        <v>1.4868257043583823</v>
      </c>
      <c r="T16" s="464">
        <f ca="1"/>
        <v>0.50345466788984483</v>
      </c>
      <c r="U16" s="466">
        <f ca="1"/>
        <v>0</v>
      </c>
      <c r="V16" s="466">
        <f ca="1"/>
        <v>0</v>
      </c>
      <c r="W16" s="157">
        <f ca="1"/>
        <v>0</v>
      </c>
      <c r="X16" s="157">
        <f ca="1"/>
        <v>0</v>
      </c>
      <c r="Y16" s="157">
        <f ca="1"/>
        <v>0</v>
      </c>
      <c r="Z16" s="157">
        <f ca="1"/>
        <v>0</v>
      </c>
      <c r="AA16" s="468" t="str">
        <f ca="1"/>
        <v>Prim.</v>
      </c>
      <c r="AB16" s="470">
        <f ca="1"/>
        <v>0</v>
      </c>
      <c r="AC16" s="472">
        <f ca="1"/>
        <v>0</v>
      </c>
      <c r="AD16" s="462">
        <f ca="1"/>
        <v>5.2621795199999992</v>
      </c>
      <c r="AE16" s="464">
        <f ca="1"/>
        <v>1.0435643926017923</v>
      </c>
      <c r="AF16" s="464">
        <f ca="1"/>
        <v>5.5847949999999997</v>
      </c>
      <c r="AG16" s="466">
        <f ca="1"/>
        <v>0</v>
      </c>
      <c r="AH16" s="466">
        <f ca="1"/>
        <v>0</v>
      </c>
      <c r="AI16" s="157">
        <f ca="1"/>
        <v>0</v>
      </c>
      <c r="AJ16" s="157">
        <f ca="1"/>
        <v>0</v>
      </c>
      <c r="AK16" s="157">
        <f ca="1"/>
        <v>0</v>
      </c>
      <c r="AL16" s="157">
        <f ca="1"/>
        <v>0</v>
      </c>
      <c r="AM16" s="468" t="str">
        <f ca="1"/>
        <v>Prim.</v>
      </c>
      <c r="AN16" s="470">
        <f ca="1"/>
        <v>0</v>
      </c>
      <c r="AO16" s="472">
        <f ca="1"/>
        <v>0</v>
      </c>
      <c r="AP16" s="462">
        <f ca="1"/>
        <v>12.28743425</v>
      </c>
      <c r="AQ16" s="464">
        <f ca="1"/>
        <v>4.0197192813630513</v>
      </c>
      <c r="AR16" s="464">
        <f ca="1"/>
        <v>13.346295</v>
      </c>
      <c r="AS16" s="466">
        <f ca="1"/>
        <v>0</v>
      </c>
      <c r="AT16" s="466">
        <f ca="1"/>
        <v>0</v>
      </c>
      <c r="AU16" s="157">
        <f ca="1"/>
        <v>0</v>
      </c>
      <c r="AV16" s="157">
        <f ca="1"/>
        <v>0</v>
      </c>
      <c r="AW16" s="157">
        <f ca="1"/>
        <v>0</v>
      </c>
      <c r="AX16" s="157">
        <f ca="1"/>
        <v>0</v>
      </c>
      <c r="AY16" s="468" t="str">
        <f ca="1"/>
        <v>Prim.</v>
      </c>
      <c r="AZ16" s="470">
        <f ca="1"/>
        <v>0</v>
      </c>
      <c r="BA16" s="472">
        <f ca="1"/>
        <v>0</v>
      </c>
      <c r="BB16" s="173">
        <f t="shared" ca="1" si="0"/>
        <v>0</v>
      </c>
      <c r="BC16" s="173">
        <f t="shared" ca="1" si="1"/>
        <v>0</v>
      </c>
      <c r="BD16" s="462">
        <f ca="1"/>
        <v>4.5209625999999998</v>
      </c>
      <c r="BE16" s="464">
        <f ca="1"/>
        <v>0.39389174118859738</v>
      </c>
      <c r="BF16" s="464">
        <f ca="1"/>
        <v>4.78721</v>
      </c>
      <c r="BG16" s="466">
        <f ca="1"/>
        <v>0</v>
      </c>
      <c r="BH16" s="466">
        <f ca="1"/>
        <v>0</v>
      </c>
      <c r="BI16" s="157">
        <f ca="1"/>
        <v>0</v>
      </c>
      <c r="BJ16" s="157">
        <f ca="1"/>
        <v>0</v>
      </c>
      <c r="BK16" s="157">
        <f ca="1"/>
        <v>0</v>
      </c>
      <c r="BL16" s="157">
        <f ca="1"/>
        <v>0</v>
      </c>
      <c r="BM16" s="468" t="str">
        <f ca="1"/>
        <v>Prim.</v>
      </c>
      <c r="BN16" s="470">
        <f ca="1"/>
        <v>0</v>
      </c>
      <c r="BO16" s="472">
        <f ca="1"/>
        <v>0</v>
      </c>
      <c r="BP16" s="462">
        <f ca="1"/>
        <v>3.2364153599999996</v>
      </c>
      <c r="BQ16" s="464">
        <f ca="1"/>
        <v>0.24865221596414053</v>
      </c>
      <c r="BR16" s="464">
        <f ca="1"/>
        <v>3.4081030000000001</v>
      </c>
      <c r="BS16" s="466">
        <f ca="1"/>
        <v>0</v>
      </c>
      <c r="BT16" s="466">
        <f ca="1"/>
        <v>0</v>
      </c>
      <c r="BU16" s="157">
        <f ca="1"/>
        <v>0</v>
      </c>
      <c r="BV16" s="157">
        <f ca="1"/>
        <v>0</v>
      </c>
      <c r="BW16" s="157">
        <f ca="1"/>
        <v>0</v>
      </c>
      <c r="BX16" s="157">
        <f ca="1"/>
        <v>0</v>
      </c>
      <c r="BY16" s="468" t="str">
        <f ca="1"/>
        <v>Prim.</v>
      </c>
      <c r="BZ16" s="470">
        <f ca="1"/>
        <v>0</v>
      </c>
      <c r="CA16" s="472">
        <f ca="1"/>
        <v>0</v>
      </c>
      <c r="CB16" s="462">
        <f ca="1"/>
        <v>9.7257024000000012</v>
      </c>
      <c r="CC16" s="464">
        <f ca="1"/>
        <v>0.9554467332952653</v>
      </c>
      <c r="CD16" s="464">
        <f ca="1"/>
        <v>10.257669</v>
      </c>
      <c r="CE16" s="466">
        <f ca="1"/>
        <v>0</v>
      </c>
      <c r="CF16" s="466">
        <f ca="1"/>
        <v>0</v>
      </c>
      <c r="CG16" s="157">
        <f ca="1"/>
        <v>0</v>
      </c>
      <c r="CH16" s="157">
        <f ca="1"/>
        <v>0</v>
      </c>
      <c r="CI16" s="157">
        <f ca="1"/>
        <v>0</v>
      </c>
      <c r="CJ16" s="157">
        <f ca="1"/>
        <v>0</v>
      </c>
      <c r="CK16" s="468" t="str">
        <f ca="1"/>
        <v>Prim.</v>
      </c>
      <c r="CL16" s="470">
        <f ca="1"/>
        <v>0</v>
      </c>
      <c r="CM16" s="472">
        <f ca="1"/>
        <v>0</v>
      </c>
      <c r="CN16" s="462">
        <f ca="1"/>
        <v>1.1222749999999999</v>
      </c>
      <c r="CO16" s="464">
        <f ca="1"/>
        <v>0.31139787722400053</v>
      </c>
      <c r="CP16" s="464">
        <f ca="1"/>
        <v>1.2113780000000001</v>
      </c>
      <c r="CQ16" s="466" t="e">
        <f ca="1"/>
        <v>#DIV/0!</v>
      </c>
      <c r="CR16" s="466">
        <f ca="1"/>
        <v>0</v>
      </c>
      <c r="CS16" s="157">
        <f ca="1"/>
        <v>0</v>
      </c>
      <c r="CT16" s="157">
        <f ca="1"/>
        <v>0</v>
      </c>
      <c r="CU16" s="157">
        <f ca="1"/>
        <v>0</v>
      </c>
      <c r="CV16" s="157">
        <f ca="1"/>
        <v>0</v>
      </c>
      <c r="CW16" s="468" t="str">
        <f ca="1"/>
        <v>Prim.</v>
      </c>
      <c r="CX16" s="470">
        <f ca="1"/>
        <v>0</v>
      </c>
      <c r="CY16" s="472">
        <f ca="1"/>
        <v>0</v>
      </c>
      <c r="CZ16" s="173">
        <f t="shared" ca="1" si="3"/>
        <v>0</v>
      </c>
      <c r="DA16" s="173">
        <f t="shared" ca="1" si="3"/>
        <v>0</v>
      </c>
      <c r="DB16" s="462">
        <f ca="1"/>
        <v>1301.8866000287005</v>
      </c>
      <c r="DC16" s="464">
        <f ca="1"/>
        <v>305.49404090045863</v>
      </c>
      <c r="DD16" s="464">
        <f ca="1"/>
        <v>1455.2736882459517</v>
      </c>
      <c r="DE16" s="466">
        <f ca="1"/>
        <v>0</v>
      </c>
      <c r="DF16" s="466">
        <f ca="1"/>
        <v>0</v>
      </c>
      <c r="DG16" s="157">
        <f ca="1"/>
        <v>0</v>
      </c>
      <c r="DH16" s="157">
        <f ca="1"/>
        <v>0</v>
      </c>
      <c r="DI16" s="157">
        <f ca="1"/>
        <v>0</v>
      </c>
      <c r="DJ16" s="157">
        <f ca="1"/>
        <v>0</v>
      </c>
      <c r="DK16" s="468" t="str">
        <f ca="1"/>
        <v>Prim.</v>
      </c>
      <c r="DL16" s="470">
        <f ca="1"/>
        <v>0</v>
      </c>
      <c r="DM16" s="472">
        <f ca="1"/>
        <v>0</v>
      </c>
      <c r="DN16" s="462">
        <f ca="1"/>
        <v>1157.2568645221527</v>
      </c>
      <c r="DO16" s="464">
        <f ca="1"/>
        <v>169.32379711764696</v>
      </c>
      <c r="DP16" s="464">
        <f ca="1"/>
        <v>1280.0051185038803</v>
      </c>
      <c r="DQ16" s="466">
        <f ca="1"/>
        <v>0</v>
      </c>
      <c r="DR16" s="466">
        <f ca="1"/>
        <v>0</v>
      </c>
      <c r="DS16" s="157">
        <f ca="1"/>
        <v>0</v>
      </c>
      <c r="DT16" s="157">
        <f ca="1"/>
        <v>0</v>
      </c>
      <c r="DU16" s="157">
        <f ca="1"/>
        <v>0</v>
      </c>
      <c r="DV16" s="157">
        <f ca="1"/>
        <v>0</v>
      </c>
      <c r="DW16" s="468" t="str">
        <f ca="1"/>
        <v>Prim.</v>
      </c>
      <c r="DX16" s="470">
        <f ca="1"/>
        <v>0</v>
      </c>
      <c r="DY16" s="472">
        <f ca="1"/>
        <v>0</v>
      </c>
      <c r="DZ16" s="462">
        <f ca="1"/>
        <v>780.17715973878819</v>
      </c>
      <c r="EA16" s="464">
        <f ca="1"/>
        <v>268.20740045423673</v>
      </c>
      <c r="EB16" s="464">
        <f ca="1"/>
        <v>978.85576228353352</v>
      </c>
      <c r="EC16" s="466">
        <f ca="1"/>
        <v>0</v>
      </c>
      <c r="ED16" s="466">
        <f ca="1"/>
        <v>0</v>
      </c>
      <c r="EE16" s="157">
        <f ca="1"/>
        <v>0</v>
      </c>
      <c r="EF16" s="157">
        <f ca="1"/>
        <v>0</v>
      </c>
      <c r="EG16" s="157">
        <f ca="1"/>
        <v>0</v>
      </c>
      <c r="EH16" s="157">
        <f ca="1"/>
        <v>0</v>
      </c>
      <c r="EI16" s="468" t="str">
        <f ca="1"/>
        <v>Prim.</v>
      </c>
      <c r="EJ16" s="470">
        <f ca="1"/>
        <v>0</v>
      </c>
      <c r="EK16" s="472">
        <f ca="1"/>
        <v>0</v>
      </c>
      <c r="EL16" s="462">
        <f ca="1"/>
        <v>21.592728003898007</v>
      </c>
      <c r="EM16" s="464">
        <f ca="1"/>
        <v>78.069897145397633</v>
      </c>
      <c r="EN16" s="464">
        <f ca="1"/>
        <v>28.670984973832251</v>
      </c>
      <c r="EO16" s="466" t="e">
        <f ca="1"/>
        <v>#DIV/0!</v>
      </c>
      <c r="EP16" s="466">
        <f ca="1"/>
        <v>0</v>
      </c>
      <c r="EQ16" s="157">
        <f ca="1"/>
        <v>0</v>
      </c>
      <c r="ER16" s="157">
        <f ca="1"/>
        <v>0</v>
      </c>
      <c r="ES16" s="157">
        <f ca="1"/>
        <v>0</v>
      </c>
      <c r="ET16" s="157">
        <f ca="1"/>
        <v>0</v>
      </c>
      <c r="EU16" s="468" t="str">
        <f ca="1"/>
        <v>Prim.</v>
      </c>
      <c r="EV16" s="470">
        <f ca="1"/>
        <v>0</v>
      </c>
      <c r="EW16" s="472">
        <f ca="1"/>
        <v>0</v>
      </c>
      <c r="EX16" s="462">
        <f ca="1"/>
        <v>195.0999903391122</v>
      </c>
      <c r="EY16" s="464">
        <f ca="1"/>
        <v>44.940667450004362</v>
      </c>
      <c r="EZ16" s="464">
        <f ca="1"/>
        <v>224.13313599280261</v>
      </c>
      <c r="FA16" s="466">
        <f ca="1"/>
        <v>0</v>
      </c>
      <c r="FB16" s="466">
        <f ca="1"/>
        <v>0</v>
      </c>
      <c r="FC16" s="157">
        <f ca="1"/>
        <v>0</v>
      </c>
      <c r="FD16" s="157">
        <f ca="1"/>
        <v>0</v>
      </c>
      <c r="FE16" s="157">
        <f ca="1"/>
        <v>0</v>
      </c>
      <c r="FF16" s="157">
        <f ca="1"/>
        <v>0</v>
      </c>
      <c r="FG16" s="468" t="str">
        <f ca="1"/>
        <v>Prim.</v>
      </c>
      <c r="FH16" s="470">
        <f ca="1"/>
        <v>0</v>
      </c>
      <c r="FI16" s="472">
        <f ca="1"/>
        <v>0</v>
      </c>
      <c r="FJ16" s="173">
        <f t="shared" ca="1" si="4"/>
        <v>0</v>
      </c>
      <c r="FK16" s="173">
        <f t="shared" ca="1" si="4"/>
        <v>0</v>
      </c>
      <c r="FL16" s="462">
        <f ca="1"/>
        <v>37.249259520000003</v>
      </c>
      <c r="FM16" s="464">
        <f ca="1"/>
        <v>288.0433740388653</v>
      </c>
      <c r="FN16" s="464">
        <f ca="1"/>
        <v>38.492277000000001</v>
      </c>
      <c r="FO16" s="466">
        <f ca="1"/>
        <v>0</v>
      </c>
      <c r="FP16" s="466">
        <f ca="1"/>
        <v>0</v>
      </c>
      <c r="FQ16" s="157">
        <f ca="1"/>
        <v>0</v>
      </c>
      <c r="FR16" s="157">
        <f ca="1"/>
        <v>0</v>
      </c>
      <c r="FS16" s="157">
        <f ca="1"/>
        <v>0</v>
      </c>
      <c r="FT16" s="468" t="str">
        <f ca="1"/>
        <v>Sec2.</v>
      </c>
      <c r="FU16" s="470">
        <f ca="1"/>
        <v>0</v>
      </c>
      <c r="FV16" s="470">
        <f ca="1"/>
        <v>0</v>
      </c>
      <c r="FW16" s="462">
        <f ca="1"/>
        <v>-8.0362233600000028</v>
      </c>
      <c r="FX16" s="464">
        <f ca="1"/>
        <v>1153.4186787958511</v>
      </c>
      <c r="FY16" s="464">
        <f ca="1"/>
        <v>-3.0587800000000023</v>
      </c>
      <c r="FZ16" s="466">
        <f ca="1"/>
        <v>0</v>
      </c>
      <c r="GA16" s="466">
        <f ca="1"/>
        <v>0</v>
      </c>
      <c r="GB16" s="157">
        <f ca="1"/>
        <v>0</v>
      </c>
      <c r="GC16" s="157">
        <f ca="1"/>
        <v>0</v>
      </c>
      <c r="GD16" s="157">
        <f ca="1"/>
        <v>0</v>
      </c>
      <c r="GE16" s="468" t="str">
        <f ca="1"/>
        <v>Sec2.</v>
      </c>
      <c r="GF16" s="470">
        <f ca="1"/>
        <v>0</v>
      </c>
      <c r="GG16" s="470">
        <f ca="1"/>
        <v>0</v>
      </c>
      <c r="GH16" s="173">
        <f t="shared" ca="1" si="2"/>
        <v>0</v>
      </c>
      <c r="GI16" s="173">
        <f t="shared" ca="1" si="2"/>
        <v>0</v>
      </c>
    </row>
    <row r="17" spans="1:191" ht="15">
      <c r="A17" s="381"/>
      <c r="B17" s="169"/>
      <c r="C17" s="87">
        <f>'Oil supply projection'!B17</f>
        <v>2026</v>
      </c>
      <c r="D17" s="460">
        <f ca="1"/>
        <v>0</v>
      </c>
      <c r="E17" s="460">
        <f ca="1"/>
        <v>0</v>
      </c>
      <c r="F17" s="462">
        <f ca="1"/>
        <v>0.44159915218354584</v>
      </c>
      <c r="G17" s="464">
        <f ca="1"/>
        <v>2.0648699917971833</v>
      </c>
      <c r="H17" s="464">
        <f ca="1"/>
        <v>0.46568204328098906</v>
      </c>
      <c r="I17" s="466">
        <f ca="1"/>
        <v>0</v>
      </c>
      <c r="J17" s="466">
        <f ca="1"/>
        <v>0</v>
      </c>
      <c r="K17" s="157">
        <f ca="1"/>
        <v>0</v>
      </c>
      <c r="L17" s="157">
        <f ca="1"/>
        <v>0</v>
      </c>
      <c r="M17" s="157">
        <f ca="1"/>
        <v>0</v>
      </c>
      <c r="N17" s="157">
        <f ca="1"/>
        <v>0</v>
      </c>
      <c r="O17" s="468" t="str">
        <f ca="1"/>
        <v>Prim.</v>
      </c>
      <c r="P17" s="470">
        <f ca="1"/>
        <v>0</v>
      </c>
      <c r="Q17" s="472">
        <f ca="1"/>
        <v>0</v>
      </c>
      <c r="R17" s="462">
        <f ca="1"/>
        <v>0.48331648117425102</v>
      </c>
      <c r="S17" s="464">
        <f ca="1"/>
        <v>1.4024368650547099</v>
      </c>
      <c r="T17" s="464">
        <f ca="1"/>
        <v>0.50495595671901106</v>
      </c>
      <c r="U17" s="466">
        <f ca="1"/>
        <v>0</v>
      </c>
      <c r="V17" s="466">
        <f ca="1"/>
        <v>0</v>
      </c>
      <c r="W17" s="157">
        <f ca="1"/>
        <v>0</v>
      </c>
      <c r="X17" s="157">
        <f ca="1"/>
        <v>0</v>
      </c>
      <c r="Y17" s="157">
        <f ca="1"/>
        <v>0</v>
      </c>
      <c r="Z17" s="157">
        <f ca="1"/>
        <v>0</v>
      </c>
      <c r="AA17" s="468" t="str">
        <f ca="1"/>
        <v>Prim.</v>
      </c>
      <c r="AB17" s="470">
        <f ca="1"/>
        <v>0</v>
      </c>
      <c r="AC17" s="472">
        <f ca="1"/>
        <v>0</v>
      </c>
      <c r="AD17" s="462">
        <f ca="1"/>
        <v>5.3614031999999998</v>
      </c>
      <c r="AE17" s="464">
        <f ca="1"/>
        <v>1.0862836484358405</v>
      </c>
      <c r="AF17" s="464">
        <f ca="1"/>
        <v>5.6976060000000004</v>
      </c>
      <c r="AG17" s="466">
        <f ca="1"/>
        <v>0</v>
      </c>
      <c r="AH17" s="466">
        <f ca="1"/>
        <v>0</v>
      </c>
      <c r="AI17" s="157">
        <f ca="1"/>
        <v>0</v>
      </c>
      <c r="AJ17" s="157">
        <f ca="1"/>
        <v>0</v>
      </c>
      <c r="AK17" s="157">
        <f ca="1"/>
        <v>0</v>
      </c>
      <c r="AL17" s="157">
        <f ca="1"/>
        <v>0</v>
      </c>
      <c r="AM17" s="468" t="str">
        <f ca="1"/>
        <v>Prim.</v>
      </c>
      <c r="AN17" s="470">
        <f ca="1"/>
        <v>0</v>
      </c>
      <c r="AO17" s="472">
        <f ca="1"/>
        <v>0</v>
      </c>
      <c r="AP17" s="462">
        <f ca="1"/>
        <v>12.14512845</v>
      </c>
      <c r="AQ17" s="464">
        <f ca="1"/>
        <v>4.0953551770094103</v>
      </c>
      <c r="AR17" s="464">
        <f ca="1"/>
        <v>13.225303</v>
      </c>
      <c r="AS17" s="466">
        <f ca="1"/>
        <v>0</v>
      </c>
      <c r="AT17" s="466">
        <f ca="1"/>
        <v>0</v>
      </c>
      <c r="AU17" s="157">
        <f ca="1"/>
        <v>0</v>
      </c>
      <c r="AV17" s="157">
        <f ca="1"/>
        <v>0</v>
      </c>
      <c r="AW17" s="157">
        <f ca="1"/>
        <v>0</v>
      </c>
      <c r="AX17" s="157">
        <f ca="1"/>
        <v>0</v>
      </c>
      <c r="AY17" s="468" t="str">
        <f ca="1"/>
        <v>Prim.</v>
      </c>
      <c r="AZ17" s="470">
        <f ca="1"/>
        <v>0</v>
      </c>
      <c r="BA17" s="472">
        <f ca="1"/>
        <v>0</v>
      </c>
      <c r="BB17" s="173">
        <f t="shared" ca="1" si="0"/>
        <v>0</v>
      </c>
      <c r="BC17" s="173">
        <f t="shared" ca="1" si="1"/>
        <v>0</v>
      </c>
      <c r="BD17" s="462">
        <f ca="1"/>
        <v>4.5478494999999999</v>
      </c>
      <c r="BE17" s="464">
        <f ca="1"/>
        <v>0.37557759412851183</v>
      </c>
      <c r="BF17" s="464">
        <f ca="1"/>
        <v>4.8120580000000004</v>
      </c>
      <c r="BG17" s="466">
        <f ca="1"/>
        <v>0</v>
      </c>
      <c r="BH17" s="466">
        <f ca="1"/>
        <v>0</v>
      </c>
      <c r="BI17" s="157">
        <f ca="1"/>
        <v>0</v>
      </c>
      <c r="BJ17" s="157">
        <f ca="1"/>
        <v>0</v>
      </c>
      <c r="BK17" s="157">
        <f ca="1"/>
        <v>0</v>
      </c>
      <c r="BL17" s="157">
        <f ca="1"/>
        <v>0</v>
      </c>
      <c r="BM17" s="468" t="str">
        <f ca="1"/>
        <v>Prim.</v>
      </c>
      <c r="BN17" s="470">
        <f ca="1"/>
        <v>0</v>
      </c>
      <c r="BO17" s="472">
        <f ca="1"/>
        <v>0</v>
      </c>
      <c r="BP17" s="462">
        <f ca="1"/>
        <v>3.2717788799999998</v>
      </c>
      <c r="BQ17" s="464">
        <f ca="1"/>
        <v>0.24054590663418626</v>
      </c>
      <c r="BR17" s="464">
        <f ca="1"/>
        <v>3.4442599999999999</v>
      </c>
      <c r="BS17" s="466">
        <f ca="1"/>
        <v>0</v>
      </c>
      <c r="BT17" s="466">
        <f ca="1"/>
        <v>0</v>
      </c>
      <c r="BU17" s="157">
        <f ca="1"/>
        <v>0</v>
      </c>
      <c r="BV17" s="157">
        <f ca="1"/>
        <v>0</v>
      </c>
      <c r="BW17" s="157">
        <f ca="1"/>
        <v>0</v>
      </c>
      <c r="BX17" s="157">
        <f ca="1"/>
        <v>0</v>
      </c>
      <c r="BY17" s="468" t="str">
        <f ca="1"/>
        <v>Prim.</v>
      </c>
      <c r="BZ17" s="470">
        <f ca="1"/>
        <v>0</v>
      </c>
      <c r="CA17" s="472">
        <f ca="1"/>
        <v>0</v>
      </c>
      <c r="CB17" s="462">
        <f ca="1"/>
        <v>9.8473622399999989</v>
      </c>
      <c r="CC17" s="464">
        <f ca="1"/>
        <v>1.0775540305673126</v>
      </c>
      <c r="CD17" s="464">
        <f ca="1"/>
        <v>10.484219</v>
      </c>
      <c r="CE17" s="466">
        <f ca="1"/>
        <v>0</v>
      </c>
      <c r="CF17" s="466">
        <f ca="1"/>
        <v>0</v>
      </c>
      <c r="CG17" s="157">
        <f ca="1"/>
        <v>0</v>
      </c>
      <c r="CH17" s="157">
        <f ca="1"/>
        <v>0</v>
      </c>
      <c r="CI17" s="157">
        <f ca="1"/>
        <v>0</v>
      </c>
      <c r="CJ17" s="157">
        <f ca="1"/>
        <v>0</v>
      </c>
      <c r="CK17" s="468" t="str">
        <f ca="1"/>
        <v>Prim.</v>
      </c>
      <c r="CL17" s="470">
        <f ca="1"/>
        <v>0</v>
      </c>
      <c r="CM17" s="472">
        <f ca="1"/>
        <v>0</v>
      </c>
      <c r="CN17" s="462">
        <f ca="1"/>
        <v>1.1104298333333333</v>
      </c>
      <c r="CO17" s="464">
        <f ca="1"/>
        <v>0.3637296830443334</v>
      </c>
      <c r="CP17" s="464">
        <f ca="1"/>
        <v>1.228666</v>
      </c>
      <c r="CQ17" s="466" t="e">
        <f ca="1"/>
        <v>#DIV/0!</v>
      </c>
      <c r="CR17" s="466">
        <f ca="1"/>
        <v>0</v>
      </c>
      <c r="CS17" s="157">
        <f ca="1"/>
        <v>0</v>
      </c>
      <c r="CT17" s="157">
        <f ca="1"/>
        <v>0</v>
      </c>
      <c r="CU17" s="157">
        <f ca="1"/>
        <v>0</v>
      </c>
      <c r="CV17" s="157">
        <f ca="1"/>
        <v>0</v>
      </c>
      <c r="CW17" s="468" t="str">
        <f ca="1"/>
        <v>Prim.</v>
      </c>
      <c r="CX17" s="470">
        <f ca="1"/>
        <v>0</v>
      </c>
      <c r="CY17" s="472">
        <f ca="1"/>
        <v>0</v>
      </c>
      <c r="CZ17" s="173">
        <f t="shared" ca="1" si="3"/>
        <v>0</v>
      </c>
      <c r="DA17" s="173">
        <f t="shared" ca="1" si="3"/>
        <v>0</v>
      </c>
      <c r="DB17" s="462">
        <f ca="1"/>
        <v>1309.7463194213565</v>
      </c>
      <c r="DC17" s="464">
        <f ca="1"/>
        <v>308.05875197472295</v>
      </c>
      <c r="DD17" s="464">
        <f ca="1"/>
        <v>1465.4181082187361</v>
      </c>
      <c r="DE17" s="466">
        <f ca="1"/>
        <v>0</v>
      </c>
      <c r="DF17" s="466">
        <f ca="1"/>
        <v>0</v>
      </c>
      <c r="DG17" s="157">
        <f ca="1"/>
        <v>0</v>
      </c>
      <c r="DH17" s="157">
        <f ca="1"/>
        <v>0</v>
      </c>
      <c r="DI17" s="157">
        <f ca="1"/>
        <v>0</v>
      </c>
      <c r="DJ17" s="157">
        <f ca="1"/>
        <v>0</v>
      </c>
      <c r="DK17" s="468" t="str">
        <f ca="1"/>
        <v>Prim.</v>
      </c>
      <c r="DL17" s="470">
        <f ca="1"/>
        <v>0</v>
      </c>
      <c r="DM17" s="472">
        <f ca="1"/>
        <v>0</v>
      </c>
      <c r="DN17" s="462">
        <f ca="1"/>
        <v>1152.0046066534924</v>
      </c>
      <c r="DO17" s="464">
        <f ca="1"/>
        <v>175.98278580398582</v>
      </c>
      <c r="DP17" s="464">
        <f ca="1"/>
        <v>1279.9634490742715</v>
      </c>
      <c r="DQ17" s="466">
        <f ca="1"/>
        <v>0</v>
      </c>
      <c r="DR17" s="466">
        <f ca="1"/>
        <v>0</v>
      </c>
      <c r="DS17" s="157">
        <f ca="1"/>
        <v>0</v>
      </c>
      <c r="DT17" s="157">
        <f ca="1"/>
        <v>0</v>
      </c>
      <c r="DU17" s="157">
        <f ca="1"/>
        <v>0</v>
      </c>
      <c r="DV17" s="157">
        <f ca="1"/>
        <v>0</v>
      </c>
      <c r="DW17" s="468" t="str">
        <f ca="1"/>
        <v>Prim.</v>
      </c>
      <c r="DX17" s="470">
        <f ca="1"/>
        <v>0</v>
      </c>
      <c r="DY17" s="472">
        <f ca="1"/>
        <v>0</v>
      </c>
      <c r="DZ17" s="462">
        <f ca="1"/>
        <v>783.08460982682686</v>
      </c>
      <c r="EA17" s="464">
        <f ca="1"/>
        <v>277.33080773434813</v>
      </c>
      <c r="EB17" s="464">
        <f ca="1"/>
        <v>989.09719197097468</v>
      </c>
      <c r="EC17" s="466">
        <f ca="1"/>
        <v>0</v>
      </c>
      <c r="ED17" s="466">
        <f ca="1"/>
        <v>0</v>
      </c>
      <c r="EE17" s="157">
        <f ca="1"/>
        <v>0</v>
      </c>
      <c r="EF17" s="157">
        <f ca="1"/>
        <v>0</v>
      </c>
      <c r="EG17" s="157">
        <f ca="1"/>
        <v>0</v>
      </c>
      <c r="EH17" s="157">
        <f ca="1"/>
        <v>0</v>
      </c>
      <c r="EI17" s="468" t="str">
        <f ca="1"/>
        <v>Prim.</v>
      </c>
      <c r="EJ17" s="470">
        <f ca="1"/>
        <v>0</v>
      </c>
      <c r="EK17" s="472">
        <f ca="1"/>
        <v>0</v>
      </c>
      <c r="EL17" s="462">
        <f ca="1"/>
        <v>25.803886476449026</v>
      </c>
      <c r="EM17" s="464">
        <f ca="1"/>
        <v>92.007743926502499</v>
      </c>
      <c r="EN17" s="464">
        <f ca="1"/>
        <v>34.334679670200273</v>
      </c>
      <c r="EO17" s="466" t="e">
        <f ca="1"/>
        <v>#DIV/0!</v>
      </c>
      <c r="EP17" s="466">
        <f ca="1"/>
        <v>0</v>
      </c>
      <c r="EQ17" s="157">
        <f ca="1"/>
        <v>0</v>
      </c>
      <c r="ER17" s="157">
        <f ca="1"/>
        <v>0</v>
      </c>
      <c r="ES17" s="157">
        <f ca="1"/>
        <v>0</v>
      </c>
      <c r="ET17" s="157">
        <f ca="1"/>
        <v>0</v>
      </c>
      <c r="EU17" s="468" t="str">
        <f ca="1"/>
        <v>Prim.</v>
      </c>
      <c r="EV17" s="470">
        <f ca="1"/>
        <v>0</v>
      </c>
      <c r="EW17" s="472">
        <f ca="1"/>
        <v>0</v>
      </c>
      <c r="EX17" s="462">
        <f ca="1"/>
        <v>201.71982239352235</v>
      </c>
      <c r="EY17" s="464">
        <f ca="1"/>
        <v>45.387720353446056</v>
      </c>
      <c r="EZ17" s="464">
        <f ca="1"/>
        <v>231.16149006581767</v>
      </c>
      <c r="FA17" s="466">
        <f ca="1"/>
        <v>0</v>
      </c>
      <c r="FB17" s="466">
        <f ca="1"/>
        <v>0</v>
      </c>
      <c r="FC17" s="157">
        <f ca="1"/>
        <v>0</v>
      </c>
      <c r="FD17" s="157">
        <f ca="1"/>
        <v>0</v>
      </c>
      <c r="FE17" s="157">
        <f ca="1"/>
        <v>0</v>
      </c>
      <c r="FF17" s="157">
        <f ca="1"/>
        <v>0</v>
      </c>
      <c r="FG17" s="468" t="str">
        <f ca="1"/>
        <v>Prim.</v>
      </c>
      <c r="FH17" s="470">
        <f ca="1"/>
        <v>0</v>
      </c>
      <c r="FI17" s="472">
        <f ca="1"/>
        <v>0</v>
      </c>
      <c r="FJ17" s="173">
        <f t="shared" ca="1" si="4"/>
        <v>0</v>
      </c>
      <c r="FK17" s="173">
        <f t="shared" ca="1" si="4"/>
        <v>0</v>
      </c>
      <c r="FL17" s="462">
        <f ca="1"/>
        <v>36.952585919999997</v>
      </c>
      <c r="FM17" s="464">
        <f ca="1"/>
        <v>408.47170839587943</v>
      </c>
      <c r="FN17" s="464">
        <f ca="1"/>
        <v>38.554705999999996</v>
      </c>
      <c r="FO17" s="466">
        <f ca="1"/>
        <v>0</v>
      </c>
      <c r="FP17" s="466">
        <f ca="1"/>
        <v>0</v>
      </c>
      <c r="FQ17" s="157">
        <f ca="1"/>
        <v>0</v>
      </c>
      <c r="FR17" s="157">
        <f ca="1"/>
        <v>0</v>
      </c>
      <c r="FS17" s="157">
        <f ca="1"/>
        <v>0</v>
      </c>
      <c r="FT17" s="468" t="str">
        <f ca="1"/>
        <v>Sec2.</v>
      </c>
      <c r="FU17" s="470">
        <f ca="1"/>
        <v>0</v>
      </c>
      <c r="FV17" s="470">
        <f ca="1"/>
        <v>0</v>
      </c>
      <c r="FW17" s="462">
        <f ca="1"/>
        <v>-2.9364288000000021</v>
      </c>
      <c r="FX17" s="464">
        <f ca="1"/>
        <v>609.72983835650621</v>
      </c>
      <c r="FY17" s="464">
        <f ca="1"/>
        <v>-0.5449280000000023</v>
      </c>
      <c r="FZ17" s="466">
        <f ca="1"/>
        <v>0</v>
      </c>
      <c r="GA17" s="466">
        <f ca="1"/>
        <v>0</v>
      </c>
      <c r="GB17" s="157">
        <f ca="1"/>
        <v>0</v>
      </c>
      <c r="GC17" s="157">
        <f ca="1"/>
        <v>0</v>
      </c>
      <c r="GD17" s="157">
        <f ca="1"/>
        <v>0</v>
      </c>
      <c r="GE17" s="468" t="str">
        <f ca="1"/>
        <v>Sec2.</v>
      </c>
      <c r="GF17" s="470">
        <f ca="1"/>
        <v>0</v>
      </c>
      <c r="GG17" s="470">
        <f ca="1"/>
        <v>0</v>
      </c>
      <c r="GH17" s="173">
        <f t="shared" ca="1" si="2"/>
        <v>0</v>
      </c>
      <c r="GI17" s="173">
        <f t="shared" ca="1" si="2"/>
        <v>0</v>
      </c>
    </row>
    <row r="18" spans="1:191" ht="15">
      <c r="A18" s="168"/>
      <c r="B18" s="169"/>
      <c r="C18" s="87">
        <f>'Oil supply projection'!B18</f>
        <v>2027</v>
      </c>
      <c r="D18" s="460">
        <f ca="1"/>
        <v>0</v>
      </c>
      <c r="E18" s="460">
        <f ca="1"/>
        <v>0</v>
      </c>
      <c r="F18" s="462">
        <f ca="1"/>
        <v>0.43774112068412968</v>
      </c>
      <c r="G18" s="464">
        <f ca="1"/>
        <v>2.0705664846807288</v>
      </c>
      <c r="H18" s="464">
        <f ca="1"/>
        <v>0.46172607297538021</v>
      </c>
      <c r="I18" s="466">
        <f ca="1"/>
        <v>0</v>
      </c>
      <c r="J18" s="466">
        <f ca="1"/>
        <v>0</v>
      </c>
      <c r="K18" s="157">
        <f ca="1"/>
        <v>0</v>
      </c>
      <c r="L18" s="157">
        <f ca="1"/>
        <v>0</v>
      </c>
      <c r="M18" s="157">
        <f ca="1"/>
        <v>0</v>
      </c>
      <c r="N18" s="157">
        <f ca="1"/>
        <v>0</v>
      </c>
      <c r="O18" s="468" t="str">
        <f ca="1"/>
        <v>Prim.</v>
      </c>
      <c r="P18" s="470">
        <f ca="1"/>
        <v>0</v>
      </c>
      <c r="Q18" s="472">
        <f ca="1"/>
        <v>0</v>
      </c>
      <c r="R18" s="462">
        <f ca="1"/>
        <v>0.48475771845025062</v>
      </c>
      <c r="S18" s="464">
        <f ca="1"/>
        <v>1.3810296239010129</v>
      </c>
      <c r="T18" s="464">
        <f ca="1"/>
        <v>0.50593092702461984</v>
      </c>
      <c r="U18" s="466">
        <f ca="1"/>
        <v>0</v>
      </c>
      <c r="V18" s="466">
        <f ca="1"/>
        <v>0</v>
      </c>
      <c r="W18" s="157">
        <f ca="1"/>
        <v>0</v>
      </c>
      <c r="X18" s="157">
        <f ca="1"/>
        <v>0</v>
      </c>
      <c r="Y18" s="157">
        <f ca="1"/>
        <v>0</v>
      </c>
      <c r="Z18" s="157">
        <f ca="1"/>
        <v>0</v>
      </c>
      <c r="AA18" s="468" t="str">
        <f ca="1"/>
        <v>Prim.</v>
      </c>
      <c r="AB18" s="470">
        <f ca="1"/>
        <v>0</v>
      </c>
      <c r="AC18" s="472">
        <f ca="1"/>
        <v>0</v>
      </c>
      <c r="AD18" s="462">
        <f ca="1"/>
        <v>5.4697017600000004</v>
      </c>
      <c r="AE18" s="464">
        <f ca="1"/>
        <v>1.0082330044598671</v>
      </c>
      <c r="AF18" s="464">
        <f ca="1"/>
        <v>5.7811870000000001</v>
      </c>
      <c r="AG18" s="466">
        <f ca="1"/>
        <v>0</v>
      </c>
      <c r="AH18" s="466">
        <f ca="1"/>
        <v>0</v>
      </c>
      <c r="AI18" s="157">
        <f ca="1"/>
        <v>0</v>
      </c>
      <c r="AJ18" s="157">
        <f ca="1"/>
        <v>0</v>
      </c>
      <c r="AK18" s="157">
        <f ca="1"/>
        <v>0</v>
      </c>
      <c r="AL18" s="157">
        <f ca="1"/>
        <v>0</v>
      </c>
      <c r="AM18" s="468" t="str">
        <f ca="1"/>
        <v>Prim.</v>
      </c>
      <c r="AN18" s="470">
        <f ca="1"/>
        <v>0</v>
      </c>
      <c r="AO18" s="472">
        <f ca="1"/>
        <v>0</v>
      </c>
      <c r="AP18" s="462">
        <f ca="1"/>
        <v>12.035025730000001</v>
      </c>
      <c r="AQ18" s="464">
        <f ca="1"/>
        <v>4.0982095575021376</v>
      </c>
      <c r="AR18" s="464">
        <f ca="1"/>
        <v>13.113745</v>
      </c>
      <c r="AS18" s="466">
        <f ca="1"/>
        <v>0</v>
      </c>
      <c r="AT18" s="466">
        <f ca="1"/>
        <v>0</v>
      </c>
      <c r="AU18" s="157">
        <f ca="1"/>
        <v>0</v>
      </c>
      <c r="AV18" s="157">
        <f ca="1"/>
        <v>0</v>
      </c>
      <c r="AW18" s="157">
        <f ca="1"/>
        <v>0</v>
      </c>
      <c r="AX18" s="157">
        <f ca="1"/>
        <v>0</v>
      </c>
      <c r="AY18" s="468" t="str">
        <f ca="1"/>
        <v>Prim.</v>
      </c>
      <c r="AZ18" s="470">
        <f ca="1"/>
        <v>0</v>
      </c>
      <c r="BA18" s="472">
        <f ca="1"/>
        <v>0</v>
      </c>
      <c r="BB18" s="173">
        <f t="shared" ca="1" si="0"/>
        <v>0</v>
      </c>
      <c r="BC18" s="173">
        <f t="shared" ca="1" si="1"/>
        <v>0</v>
      </c>
      <c r="BD18" s="462">
        <f ca="1"/>
        <v>4.5714551000000005</v>
      </c>
      <c r="BE18" s="464">
        <f ca="1"/>
        <v>0.35647470919672081</v>
      </c>
      <c r="BF18" s="464">
        <f ca="1"/>
        <v>4.8273910000000004</v>
      </c>
      <c r="BG18" s="466">
        <f ca="1"/>
        <v>0</v>
      </c>
      <c r="BH18" s="466">
        <f ca="1"/>
        <v>0</v>
      </c>
      <c r="BI18" s="157">
        <f ca="1"/>
        <v>0</v>
      </c>
      <c r="BJ18" s="157">
        <f ca="1"/>
        <v>0</v>
      </c>
      <c r="BK18" s="157">
        <f ca="1"/>
        <v>0</v>
      </c>
      <c r="BL18" s="157">
        <f ca="1"/>
        <v>0</v>
      </c>
      <c r="BM18" s="468" t="str">
        <f ca="1"/>
        <v>Prim.</v>
      </c>
      <c r="BN18" s="470">
        <f ca="1"/>
        <v>0</v>
      </c>
      <c r="BO18" s="472">
        <f ca="1"/>
        <v>0</v>
      </c>
      <c r="BP18" s="462">
        <f ca="1"/>
        <v>3.3064895999999999</v>
      </c>
      <c r="BQ18" s="464">
        <f ca="1"/>
        <v>0.21387438290857072</v>
      </c>
      <c r="BR18" s="464">
        <f ca="1"/>
        <v>3.4628320000000001</v>
      </c>
      <c r="BS18" s="466">
        <f ca="1"/>
        <v>0</v>
      </c>
      <c r="BT18" s="466">
        <f ca="1"/>
        <v>0</v>
      </c>
      <c r="BU18" s="157">
        <f ca="1"/>
        <v>0</v>
      </c>
      <c r="BV18" s="157">
        <f ca="1"/>
        <v>0</v>
      </c>
      <c r="BW18" s="157">
        <f ca="1"/>
        <v>0</v>
      </c>
      <c r="BX18" s="157">
        <f ca="1"/>
        <v>0</v>
      </c>
      <c r="BY18" s="468" t="str">
        <f ca="1"/>
        <v>Prim.</v>
      </c>
      <c r="BZ18" s="470">
        <f ca="1"/>
        <v>0</v>
      </c>
      <c r="CA18" s="472">
        <f ca="1"/>
        <v>0</v>
      </c>
      <c r="CB18" s="462">
        <f ca="1"/>
        <v>10.064850239999998</v>
      </c>
      <c r="CC18" s="464">
        <f ca="1"/>
        <v>0.87085821448056566</v>
      </c>
      <c r="CD18" s="464">
        <f ca="1"/>
        <v>10.595478999999999</v>
      </c>
      <c r="CE18" s="466">
        <f ca="1"/>
        <v>0</v>
      </c>
      <c r="CF18" s="466">
        <f ca="1"/>
        <v>0</v>
      </c>
      <c r="CG18" s="157">
        <f ca="1"/>
        <v>0</v>
      </c>
      <c r="CH18" s="157">
        <f ca="1"/>
        <v>0</v>
      </c>
      <c r="CI18" s="157">
        <f ca="1"/>
        <v>0</v>
      </c>
      <c r="CJ18" s="157">
        <f ca="1"/>
        <v>0</v>
      </c>
      <c r="CK18" s="468" t="str">
        <f ca="1"/>
        <v>Prim.</v>
      </c>
      <c r="CL18" s="470">
        <f ca="1"/>
        <v>0</v>
      </c>
      <c r="CM18" s="472">
        <f ca="1"/>
        <v>0</v>
      </c>
      <c r="CN18" s="462">
        <f ca="1"/>
        <v>1.1262771666666667</v>
      </c>
      <c r="CO18" s="464">
        <f ca="1"/>
        <v>0.26607161788566686</v>
      </c>
      <c r="CP18" s="464">
        <f ca="1"/>
        <v>1.2185900000000001</v>
      </c>
      <c r="CQ18" s="466" t="e">
        <f ca="1"/>
        <v>#DIV/0!</v>
      </c>
      <c r="CR18" s="466">
        <f ca="1"/>
        <v>0</v>
      </c>
      <c r="CS18" s="157">
        <f ca="1"/>
        <v>0</v>
      </c>
      <c r="CT18" s="157">
        <f ca="1"/>
        <v>0</v>
      </c>
      <c r="CU18" s="157">
        <f ca="1"/>
        <v>0</v>
      </c>
      <c r="CV18" s="157">
        <f ca="1"/>
        <v>0</v>
      </c>
      <c r="CW18" s="468" t="str">
        <f ca="1"/>
        <v>Prim.</v>
      </c>
      <c r="CX18" s="470">
        <f ca="1"/>
        <v>0</v>
      </c>
      <c r="CY18" s="472">
        <f ca="1"/>
        <v>0</v>
      </c>
      <c r="CZ18" s="173">
        <f t="shared" ca="1" si="3"/>
        <v>0</v>
      </c>
      <c r="DA18" s="173">
        <f t="shared" ca="1" si="3"/>
        <v>0</v>
      </c>
      <c r="DB18" s="462">
        <f ca="1"/>
        <v>1318.8762973968626</v>
      </c>
      <c r="DC18" s="464">
        <f ca="1"/>
        <v>308.9878766528596</v>
      </c>
      <c r="DD18" s="464">
        <f ca="1"/>
        <v>1475.7823915920985</v>
      </c>
      <c r="DE18" s="466">
        <f ca="1"/>
        <v>0</v>
      </c>
      <c r="DF18" s="466">
        <f ca="1"/>
        <v>0</v>
      </c>
      <c r="DG18" s="157">
        <f ca="1"/>
        <v>0</v>
      </c>
      <c r="DH18" s="157">
        <f ca="1"/>
        <v>0</v>
      </c>
      <c r="DI18" s="157">
        <f ca="1"/>
        <v>0</v>
      </c>
      <c r="DJ18" s="157">
        <f ca="1"/>
        <v>0</v>
      </c>
      <c r="DK18" s="468" t="str">
        <f ca="1"/>
        <v>Prim.</v>
      </c>
      <c r="DL18" s="470">
        <f ca="1"/>
        <v>0</v>
      </c>
      <c r="DM18" s="472">
        <f ca="1"/>
        <v>0</v>
      </c>
      <c r="DN18" s="462">
        <f ca="1"/>
        <v>1151.9671041668444</v>
      </c>
      <c r="DO18" s="464">
        <f ca="1"/>
        <v>172.80772047456776</v>
      </c>
      <c r="DP18" s="464">
        <f ca="1"/>
        <v>1277.904299992163</v>
      </c>
      <c r="DQ18" s="466">
        <f ca="1"/>
        <v>0</v>
      </c>
      <c r="DR18" s="466">
        <f ca="1"/>
        <v>0</v>
      </c>
      <c r="DS18" s="157">
        <f ca="1"/>
        <v>0</v>
      </c>
      <c r="DT18" s="157">
        <f ca="1"/>
        <v>0</v>
      </c>
      <c r="DU18" s="157">
        <f ca="1"/>
        <v>0</v>
      </c>
      <c r="DV18" s="157">
        <f ca="1"/>
        <v>0</v>
      </c>
      <c r="DW18" s="468" t="str">
        <f ca="1"/>
        <v>Prim.</v>
      </c>
      <c r="DX18" s="470">
        <f ca="1"/>
        <v>0</v>
      </c>
      <c r="DY18" s="472">
        <f ca="1"/>
        <v>0</v>
      </c>
      <c r="DZ18" s="462">
        <f ca="1"/>
        <v>791.27775357677979</v>
      </c>
      <c r="EA18" s="464">
        <f ca="1"/>
        <v>274.22409391019391</v>
      </c>
      <c r="EB18" s="464">
        <f ca="1"/>
        <v>995.41650706088501</v>
      </c>
      <c r="EC18" s="466">
        <f ca="1"/>
        <v>0</v>
      </c>
      <c r="ED18" s="466">
        <f ca="1"/>
        <v>0</v>
      </c>
      <c r="EE18" s="157">
        <f ca="1"/>
        <v>0</v>
      </c>
      <c r="EF18" s="157">
        <f ca="1"/>
        <v>0</v>
      </c>
      <c r="EG18" s="157">
        <f ca="1"/>
        <v>0</v>
      </c>
      <c r="EH18" s="157">
        <f ca="1"/>
        <v>0</v>
      </c>
      <c r="EI18" s="468" t="str">
        <f ca="1"/>
        <v>Prim.</v>
      </c>
      <c r="EJ18" s="470">
        <f ca="1"/>
        <v>0</v>
      </c>
      <c r="EK18" s="472">
        <f ca="1"/>
        <v>0</v>
      </c>
      <c r="EL18" s="462">
        <f ca="1"/>
        <v>30.901211703180248</v>
      </c>
      <c r="EM18" s="464">
        <f ca="1"/>
        <v>107.21257601628888</v>
      </c>
      <c r="EN18" s="464">
        <f ca="1"/>
        <v>41.012454011831295</v>
      </c>
      <c r="EO18" s="466" t="e">
        <f ca="1"/>
        <v>#DIV/0!</v>
      </c>
      <c r="EP18" s="466">
        <f ca="1"/>
        <v>0</v>
      </c>
      <c r="EQ18" s="157">
        <f ca="1"/>
        <v>0</v>
      </c>
      <c r="ER18" s="157">
        <f ca="1"/>
        <v>0</v>
      </c>
      <c r="ES18" s="157">
        <f ca="1"/>
        <v>0</v>
      </c>
      <c r="ET18" s="157">
        <f ca="1"/>
        <v>0</v>
      </c>
      <c r="EU18" s="468" t="str">
        <f ca="1"/>
        <v>Prim.</v>
      </c>
      <c r="EV18" s="470">
        <f ca="1"/>
        <v>0</v>
      </c>
      <c r="EW18" s="472">
        <f ca="1"/>
        <v>0</v>
      </c>
      <c r="EX18" s="462">
        <f ca="1"/>
        <v>208.04534105923591</v>
      </c>
      <c r="EY18" s="464">
        <f ca="1"/>
        <v>45.543418195292048</v>
      </c>
      <c r="EZ18" s="464">
        <f ca="1"/>
        <v>237.67968534302196</v>
      </c>
      <c r="FA18" s="466">
        <f ca="1"/>
        <v>0</v>
      </c>
      <c r="FB18" s="466">
        <f ca="1"/>
        <v>0</v>
      </c>
      <c r="FC18" s="157">
        <f ca="1"/>
        <v>0</v>
      </c>
      <c r="FD18" s="157">
        <f ca="1"/>
        <v>0</v>
      </c>
      <c r="FE18" s="157">
        <f ca="1"/>
        <v>0</v>
      </c>
      <c r="FF18" s="157">
        <f ca="1"/>
        <v>0</v>
      </c>
      <c r="FG18" s="468" t="str">
        <f ca="1"/>
        <v>Prim.</v>
      </c>
      <c r="FH18" s="470">
        <f ca="1"/>
        <v>0</v>
      </c>
      <c r="FI18" s="472">
        <f ca="1"/>
        <v>0</v>
      </c>
      <c r="FJ18" s="173">
        <f t="shared" ca="1" si="4"/>
        <v>0</v>
      </c>
      <c r="FK18" s="173">
        <f t="shared" ca="1" si="4"/>
        <v>0</v>
      </c>
      <c r="FL18" s="462">
        <f ca="1"/>
        <v>37.012517759999994</v>
      </c>
      <c r="FM18" s="464">
        <f ca="1"/>
        <v>397.85773709024289</v>
      </c>
      <c r="FN18" s="464">
        <f ca="1"/>
        <v>38.400812999999999</v>
      </c>
      <c r="FO18" s="466">
        <f ca="1"/>
        <v>0</v>
      </c>
      <c r="FP18" s="466">
        <f ca="1"/>
        <v>0</v>
      </c>
      <c r="FQ18" s="157">
        <f ca="1"/>
        <v>0</v>
      </c>
      <c r="FR18" s="157">
        <f ca="1"/>
        <v>0</v>
      </c>
      <c r="FS18" s="157">
        <f ca="1"/>
        <v>0</v>
      </c>
      <c r="FT18" s="468" t="str">
        <f ca="1"/>
        <v>Sec2.</v>
      </c>
      <c r="FU18" s="470">
        <f ca="1"/>
        <v>0</v>
      </c>
      <c r="FV18" s="470">
        <f ca="1"/>
        <v>0</v>
      </c>
      <c r="FW18" s="462">
        <f ca="1"/>
        <v>-0.52313088000000219</v>
      </c>
      <c r="FX18" s="464">
        <f ca="1"/>
        <v>-647.84750967879256</v>
      </c>
      <c r="FY18" s="464">
        <f ca="1"/>
        <v>-2.7837470000000022</v>
      </c>
      <c r="FZ18" s="466">
        <f ca="1"/>
        <v>0</v>
      </c>
      <c r="GA18" s="466">
        <f ca="1"/>
        <v>0</v>
      </c>
      <c r="GB18" s="157">
        <f ca="1"/>
        <v>0</v>
      </c>
      <c r="GC18" s="157">
        <f ca="1"/>
        <v>0</v>
      </c>
      <c r="GD18" s="157">
        <f ca="1"/>
        <v>0</v>
      </c>
      <c r="GE18" s="468" t="str">
        <f ca="1"/>
        <v>Sec2.</v>
      </c>
      <c r="GF18" s="470">
        <f ca="1"/>
        <v>0</v>
      </c>
      <c r="GG18" s="470">
        <f ca="1"/>
        <v>0</v>
      </c>
      <c r="GH18" s="173">
        <f t="shared" ca="1" si="2"/>
        <v>0</v>
      </c>
      <c r="GI18" s="173">
        <f t="shared" ca="1" si="2"/>
        <v>0</v>
      </c>
    </row>
    <row r="19" spans="1:191" ht="15">
      <c r="A19" s="378" t="s">
        <v>823</v>
      </c>
      <c r="C19" s="87">
        <f>'Oil supply projection'!B19</f>
        <v>2028</v>
      </c>
      <c r="D19" s="460">
        <f ca="1"/>
        <v>0</v>
      </c>
      <c r="E19" s="460">
        <f ca="1"/>
        <v>0</v>
      </c>
      <c r="F19" s="462">
        <f ca="1"/>
        <v>0.43402250859685737</v>
      </c>
      <c r="G19" s="464">
        <f ca="1"/>
        <v>2.0465031287656719</v>
      </c>
      <c r="H19" s="464">
        <f ca="1"/>
        <v>0.45738448509646512</v>
      </c>
      <c r="I19" s="466">
        <f ca="1"/>
        <v>0</v>
      </c>
      <c r="J19" s="466">
        <f ca="1"/>
        <v>0</v>
      </c>
      <c r="K19" s="157">
        <f ca="1"/>
        <v>0</v>
      </c>
      <c r="L19" s="157">
        <f ca="1"/>
        <v>0</v>
      </c>
      <c r="M19" s="157">
        <f ca="1"/>
        <v>0</v>
      </c>
      <c r="N19" s="157">
        <f ca="1"/>
        <v>0</v>
      </c>
      <c r="O19" s="468" t="str">
        <f ca="1"/>
        <v>Prim.</v>
      </c>
      <c r="P19" s="470">
        <f ca="1"/>
        <v>0</v>
      </c>
      <c r="Q19" s="472">
        <f ca="1"/>
        <v>0</v>
      </c>
      <c r="R19" s="462">
        <f ca="1"/>
        <v>0.48569368994363504</v>
      </c>
      <c r="S19" s="464">
        <f ca="1"/>
        <v>1.5550634195275723</v>
      </c>
      <c r="T19" s="464">
        <f ca="1"/>
        <v>0.50921051490353497</v>
      </c>
      <c r="U19" s="466">
        <f ca="1"/>
        <v>0</v>
      </c>
      <c r="V19" s="466">
        <f ca="1"/>
        <v>0</v>
      </c>
      <c r="W19" s="157">
        <f ca="1"/>
        <v>0</v>
      </c>
      <c r="X19" s="157">
        <f ca="1"/>
        <v>0</v>
      </c>
      <c r="Y19" s="157">
        <f ca="1"/>
        <v>0</v>
      </c>
      <c r="Z19" s="157">
        <f ca="1"/>
        <v>0</v>
      </c>
      <c r="AA19" s="468" t="str">
        <f ca="1"/>
        <v>Prim.</v>
      </c>
      <c r="AB19" s="470">
        <f ca="1"/>
        <v>0</v>
      </c>
      <c r="AC19" s="472">
        <f ca="1"/>
        <v>0</v>
      </c>
      <c r="AD19" s="462">
        <f ca="1"/>
        <v>5.5499395199999997</v>
      </c>
      <c r="AE19" s="464">
        <f ca="1"/>
        <v>0.94020565923981658</v>
      </c>
      <c r="AF19" s="464">
        <f ca="1"/>
        <v>5.8392910000000002</v>
      </c>
      <c r="AG19" s="466">
        <f ca="1"/>
        <v>0</v>
      </c>
      <c r="AH19" s="466">
        <f ca="1"/>
        <v>0</v>
      </c>
      <c r="AI19" s="157">
        <f ca="1"/>
        <v>0</v>
      </c>
      <c r="AJ19" s="157">
        <f ca="1"/>
        <v>0</v>
      </c>
      <c r="AK19" s="157">
        <f ca="1"/>
        <v>0</v>
      </c>
      <c r="AL19" s="157">
        <f ca="1"/>
        <v>0</v>
      </c>
      <c r="AM19" s="468" t="str">
        <f ca="1"/>
        <v>Prim.</v>
      </c>
      <c r="AN19" s="470">
        <f ca="1"/>
        <v>0</v>
      </c>
      <c r="AO19" s="472">
        <f ca="1"/>
        <v>0</v>
      </c>
      <c r="AP19" s="462">
        <f ca="1"/>
        <v>11.933507950000001</v>
      </c>
      <c r="AQ19" s="464">
        <f ca="1"/>
        <v>3.9784790764110562</v>
      </c>
      <c r="AR19" s="464">
        <f ca="1"/>
        <v>12.976136</v>
      </c>
      <c r="AS19" s="466">
        <f ca="1"/>
        <v>0</v>
      </c>
      <c r="AT19" s="466">
        <f ca="1"/>
        <v>0</v>
      </c>
      <c r="AU19" s="157">
        <f ca="1"/>
        <v>0</v>
      </c>
      <c r="AV19" s="157">
        <f ca="1"/>
        <v>0</v>
      </c>
      <c r="AW19" s="157">
        <f ca="1"/>
        <v>0</v>
      </c>
      <c r="AX19" s="157">
        <f ca="1"/>
        <v>0</v>
      </c>
      <c r="AY19" s="468" t="str">
        <f ca="1"/>
        <v>Prim.</v>
      </c>
      <c r="AZ19" s="470">
        <f ca="1"/>
        <v>0</v>
      </c>
      <c r="BA19" s="472">
        <f ca="1"/>
        <v>0</v>
      </c>
      <c r="BB19" s="173">
        <f t="shared" ca="1" si="0"/>
        <v>0</v>
      </c>
      <c r="BC19" s="173">
        <f t="shared" ca="1" si="1"/>
        <v>0</v>
      </c>
      <c r="BD19" s="462">
        <f ca="1"/>
        <v>4.5860214500000005</v>
      </c>
      <c r="BE19" s="464">
        <f ca="1"/>
        <v>0.3447621118677543</v>
      </c>
      <c r="BF19" s="464">
        <f ca="1"/>
        <v>4.8348810000000002</v>
      </c>
      <c r="BG19" s="466">
        <f ca="1"/>
        <v>0</v>
      </c>
      <c r="BH19" s="466">
        <f ca="1"/>
        <v>0</v>
      </c>
      <c r="BI19" s="157">
        <f ca="1"/>
        <v>0</v>
      </c>
      <c r="BJ19" s="157">
        <f ca="1"/>
        <v>0</v>
      </c>
      <c r="BK19" s="157">
        <f ca="1"/>
        <v>0</v>
      </c>
      <c r="BL19" s="157">
        <f ca="1"/>
        <v>0</v>
      </c>
      <c r="BM19" s="468" t="str">
        <f ca="1"/>
        <v>Prim.</v>
      </c>
      <c r="BN19" s="470">
        <f ca="1"/>
        <v>0</v>
      </c>
      <c r="BO19" s="472">
        <f ca="1"/>
        <v>0</v>
      </c>
      <c r="BP19" s="462">
        <f ca="1"/>
        <v>3.3243187199999999</v>
      </c>
      <c r="BQ19" s="464">
        <f ca="1"/>
        <v>0.22554252957109638</v>
      </c>
      <c r="BR19" s="464">
        <f ca="1"/>
        <v>3.49003</v>
      </c>
      <c r="BS19" s="466">
        <f ca="1"/>
        <v>0</v>
      </c>
      <c r="BT19" s="466">
        <f ca="1"/>
        <v>0</v>
      </c>
      <c r="BU19" s="157">
        <f ca="1"/>
        <v>0</v>
      </c>
      <c r="BV19" s="157">
        <f ca="1"/>
        <v>0</v>
      </c>
      <c r="BW19" s="157">
        <f ca="1"/>
        <v>0</v>
      </c>
      <c r="BX19" s="157">
        <f ca="1"/>
        <v>0</v>
      </c>
      <c r="BY19" s="468" t="str">
        <f ca="1"/>
        <v>Prim.</v>
      </c>
      <c r="BZ19" s="470">
        <f ca="1"/>
        <v>0</v>
      </c>
      <c r="CA19" s="472">
        <f ca="1"/>
        <v>0</v>
      </c>
      <c r="CB19" s="462">
        <f ca="1"/>
        <v>10.171659839999998</v>
      </c>
      <c r="CC19" s="464">
        <f ca="1"/>
        <v>0.8080582992705162</v>
      </c>
      <c r="CD19" s="464">
        <f ca="1"/>
        <v>10.667993000000001</v>
      </c>
      <c r="CE19" s="466">
        <f ca="1"/>
        <v>0</v>
      </c>
      <c r="CF19" s="466">
        <f ca="1"/>
        <v>0</v>
      </c>
      <c r="CG19" s="157">
        <f ca="1"/>
        <v>0</v>
      </c>
      <c r="CH19" s="157">
        <f ca="1"/>
        <v>0</v>
      </c>
      <c r="CI19" s="157">
        <f ca="1"/>
        <v>0</v>
      </c>
      <c r="CJ19" s="157">
        <f ca="1"/>
        <v>0</v>
      </c>
      <c r="CK19" s="468" t="str">
        <f ca="1"/>
        <v>Prim.</v>
      </c>
      <c r="CL19" s="470">
        <f ca="1"/>
        <v>0</v>
      </c>
      <c r="CM19" s="472">
        <f ca="1"/>
        <v>0</v>
      </c>
      <c r="CN19" s="462">
        <f ca="1"/>
        <v>1.1170408333333333</v>
      </c>
      <c r="CO19" s="464">
        <f ca="1"/>
        <v>0.26183819662450025</v>
      </c>
      <c r="CP19" s="464">
        <f ca="1"/>
        <v>1.209457</v>
      </c>
      <c r="CQ19" s="466" t="e">
        <f ca="1"/>
        <v>#DIV/0!</v>
      </c>
      <c r="CR19" s="466">
        <f ca="1"/>
        <v>0</v>
      </c>
      <c r="CS19" s="157">
        <f ca="1"/>
        <v>0</v>
      </c>
      <c r="CT19" s="157">
        <f ca="1"/>
        <v>0</v>
      </c>
      <c r="CU19" s="157">
        <f ca="1"/>
        <v>0</v>
      </c>
      <c r="CV19" s="157">
        <f ca="1"/>
        <v>0</v>
      </c>
      <c r="CW19" s="468" t="str">
        <f ca="1"/>
        <v>Prim.</v>
      </c>
      <c r="CX19" s="470">
        <f ca="1"/>
        <v>0</v>
      </c>
      <c r="CY19" s="472">
        <f ca="1"/>
        <v>0</v>
      </c>
      <c r="CZ19" s="173">
        <f t="shared" ca="1" si="3"/>
        <v>0</v>
      </c>
      <c r="DA19" s="173">
        <f t="shared" ca="1" si="3"/>
        <v>0</v>
      </c>
      <c r="DB19" s="462">
        <f ca="1"/>
        <v>1328.2041524328888</v>
      </c>
      <c r="DC19" s="464">
        <f ca="1"/>
        <v>307.15026802616444</v>
      </c>
      <c r="DD19" s="464">
        <f ca="1"/>
        <v>1484.5421059941473</v>
      </c>
      <c r="DE19" s="466">
        <f ca="1"/>
        <v>0</v>
      </c>
      <c r="DF19" s="466">
        <f ca="1"/>
        <v>0</v>
      </c>
      <c r="DG19" s="157">
        <f ca="1"/>
        <v>0</v>
      </c>
      <c r="DH19" s="157">
        <f ca="1"/>
        <v>0</v>
      </c>
      <c r="DI19" s="157">
        <f ca="1"/>
        <v>0</v>
      </c>
      <c r="DJ19" s="157">
        <f ca="1"/>
        <v>0</v>
      </c>
      <c r="DK19" s="468" t="str">
        <f ca="1"/>
        <v>Prim.</v>
      </c>
      <c r="DL19" s="470">
        <f ca="1"/>
        <v>0</v>
      </c>
      <c r="DM19" s="472">
        <f ca="1"/>
        <v>0</v>
      </c>
      <c r="DN19" s="462">
        <f ca="1"/>
        <v>1150.1138699929468</v>
      </c>
      <c r="DO19" s="464">
        <f ca="1"/>
        <v>183.02417187610709</v>
      </c>
      <c r="DP19" s="464">
        <f ca="1"/>
        <v>1283.6421643464791</v>
      </c>
      <c r="DQ19" s="466">
        <f ca="1"/>
        <v>0</v>
      </c>
      <c r="DR19" s="466">
        <f ca="1"/>
        <v>0</v>
      </c>
      <c r="DS19" s="157">
        <f ca="1"/>
        <v>0</v>
      </c>
      <c r="DT19" s="157">
        <f ca="1"/>
        <v>0</v>
      </c>
      <c r="DU19" s="157">
        <f ca="1"/>
        <v>0</v>
      </c>
      <c r="DV19" s="157">
        <f ca="1"/>
        <v>0</v>
      </c>
      <c r="DW19" s="468" t="str">
        <f ca="1"/>
        <v>Prim.</v>
      </c>
      <c r="DX19" s="470">
        <f ca="1"/>
        <v>0</v>
      </c>
      <c r="DY19" s="472">
        <f ca="1"/>
        <v>0</v>
      </c>
      <c r="DZ19" s="462">
        <f ca="1"/>
        <v>796.33320564870803</v>
      </c>
      <c r="EA19" s="464">
        <f ca="1"/>
        <v>271.85524271172983</v>
      </c>
      <c r="EB19" s="464">
        <f ca="1"/>
        <v>998.91466746150172</v>
      </c>
      <c r="EC19" s="466">
        <f ca="1"/>
        <v>0</v>
      </c>
      <c r="ED19" s="466">
        <f ca="1"/>
        <v>0</v>
      </c>
      <c r="EE19" s="157">
        <f ca="1"/>
        <v>0</v>
      </c>
      <c r="EF19" s="157">
        <f ca="1"/>
        <v>0</v>
      </c>
      <c r="EG19" s="157">
        <f ca="1"/>
        <v>0</v>
      </c>
      <c r="EH19" s="157">
        <f ca="1"/>
        <v>0</v>
      </c>
      <c r="EI19" s="468" t="str">
        <f ca="1"/>
        <v>Prim.</v>
      </c>
      <c r="EJ19" s="470">
        <f ca="1"/>
        <v>0</v>
      </c>
      <c r="EK19" s="472">
        <f ca="1"/>
        <v>0</v>
      </c>
      <c r="EL19" s="462">
        <f ca="1"/>
        <v>36.911208610648167</v>
      </c>
      <c r="EM19" s="464">
        <f ca="1"/>
        <v>123.48559617066121</v>
      </c>
      <c r="EN19" s="464">
        <f ca="1"/>
        <v>48.652401039829698</v>
      </c>
      <c r="EO19" s="466" t="e">
        <f ca="1"/>
        <v>#DIV/0!</v>
      </c>
      <c r="EP19" s="466">
        <f ca="1"/>
        <v>0</v>
      </c>
      <c r="EQ19" s="157">
        <f ca="1"/>
        <v>0</v>
      </c>
      <c r="ER19" s="157">
        <f ca="1"/>
        <v>0</v>
      </c>
      <c r="ES19" s="157">
        <f ca="1"/>
        <v>0</v>
      </c>
      <c r="ET19" s="157">
        <f ca="1"/>
        <v>0</v>
      </c>
      <c r="EU19" s="468" t="str">
        <f ca="1"/>
        <v>Prim.</v>
      </c>
      <c r="EV19" s="470">
        <f ca="1"/>
        <v>0</v>
      </c>
      <c r="EW19" s="472">
        <f ca="1"/>
        <v>0</v>
      </c>
      <c r="EX19" s="462">
        <f ca="1"/>
        <v>213.91171680871977</v>
      </c>
      <c r="EY19" s="464">
        <f ca="1"/>
        <v>46.979921708181038</v>
      </c>
      <c r="EZ19" s="464">
        <f ca="1"/>
        <v>244.5261161580421</v>
      </c>
      <c r="FA19" s="466">
        <f ca="1"/>
        <v>0</v>
      </c>
      <c r="FB19" s="466">
        <f ca="1"/>
        <v>0</v>
      </c>
      <c r="FC19" s="157">
        <f ca="1"/>
        <v>0</v>
      </c>
      <c r="FD19" s="157">
        <f ca="1"/>
        <v>0</v>
      </c>
      <c r="FE19" s="157">
        <f ca="1"/>
        <v>0</v>
      </c>
      <c r="FF19" s="157">
        <f ca="1"/>
        <v>0</v>
      </c>
      <c r="FG19" s="468" t="str">
        <f ca="1"/>
        <v>Prim.</v>
      </c>
      <c r="FH19" s="470">
        <f ca="1"/>
        <v>0</v>
      </c>
      <c r="FI19" s="472">
        <f ca="1"/>
        <v>0</v>
      </c>
      <c r="FJ19" s="173">
        <f t="shared" ca="1" si="4"/>
        <v>0</v>
      </c>
      <c r="FK19" s="173">
        <f t="shared" ca="1" si="4"/>
        <v>0</v>
      </c>
      <c r="FL19" s="462">
        <f ca="1"/>
        <v>36.86478048</v>
      </c>
      <c r="FM19" s="464">
        <f ca="1"/>
        <v>385.45658274610861</v>
      </c>
      <c r="FN19" s="464">
        <f ca="1"/>
        <v>38.099316999999999</v>
      </c>
      <c r="FO19" s="466">
        <f ca="1"/>
        <v>0</v>
      </c>
      <c r="FP19" s="466">
        <f ca="1"/>
        <v>0</v>
      </c>
      <c r="FQ19" s="157">
        <f ca="1"/>
        <v>0</v>
      </c>
      <c r="FR19" s="157">
        <f ca="1"/>
        <v>0</v>
      </c>
      <c r="FS19" s="157">
        <f ca="1"/>
        <v>0</v>
      </c>
      <c r="FT19" s="468" t="str">
        <f ca="1"/>
        <v>Sec2.</v>
      </c>
      <c r="FU19" s="470">
        <f ca="1"/>
        <v>0</v>
      </c>
      <c r="FV19" s="470">
        <f ca="1"/>
        <v>0</v>
      </c>
      <c r="FW19" s="462">
        <f ca="1"/>
        <v>-2.6723971200000021</v>
      </c>
      <c r="FX19" s="464">
        <f ca="1"/>
        <v>791.50055284067537</v>
      </c>
      <c r="FY19" s="464">
        <f ca="1"/>
        <v>-0.13738700000000215</v>
      </c>
      <c r="FZ19" s="466">
        <f ca="1"/>
        <v>0</v>
      </c>
      <c r="GA19" s="466">
        <f ca="1"/>
        <v>0</v>
      </c>
      <c r="GB19" s="157">
        <f ca="1"/>
        <v>0</v>
      </c>
      <c r="GC19" s="157">
        <f ca="1"/>
        <v>0</v>
      </c>
      <c r="GD19" s="157">
        <f ca="1"/>
        <v>0</v>
      </c>
      <c r="GE19" s="468" t="str">
        <f ca="1"/>
        <v>Sec2.</v>
      </c>
      <c r="GF19" s="470">
        <f ca="1"/>
        <v>0</v>
      </c>
      <c r="GG19" s="470">
        <f ca="1"/>
        <v>0</v>
      </c>
      <c r="GH19" s="173">
        <f t="shared" ca="1" si="2"/>
        <v>0</v>
      </c>
      <c r="GI19" s="173">
        <f t="shared" ca="1" si="2"/>
        <v>0</v>
      </c>
    </row>
    <row r="20" spans="1:191" ht="15">
      <c r="A20" s="379"/>
      <c r="B20" s="169" t="s">
        <v>824</v>
      </c>
      <c r="C20" s="87">
        <f>'Oil supply projection'!B20</f>
        <v>2029</v>
      </c>
      <c r="D20" s="460">
        <f ca="1"/>
        <v>0</v>
      </c>
      <c r="E20" s="460">
        <f ca="1"/>
        <v>0</v>
      </c>
      <c r="F20" s="462">
        <f ca="1"/>
        <v>0.4299414159906772</v>
      </c>
      <c r="G20" s="464">
        <f ca="1"/>
        <v>2.0267763393070464</v>
      </c>
      <c r="H20" s="464">
        <f ca="1"/>
        <v>0.45292977116552197</v>
      </c>
      <c r="I20" s="466">
        <f ca="1"/>
        <v>0</v>
      </c>
      <c r="J20" s="466">
        <f ca="1"/>
        <v>0</v>
      </c>
      <c r="K20" s="157">
        <f ca="1"/>
        <v>0</v>
      </c>
      <c r="L20" s="157">
        <f ca="1"/>
        <v>0</v>
      </c>
      <c r="M20" s="157">
        <f ca="1"/>
        <v>0</v>
      </c>
      <c r="N20" s="157">
        <f ca="1"/>
        <v>0</v>
      </c>
      <c r="O20" s="468" t="str">
        <f ca="1"/>
        <v>Prim.</v>
      </c>
      <c r="P20" s="470">
        <f ca="1"/>
        <v>0</v>
      </c>
      <c r="Q20" s="472">
        <f ca="1"/>
        <v>0</v>
      </c>
      <c r="R20" s="462">
        <f ca="1"/>
        <v>0.48884209430739356</v>
      </c>
      <c r="S20" s="464">
        <f ca="1"/>
        <v>1.5023564910171341</v>
      </c>
      <c r="T20" s="464">
        <f ca="1"/>
        <v>0.51142522883447805</v>
      </c>
      <c r="U20" s="466">
        <f ca="1"/>
        <v>0</v>
      </c>
      <c r="V20" s="466">
        <f ca="1"/>
        <v>0</v>
      </c>
      <c r="W20" s="157">
        <f ca="1"/>
        <v>0</v>
      </c>
      <c r="X20" s="157">
        <f ca="1"/>
        <v>0</v>
      </c>
      <c r="Y20" s="157">
        <f ca="1"/>
        <v>0</v>
      </c>
      <c r="Z20" s="157">
        <f ca="1"/>
        <v>0</v>
      </c>
      <c r="AA20" s="468" t="str">
        <f ca="1"/>
        <v>Prim.</v>
      </c>
      <c r="AB20" s="470">
        <f ca="1"/>
        <v>0</v>
      </c>
      <c r="AC20" s="472">
        <f ca="1"/>
        <v>0</v>
      </c>
      <c r="AD20" s="462">
        <f ca="1"/>
        <v>5.6057193600000002</v>
      </c>
      <c r="AE20" s="464">
        <f ca="1"/>
        <v>0.93916213916864966</v>
      </c>
      <c r="AF20" s="464">
        <f ca="1"/>
        <v>5.8942600000000001</v>
      </c>
      <c r="AG20" s="466">
        <f ca="1"/>
        <v>0</v>
      </c>
      <c r="AH20" s="466">
        <f ca="1"/>
        <v>0</v>
      </c>
      <c r="AI20" s="157">
        <f ca="1"/>
        <v>0</v>
      </c>
      <c r="AJ20" s="157">
        <f ca="1"/>
        <v>0</v>
      </c>
      <c r="AK20" s="157">
        <f ca="1"/>
        <v>0</v>
      </c>
      <c r="AL20" s="157">
        <f ca="1"/>
        <v>0</v>
      </c>
      <c r="AM20" s="468" t="str">
        <f ca="1"/>
        <v>Prim.</v>
      </c>
      <c r="AN20" s="470">
        <f ca="1"/>
        <v>0</v>
      </c>
      <c r="AO20" s="472">
        <f ca="1"/>
        <v>0</v>
      </c>
      <c r="AP20" s="462">
        <f ca="1"/>
        <v>11.80828376</v>
      </c>
      <c r="AQ20" s="464">
        <f ca="1"/>
        <v>3.8981668267237697</v>
      </c>
      <c r="AR20" s="464">
        <f ca="1"/>
        <v>12.827897999999999</v>
      </c>
      <c r="AS20" s="466">
        <f ca="1"/>
        <v>0</v>
      </c>
      <c r="AT20" s="466">
        <f ca="1"/>
        <v>0</v>
      </c>
      <c r="AU20" s="157">
        <f ca="1"/>
        <v>0</v>
      </c>
      <c r="AV20" s="157">
        <f ca="1"/>
        <v>0</v>
      </c>
      <c r="AW20" s="157">
        <f ca="1"/>
        <v>0</v>
      </c>
      <c r="AX20" s="157">
        <f ca="1"/>
        <v>0</v>
      </c>
      <c r="AY20" s="468" t="str">
        <f ca="1"/>
        <v>Prim.</v>
      </c>
      <c r="AZ20" s="470">
        <f ca="1"/>
        <v>0</v>
      </c>
      <c r="BA20" s="472">
        <f ca="1"/>
        <v>0</v>
      </c>
      <c r="BB20" s="173">
        <f t="shared" ca="1" si="0"/>
        <v>0</v>
      </c>
      <c r="BC20" s="173">
        <f t="shared" ca="1" si="1"/>
        <v>0</v>
      </c>
      <c r="BD20" s="462">
        <f ca="1"/>
        <v>4.5931369499999999</v>
      </c>
      <c r="BE20" s="464">
        <f ca="1"/>
        <v>0.32979688951078689</v>
      </c>
      <c r="BF20" s="464">
        <f ca="1"/>
        <v>4.8310810000000002</v>
      </c>
      <c r="BG20" s="466">
        <f ca="1"/>
        <v>0</v>
      </c>
      <c r="BH20" s="466">
        <f ca="1"/>
        <v>0</v>
      </c>
      <c r="BI20" s="157">
        <f ca="1"/>
        <v>0</v>
      </c>
      <c r="BJ20" s="157">
        <f ca="1"/>
        <v>0</v>
      </c>
      <c r="BK20" s="157">
        <f ca="1"/>
        <v>0</v>
      </c>
      <c r="BL20" s="157">
        <f ca="1"/>
        <v>0</v>
      </c>
      <c r="BM20" s="468" t="str">
        <f ca="1"/>
        <v>Prim.</v>
      </c>
      <c r="BN20" s="470">
        <f ca="1"/>
        <v>0</v>
      </c>
      <c r="BO20" s="472">
        <f ca="1"/>
        <v>0</v>
      </c>
      <c r="BP20" s="462">
        <f ca="1"/>
        <v>3.3504288</v>
      </c>
      <c r="BQ20" s="464">
        <f ca="1"/>
        <v>0.21254595630544251</v>
      </c>
      <c r="BR20" s="464">
        <f ca="1"/>
        <v>3.5065210000000002</v>
      </c>
      <c r="BS20" s="466">
        <f ca="1"/>
        <v>0</v>
      </c>
      <c r="BT20" s="466">
        <f ca="1"/>
        <v>0</v>
      </c>
      <c r="BU20" s="157">
        <f ca="1"/>
        <v>0</v>
      </c>
      <c r="BV20" s="157">
        <f ca="1"/>
        <v>0</v>
      </c>
      <c r="BW20" s="157">
        <f ca="1"/>
        <v>0</v>
      </c>
      <c r="BX20" s="157">
        <f ca="1"/>
        <v>0</v>
      </c>
      <c r="BY20" s="468" t="str">
        <f ca="1"/>
        <v>Prim.</v>
      </c>
      <c r="BZ20" s="470">
        <f ca="1"/>
        <v>0</v>
      </c>
      <c r="CA20" s="472">
        <f ca="1"/>
        <v>0</v>
      </c>
      <c r="CB20" s="462">
        <f ca="1"/>
        <v>10.24127328</v>
      </c>
      <c r="CC20" s="464">
        <f ca="1"/>
        <v>0.765065419269089</v>
      </c>
      <c r="CD20" s="464">
        <f ca="1"/>
        <v>10.710864999999998</v>
      </c>
      <c r="CE20" s="466">
        <f ca="1"/>
        <v>0</v>
      </c>
      <c r="CF20" s="466">
        <f ca="1"/>
        <v>0</v>
      </c>
      <c r="CG20" s="157">
        <f ca="1"/>
        <v>0</v>
      </c>
      <c r="CH20" s="157">
        <f ca="1"/>
        <v>0</v>
      </c>
      <c r="CI20" s="157">
        <f ca="1"/>
        <v>0</v>
      </c>
      <c r="CJ20" s="157">
        <f ca="1"/>
        <v>0</v>
      </c>
      <c r="CK20" s="468" t="str">
        <f ca="1"/>
        <v>Prim.</v>
      </c>
      <c r="CL20" s="470">
        <f ca="1"/>
        <v>0</v>
      </c>
      <c r="CM20" s="472">
        <f ca="1"/>
        <v>0</v>
      </c>
      <c r="CN20" s="462">
        <f ca="1"/>
        <v>1.1086689166666666</v>
      </c>
      <c r="CO20" s="464">
        <f ca="1"/>
        <v>0.35403667300716668</v>
      </c>
      <c r="CP20" s="464">
        <f ca="1"/>
        <v>1.2334369999999999</v>
      </c>
      <c r="CQ20" s="466" t="e">
        <f ca="1"/>
        <v>#DIV/0!</v>
      </c>
      <c r="CR20" s="466">
        <f ca="1"/>
        <v>0</v>
      </c>
      <c r="CS20" s="157">
        <f ca="1"/>
        <v>0</v>
      </c>
      <c r="CT20" s="157">
        <f ca="1"/>
        <v>0</v>
      </c>
      <c r="CU20" s="157">
        <f ca="1"/>
        <v>0</v>
      </c>
      <c r="CV20" s="157">
        <f ca="1"/>
        <v>0</v>
      </c>
      <c r="CW20" s="468" t="str">
        <f ca="1"/>
        <v>Prim.</v>
      </c>
      <c r="CX20" s="470">
        <f ca="1"/>
        <v>0</v>
      </c>
      <c r="CY20" s="472">
        <f ca="1"/>
        <v>0</v>
      </c>
      <c r="CZ20" s="173">
        <f t="shared" ca="1" si="3"/>
        <v>0</v>
      </c>
      <c r="DA20" s="173">
        <f t="shared" ca="1" si="3"/>
        <v>0</v>
      </c>
      <c r="DB20" s="462">
        <f ca="1"/>
        <v>1336.0878953947326</v>
      </c>
      <c r="DC20" s="464">
        <f ca="1"/>
        <v>302.18860598846953</v>
      </c>
      <c r="DD20" s="464">
        <f ca="1"/>
        <v>1490.2482491098442</v>
      </c>
      <c r="DE20" s="466">
        <f ca="1"/>
        <v>0</v>
      </c>
      <c r="DF20" s="466">
        <f ca="1"/>
        <v>0</v>
      </c>
      <c r="DG20" s="157">
        <f ca="1"/>
        <v>0</v>
      </c>
      <c r="DH20" s="157">
        <f ca="1"/>
        <v>0</v>
      </c>
      <c r="DI20" s="157">
        <f ca="1"/>
        <v>0</v>
      </c>
      <c r="DJ20" s="157">
        <f ca="1"/>
        <v>0</v>
      </c>
      <c r="DK20" s="468" t="str">
        <f ca="1"/>
        <v>Prim.</v>
      </c>
      <c r="DL20" s="470">
        <f ca="1"/>
        <v>0</v>
      </c>
      <c r="DM20" s="472">
        <f ca="1"/>
        <v>0</v>
      </c>
      <c r="DN20" s="462">
        <f ca="1"/>
        <v>1155.2779479118312</v>
      </c>
      <c r="DO20" s="464">
        <f ca="1"/>
        <v>182.67336352613131</v>
      </c>
      <c r="DP20" s="464">
        <f ca="1"/>
        <v>1288.6909465740951</v>
      </c>
      <c r="DQ20" s="466">
        <f ca="1"/>
        <v>0</v>
      </c>
      <c r="DR20" s="466">
        <f ca="1"/>
        <v>0</v>
      </c>
      <c r="DS20" s="157">
        <f ca="1"/>
        <v>0</v>
      </c>
      <c r="DT20" s="157">
        <f ca="1"/>
        <v>0</v>
      </c>
      <c r="DU20" s="157">
        <f ca="1"/>
        <v>0</v>
      </c>
      <c r="DV20" s="157">
        <f ca="1"/>
        <v>0</v>
      </c>
      <c r="DW20" s="468" t="str">
        <f ca="1"/>
        <v>Prim.</v>
      </c>
      <c r="DX20" s="470">
        <f ca="1"/>
        <v>0</v>
      </c>
      <c r="DY20" s="472">
        <f ca="1"/>
        <v>0</v>
      </c>
      <c r="DZ20" s="462">
        <f ca="1"/>
        <v>799.13173396920138</v>
      </c>
      <c r="EA20" s="464">
        <f ca="1"/>
        <v>271.74492230337813</v>
      </c>
      <c r="EB20" s="464">
        <f ca="1"/>
        <v>1001.8303246426001</v>
      </c>
      <c r="EC20" s="466">
        <f ca="1"/>
        <v>0</v>
      </c>
      <c r="ED20" s="466">
        <f ca="1"/>
        <v>0</v>
      </c>
      <c r="EE20" s="157">
        <f ca="1"/>
        <v>0</v>
      </c>
      <c r="EF20" s="157">
        <f ca="1"/>
        <v>0</v>
      </c>
      <c r="EG20" s="157">
        <f ca="1"/>
        <v>0</v>
      </c>
      <c r="EH20" s="157">
        <f ca="1"/>
        <v>0</v>
      </c>
      <c r="EI20" s="468" t="str">
        <f ca="1"/>
        <v>Prim.</v>
      </c>
      <c r="EJ20" s="470">
        <f ca="1"/>
        <v>0</v>
      </c>
      <c r="EK20" s="472">
        <f ca="1"/>
        <v>0</v>
      </c>
      <c r="EL20" s="462">
        <f ca="1"/>
        <v>43.787160935846728</v>
      </c>
      <c r="EM20" s="464">
        <f ca="1"/>
        <v>140.88640292404344</v>
      </c>
      <c r="EN20" s="464">
        <f ca="1"/>
        <v>57.288704172606771</v>
      </c>
      <c r="EO20" s="466" t="e">
        <f ca="1"/>
        <v>#DIV/0!</v>
      </c>
      <c r="EP20" s="466">
        <f ca="1"/>
        <v>0</v>
      </c>
      <c r="EQ20" s="157">
        <f ca="1"/>
        <v>0</v>
      </c>
      <c r="ER20" s="157">
        <f ca="1"/>
        <v>0</v>
      </c>
      <c r="ES20" s="157">
        <f ca="1"/>
        <v>0</v>
      </c>
      <c r="ET20" s="157">
        <f ca="1"/>
        <v>0</v>
      </c>
      <c r="EU20" s="468" t="str">
        <f ca="1"/>
        <v>Prim.</v>
      </c>
      <c r="EV20" s="470">
        <f ca="1"/>
        <v>0</v>
      </c>
      <c r="EW20" s="472">
        <f ca="1"/>
        <v>0</v>
      </c>
      <c r="EX20" s="462">
        <f ca="1"/>
        <v>220.07350454223788</v>
      </c>
      <c r="EY20" s="464">
        <f ca="1"/>
        <v>48.654313356881367</v>
      </c>
      <c r="EZ20" s="464">
        <f ca="1"/>
        <v>251.82447150085301</v>
      </c>
      <c r="FA20" s="466">
        <f ca="1"/>
        <v>0</v>
      </c>
      <c r="FB20" s="466">
        <f ca="1"/>
        <v>0</v>
      </c>
      <c r="FC20" s="157">
        <f ca="1"/>
        <v>0</v>
      </c>
      <c r="FD20" s="157">
        <f ca="1"/>
        <v>0</v>
      </c>
      <c r="FE20" s="157">
        <f ca="1"/>
        <v>0</v>
      </c>
      <c r="FF20" s="157">
        <f ca="1"/>
        <v>0</v>
      </c>
      <c r="FG20" s="468" t="str">
        <f ca="1"/>
        <v>Prim.</v>
      </c>
      <c r="FH20" s="470">
        <f ca="1"/>
        <v>0</v>
      </c>
      <c r="FI20" s="472">
        <f ca="1"/>
        <v>0</v>
      </c>
      <c r="FJ20" s="173">
        <f t="shared" ca="1" si="4"/>
        <v>0</v>
      </c>
      <c r="FK20" s="173">
        <f t="shared" ca="1" si="4"/>
        <v>0</v>
      </c>
      <c r="FL20" s="462">
        <f ca="1"/>
        <v>36.575344319999999</v>
      </c>
      <c r="FM20" s="464">
        <f ca="1"/>
        <v>350.41361735676003</v>
      </c>
      <c r="FN20" s="464">
        <f ca="1"/>
        <v>37.697583999999999</v>
      </c>
      <c r="FO20" s="466">
        <f ca="1"/>
        <v>0</v>
      </c>
      <c r="FP20" s="466">
        <f ca="1"/>
        <v>0</v>
      </c>
      <c r="FQ20" s="157">
        <f ca="1"/>
        <v>0</v>
      </c>
      <c r="FR20" s="157">
        <f ca="1"/>
        <v>0</v>
      </c>
      <c r="FS20" s="157">
        <f ca="1"/>
        <v>0</v>
      </c>
      <c r="FT20" s="468" t="str">
        <f ca="1"/>
        <v>Sec2.</v>
      </c>
      <c r="FU20" s="470">
        <f ca="1"/>
        <v>0</v>
      </c>
      <c r="FV20" s="470">
        <f ca="1"/>
        <v>0</v>
      </c>
      <c r="FW20" s="462">
        <f ca="1"/>
        <v>-0.13189152000000207</v>
      </c>
      <c r="FX20" s="464">
        <f ca="1"/>
        <v>-2071.7453777558967</v>
      </c>
      <c r="FY20" s="464">
        <f ca="1"/>
        <v>-6.7668930000000032</v>
      </c>
      <c r="FZ20" s="466">
        <f ca="1"/>
        <v>0</v>
      </c>
      <c r="GA20" s="466">
        <f ca="1"/>
        <v>0</v>
      </c>
      <c r="GB20" s="157">
        <f ca="1"/>
        <v>0</v>
      </c>
      <c r="GC20" s="157">
        <f ca="1"/>
        <v>0</v>
      </c>
      <c r="GD20" s="157">
        <f ca="1"/>
        <v>0</v>
      </c>
      <c r="GE20" s="468" t="str">
        <f ca="1"/>
        <v>Sec2.</v>
      </c>
      <c r="GF20" s="470">
        <f ca="1"/>
        <v>0</v>
      </c>
      <c r="GG20" s="470">
        <f ca="1"/>
        <v>0</v>
      </c>
      <c r="GH20" s="173">
        <f t="shared" ca="1" si="2"/>
        <v>0</v>
      </c>
      <c r="GI20" s="173">
        <f t="shared" ca="1" si="2"/>
        <v>0</v>
      </c>
    </row>
    <row r="21" spans="1:191" ht="15">
      <c r="A21" s="168"/>
      <c r="B21" s="169"/>
      <c r="C21" s="87">
        <f>'Oil supply projection'!B21</f>
        <v>2030</v>
      </c>
      <c r="D21" s="460">
        <f ca="1"/>
        <v>0</v>
      </c>
      <c r="E21" s="460">
        <f ca="1"/>
        <v>0</v>
      </c>
      <c r="F21" s="462">
        <f ca="1"/>
        <v>0.42575398489559063</v>
      </c>
      <c r="G21" s="464">
        <f ca="1"/>
        <v>2.0089772238213044</v>
      </c>
      <c r="H21" s="464">
        <f ca="1"/>
        <v>0.44849005651758678</v>
      </c>
      <c r="I21" s="466">
        <f ca="1"/>
        <v>1.437191854847697E-3</v>
      </c>
      <c r="J21" s="466">
        <f ca="1"/>
        <v>1.436674323291259E-3</v>
      </c>
      <c r="K21" s="157">
        <f ca="1"/>
        <v>2.8283144060575059E-2</v>
      </c>
      <c r="L21" s="157">
        <f ca="1"/>
        <v>2.8283434184003666E-2</v>
      </c>
      <c r="M21" s="157">
        <f ca="1"/>
        <v>3.7259424708870767E-7</v>
      </c>
      <c r="N21" s="157">
        <f ca="1"/>
        <v>2.8284179372497841E-2</v>
      </c>
      <c r="O21" s="468" t="str">
        <f ca="1"/>
        <v>Prim.</v>
      </c>
      <c r="P21" s="470">
        <f ca="1"/>
        <v>10323589.474061524</v>
      </c>
      <c r="Q21" s="472">
        <f ca="1"/>
        <v>573309.41088487604</v>
      </c>
      <c r="R21" s="462">
        <f ca="1"/>
        <v>0.49096821968109894</v>
      </c>
      <c r="S21" s="464">
        <f ca="1"/>
        <v>1.4628629899141519</v>
      </c>
      <c r="T21" s="464">
        <f ca="1"/>
        <v>0.5129121129704135</v>
      </c>
      <c r="U21" s="466">
        <f ca="1"/>
        <v>1.2998732816278391E-3</v>
      </c>
      <c r="V21" s="466">
        <f ca="1"/>
        <v>1.2994051948509216E-3</v>
      </c>
      <c r="W21" s="157">
        <f ca="1"/>
        <v>3.2345794451269616E-2</v>
      </c>
      <c r="X21" s="157">
        <f ca="1"/>
        <v>3.234606120672693E-2</v>
      </c>
      <c r="Y21" s="157">
        <f ca="1"/>
        <v>3.3481804436722465E-7</v>
      </c>
      <c r="Z21" s="157">
        <f ca="1"/>
        <v>3.2346730842815662E-2</v>
      </c>
      <c r="AA21" s="468" t="str">
        <f ca="1"/>
        <v>Prim.</v>
      </c>
      <c r="AB21" s="470">
        <f ca="1"/>
        <v>11806434.549041523</v>
      </c>
      <c r="AC21" s="472">
        <f ca="1"/>
        <v>655626.14103662595</v>
      </c>
      <c r="AD21" s="462">
        <f ca="1"/>
        <v>5.6584896000000002</v>
      </c>
      <c r="AE21" s="464">
        <f ca="1"/>
        <v>0.92898134680463706</v>
      </c>
      <c r="AF21" s="464">
        <f ca="1"/>
        <v>5.9437359115858799</v>
      </c>
      <c r="AG21" s="466">
        <f ca="1"/>
        <v>4.7494150434399529E-3</v>
      </c>
      <c r="AH21" s="466">
        <f ca="1"/>
        <v>4.7477046317003233E-3</v>
      </c>
      <c r="AI21" s="157">
        <f ca="1"/>
        <v>0.37483002488552347</v>
      </c>
      <c r="AJ21" s="157">
        <f ca="1"/>
        <v>0.37483110253277852</v>
      </c>
      <c r="AK21" s="157">
        <f ca="1"/>
        <v>1.1718477234361988E-6</v>
      </c>
      <c r="AL21" s="157">
        <f ca="1"/>
        <v>0.3748334462282254</v>
      </c>
      <c r="AM21" s="468" t="str">
        <f ca="1"/>
        <v>Prim.</v>
      </c>
      <c r="AN21" s="470">
        <f ca="1"/>
        <v>136813780.14888322</v>
      </c>
      <c r="AO21" s="472">
        <f ca="1"/>
        <v>7596507.5112176118</v>
      </c>
      <c r="AP21" s="462">
        <f ca="1"/>
        <v>11.673387180000001</v>
      </c>
      <c r="AQ21" s="464">
        <f ca="1"/>
        <v>3.8212826963433595</v>
      </c>
      <c r="AR21" s="464">
        <f ca="1"/>
        <v>12.672229</v>
      </c>
      <c r="AS21" s="466">
        <f ca="1"/>
        <v>1.8899040779437826E-2</v>
      </c>
      <c r="AT21" s="466">
        <f ca="1"/>
        <v>1.8892234677794082E-2</v>
      </c>
      <c r="AU21" s="157">
        <f ca="1"/>
        <v>0.7991492189560786</v>
      </c>
      <c r="AV21" s="157">
        <f ca="1"/>
        <v>0.7991492189560786</v>
      </c>
      <c r="AW21" s="157">
        <f ca="1"/>
        <v>6.8071641195289193E-6</v>
      </c>
      <c r="AX21" s="157">
        <f ca="1"/>
        <v>0.7991628332843177</v>
      </c>
      <c r="AY21" s="468" t="str">
        <f ca="1"/>
        <v>Prim.</v>
      </c>
      <c r="AZ21" s="470">
        <f ca="1"/>
        <v>291691949.53387231</v>
      </c>
      <c r="BA21" s="472">
        <f ca="1"/>
        <v>16197515.357362555</v>
      </c>
      <c r="BB21" s="173">
        <f t="shared" ca="1" si="0"/>
        <v>450635753.70585859</v>
      </c>
      <c r="BC21" s="173">
        <f t="shared" ca="1" si="1"/>
        <v>25022958.420501668</v>
      </c>
      <c r="BD21" s="462">
        <f ca="1"/>
        <v>4.5895269499999998</v>
      </c>
      <c r="BE21" s="464">
        <f ca="1"/>
        <v>0.32382792787268061</v>
      </c>
      <c r="BF21" s="464">
        <f ca="1"/>
        <v>4.8207615201367737</v>
      </c>
      <c r="BG21" s="466">
        <f ca="1"/>
        <v>4.9907246737534994E-5</v>
      </c>
      <c r="BH21" s="466">
        <f ca="1"/>
        <v>4.9901379636113489E-5</v>
      </c>
      <c r="BI21" s="157">
        <f ca="1"/>
        <v>3.3240395184111252E-3</v>
      </c>
      <c r="BJ21" s="157">
        <f ca="1"/>
        <v>3.3240584664862259E-3</v>
      </c>
      <c r="BK21" s="157">
        <f ca="1"/>
        <v>-3.6066341920789202E-9</v>
      </c>
      <c r="BL21" s="157">
        <f ca="1"/>
        <v>3.3240512532178414E-3</v>
      </c>
      <c r="BM21" s="468" t="str">
        <f ca="1"/>
        <v>Sec1.</v>
      </c>
      <c r="BN21" s="470">
        <f ca="1"/>
        <v>3324045.3855125466</v>
      </c>
      <c r="BO21" s="472">
        <f ca="1"/>
        <v>240961.6692122728</v>
      </c>
      <c r="BP21" s="462">
        <f ca="1"/>
        <v>3.3662601599999999</v>
      </c>
      <c r="BQ21" s="464">
        <f ca="1"/>
        <v>0.20829440752514916</v>
      </c>
      <c r="BR21" s="464">
        <f ca="1"/>
        <v>3.5177417967553097</v>
      </c>
      <c r="BS21" s="466">
        <f ca="1"/>
        <v>3.0918423630482694E-5</v>
      </c>
      <c r="BT21" s="466">
        <f ca="1"/>
        <v>3.0914788854793915E-5</v>
      </c>
      <c r="BU21" s="157">
        <f ca="1"/>
        <v>2.4255737810588585E-3</v>
      </c>
      <c r="BV21" s="157">
        <f ca="1"/>
        <v>2.4255849536143673E-3</v>
      </c>
      <c r="BW21" s="157">
        <f ca="1"/>
        <v>-1.9513174131331745E-9</v>
      </c>
      <c r="BX21" s="157">
        <f ca="1"/>
        <v>2.4255810509795409E-3</v>
      </c>
      <c r="BY21" s="468" t="str">
        <f ca="1"/>
        <v>Sec1.</v>
      </c>
      <c r="BZ21" s="470">
        <f ca="1"/>
        <v>2425577.4158345475</v>
      </c>
      <c r="CA21" s="472">
        <f ca="1"/>
        <v>175831.28842657543</v>
      </c>
      <c r="CB21" s="462">
        <f ca="1"/>
        <v>10.282430399999997</v>
      </c>
      <c r="CC21" s="464">
        <f ca="1"/>
        <v>0.75359004389291384</v>
      </c>
      <c r="CD21" s="464">
        <f ca="1"/>
        <v>10.737883622005427</v>
      </c>
      <c r="CE21" s="466">
        <f ca="1"/>
        <v>1.4698196764317828E-4</v>
      </c>
      <c r="CF21" s="466">
        <f ca="1"/>
        <v>1.469646885311898E-4</v>
      </c>
      <c r="CG21" s="157">
        <f ca="1"/>
        <v>7.4040479610020093E-3</v>
      </c>
      <c r="CH21" s="157">
        <f ca="1"/>
        <v>7.4040944198686624E-3</v>
      </c>
      <c r="CI21" s="157">
        <f ca="1"/>
        <v>-5.9493277797628479E-9</v>
      </c>
      <c r="CJ21" s="157">
        <f ca="1"/>
        <v>7.4040825212131024E-3</v>
      </c>
      <c r="CK21" s="468" t="str">
        <f ca="1"/>
        <v>Sec1.</v>
      </c>
      <c r="CL21" s="470">
        <f ca="1"/>
        <v>7404065.2401139978</v>
      </c>
      <c r="CM21" s="472">
        <f ca="1"/>
        <v>536724.29594078485</v>
      </c>
      <c r="CN21" s="462">
        <f ca="1"/>
        <v>1.1306505833333331</v>
      </c>
      <c r="CO21" s="464">
        <f ca="1"/>
        <v>0.44397251665316728</v>
      </c>
      <c r="CP21" s="464">
        <f ca="1"/>
        <v>1.28203</v>
      </c>
      <c r="CQ21" s="466" t="e">
        <f ca="1"/>
        <v>#DIV/0!</v>
      </c>
      <c r="CR21" s="466">
        <f ca="1"/>
        <v>1.0438001572387404E-4</v>
      </c>
      <c r="CS21" s="157">
        <f ca="1"/>
        <v>8.8399278122094449E-4</v>
      </c>
      <c r="CT21" s="157">
        <f ca="1"/>
        <v>8.8399278122094449E-4</v>
      </c>
      <c r="CU21" s="157">
        <f ca="1"/>
        <v>1.227300045130222E-8</v>
      </c>
      <c r="CV21" s="157">
        <f ca="1"/>
        <v>8.8401732722184702E-4</v>
      </c>
      <c r="CW21" s="468" t="str">
        <f ca="1"/>
        <v>Prim.</v>
      </c>
      <c r="CX21" s="470">
        <f ca="1"/>
        <v>884005.05422139575</v>
      </c>
      <c r="CY21" s="472">
        <f ca="1"/>
        <v>64093.340323710414</v>
      </c>
      <c r="CZ21" s="173">
        <f t="shared" ca="1" si="3"/>
        <v>14037693.095682487</v>
      </c>
      <c r="DA21" s="173">
        <f t="shared" ca="1" si="3"/>
        <v>1017610.5939033437</v>
      </c>
      <c r="DB21" s="462">
        <f ca="1"/>
        <v>1341.2234241988599</v>
      </c>
      <c r="DC21" s="464">
        <f ca="1"/>
        <v>299.96272558112167</v>
      </c>
      <c r="DD21" s="464">
        <f ca="1"/>
        <v>1494.162292049069</v>
      </c>
      <c r="DE21" s="466">
        <f ca="1"/>
        <v>6.1916386179177607E-2</v>
      </c>
      <c r="DF21" s="466">
        <f ca="1"/>
        <v>6.1912209281936366E-2</v>
      </c>
      <c r="DG21" s="157">
        <f ca="1"/>
        <v>2.1076340010173791</v>
      </c>
      <c r="DH21" s="157">
        <f ca="1"/>
        <v>2.1076709136091982</v>
      </c>
      <c r="DI21" s="157">
        <f ca="1"/>
        <v>-1.4279277702038204E-5</v>
      </c>
      <c r="DJ21" s="157">
        <f ca="1"/>
        <v>2.1076423550537942</v>
      </c>
      <c r="DK21" s="468" t="str">
        <f ca="1"/>
        <v>Sec1.</v>
      </c>
      <c r="DL21" s="470">
        <f ca="1"/>
        <v>21076381.779146206</v>
      </c>
      <c r="DM21" s="472">
        <f ca="1"/>
        <v>238053.99317516675</v>
      </c>
      <c r="DN21" s="462">
        <f ca="1"/>
        <v>1159.8218519166855</v>
      </c>
      <c r="DO21" s="464">
        <f ca="1"/>
        <v>182.0825684647973</v>
      </c>
      <c r="DP21" s="464">
        <f ca="1"/>
        <v>1292.768487846419</v>
      </c>
      <c r="DQ21" s="466">
        <f ca="1"/>
        <v>2.5129479941085719E-2</v>
      </c>
      <c r="DR21" s="466">
        <f ca="1"/>
        <v>2.5127784693100324E-2</v>
      </c>
      <c r="DS21" s="157">
        <f ca="1"/>
        <v>1.8235521234392489</v>
      </c>
      <c r="DT21" s="157">
        <f ca="1"/>
        <v>1.823566360374941</v>
      </c>
      <c r="DU21" s="157">
        <f ca="1"/>
        <v>-5.423176797771772E-6</v>
      </c>
      <c r="DV21" s="157">
        <f ca="1"/>
        <v>1.8235555140213455</v>
      </c>
      <c r="DW21" s="468" t="str">
        <f ca="1"/>
        <v>Sec1.</v>
      </c>
      <c r="DX21" s="470">
        <f ca="1"/>
        <v>18235538.186872341</v>
      </c>
      <c r="DY21" s="472">
        <f ca="1"/>
        <v>205967.16877554375</v>
      </c>
      <c r="DZ21" s="462">
        <f ca="1"/>
        <v>801.46425971408007</v>
      </c>
      <c r="EA21" s="464">
        <f ca="1"/>
        <v>271.17405647212098</v>
      </c>
      <c r="EB21" s="464">
        <f ca="1"/>
        <v>1003.6875362942191</v>
      </c>
      <c r="EC21" s="466">
        <f ca="1"/>
        <v>3.5656789917538845E-2</v>
      </c>
      <c r="ED21" s="466">
        <f ca="1"/>
        <v>3.5654384491441642E-2</v>
      </c>
      <c r="EE21" s="157">
        <f ca="1"/>
        <v>1.415780594348977</v>
      </c>
      <c r="EF21" s="157">
        <f ca="1"/>
        <v>1.4157903600513382</v>
      </c>
      <c r="EG21" s="157">
        <f ca="1"/>
        <v>-2.4773642027257511E-6</v>
      </c>
      <c r="EH21" s="157">
        <f ca="1"/>
        <v>1.4157854053229326</v>
      </c>
      <c r="EI21" s="468" t="str">
        <f ca="1"/>
        <v>Sec1.</v>
      </c>
      <c r="EJ21" s="470">
        <f ca="1"/>
        <v>14157829.997750742</v>
      </c>
      <c r="EK21" s="472">
        <f ca="1"/>
        <v>159910.17817842244</v>
      </c>
      <c r="EL21" s="462">
        <f ca="1"/>
        <v>51.559833755346098</v>
      </c>
      <c r="EM21" s="464">
        <f ca="1"/>
        <v>159.96039491478584</v>
      </c>
      <c r="EN21" s="464">
        <f ca="1"/>
        <v>66.859308070569185</v>
      </c>
      <c r="EO21" s="466" t="e">
        <f ca="1"/>
        <v>#DIV/0!</v>
      </c>
      <c r="EP21" s="466">
        <f ca="1"/>
        <v>2.1581117684566345E-2</v>
      </c>
      <c r="EQ21" s="157">
        <f ca="1"/>
        <v>9.4310338123162571E-2</v>
      </c>
      <c r="ER21" s="157">
        <f ca="1"/>
        <v>9.4310338123162571E-2</v>
      </c>
      <c r="ES21" s="157">
        <f ca="1"/>
        <v>1.4560087994167533E-6</v>
      </c>
      <c r="ET21" s="157">
        <f ca="1"/>
        <v>9.4313250140761404E-2</v>
      </c>
      <c r="EU21" s="468" t="str">
        <f ca="1"/>
        <v>Prim.</v>
      </c>
      <c r="EV21" s="470">
        <f ca="1"/>
        <v>943117.94131961989</v>
      </c>
      <c r="EW21" s="472">
        <f ca="1"/>
        <v>10666.745469326013</v>
      </c>
      <c r="EX21" s="462">
        <f ca="1"/>
        <v>226.64202435076771</v>
      </c>
      <c r="EY21" s="464">
        <f ca="1"/>
        <v>49.722633146475793</v>
      </c>
      <c r="EZ21" s="464">
        <f ca="1"/>
        <v>259.07859818327648</v>
      </c>
      <c r="FA21" s="466">
        <f ca="1"/>
        <v>8.3273941145733943E-3</v>
      </c>
      <c r="FB21" s="466">
        <f ca="1"/>
        <v>8.3268323448536241E-3</v>
      </c>
      <c r="FC21" s="157">
        <f ca="1"/>
        <v>0.36545083848834042</v>
      </c>
      <c r="FD21" s="157">
        <f ca="1"/>
        <v>0.36545083848834042</v>
      </c>
      <c r="FE21" s="157">
        <f ca="1"/>
        <v>5.6178467411098477E-7</v>
      </c>
      <c r="FF21" s="157">
        <f ca="1"/>
        <v>0.36545196205768865</v>
      </c>
      <c r="FG21" s="468" t="str">
        <f ca="1"/>
        <v>Prim.</v>
      </c>
      <c r="FH21" s="470">
        <f ca="1"/>
        <v>3654514.0027301456</v>
      </c>
      <c r="FI21" s="472">
        <f ca="1"/>
        <v>41282.641732046039</v>
      </c>
      <c r="FJ21" s="173">
        <f t="shared" ca="1" si="4"/>
        <v>58067381.907819062</v>
      </c>
      <c r="FK21" s="173">
        <f t="shared" ca="1" si="4"/>
        <v>655880.72733050503</v>
      </c>
      <c r="FL21" s="462">
        <f ca="1"/>
        <v>36.189680639999999</v>
      </c>
      <c r="FM21" s="464">
        <f ca="1"/>
        <v>344.20750742064553</v>
      </c>
      <c r="FN21" s="464">
        <f ca="1"/>
        <v>37.206507211180998</v>
      </c>
      <c r="FO21" s="466">
        <f ca="1"/>
        <v>7.5275129916008154E-6</v>
      </c>
      <c r="FP21" s="466">
        <f ca="1"/>
        <v>7.5275126155859309E-6</v>
      </c>
      <c r="FQ21" s="157">
        <f ca="1"/>
        <v>1.8762790977037785E-4</v>
      </c>
      <c r="FR21" s="157">
        <f ca="1"/>
        <v>1.8762791048848194E-4</v>
      </c>
      <c r="FS21" s="157">
        <f ca="1"/>
        <v>1.876304099733469E-4</v>
      </c>
      <c r="FT21" s="468" t="str">
        <f ca="1"/>
        <v>Sec1.</v>
      </c>
      <c r="FU21" s="470">
        <f ca="1"/>
        <v>187.62791014639274</v>
      </c>
      <c r="FV21" s="470">
        <f ca="1"/>
        <v>1.5662182777406644</v>
      </c>
      <c r="FW21" s="462">
        <f ca="1"/>
        <v>-6.4962172800000024</v>
      </c>
      <c r="FX21" s="464">
        <f ca="1"/>
        <v>794.33565431707575</v>
      </c>
      <c r="FY21" s="464">
        <f ca="1"/>
        <v>-4.1496630000000021</v>
      </c>
      <c r="FZ21" s="466">
        <f ca="1"/>
        <v>1.7371416447531374E-5</v>
      </c>
      <c r="GA21" s="466">
        <f ca="1"/>
        <v>1.7371415571289139E-5</v>
      </c>
      <c r="GB21" s="157">
        <f ca="1"/>
        <v>-2.0926247941583174E-5</v>
      </c>
      <c r="GC21" s="157">
        <f ca="1"/>
        <v>-2.0926246284397725E-5</v>
      </c>
      <c r="GD21" s="157">
        <f ca="1"/>
        <v>-2.0926247941583164E-5</v>
      </c>
      <c r="GE21" s="468" t="str">
        <f ca="1"/>
        <v>Sec3.</v>
      </c>
      <c r="GF21" s="470">
        <f ca="1"/>
        <v>-20.926247941583163</v>
      </c>
      <c r="GG21" s="470">
        <f ca="1"/>
        <v>-0.17468121872203576</v>
      </c>
      <c r="GH21" s="173">
        <f t="shared" ca="1" si="2"/>
        <v>166.70166220480957</v>
      </c>
      <c r="GI21" s="173">
        <f t="shared" ca="1" si="2"/>
        <v>1.3915370590186287</v>
      </c>
    </row>
    <row r="22" spans="1:191" ht="15">
      <c r="A22" s="168"/>
      <c r="B22" s="169"/>
      <c r="C22" s="87">
        <f>'Oil supply projection'!B22</f>
        <v>2031</v>
      </c>
      <c r="D22" s="460">
        <f ca="1"/>
        <v>522740995.41102231</v>
      </c>
      <c r="E22" s="460">
        <f ca="1"/>
        <v>26696451.133272577</v>
      </c>
      <c r="F22" s="462">
        <f ca="1"/>
        <v>0.42159608519715502</v>
      </c>
      <c r="G22" s="464">
        <f ca="1"/>
        <v>1.979466962096468</v>
      </c>
      <c r="H22" s="464">
        <f ca="1"/>
        <v>0.44380274090783733</v>
      </c>
      <c r="I22" s="466">
        <f ca="1"/>
        <v>2.0204828524583718E-4</v>
      </c>
      <c r="J22" s="466">
        <f ca="1"/>
        <v>2.0203790171306773E-4</v>
      </c>
      <c r="K22" s="157">
        <f ca="1"/>
        <v>4.0296924719731043E-3</v>
      </c>
      <c r="L22" s="157">
        <f ca="1"/>
        <v>4.0295984803289213E-3</v>
      </c>
      <c r="M22" s="157">
        <f ca="1"/>
        <v>5.7379630444851615E-8</v>
      </c>
      <c r="N22" s="157">
        <f ca="1"/>
        <v>4.0297132395898114E-3</v>
      </c>
      <c r="O22" s="468" t="str">
        <f ca="1"/>
        <v>Prim.</v>
      </c>
      <c r="P22" s="470">
        <f ca="1"/>
        <v>1470824.3888851686</v>
      </c>
      <c r="Q22" s="472">
        <f ca="1"/>
        <v>82216.117758226086</v>
      </c>
      <c r="R22" s="462">
        <f ca="1"/>
        <v>0.49240988301271116</v>
      </c>
      <c r="S22" s="464">
        <f ca="1"/>
        <v>1.4619740536743528</v>
      </c>
      <c r="T22" s="464">
        <f ca="1"/>
        <v>0.51416109445760061</v>
      </c>
      <c r="U22" s="466">
        <f ca="1"/>
        <v>1.8546071266101194E-4</v>
      </c>
      <c r="V22" s="466">
        <f ca="1"/>
        <v>1.8545118164662891E-4</v>
      </c>
      <c r="W22" s="157">
        <f ca="1"/>
        <v>4.6685405490713506E-3</v>
      </c>
      <c r="X22" s="157">
        <f ca="1"/>
        <v>4.6684544372249141E-3</v>
      </c>
      <c r="Y22" s="157">
        <f ca="1"/>
        <v>5.2587251314735457E-8</v>
      </c>
      <c r="Z22" s="157">
        <f ca="1"/>
        <v>4.6685596117275437E-3</v>
      </c>
      <c r="AA22" s="468" t="str">
        <f ca="1"/>
        <v>Prim.</v>
      </c>
      <c r="AB22" s="470">
        <f ca="1"/>
        <v>1704005.0639338235</v>
      </c>
      <c r="AC22" s="472">
        <f ca="1"/>
        <v>95245.661091127331</v>
      </c>
      <c r="AD22" s="462">
        <f ca="1"/>
        <v>5.7060385577569397</v>
      </c>
      <c r="AE22" s="464">
        <f ca="1"/>
        <v>0.94020234113673085</v>
      </c>
      <c r="AF22" s="464">
        <f ca="1"/>
        <v>5.9940645765928178</v>
      </c>
      <c r="AG22" s="466">
        <f ca="1"/>
        <v>6.9043605842900035E-4</v>
      </c>
      <c r="AH22" s="466">
        <f ca="1"/>
        <v>6.9040057581283944E-4</v>
      </c>
      <c r="AI22" s="157">
        <f ca="1"/>
        <v>5.442561452281057E-2</v>
      </c>
      <c r="AJ22" s="157">
        <f ca="1"/>
        <v>5.4425327809938751E-2</v>
      </c>
      <c r="AK22" s="157">
        <f ca="1"/>
        <v>1.788398140579704E-7</v>
      </c>
      <c r="AL22" s="157">
        <f ca="1"/>
        <v>5.4425685489566861E-2</v>
      </c>
      <c r="AM22" s="468" t="str">
        <f ca="1"/>
        <v>Prim.</v>
      </c>
      <c r="AN22" s="470">
        <f ca="1"/>
        <v>19865309.927159775</v>
      </c>
      <c r="AO22" s="472">
        <f ca="1"/>
        <v>1110225.3388046576</v>
      </c>
      <c r="AP22" s="462">
        <f ca="1"/>
        <v>11.531924844844404</v>
      </c>
      <c r="AQ22" s="464">
        <f ca="1"/>
        <v>3.8760759106717937</v>
      </c>
      <c r="AR22" s="464">
        <f ca="1"/>
        <v>12.542434454844404</v>
      </c>
      <c r="AS22" s="466">
        <f ca="1"/>
        <v>2.7526457417508254E-3</v>
      </c>
      <c r="AT22" s="466">
        <f ca="1"/>
        <v>2.7525042789822048E-3</v>
      </c>
      <c r="AU22" s="157">
        <f ca="1"/>
        <v>0.11388427570211526</v>
      </c>
      <c r="AV22" s="157">
        <f ca="1"/>
        <v>0.11388249190824784</v>
      </c>
      <c r="AW22" s="157">
        <f ca="1"/>
        <v>1.0333628501739232E-6</v>
      </c>
      <c r="AX22" s="157">
        <f ca="1"/>
        <v>0.11388455863394818</v>
      </c>
      <c r="AY22" s="468" t="str">
        <f ca="1"/>
        <v>Prim.</v>
      </c>
      <c r="AZ22" s="470">
        <f ca="1"/>
        <v>41567486.723950781</v>
      </c>
      <c r="BA22" s="472">
        <f ca="1"/>
        <v>2323335.9798220894</v>
      </c>
      <c r="BB22" s="173">
        <f t="shared" ca="1" si="0"/>
        <v>64607626.103929557</v>
      </c>
      <c r="BC22" s="173">
        <f t="shared" ca="1" si="1"/>
        <v>3611023.0974761005</v>
      </c>
      <c r="BD22" s="462">
        <f ca="1"/>
        <v>4.5797396118587281</v>
      </c>
      <c r="BE22" s="464">
        <f ca="1"/>
        <v>0.32108743217407537</v>
      </c>
      <c r="BF22" s="464">
        <f ca="1"/>
        <v>4.8056041781012695</v>
      </c>
      <c r="BG22" s="466">
        <f ca="1"/>
        <v>1.2333075790904591E-5</v>
      </c>
      <c r="BH22" s="466">
        <f ca="1"/>
        <v>1.2332726148865518E-5</v>
      </c>
      <c r="BI22" s="157">
        <f ca="1"/>
        <v>8.3834562406615314E-4</v>
      </c>
      <c r="BJ22" s="157">
        <f ca="1"/>
        <v>8.3834803531932498E-4</v>
      </c>
      <c r="BK22" s="157">
        <f ca="1"/>
        <v>-8.5598012879215628E-10</v>
      </c>
      <c r="BL22" s="157">
        <f ca="1"/>
        <v>8.383463233590674E-4</v>
      </c>
      <c r="BM22" s="468" t="str">
        <f ca="1"/>
        <v>Sec1.</v>
      </c>
      <c r="BN22" s="470">
        <f ca="1"/>
        <v>838345.97370819224</v>
      </c>
      <c r="BO22" s="472">
        <f ca="1"/>
        <v>61216.974496767638</v>
      </c>
      <c r="BP22" s="462">
        <f ca="1"/>
        <v>3.377042246513176</v>
      </c>
      <c r="BQ22" s="464">
        <f ca="1"/>
        <v>0.20954092509299035</v>
      </c>
      <c r="BR22" s="464">
        <f ca="1"/>
        <v>3.5272842438691172</v>
      </c>
      <c r="BS22" s="466">
        <f ca="1"/>
        <v>7.7582149732025041E-6</v>
      </c>
      <c r="BT22" s="466">
        <f ca="1"/>
        <v>7.757995028119426E-6</v>
      </c>
      <c r="BU22" s="157">
        <f ca="1"/>
        <v>6.1534059008861819E-4</v>
      </c>
      <c r="BV22" s="157">
        <f ca="1"/>
        <v>6.1534194315852246E-4</v>
      </c>
      <c r="BW22" s="157">
        <f ca="1"/>
        <v>-4.5658719338228054E-10</v>
      </c>
      <c r="BX22" s="157">
        <f ca="1"/>
        <v>6.1534102998413577E-4</v>
      </c>
      <c r="BY22" s="468" t="str">
        <f ca="1"/>
        <v>Sec1.</v>
      </c>
      <c r="BZ22" s="470">
        <f ca="1"/>
        <v>615340.81003370124</v>
      </c>
      <c r="CA22" s="472">
        <f ca="1"/>
        <v>44932.884341334233</v>
      </c>
      <c r="CB22" s="462">
        <f ca="1"/>
        <v>10.308416393964208</v>
      </c>
      <c r="CC22" s="464">
        <f ca="1"/>
        <v>0.77592638272368719</v>
      </c>
      <c r="CD22" s="464">
        <f ca="1"/>
        <v>10.766969736749486</v>
      </c>
      <c r="CE22" s="466">
        <f ca="1"/>
        <v>3.7438340015905069E-5</v>
      </c>
      <c r="CF22" s="466">
        <f ca="1"/>
        <v>3.7437278642071589E-5</v>
      </c>
      <c r="CG22" s="157">
        <f ca="1"/>
        <v>1.8783157390259819E-3</v>
      </c>
      <c r="CH22" s="157">
        <f ca="1"/>
        <v>1.8783203206936198E-3</v>
      </c>
      <c r="CI22" s="157">
        <f ca="1"/>
        <v>-1.2294454702588639E-9</v>
      </c>
      <c r="CJ22" s="157">
        <f ca="1"/>
        <v>1.8783178618026794E-3</v>
      </c>
      <c r="CK22" s="468" t="str">
        <f ca="1"/>
        <v>Sec1.</v>
      </c>
      <c r="CL22" s="470">
        <f ca="1"/>
        <v>1878316.8003998154</v>
      </c>
      <c r="CM22" s="472">
        <f ca="1"/>
        <v>137156.82459632008</v>
      </c>
      <c r="CN22" s="462">
        <f ca="1"/>
        <v>1.1752267985135421</v>
      </c>
      <c r="CO22" s="464">
        <f ca="1"/>
        <v>0.48775275957750047</v>
      </c>
      <c r="CP22" s="464">
        <f ca="1"/>
        <v>1.3337526318468755</v>
      </c>
      <c r="CQ22" s="466" t="e">
        <f ca="1"/>
        <v>#DIV/0!</v>
      </c>
      <c r="CR22" s="466">
        <f ca="1"/>
        <v>2.765509470811915E-5</v>
      </c>
      <c r="CS22" s="157">
        <f ca="1"/>
        <v>2.326753600704024E-4</v>
      </c>
      <c r="CT22" s="157">
        <f ca="1"/>
        <v>2.3266966739056042E-4</v>
      </c>
      <c r="CU22" s="157">
        <f ca="1"/>
        <v>3.6303925115793373E-9</v>
      </c>
      <c r="CV22" s="157">
        <f ca="1"/>
        <v>2.3267692817558359E-4</v>
      </c>
      <c r="CW22" s="468" t="str">
        <f ca="1"/>
        <v>Prim.</v>
      </c>
      <c r="CX22" s="470">
        <f ca="1"/>
        <v>232673.29778307199</v>
      </c>
      <c r="CY22" s="472">
        <f ca="1"/>
        <v>16993.433578203389</v>
      </c>
      <c r="CZ22" s="173">
        <f t="shared" ca="1" si="3"/>
        <v>3564676.881924781</v>
      </c>
      <c r="DA22" s="173">
        <f t="shared" ca="1" si="3"/>
        <v>260300.11701262533</v>
      </c>
      <c r="DB22" s="462">
        <f ca="1"/>
        <v>1344.7513930189327</v>
      </c>
      <c r="DC22" s="464">
        <f ca="1"/>
        <v>299.91031083957881</v>
      </c>
      <c r="DD22" s="464">
        <f ca="1"/>
        <v>1497.5583300473406</v>
      </c>
      <c r="DE22" s="466">
        <f ca="1"/>
        <v>9.0654426162473101E-3</v>
      </c>
      <c r="DF22" s="466">
        <f ca="1"/>
        <v>9.0653532144653048E-3</v>
      </c>
      <c r="DG22" s="157">
        <f ca="1"/>
        <v>0.309561230244014</v>
      </c>
      <c r="DH22" s="157">
        <f ca="1"/>
        <v>0.30956582054579113</v>
      </c>
      <c r="DI22" s="157">
        <f ca="1"/>
        <v>-2.2057485924070849E-6</v>
      </c>
      <c r="DJ22" s="157">
        <f ca="1"/>
        <v>0.30956140904860635</v>
      </c>
      <c r="DK22" s="468" t="str">
        <f ca="1"/>
        <v>Sec1.</v>
      </c>
      <c r="DL22" s="470">
        <f ca="1"/>
        <v>3095613.1964579602</v>
      </c>
      <c r="DM22" s="472">
        <f ca="1"/>
        <v>32637.41687035677</v>
      </c>
      <c r="DN22" s="462">
        <f ca="1"/>
        <v>1163.4938023747256</v>
      </c>
      <c r="DO22" s="464">
        <f ca="1"/>
        <v>184.58982061365762</v>
      </c>
      <c r="DP22" s="464">
        <f ca="1"/>
        <v>1298.227792102015</v>
      </c>
      <c r="DQ22" s="466">
        <f ca="1"/>
        <v>3.7320320028300102E-3</v>
      </c>
      <c r="DR22" s="466">
        <f ca="1"/>
        <v>3.7319951980674263E-3</v>
      </c>
      <c r="DS22" s="157">
        <f ca="1"/>
        <v>0.26835748858434488</v>
      </c>
      <c r="DT22" s="157">
        <f ca="1"/>
        <v>0.26835924721034016</v>
      </c>
      <c r="DU22" s="157">
        <f ca="1"/>
        <v>-8.4250815043770555E-7</v>
      </c>
      <c r="DV22" s="157">
        <f ca="1"/>
        <v>0.26835756219403928</v>
      </c>
      <c r="DW22" s="468" t="str">
        <f ca="1"/>
        <v>Sec1.</v>
      </c>
      <c r="DX22" s="470">
        <f ca="1"/>
        <v>2683575.2538910746</v>
      </c>
      <c r="DY22" s="472">
        <f ca="1"/>
        <v>28293.252000744906</v>
      </c>
      <c r="DZ22" s="462">
        <f ca="1"/>
        <v>802.95275754549391</v>
      </c>
      <c r="EA22" s="464">
        <f ca="1"/>
        <v>273.41085873682255</v>
      </c>
      <c r="EB22" s="464">
        <f ca="1"/>
        <v>1006.7829799876675</v>
      </c>
      <c r="EC22" s="466">
        <f ca="1"/>
        <v>5.266740778665735E-3</v>
      </c>
      <c r="ED22" s="466">
        <f ca="1"/>
        <v>5.2666888388704942E-3</v>
      </c>
      <c r="EE22" s="157">
        <f ca="1"/>
        <v>0.20811274700990426</v>
      </c>
      <c r="EF22" s="157">
        <f ca="1"/>
        <v>0.20811364656005429</v>
      </c>
      <c r="EG22" s="157">
        <f ca="1"/>
        <v>-3.978351158969391E-7</v>
      </c>
      <c r="EH22" s="157">
        <f ca="1"/>
        <v>0.20811285088982248</v>
      </c>
      <c r="EI22" s="468" t="str">
        <f ca="1"/>
        <v>Sec1.</v>
      </c>
      <c r="EJ22" s="470">
        <f ca="1"/>
        <v>2081127.989496995</v>
      </c>
      <c r="EK22" s="472">
        <f ca="1"/>
        <v>21941.579080842155</v>
      </c>
      <c r="EL22" s="462">
        <f ca="1"/>
        <v>60.175235235152066</v>
      </c>
      <c r="EM22" s="464">
        <f ca="1"/>
        <v>162.6299850961779</v>
      </c>
      <c r="EN22" s="464">
        <f ca="1"/>
        <v>75.692786117912902</v>
      </c>
      <c r="EO22" s="466" t="e">
        <f ca="1"/>
        <v>#DIV/0!</v>
      </c>
      <c r="EP22" s="466">
        <f ca="1"/>
        <v>3.207642764443941E-3</v>
      </c>
      <c r="EQ22" s="157">
        <f ca="1"/>
        <v>1.5646503726180355E-2</v>
      </c>
      <c r="ER22" s="157">
        <f ca="1"/>
        <v>1.5646119663686738E-2</v>
      </c>
      <c r="ES22" s="157">
        <f ca="1"/>
        <v>2.2366494288567479E-7</v>
      </c>
      <c r="ET22" s="157">
        <f ca="1"/>
        <v>1.564656699357251E-2</v>
      </c>
      <c r="EU22" s="468" t="str">
        <f ca="1"/>
        <v>Prim.</v>
      </c>
      <c r="EV22" s="470">
        <f ca="1"/>
        <v>156463.43328629623</v>
      </c>
      <c r="EW22" s="472">
        <f ca="1"/>
        <v>1651.8255917796689</v>
      </c>
      <c r="EX22" s="462">
        <f ca="1"/>
        <v>233.17145524247911</v>
      </c>
      <c r="EY22" s="464">
        <f ca="1"/>
        <v>50.634990303587117</v>
      </c>
      <c r="EZ22" s="464">
        <f ca="1"/>
        <v>266.18879177386532</v>
      </c>
      <c r="FA22" s="466">
        <f ca="1"/>
        <v>1.242158514699554E-3</v>
      </c>
      <c r="FB22" s="466">
        <f ca="1"/>
        <v>1.242146264784548E-3</v>
      </c>
      <c r="FC22" s="157">
        <f ca="1"/>
        <v>5.5024053624729626E-2</v>
      </c>
      <c r="FD22" s="157">
        <f ca="1"/>
        <v>5.502390543852162E-2</v>
      </c>
      <c r="FE22" s="157">
        <f ca="1"/>
        <v>8.6343120699629845E-8</v>
      </c>
      <c r="FF22" s="157">
        <f ca="1"/>
        <v>5.5024078124763023E-2</v>
      </c>
      <c r="FG22" s="468" t="str">
        <f ca="1"/>
        <v>Prim.</v>
      </c>
      <c r="FH22" s="470">
        <f ca="1"/>
        <v>550239.91781642323</v>
      </c>
      <c r="FI22" s="472">
        <f ca="1"/>
        <v>5802.0990044593073</v>
      </c>
      <c r="FJ22" s="173">
        <f t="shared" ca="1" si="4"/>
        <v>8567019.7909487486</v>
      </c>
      <c r="FK22" s="173">
        <f t="shared" ca="1" si="4"/>
        <v>90326.172548182803</v>
      </c>
      <c r="FL22" s="462">
        <f ca="1"/>
        <v>35.718247059437402</v>
      </c>
      <c r="FM22" s="464">
        <f ca="1"/>
        <v>362.00999909517935</v>
      </c>
      <c r="FN22" s="464">
        <f ca="1"/>
        <v>36.772475959675077</v>
      </c>
      <c r="FO22" s="466">
        <f ca="1"/>
        <v>-7.0608022213036747E-5</v>
      </c>
      <c r="FP22" s="466">
        <f ca="1"/>
        <v>-7.0608052419721083E-5</v>
      </c>
      <c r="FQ22" s="157">
        <f ca="1"/>
        <v>-1.6777073964866008E-3</v>
      </c>
      <c r="FR22" s="157">
        <f ca="1"/>
        <v>-1.6777073361372242E-3</v>
      </c>
      <c r="FS22" s="157">
        <f ca="1"/>
        <v>-1.6777328565176762E-3</v>
      </c>
      <c r="FT22" s="468" t="str">
        <f ca="1"/>
        <v>Sec2.</v>
      </c>
      <c r="FU22" s="470">
        <f ca="1"/>
        <v>-1677.7073361372243</v>
      </c>
      <c r="FV22" s="470">
        <f ca="1"/>
        <v>-13.975233541667775</v>
      </c>
      <c r="FW22" s="462">
        <f ca="1"/>
        <v>-3.9836761645258321</v>
      </c>
      <c r="FX22" s="464">
        <f ca="1"/>
        <v>300.28509905409101</v>
      </c>
      <c r="FY22" s="464">
        <f ca="1"/>
        <v>-3.1091996845258323</v>
      </c>
      <c r="FZ22" s="466">
        <f ca="1"/>
        <v>-5.8568926363022911E-5</v>
      </c>
      <c r="GA22" s="466">
        <f ca="1"/>
        <v>-5.8568951405461167E-5</v>
      </c>
      <c r="GB22" s="157">
        <f ca="1"/>
        <v>1.4185412245841294E-4</v>
      </c>
      <c r="GC22" s="157">
        <f ca="1"/>
        <v>1.4185417251785489E-4</v>
      </c>
      <c r="GD22" s="157">
        <f ca="1"/>
        <v>1.4185413685160599E-4</v>
      </c>
      <c r="GE22" s="468" t="str">
        <f ca="1"/>
        <v>Sec2.</v>
      </c>
      <c r="GF22" s="470">
        <f ca="1"/>
        <v>141.85417251785489</v>
      </c>
      <c r="GG22" s="470">
        <f ca="1"/>
        <v>1.1816394594551043</v>
      </c>
      <c r="GH22" s="173">
        <f t="shared" ca="1" si="2"/>
        <v>-1535.8531636193693</v>
      </c>
      <c r="GI22" s="173">
        <f t="shared" ca="1" si="2"/>
        <v>-12.793594082212671</v>
      </c>
    </row>
    <row r="23" spans="1:191" ht="15">
      <c r="A23" s="168"/>
      <c r="B23" s="169"/>
      <c r="C23" s="87">
        <f>'Oil supply projection'!B23</f>
        <v>2032</v>
      </c>
      <c r="D23" s="460">
        <f ca="1"/>
        <v>76737786.923639476</v>
      </c>
      <c r="E23" s="460">
        <f ca="1"/>
        <v>3961636.5934428265</v>
      </c>
      <c r="F23" s="462">
        <f ca="1"/>
        <v>0.41717672642430503</v>
      </c>
      <c r="G23" s="464">
        <f ca="1"/>
        <v>1.9552829860101772</v>
      </c>
      <c r="H23" s="464">
        <f ca="1"/>
        <v>0.43895900970547952</v>
      </c>
      <c r="I23" s="466">
        <f ca="1"/>
        <v>3.8098636258609986E-3</v>
      </c>
      <c r="J23" s="466">
        <f ca="1"/>
        <v>3.8061283318268761E-3</v>
      </c>
      <c r="K23" s="157">
        <f ca="1"/>
        <v>7.6548276874451357E-2</v>
      </c>
      <c r="L23" s="157">
        <f ca="1"/>
        <v>7.6548272562616704E-2</v>
      </c>
      <c r="M23" s="157">
        <f ca="1"/>
        <v>3.7398970976289439E-6</v>
      </c>
      <c r="N23" s="157">
        <f ca="1"/>
        <v>7.655575235681196E-2</v>
      </c>
      <c r="O23" s="468" t="str">
        <f ca="1"/>
        <v>Prim.</v>
      </c>
      <c r="P23" s="470">
        <f ca="1"/>
        <v>27941484.547795735</v>
      </c>
      <c r="Q23" s="472">
        <f ca="1"/>
        <v>1503144.9715293564</v>
      </c>
      <c r="R23" s="462">
        <f ca="1"/>
        <v>0.49359666613252562</v>
      </c>
      <c r="S23" s="464">
        <f ca="1"/>
        <v>1.4642297097479136</v>
      </c>
      <c r="T23" s="464">
        <f ca="1"/>
        <v>0.51523894988478669</v>
      </c>
      <c r="U23" s="466">
        <f ca="1"/>
        <v>3.5471548163528155E-3</v>
      </c>
      <c r="V23" s="466">
        <f ca="1"/>
        <v>3.5436770175195273E-3</v>
      </c>
      <c r="W23" s="157">
        <f ca="1"/>
        <v>8.9850425484477484E-2</v>
      </c>
      <c r="X23" s="157">
        <f ca="1"/>
        <v>8.9850436843201292E-2</v>
      </c>
      <c r="Y23" s="157">
        <f ca="1"/>
        <v>3.4743261353706527E-6</v>
      </c>
      <c r="Z23" s="157">
        <f ca="1"/>
        <v>8.9857385495472036E-2</v>
      </c>
      <c r="AA23" s="468" t="str">
        <f ca="1"/>
        <v>Prim.</v>
      </c>
      <c r="AB23" s="470">
        <f ca="1"/>
        <v>32796677.576807879</v>
      </c>
      <c r="AC23" s="472">
        <f ca="1"/>
        <v>1764019.6106432187</v>
      </c>
      <c r="AD23" s="462">
        <f ca="1"/>
        <v>5.7543094966900847</v>
      </c>
      <c r="AE23" s="464">
        <f ca="1"/>
        <v>0.99446396212516186</v>
      </c>
      <c r="AF23" s="464">
        <f ca="1"/>
        <v>6.0583967314626577</v>
      </c>
      <c r="AG23" s="466">
        <f ca="1"/>
        <v>1.4003158971037877E-2</v>
      </c>
      <c r="AH23" s="466">
        <f ca="1"/>
        <v>1.3989426580204587E-2</v>
      </c>
      <c r="AI23" s="157">
        <f ca="1"/>
        <v>1.0564991722722248</v>
      </c>
      <c r="AJ23" s="157">
        <f ca="1"/>
        <v>1.0564993934872942</v>
      </c>
      <c r="AK23" s="157">
        <f ca="1"/>
        <v>1.3627462036085923E-5</v>
      </c>
      <c r="AL23" s="157">
        <f ca="1"/>
        <v>1.0565266484113662</v>
      </c>
      <c r="AM23" s="468" t="str">
        <f ca="1"/>
        <v>Prim.</v>
      </c>
      <c r="AN23" s="470">
        <f ca="1"/>
        <v>385627252.64650553</v>
      </c>
      <c r="AO23" s="472">
        <f ca="1"/>
        <v>20732150.614150431</v>
      </c>
      <c r="AP23" s="462">
        <f ca="1"/>
        <v>11.413643709667729</v>
      </c>
      <c r="AQ23" s="464">
        <f ca="1"/>
        <v>3.9280256827375299</v>
      </c>
      <c r="AR23" s="464">
        <f ca="1"/>
        <v>12.43555212966773</v>
      </c>
      <c r="AS23" s="466">
        <f ca="1"/>
        <v>5.3477669169694764E-2</v>
      </c>
      <c r="AT23" s="466">
        <f ca="1"/>
        <v>5.3425226173438263E-2</v>
      </c>
      <c r="AU23" s="157">
        <f ca="1"/>
        <v>2.1685853723498498</v>
      </c>
      <c r="AV23" s="157">
        <f ca="1"/>
        <v>2.168549251849293</v>
      </c>
      <c r="AW23" s="157">
        <f ca="1"/>
        <v>7.05255511105592E-5</v>
      </c>
      <c r="AX23" s="157">
        <f ca="1"/>
        <v>2.1686903029515143</v>
      </c>
      <c r="AY23" s="468" t="str">
        <f ca="1"/>
        <v>Prim.</v>
      </c>
      <c r="AZ23" s="470">
        <f ca="1"/>
        <v>791546218.75114727</v>
      </c>
      <c r="BA23" s="472">
        <f ca="1"/>
        <v>42569924.591777802</v>
      </c>
      <c r="BB23" s="173">
        <f t="shared" ca="1" si="0"/>
        <v>1237911633.5222566</v>
      </c>
      <c r="BC23" s="173">
        <f t="shared" ca="1" si="1"/>
        <v>66569239.788100809</v>
      </c>
      <c r="BD23" s="462">
        <f ca="1"/>
        <v>4.5653277772899221</v>
      </c>
      <c r="BE23" s="464">
        <f ca="1"/>
        <v>0.32405087170079705</v>
      </c>
      <c r="BF23" s="464">
        <f ca="1"/>
        <v>4.7888351445966384</v>
      </c>
      <c r="BG23" s="466">
        <f ca="1"/>
        <v>1.1347508941600415E-4</v>
      </c>
      <c r="BH23" s="466">
        <f ca="1"/>
        <v>1.1344699900975644E-4</v>
      </c>
      <c r="BI23" s="157">
        <f ca="1"/>
        <v>7.7671302559763067E-3</v>
      </c>
      <c r="BJ23" s="157">
        <f ca="1"/>
        <v>7.767266263130638E-3</v>
      </c>
      <c r="BK23" s="157">
        <f ca="1"/>
        <v>-3.9910126859110405E-8</v>
      </c>
      <c r="BL23" s="157">
        <f ca="1"/>
        <v>7.7671864428769197E-3</v>
      </c>
      <c r="BM23" s="468" t="str">
        <f ca="1"/>
        <v>Sec1.</v>
      </c>
      <c r="BN23" s="470">
        <f ca="1"/>
        <v>7767158.3463825546</v>
      </c>
      <c r="BO23" s="472">
        <f ca="1"/>
        <v>583070.33710406942</v>
      </c>
      <c r="BP23" s="462">
        <f ca="1"/>
        <v>3.3861952948405176</v>
      </c>
      <c r="BQ23" s="464">
        <f ca="1"/>
        <v>0.20812130365082779</v>
      </c>
      <c r="BR23" s="464">
        <f ca="1"/>
        <v>3.5326681169033169</v>
      </c>
      <c r="BS23" s="466">
        <f ca="1"/>
        <v>7.0325250124764205E-5</v>
      </c>
      <c r="BT23" s="466">
        <f ca="1"/>
        <v>7.0307841302933328E-5</v>
      </c>
      <c r="BU23" s="157">
        <f ca="1"/>
        <v>5.7297218606663369E-3</v>
      </c>
      <c r="BV23" s="157">
        <f ca="1"/>
        <v>5.7298011453708192E-3</v>
      </c>
      <c r="BW23" s="157">
        <f ca="1"/>
        <v>-2.2231668282525583E-8</v>
      </c>
      <c r="BX23" s="157">
        <f ca="1"/>
        <v>5.7297566820342536E-3</v>
      </c>
      <c r="BY23" s="468" t="str">
        <f ca="1"/>
        <v>Sec1.</v>
      </c>
      <c r="BZ23" s="470">
        <f ca="1"/>
        <v>5729739.2694881679</v>
      </c>
      <c r="CA23" s="472">
        <f ca="1"/>
        <v>430123.97306601075</v>
      </c>
      <c r="CB23" s="462">
        <f ca="1"/>
        <v>10.336302628828621</v>
      </c>
      <c r="CC23" s="464">
        <f ca="1"/>
        <v>0.88899662195527152</v>
      </c>
      <c r="CD23" s="464">
        <f ca="1"/>
        <v>10.846444757141887</v>
      </c>
      <c r="CE23" s="466">
        <f ca="1"/>
        <v>3.872737497658818E-4</v>
      </c>
      <c r="CF23" s="466">
        <f ca="1"/>
        <v>3.8717788257738622E-4</v>
      </c>
      <c r="CG23" s="157">
        <f ca="1"/>
        <v>1.7592117226676494E-2</v>
      </c>
      <c r="CH23" s="157">
        <f ca="1"/>
        <v>1.7592476065944346E-2</v>
      </c>
      <c r="CI23" s="157">
        <f ca="1"/>
        <v>-8.3540829737897499E-8</v>
      </c>
      <c r="CJ23" s="157">
        <f ca="1"/>
        <v>1.7592308984284873E-2</v>
      </c>
      <c r="CK23" s="468" t="str">
        <f ca="1"/>
        <v>Sec1.</v>
      </c>
      <c r="CL23" s="470">
        <f ca="1"/>
        <v>17592213.093864992</v>
      </c>
      <c r="CM23" s="472">
        <f ca="1"/>
        <v>1320624.2439776924</v>
      </c>
      <c r="CN23" s="462">
        <f ca="1"/>
        <v>1.2226148188953201</v>
      </c>
      <c r="CO23" s="464">
        <f ca="1"/>
        <v>0.55938629492933312</v>
      </c>
      <c r="CP23" s="464">
        <f ca="1"/>
        <v>1.3933441522286534</v>
      </c>
      <c r="CQ23" s="466" t="e">
        <f ca="1"/>
        <v>#DIV/0!</v>
      </c>
      <c r="CR23" s="466">
        <f ca="1"/>
        <v>2.7691013168639118E-4</v>
      </c>
      <c r="CS23" s="157">
        <f ca="1"/>
        <v>2.2598993690509236E-3</v>
      </c>
      <c r="CT23" s="157">
        <f ca="1"/>
        <v>2.2598374890069129E-3</v>
      </c>
      <c r="CU23" s="157">
        <f ca="1"/>
        <v>9.9512669071844398E-8</v>
      </c>
      <c r="CV23" s="157">
        <f ca="1"/>
        <v>2.2600365143450566E-3</v>
      </c>
      <c r="CW23" s="468" t="str">
        <f ca="1"/>
        <v>Prim.</v>
      </c>
      <c r="CX23" s="470">
        <f ca="1"/>
        <v>2259937.0016759848</v>
      </c>
      <c r="CY23" s="472">
        <f ca="1"/>
        <v>169742.53367550578</v>
      </c>
      <c r="CZ23" s="173">
        <f t="shared" ca="1" si="3"/>
        <v>33349047.7114117</v>
      </c>
      <c r="DA23" s="173">
        <f t="shared" ca="1" si="3"/>
        <v>2503561.0878232783</v>
      </c>
      <c r="DB23" s="462">
        <f ca="1"/>
        <v>1347.8032755421489</v>
      </c>
      <c r="DC23" s="464">
        <f ca="1"/>
        <v>303.40007959769645</v>
      </c>
      <c r="DD23" s="464">
        <f ca="1"/>
        <v>1502.3159300634184</v>
      </c>
      <c r="DE23" s="466">
        <f ca="1"/>
        <v>0.17999496467950848</v>
      </c>
      <c r="DF23" s="466">
        <f ca="1"/>
        <v>0.17996016439699816</v>
      </c>
      <c r="DG23" s="157">
        <f ca="1"/>
        <v>6.0974967679855592</v>
      </c>
      <c r="DH23" s="157">
        <f ca="1"/>
        <v>6.0978604760827917</v>
      </c>
      <c r="DI23" s="157">
        <f ca="1"/>
        <v>-1.4705087906992143E-4</v>
      </c>
      <c r="DJ23" s="157">
        <f ca="1"/>
        <v>6.0975663743246518</v>
      </c>
      <c r="DK23" s="468" t="str">
        <f ca="1"/>
        <v>Sec1.</v>
      </c>
      <c r="DL23" s="470">
        <f ca="1"/>
        <v>60975315.682680689</v>
      </c>
      <c r="DM23" s="472">
        <f ca="1"/>
        <v>651621.49076851504</v>
      </c>
      <c r="DN23" s="462">
        <f ca="1"/>
        <v>1168.4053333819791</v>
      </c>
      <c r="DO23" s="464">
        <f ca="1"/>
        <v>187.19743103399836</v>
      </c>
      <c r="DP23" s="464">
        <f ca="1"/>
        <v>1305.0127824608569</v>
      </c>
      <c r="DQ23" s="466">
        <f ca="1"/>
        <v>7.4298618432720787E-2</v>
      </c>
      <c r="DR23" s="466">
        <f ca="1"/>
        <v>7.4284253373128203E-2</v>
      </c>
      <c r="DS23" s="157">
        <f ca="1"/>
        <v>5.2966962966964006</v>
      </c>
      <c r="DT23" s="157">
        <f ca="1"/>
        <v>5.2968374284183266</v>
      </c>
      <c r="DU23" s="157">
        <f ca="1"/>
        <v>-5.6199751255054424E-5</v>
      </c>
      <c r="DV23" s="157">
        <f ca="1"/>
        <v>5.2967250289158159</v>
      </c>
      <c r="DW23" s="468" t="str">
        <f ca="1"/>
        <v>Sec1.</v>
      </c>
      <c r="DX23" s="470">
        <f ca="1"/>
        <v>52967106.617559932</v>
      </c>
      <c r="DY23" s="472">
        <f ca="1"/>
        <v>566040.61150654627</v>
      </c>
      <c r="DZ23" s="462">
        <f ca="1"/>
        <v>805.42678602041872</v>
      </c>
      <c r="EA23" s="464">
        <f ca="1"/>
        <v>280.87773297166575</v>
      </c>
      <c r="EB23" s="464">
        <f ca="1"/>
        <v>1014.7809392327008</v>
      </c>
      <c r="EC23" s="466">
        <f ca="1"/>
        <v>0.10621660022076185</v>
      </c>
      <c r="ED23" s="466">
        <f ca="1"/>
        <v>0.10619606405556217</v>
      </c>
      <c r="EE23" s="157">
        <f ca="1"/>
        <v>4.1187232148457218</v>
      </c>
      <c r="EF23" s="157">
        <f ca="1"/>
        <v>4.1188011540217229</v>
      </c>
      <c r="EG23" s="157">
        <f ca="1"/>
        <v>-1.843193382084634E-5</v>
      </c>
      <c r="EH23" s="157">
        <f ca="1"/>
        <v>4.1187642901540809</v>
      </c>
      <c r="EI23" s="468" t="str">
        <f ca="1"/>
        <v>Sec1.</v>
      </c>
      <c r="EJ23" s="470">
        <f ca="1"/>
        <v>41187437.510109216</v>
      </c>
      <c r="EK23" s="472">
        <f ca="1"/>
        <v>440155.48145650036</v>
      </c>
      <c r="EL23" s="462">
        <f ca="1"/>
        <v>68.123782966808534</v>
      </c>
      <c r="EM23" s="464">
        <f ca="1"/>
        <v>176.09708665011431</v>
      </c>
      <c r="EN23" s="464">
        <f ca="1"/>
        <v>84.898929756545243</v>
      </c>
      <c r="EO23" s="466" t="e">
        <f ca="1"/>
        <v>#DIV/0!</v>
      </c>
      <c r="EP23" s="466">
        <f ca="1"/>
        <v>6.8085814232483999E-2</v>
      </c>
      <c r="EQ23" s="157">
        <f ca="1"/>
        <v>0.34458194806874931</v>
      </c>
      <c r="ER23" s="157">
        <f ca="1"/>
        <v>0.34457404314084938</v>
      </c>
      <c r="ES23" s="157">
        <f ca="1"/>
        <v>1.711983431985911E-5</v>
      </c>
      <c r="ET23" s="157">
        <f ca="1"/>
        <v>0.34460828280948913</v>
      </c>
      <c r="EU23" s="468" t="str">
        <f ca="1"/>
        <v>Prim.</v>
      </c>
      <c r="EV23" s="470">
        <f ca="1"/>
        <v>3445911.6297516925</v>
      </c>
      <c r="EW23" s="472">
        <f ca="1"/>
        <v>36994.599609385143</v>
      </c>
      <c r="EX23" s="462">
        <f ca="1"/>
        <v>239.57001926747944</v>
      </c>
      <c r="EY23" s="464">
        <f ca="1"/>
        <v>51.966848321302209</v>
      </c>
      <c r="EZ23" s="464">
        <f ca="1"/>
        <v>273.44575649087255</v>
      </c>
      <c r="FA23" s="466">
        <f ca="1"/>
        <v>2.5024518621776792E-2</v>
      </c>
      <c r="FB23" s="466">
        <f ca="1"/>
        <v>2.5019680340784629E-2</v>
      </c>
      <c r="FC23" s="157">
        <f ca="1"/>
        <v>1.1098428653100132</v>
      </c>
      <c r="FD23" s="157">
        <f ca="1"/>
        <v>1.1098398137091006</v>
      </c>
      <c r="FE23" s="157">
        <f ca="1"/>
        <v>6.3644500530754416E-6</v>
      </c>
      <c r="FF23" s="157">
        <f ca="1"/>
        <v>1.1098525426092067</v>
      </c>
      <c r="FG23" s="468" t="str">
        <f ca="1"/>
        <v>Prim.</v>
      </c>
      <c r="FH23" s="470">
        <f ca="1"/>
        <v>11098461.781591535</v>
      </c>
      <c r="FI23" s="472">
        <f ca="1"/>
        <v>118668.27423085128</v>
      </c>
      <c r="FJ23" s="173">
        <f t="shared" ca="1" si="4"/>
        <v>169674233.22169307</v>
      </c>
      <c r="FK23" s="173">
        <f t="shared" ca="1" si="4"/>
        <v>1813480.457571798</v>
      </c>
      <c r="FL23" s="462">
        <f ca="1"/>
        <v>35.301575651443187</v>
      </c>
      <c r="FM23" s="464">
        <f ca="1"/>
        <v>415.19164395608038</v>
      </c>
      <c r="FN23" s="464">
        <f ca="1"/>
        <v>36.520924921843353</v>
      </c>
      <c r="FO23" s="466">
        <f ca="1"/>
        <v>1.4417568413591653E-3</v>
      </c>
      <c r="FP23" s="466">
        <f ca="1"/>
        <v>1.4417459013219087E-3</v>
      </c>
      <c r="FQ23" s="157">
        <f ca="1"/>
        <v>2.9415400961607937E-2</v>
      </c>
      <c r="FR23" s="157">
        <f ca="1"/>
        <v>2.9415422841773745E-2</v>
      </c>
      <c r="FS23" s="157">
        <f ca="1"/>
        <v>2.9417100502218449E-2</v>
      </c>
      <c r="FT23" s="468" t="str">
        <f ca="1"/>
        <v>Sec1.</v>
      </c>
      <c r="FU23" s="470">
        <f ca="1"/>
        <v>29415.411901645195</v>
      </c>
      <c r="FV23" s="470">
        <f ca="1"/>
        <v>239.13323891786021</v>
      </c>
      <c r="FW23" s="462">
        <f ca="1"/>
        <v>-2.9848327504734331</v>
      </c>
      <c r="FX23" s="464">
        <f ca="1"/>
        <v>-305.65900359930475</v>
      </c>
      <c r="FY23" s="464">
        <f ca="1"/>
        <v>-3.8825027504734333</v>
      </c>
      <c r="FZ23" s="466">
        <f ca="1"/>
        <v>-1.0614037297784762E-3</v>
      </c>
      <c r="GA23" s="466">
        <f ca="1"/>
        <v>-1.0613956758970355E-3</v>
      </c>
      <c r="GB23" s="157">
        <f ca="1"/>
        <v>-3.1271216537951062E-3</v>
      </c>
      <c r="GC23" s="157">
        <f ca="1"/>
        <v>-3.1271377617052144E-3</v>
      </c>
      <c r="GD23" s="157">
        <f ca="1"/>
        <v>-3.1271210493340478E-3</v>
      </c>
      <c r="GE23" s="468" t="str">
        <f ca="1"/>
        <v>Sec1.</v>
      </c>
      <c r="GF23" s="470">
        <f ca="1"/>
        <v>-3127.1297076765468</v>
      </c>
      <c r="GG23" s="470">
        <f ca="1"/>
        <v>-25.422069832417673</v>
      </c>
      <c r="GH23" s="173">
        <f t="shared" ca="1" si="2"/>
        <v>26288.282193968647</v>
      </c>
      <c r="GI23" s="173">
        <f t="shared" ca="1" si="2"/>
        <v>213.71116908544255</v>
      </c>
    </row>
    <row r="24" spans="1:191" ht="15">
      <c r="A24" s="168"/>
      <c r="B24" s="169"/>
      <c r="C24" s="87">
        <f>'Oil supply projection'!B24</f>
        <v>2033</v>
      </c>
      <c r="D24" s="460">
        <f ca="1"/>
        <v>1440961202.7375553</v>
      </c>
      <c r="E24" s="460">
        <f ca="1"/>
        <v>70886495.044664964</v>
      </c>
      <c r="F24" s="462">
        <f ca="1"/>
        <v>0.4126617645372343</v>
      </c>
      <c r="G24" s="464">
        <f ca="1"/>
        <v>1.9805857764622656</v>
      </c>
      <c r="H24" s="464">
        <f ca="1"/>
        <v>0.43456510265545251</v>
      </c>
      <c r="I24" s="466">
        <f ca="1"/>
        <v>6.9656317430144554E-4</v>
      </c>
      <c r="J24" s="466">
        <f ca="1"/>
        <v>6.9643984037775478E-4</v>
      </c>
      <c r="K24" s="157">
        <f ca="1"/>
        <v>1.3789873187148438E-2</v>
      </c>
      <c r="L24" s="157">
        <f ca="1"/>
        <v>1.3788655634853835E-2</v>
      </c>
      <c r="M24" s="157">
        <f ca="1"/>
        <v>7.3212475625743424E-7</v>
      </c>
      <c r="N24" s="157">
        <f ca="1"/>
        <v>1.3790119884366349E-2</v>
      </c>
      <c r="O24" s="468" t="str">
        <f ca="1"/>
        <v>Prim.</v>
      </c>
      <c r="P24" s="470">
        <f ca="1"/>
        <v>5033126.5322576836</v>
      </c>
      <c r="Q24" s="472">
        <f ca="1"/>
        <v>255577.22361908853</v>
      </c>
      <c r="R24" s="462">
        <f ca="1"/>
        <v>0.49466770696678314</v>
      </c>
      <c r="S24" s="464">
        <f ca="1"/>
        <v>1.4617471450814845</v>
      </c>
      <c r="T24" s="464">
        <f ca="1"/>
        <v>0.51612568305735773</v>
      </c>
      <c r="U24" s="466">
        <f ca="1"/>
        <v>6.394873914032928E-4</v>
      </c>
      <c r="V24" s="466">
        <f ca="1"/>
        <v>6.3937416283399494E-4</v>
      </c>
      <c r="W24" s="157">
        <f ca="1"/>
        <v>1.6378001073948014E-2</v>
      </c>
      <c r="X24" s="157">
        <f ca="1"/>
        <v>1.6376845482403962E-2</v>
      </c>
      <c r="Y24" s="157">
        <f ca="1"/>
        <v>6.9103730275987234E-7</v>
      </c>
      <c r="Z24" s="157">
        <f ca="1"/>
        <v>1.6378227557009479E-2</v>
      </c>
      <c r="AA24" s="468" t="str">
        <f ca="1"/>
        <v>Prim.</v>
      </c>
      <c r="AB24" s="470">
        <f ca="1"/>
        <v>5977800.8296929523</v>
      </c>
      <c r="AC24" s="472">
        <f ca="1"/>
        <v>303485.00920292089</v>
      </c>
      <c r="AD24" s="462">
        <f ca="1"/>
        <v>5.8162121192062379</v>
      </c>
      <c r="AE24" s="464">
        <f ca="1"/>
        <v>0.95208727713034391</v>
      </c>
      <c r="AF24" s="464">
        <f ca="1"/>
        <v>6.106780807953764</v>
      </c>
      <c r="AG24" s="466">
        <f ca="1"/>
        <v>2.4343244835005606E-3</v>
      </c>
      <c r="AH24" s="466">
        <f ca="1"/>
        <v>2.4338934412828136E-3</v>
      </c>
      <c r="AI24" s="157">
        <f ca="1"/>
        <v>0.19378392882633758</v>
      </c>
      <c r="AJ24" s="157">
        <f ca="1"/>
        <v>0.19377955582400724</v>
      </c>
      <c r="AK24" s="157">
        <f ca="1"/>
        <v>2.6175755421843442E-6</v>
      </c>
      <c r="AL24" s="157">
        <f ca="1"/>
        <v>0.19378479097509163</v>
      </c>
      <c r="AM24" s="468" t="str">
        <f ca="1"/>
        <v>Prim.</v>
      </c>
      <c r="AN24" s="470">
        <f ca="1"/>
        <v>70730493.290835544</v>
      </c>
      <c r="AO24" s="472">
        <f ca="1"/>
        <v>3588967.1354400725</v>
      </c>
      <c r="AP24" s="462">
        <f ca="1"/>
        <v>11.31689999848804</v>
      </c>
      <c r="AQ24" s="464">
        <f ca="1"/>
        <v>3.9660298580285631</v>
      </c>
      <c r="AR24" s="464">
        <f ca="1"/>
        <v>12.346438048488039</v>
      </c>
      <c r="AS24" s="466">
        <f ca="1"/>
        <v>9.8014911452182218E-3</v>
      </c>
      <c r="AT24" s="466">
        <f ca="1"/>
        <v>9.7997556134300449E-3</v>
      </c>
      <c r="AU24" s="157">
        <f ca="1"/>
        <v>0.39178437007773914</v>
      </c>
      <c r="AV24" s="157">
        <f ca="1"/>
        <v>0.3917610133580034</v>
      </c>
      <c r="AW24" s="157">
        <f ca="1"/>
        <v>1.3414024821172118E-5</v>
      </c>
      <c r="AX24" s="157">
        <f ca="1"/>
        <v>0.39178784140764572</v>
      </c>
      <c r="AY24" s="468" t="str">
        <f ca="1"/>
        <v>Prim.</v>
      </c>
      <c r="AZ24" s="470">
        <f ca="1"/>
        <v>142997665.99473098</v>
      </c>
      <c r="BA24" s="472">
        <f ca="1"/>
        <v>7258721.7434102055</v>
      </c>
      <c r="BB24" s="173">
        <f t="shared" ca="1" si="0"/>
        <v>224739086.64751714</v>
      </c>
      <c r="BC24" s="173">
        <f t="shared" ca="1" si="1"/>
        <v>11406751.111672288</v>
      </c>
      <c r="BD24" s="462">
        <f ca="1"/>
        <v>4.5494262973741941</v>
      </c>
      <c r="BE24" s="464">
        <f ca="1"/>
        <v>0.34210880432506874</v>
      </c>
      <c r="BF24" s="464">
        <f ca="1"/>
        <v>4.7810748094679347</v>
      </c>
      <c r="BG24" s="466">
        <f ca="1"/>
        <v>4.1816419596996113E-5</v>
      </c>
      <c r="BH24" s="466">
        <f ca="1"/>
        <v>4.1812949886162266E-5</v>
      </c>
      <c r="BI24" s="157">
        <f ca="1"/>
        <v>2.757320516020362E-3</v>
      </c>
      <c r="BJ24" s="157">
        <f ca="1"/>
        <v>2.7573540754090549E-3</v>
      </c>
      <c r="BK24" s="157">
        <f ca="1"/>
        <v>-1.3309857516631727E-8</v>
      </c>
      <c r="BL24" s="157">
        <f ca="1"/>
        <v>2.7573274556940215E-3</v>
      </c>
      <c r="BM24" s="468" t="str">
        <f ca="1"/>
        <v>Sec1.</v>
      </c>
      <c r="BN24" s="470">
        <f ca="1"/>
        <v>2757323.9857311957</v>
      </c>
      <c r="BO24" s="472">
        <f ca="1"/>
        <v>207863.24379318269</v>
      </c>
      <c r="BP24" s="462">
        <f ca="1"/>
        <v>3.3913820026242765</v>
      </c>
      <c r="BQ24" s="464">
        <f ca="1"/>
        <v>0.2052022391061166</v>
      </c>
      <c r="BR24" s="464">
        <f ca="1"/>
        <v>3.5333022807463847</v>
      </c>
      <c r="BS24" s="466">
        <f ca="1"/>
        <v>2.4227496770584667E-5</v>
      </c>
      <c r="BT24" s="466">
        <f ca="1"/>
        <v>2.4225486496800536E-5</v>
      </c>
      <c r="BU24" s="157">
        <f ca="1"/>
        <v>2.0377106103235685E-3</v>
      </c>
      <c r="BV24" s="157">
        <f ca="1"/>
        <v>2.0377294800281555E-3</v>
      </c>
      <c r="BW24" s="157">
        <f ca="1"/>
        <v>-7.4245065633448876E-9</v>
      </c>
      <c r="BX24" s="157">
        <f ca="1"/>
        <v>2.0377146310150288E-3</v>
      </c>
      <c r="BY24" s="468" t="str">
        <f ca="1"/>
        <v>Sec1.</v>
      </c>
      <c r="BZ24" s="470">
        <f ca="1"/>
        <v>2037712.6205973527</v>
      </c>
      <c r="CA24" s="472">
        <f ca="1"/>
        <v>153614.72116717917</v>
      </c>
      <c r="CB24" s="462">
        <f ca="1"/>
        <v>10.412700466143878</v>
      </c>
      <c r="CC24" s="464">
        <f ca="1"/>
        <v>0.85295233230576317</v>
      </c>
      <c r="CD24" s="464">
        <f ca="1"/>
        <v>10.888839915412351</v>
      </c>
      <c r="CE24" s="466">
        <f ca="1"/>
        <v>1.2851641323163854E-4</v>
      </c>
      <c r="CF24" s="466">
        <f ca="1"/>
        <v>1.2850574964837506E-4</v>
      </c>
      <c r="CG24" s="157">
        <f ca="1"/>
        <v>6.279764046981968E-3</v>
      </c>
      <c r="CH24" s="157">
        <f ca="1"/>
        <v>6.2798402222266339E-3</v>
      </c>
      <c r="CI24" s="157">
        <f ca="1"/>
        <v>-2.7423605941124965E-8</v>
      </c>
      <c r="CJ24" s="157">
        <f ca="1"/>
        <v>6.2797853750147514E-3</v>
      </c>
      <c r="CK24" s="468" t="str">
        <f ca="1"/>
        <v>Sec1.</v>
      </c>
      <c r="CL24" s="470">
        <f ca="1"/>
        <v>6279774.7105652317</v>
      </c>
      <c r="CM24" s="472">
        <f ca="1"/>
        <v>473406.22588546894</v>
      </c>
      <c r="CN24" s="462">
        <f ca="1"/>
        <v>1.2773096502409096</v>
      </c>
      <c r="CO24" s="464">
        <f ca="1"/>
        <v>0.59936098871366661</v>
      </c>
      <c r="CP24" s="464">
        <f ca="1"/>
        <v>1.4497674835742429</v>
      </c>
      <c r="CQ24" s="466" t="e">
        <f ca="1"/>
        <v>#DIV/0!</v>
      </c>
      <c r="CR24" s="466">
        <f ca="1"/>
        <v>9.9459126022577435E-5</v>
      </c>
      <c r="CS24" s="157">
        <f ca="1"/>
        <v>8.361035510262879E-4</v>
      </c>
      <c r="CT24" s="157">
        <f ca="1"/>
        <v>8.3603867999219297E-4</v>
      </c>
      <c r="CU24" s="157">
        <f ca="1"/>
        <v>4.0689106891614047E-8</v>
      </c>
      <c r="CV24" s="157">
        <f ca="1"/>
        <v>8.3612005820597626E-4</v>
      </c>
      <c r="CW24" s="468" t="str">
        <f ca="1"/>
        <v>Prim.</v>
      </c>
      <c r="CX24" s="470">
        <f ca="1"/>
        <v>836079.36909908464</v>
      </c>
      <c r="CY24" s="472">
        <f ca="1"/>
        <v>63066.185152712249</v>
      </c>
      <c r="CZ24" s="173">
        <f t="shared" ca="1" si="3"/>
        <v>11910890.685992865</v>
      </c>
      <c r="DA24" s="173">
        <f t="shared" ca="1" si="3"/>
        <v>897950.37599854299</v>
      </c>
      <c r="DB24" s="462">
        <f ca="1"/>
        <v>1352.0997718567048</v>
      </c>
      <c r="DC24" s="464">
        <f ca="1"/>
        <v>301.60807221852428</v>
      </c>
      <c r="DD24" s="464">
        <f ca="1"/>
        <v>1504.9630321009947</v>
      </c>
      <c r="DE24" s="466">
        <f ca="1"/>
        <v>2.2707770115516723E-2</v>
      </c>
      <c r="DF24" s="466">
        <f ca="1"/>
        <v>2.2707219592541451E-2</v>
      </c>
      <c r="DG24" s="157">
        <f ca="1"/>
        <v>0.77895484792511893</v>
      </c>
      <c r="DH24" s="157">
        <f ca="1"/>
        <v>0.77899554511169133</v>
      </c>
      <c r="DI24" s="157">
        <f ca="1"/>
        <v>-1.9798064981006113E-5</v>
      </c>
      <c r="DJ24" s="157">
        <f ca="1"/>
        <v>0.77895594898172937</v>
      </c>
      <c r="DK24" s="468" t="str">
        <f ca="1"/>
        <v>Sec1.</v>
      </c>
      <c r="DL24" s="470">
        <f ca="1"/>
        <v>7789553.9844809426</v>
      </c>
      <c r="DM24" s="472">
        <f ca="1"/>
        <v>79105.915224016149</v>
      </c>
      <c r="DN24" s="462">
        <f ca="1"/>
        <v>1174.5178754168103</v>
      </c>
      <c r="DO24" s="464">
        <f ca="1"/>
        <v>181.9992028713163</v>
      </c>
      <c r="DP24" s="464">
        <f ca="1"/>
        <v>1307.0340839745313</v>
      </c>
      <c r="DQ24" s="466">
        <f ca="1"/>
        <v>9.1909766661615322E-3</v>
      </c>
      <c r="DR24" s="466">
        <f ca="1"/>
        <v>9.190753841570724E-3</v>
      </c>
      <c r="DS24" s="157">
        <f ca="1"/>
        <v>0.67650866791989372</v>
      </c>
      <c r="DT24" s="157">
        <f ca="1"/>
        <v>0.67652426990541525</v>
      </c>
      <c r="DU24" s="157">
        <f ca="1"/>
        <v>-7.5781662665260049E-6</v>
      </c>
      <c r="DV24" s="157">
        <f ca="1"/>
        <v>0.67650911357288224</v>
      </c>
      <c r="DW24" s="468" t="str">
        <f ca="1"/>
        <v>Sec1.</v>
      </c>
      <c r="DX24" s="470">
        <f ca="1"/>
        <v>6765088.907444845</v>
      </c>
      <c r="DY24" s="472">
        <f ca="1"/>
        <v>68702.078535106819</v>
      </c>
      <c r="DZ24" s="462">
        <f ca="1"/>
        <v>811.83284757283252</v>
      </c>
      <c r="EA24" s="464">
        <f ca="1"/>
        <v>275.46112877942267</v>
      </c>
      <c r="EB24" s="464">
        <f ca="1"/>
        <v>1016.7201738522326</v>
      </c>
      <c r="EC24" s="466">
        <f ca="1"/>
        <v>1.3256011637622578E-2</v>
      </c>
      <c r="ED24" s="466">
        <f ca="1"/>
        <v>1.3255690261018704E-2</v>
      </c>
      <c r="EE24" s="157">
        <f ca="1"/>
        <v>0.5262448920754077</v>
      </c>
      <c r="EF24" s="157">
        <f ca="1"/>
        <v>0.52625108821296573</v>
      </c>
      <c r="EG24" s="157">
        <f ca="1"/>
        <v>-2.7766893752350929E-6</v>
      </c>
      <c r="EH24" s="157">
        <f ca="1"/>
        <v>0.52624553483421521</v>
      </c>
      <c r="EI24" s="468" t="str">
        <f ca="1"/>
        <v>Sec1.</v>
      </c>
      <c r="EJ24" s="470">
        <f ca="1"/>
        <v>5262452.1345201163</v>
      </c>
      <c r="EK24" s="472">
        <f ca="1"/>
        <v>53442.224452537863</v>
      </c>
      <c r="EL24" s="462">
        <f ca="1"/>
        <v>76.414876356019604</v>
      </c>
      <c r="EM24" s="464">
        <f ca="1"/>
        <v>187.98492223825835</v>
      </c>
      <c r="EN24" s="464">
        <f ca="1"/>
        <v>94.024950935820144</v>
      </c>
      <c r="EO24" s="466" t="e">
        <f ca="1"/>
        <v>#DIV/0!</v>
      </c>
      <c r="EP24" s="466">
        <f ca="1"/>
        <v>9.1148105792500864E-3</v>
      </c>
      <c r="EQ24" s="157">
        <f ca="1"/>
        <v>4.8666438839451501E-2</v>
      </c>
      <c r="ER24" s="157">
        <f ca="1"/>
        <v>4.8662509059717966E-2</v>
      </c>
      <c r="ES24" s="157">
        <f ca="1"/>
        <v>2.1858751441601533E-6</v>
      </c>
      <c r="ET24" s="157">
        <f ca="1"/>
        <v>4.8666880810006287E-2</v>
      </c>
      <c r="EU24" s="468" t="str">
        <f ca="1"/>
        <v>Prim.</v>
      </c>
      <c r="EV24" s="470">
        <f ca="1"/>
        <v>486646.94934862125</v>
      </c>
      <c r="EW24" s="472">
        <f ca="1"/>
        <v>4963.7236180761683</v>
      </c>
      <c r="EX24" s="462">
        <f ca="1"/>
        <v>246.10332672642659</v>
      </c>
      <c r="EY24" s="464">
        <f ca="1"/>
        <v>54.42377576301152</v>
      </c>
      <c r="EZ24" s="464">
        <f ca="1"/>
        <v>281.47265541790335</v>
      </c>
      <c r="FA24" s="466">
        <f ca="1"/>
        <v>3.3318586886110779E-3</v>
      </c>
      <c r="FB24" s="466">
        <f ca="1"/>
        <v>3.3317779116266389E-3</v>
      </c>
      <c r="FC24" s="157">
        <f ca="1"/>
        <v>0.14568762475849215</v>
      </c>
      <c r="FD24" s="157">
        <f ca="1"/>
        <v>0.14568616382806687</v>
      </c>
      <c r="FE24" s="157">
        <f ca="1"/>
        <v>8.1124295998132826E-7</v>
      </c>
      <c r="FF24" s="157">
        <f ca="1"/>
        <v>0.14568778631398685</v>
      </c>
      <c r="FG24" s="468" t="str">
        <f ca="1"/>
        <v>Prim.</v>
      </c>
      <c r="FH24" s="470">
        <f ca="1"/>
        <v>1456869.7507102685</v>
      </c>
      <c r="FI24" s="472">
        <f ca="1"/>
        <v>14803.102422679798</v>
      </c>
      <c r="FJ24" s="173">
        <f t="shared" ca="1" si="4"/>
        <v>21760611.726504795</v>
      </c>
      <c r="FK24" s="173">
        <f t="shared" ca="1" si="4"/>
        <v>221017.04425241679</v>
      </c>
      <c r="FL24" s="462">
        <f ca="1"/>
        <v>35.06011400384368</v>
      </c>
      <c r="FM24" s="464">
        <f ca="1"/>
        <v>304.56578608840948</v>
      </c>
      <c r="FN24" s="464">
        <f ca="1"/>
        <v>35.955487386609178</v>
      </c>
      <c r="FO24" s="466">
        <f ca="1"/>
        <v>2.2110028402266835E-4</v>
      </c>
      <c r="FP24" s="466">
        <f ca="1"/>
        <v>2.2109993335269742E-4</v>
      </c>
      <c r="FQ24" s="157">
        <f ca="1"/>
        <v>6.0481594745650851E-3</v>
      </c>
      <c r="FR24" s="157">
        <f ca="1"/>
        <v>6.0481601758144389E-3</v>
      </c>
      <c r="FS24" s="157">
        <f ca="1"/>
        <v>6.048532841100635E-3</v>
      </c>
      <c r="FT24" s="468" t="str">
        <f ca="1"/>
        <v>Sec1.</v>
      </c>
      <c r="FU24" s="470">
        <f ca="1"/>
        <v>6048.1598252350568</v>
      </c>
      <c r="FV24" s="470">
        <f ca="1"/>
        <v>45.511712058354206</v>
      </c>
      <c r="FW24" s="462">
        <f ca="1"/>
        <v>-3.7272218394021976</v>
      </c>
      <c r="FX24" s="464">
        <f ca="1"/>
        <v>156.22774903193854</v>
      </c>
      <c r="FY24" s="464">
        <f ca="1"/>
        <v>-3.2679379194021974</v>
      </c>
      <c r="FZ24" s="466">
        <f ca="1"/>
        <v>1.1341391987684801E-4</v>
      </c>
      <c r="GA24" s="466">
        <f ca="1"/>
        <v>1.134137400172066E-4</v>
      </c>
      <c r="GB24" s="157">
        <f ca="1"/>
        <v>-5.4970773937788279E-4</v>
      </c>
      <c r="GC24" s="157">
        <f ca="1"/>
        <v>-5.4970737967034819E-4</v>
      </c>
      <c r="GD24" s="157">
        <f ca="1"/>
        <v>-5.4970438868707366E-4</v>
      </c>
      <c r="GE24" s="468" t="str">
        <f ca="1"/>
        <v>Sec1.</v>
      </c>
      <c r="GF24" s="470">
        <f ca="1"/>
        <v>-549.7075595182414</v>
      </c>
      <c r="GG24" s="470">
        <f ca="1"/>
        <v>-4.1364866154347206</v>
      </c>
      <c r="GH24" s="173">
        <f t="shared" ca="1" si="2"/>
        <v>5498.4522657168154</v>
      </c>
      <c r="GI24" s="173">
        <f t="shared" ca="1" si="2"/>
        <v>41.375225442919486</v>
      </c>
    </row>
    <row r="25" spans="1:191" ht="15">
      <c r="A25" s="168"/>
      <c r="B25" s="169"/>
      <c r="C25" s="87">
        <f>'Oil supply projection'!B25</f>
        <v>2034</v>
      </c>
      <c r="D25" s="460">
        <f ca="1"/>
        <v>258416087.51228052</v>
      </c>
      <c r="E25" s="460">
        <f ca="1"/>
        <v>12525759.907148691</v>
      </c>
      <c r="F25" s="462">
        <f ca="1"/>
        <v>0.40849850429659229</v>
      </c>
      <c r="G25" s="464">
        <f ca="1"/>
        <v>1.9601624401720763</v>
      </c>
      <c r="H25" s="464">
        <f ca="1"/>
        <v>0.43001645020263551</v>
      </c>
      <c r="I25" s="466">
        <f ca="1"/>
        <v>6.8939724667416158E-4</v>
      </c>
      <c r="J25" s="466">
        <f ca="1"/>
        <v>6.8927517662323008E-4</v>
      </c>
      <c r="K25" s="157">
        <f ca="1"/>
        <v>1.3747034456013663E-2</v>
      </c>
      <c r="L25" s="157">
        <f ca="1"/>
        <v>1.374571191075819E-2</v>
      </c>
      <c r="M25" s="157">
        <f ca="1"/>
        <v>7.8335706892710096E-7</v>
      </c>
      <c r="N25" s="157">
        <f ca="1"/>
        <v>1.3747278624896045E-2</v>
      </c>
      <c r="O25" s="468" t="str">
        <f ca="1"/>
        <v>Prim.</v>
      </c>
      <c r="P25" s="470">
        <f ca="1"/>
        <v>5017470.7727568978</v>
      </c>
      <c r="Q25" s="472">
        <f ca="1"/>
        <v>234271.66014383538</v>
      </c>
      <c r="R25" s="462">
        <f ca="1"/>
        <v>0.4954875074854877</v>
      </c>
      <c r="S25" s="464">
        <f ca="1"/>
        <v>1.4633495965261214</v>
      </c>
      <c r="T25" s="464">
        <f ca="1"/>
        <v>0.51682082445648536</v>
      </c>
      <c r="U25" s="466">
        <f ca="1"/>
        <v>6.4050149065053574E-4</v>
      </c>
      <c r="V25" s="466">
        <f ca="1"/>
        <v>6.4038807807695818E-4</v>
      </c>
      <c r="W25" s="157">
        <f ca="1"/>
        <v>1.652205090768211E-2</v>
      </c>
      <c r="X25" s="157">
        <f ca="1"/>
        <v>1.652077521387299E-2</v>
      </c>
      <c r="Y25" s="157">
        <f ca="1"/>
        <v>7.5127246130169171E-7</v>
      </c>
      <c r="Z25" s="157">
        <f ca="1"/>
        <v>1.6522277758795594E-2</v>
      </c>
      <c r="AA25" s="468" t="str">
        <f ca="1"/>
        <v>Prim.</v>
      </c>
      <c r="AB25" s="470">
        <f ca="1"/>
        <v>6030357.1675120164</v>
      </c>
      <c r="AC25" s="472">
        <f ca="1"/>
        <v>281498.33388333808</v>
      </c>
      <c r="AD25" s="462">
        <f ca="1"/>
        <v>5.8625356580633818</v>
      </c>
      <c r="AE25" s="464">
        <f ca="1"/>
        <v>0.99194194520020673</v>
      </c>
      <c r="AF25" s="464">
        <f ca="1"/>
        <v>6.1646790573931209</v>
      </c>
      <c r="AG25" s="466">
        <f ca="1"/>
        <v>2.5501239626031236E-3</v>
      </c>
      <c r="AH25" s="466">
        <f ca="1"/>
        <v>2.5496723982476807E-3</v>
      </c>
      <c r="AI25" s="157">
        <f ca="1"/>
        <v>0.19707631038839188</v>
      </c>
      <c r="AJ25" s="157">
        <f ca="1"/>
        <v>0.19707164113442532</v>
      </c>
      <c r="AK25" s="157">
        <f ca="1"/>
        <v>2.7862250394938177E-6</v>
      </c>
      <c r="AL25" s="157">
        <f ca="1"/>
        <v>0.19707721358450431</v>
      </c>
      <c r="AM25" s="468" t="str">
        <f ca="1"/>
        <v>Prim.</v>
      </c>
      <c r="AN25" s="470">
        <f ca="1"/>
        <v>71932165.986204654</v>
      </c>
      <c r="AO25" s="472">
        <f ca="1"/>
        <v>3355659.7189938631</v>
      </c>
      <c r="AP25" s="462">
        <f ca="1"/>
        <v>11.235358171967901</v>
      </c>
      <c r="AQ25" s="464">
        <f ca="1"/>
        <v>3.9568198199290343</v>
      </c>
      <c r="AR25" s="464">
        <f ca="1"/>
        <v>12.260236351967903</v>
      </c>
      <c r="AS25" s="466">
        <f ca="1"/>
        <v>9.8297059091407846E-3</v>
      </c>
      <c r="AT25" s="466">
        <f ca="1"/>
        <v>9.8279653131897529E-3</v>
      </c>
      <c r="AU25" s="157">
        <f ca="1"/>
        <v>0.39194289309153746</v>
      </c>
      <c r="AV25" s="157">
        <f ca="1"/>
        <v>0.39191829796731242</v>
      </c>
      <c r="AW25" s="157">
        <f ca="1"/>
        <v>1.4038291641160774E-5</v>
      </c>
      <c r="AX25" s="157">
        <f ca="1"/>
        <v>0.39194637455059472</v>
      </c>
      <c r="AY25" s="468" t="str">
        <f ca="1"/>
        <v>Prim.</v>
      </c>
      <c r="AZ25" s="470">
        <f ca="1"/>
        <v>143055302.73451805</v>
      </c>
      <c r="BA25" s="472">
        <f ca="1"/>
        <v>6676534.7794817071</v>
      </c>
      <c r="BB25" s="173">
        <f t="shared" ca="1" si="0"/>
        <v>226035296.66099164</v>
      </c>
      <c r="BC25" s="173">
        <f t="shared" ca="1" si="1"/>
        <v>10547964.492502743</v>
      </c>
      <c r="BD25" s="462">
        <f ca="1"/>
        <v>4.5420325004345141</v>
      </c>
      <c r="BE25" s="464">
        <f ca="1"/>
        <v>0.34147945604766078</v>
      </c>
      <c r="BF25" s="464">
        <f ca="1"/>
        <v>4.7701393558712324</v>
      </c>
      <c r="BG25" s="466">
        <f ca="1"/>
        <v>4.1538808464858246E-5</v>
      </c>
      <c r="BH25" s="466">
        <f ca="1"/>
        <v>4.1535478989561686E-5</v>
      </c>
      <c r="BI25" s="157">
        <f ca="1"/>
        <v>2.7751823874901872E-3</v>
      </c>
      <c r="BJ25" s="157">
        <f ca="1"/>
        <v>2.7752147602563902E-3</v>
      </c>
      <c r="BK25" s="157">
        <f ca="1"/>
        <v>-1.2856790786040058E-8</v>
      </c>
      <c r="BL25" s="157">
        <f ca="1"/>
        <v>2.775189046674818E-3</v>
      </c>
      <c r="BM25" s="468" t="str">
        <f ca="1"/>
        <v>Sec1.</v>
      </c>
      <c r="BN25" s="470">
        <f ca="1"/>
        <v>2775185.716965484</v>
      </c>
      <c r="BO25" s="472">
        <f ca="1"/>
        <v>210996.65283326624</v>
      </c>
      <c r="BP25" s="462">
        <f ca="1"/>
        <v>3.3919768823538266</v>
      </c>
      <c r="BQ25" s="464">
        <f ca="1"/>
        <v>0.2039231235349542</v>
      </c>
      <c r="BR25" s="464">
        <f ca="1"/>
        <v>3.5312147333204371</v>
      </c>
      <c r="BS25" s="466">
        <f ca="1"/>
        <v>2.3978377351768776E-5</v>
      </c>
      <c r="BT25" s="466">
        <f ca="1"/>
        <v>2.3976455403121987E-5</v>
      </c>
      <c r="BU25" s="157">
        <f ca="1"/>
        <v>2.054398038140099E-3</v>
      </c>
      <c r="BV25" s="157">
        <f ca="1"/>
        <v>2.0544162285391554E-3</v>
      </c>
      <c r="BW25" s="157">
        <f ca="1"/>
        <v>-7.1731843352819489E-9</v>
      </c>
      <c r="BX25" s="157">
        <f ca="1"/>
        <v>2.0544018821704846E-3</v>
      </c>
      <c r="BY25" s="468" t="str">
        <f ca="1"/>
        <v>Sec1.</v>
      </c>
      <c r="BZ25" s="470">
        <f ca="1"/>
        <v>2054399.9600887457</v>
      </c>
      <c r="CA25" s="472">
        <f ca="1"/>
        <v>156195.49802003842</v>
      </c>
      <c r="CB25" s="462">
        <f ca="1"/>
        <v>10.453321821408954</v>
      </c>
      <c r="CC25" s="464">
        <f ca="1"/>
        <v>0.89828235179154259</v>
      </c>
      <c r="CD25" s="464">
        <f ca="1"/>
        <v>10.944697033966648</v>
      </c>
      <c r="CE25" s="466">
        <f ca="1"/>
        <v>1.3379375818800554E-4</v>
      </c>
      <c r="CF25" s="466">
        <f ca="1"/>
        <v>1.3378303421173837E-4</v>
      </c>
      <c r="CG25" s="157">
        <f ca="1"/>
        <v>6.3674304206009554E-3</v>
      </c>
      <c r="CH25" s="157">
        <f ca="1"/>
        <v>6.3675037054027397E-3</v>
      </c>
      <c r="CI25" s="157">
        <f ca="1"/>
        <v>-2.5918003979300055E-8</v>
      </c>
      <c r="CJ25" s="157">
        <f ca="1"/>
        <v>6.3674518693947815E-3</v>
      </c>
      <c r="CK25" s="468" t="str">
        <f ca="1"/>
        <v>Sec1.</v>
      </c>
      <c r="CL25" s="470">
        <f ca="1"/>
        <v>6367441.1445772219</v>
      </c>
      <c r="CM25" s="472">
        <f ca="1"/>
        <v>484114.9046009325</v>
      </c>
      <c r="CN25" s="462">
        <f ca="1"/>
        <v>1.3289797641189811</v>
      </c>
      <c r="CO25" s="464">
        <f ca="1"/>
        <v>0.61053053301791704</v>
      </c>
      <c r="CP25" s="464">
        <f ca="1"/>
        <v>1.4972003474523146</v>
      </c>
      <c r="CQ25" s="466" t="e">
        <f ca="1"/>
        <v>#DIV/0!</v>
      </c>
      <c r="CR25" s="466">
        <f ca="1"/>
        <v>9.7867748770432894E-5</v>
      </c>
      <c r="CS25" s="157">
        <f ca="1"/>
        <v>8.7104458063258614E-4</v>
      </c>
      <c r="CT25" s="157">
        <f ca="1"/>
        <v>8.7096932858128325E-4</v>
      </c>
      <c r="CU25" s="157">
        <f ca="1"/>
        <v>4.5471359620561513E-8</v>
      </c>
      <c r="CV25" s="157">
        <f ca="1"/>
        <v>8.7106027130052436E-4</v>
      </c>
      <c r="CW25" s="468" t="str">
        <f ca="1"/>
        <v>Prim.</v>
      </c>
      <c r="CX25" s="470">
        <f ca="1"/>
        <v>871014.79994090379</v>
      </c>
      <c r="CY25" s="472">
        <f ca="1"/>
        <v>66265.044315636042</v>
      </c>
      <c r="CZ25" s="173">
        <f t="shared" ca="1" si="3"/>
        <v>12068041.621572355</v>
      </c>
      <c r="DA25" s="173">
        <f t="shared" ca="1" si="3"/>
        <v>917572.09976987308</v>
      </c>
      <c r="DB25" s="462">
        <f ca="1"/>
        <v>1354.4686434364551</v>
      </c>
      <c r="DC25" s="464">
        <f ca="1"/>
        <v>303.91301842152546</v>
      </c>
      <c r="DD25" s="464">
        <f ca="1"/>
        <v>1508.1465324882913</v>
      </c>
      <c r="DE25" s="466">
        <f ca="1"/>
        <v>2.5192514197328819E-2</v>
      </c>
      <c r="DF25" s="466">
        <f ca="1"/>
        <v>2.5191845570603125E-2</v>
      </c>
      <c r="DG25" s="157">
        <f ca="1"/>
        <v>0.86142696192676171</v>
      </c>
      <c r="DH25" s="157">
        <f ca="1"/>
        <v>0.86147395484774703</v>
      </c>
      <c r="DI25" s="157">
        <f ca="1"/>
        <v>-2.2827826380405915E-5</v>
      </c>
      <c r="DJ25" s="157">
        <f ca="1"/>
        <v>0.86142829919498631</v>
      </c>
      <c r="DK25" s="468" t="str">
        <f ca="1"/>
        <v>Sec1.</v>
      </c>
      <c r="DL25" s="470">
        <f ca="1"/>
        <v>8614276.3055348732</v>
      </c>
      <c r="DM25" s="472">
        <f ca="1"/>
        <v>89629.250996934104</v>
      </c>
      <c r="DN25" s="462">
        <f ca="1"/>
        <v>1176.3314504899595</v>
      </c>
      <c r="DO25" s="464">
        <f ca="1"/>
        <v>182.42294701442358</v>
      </c>
      <c r="DP25" s="464">
        <f ca="1"/>
        <v>1309.0137480431199</v>
      </c>
      <c r="DQ25" s="466">
        <f ca="1"/>
        <v>1.0155334825213913E-2</v>
      </c>
      <c r="DR25" s="466">
        <f ca="1"/>
        <v>1.0155065295372948E-2</v>
      </c>
      <c r="DS25" s="157">
        <f ca="1"/>
        <v>0.7476857929956503</v>
      </c>
      <c r="DT25" s="157">
        <f ca="1"/>
        <v>0.74770381367874905</v>
      </c>
      <c r="DU25" s="157">
        <f ca="1"/>
        <v>-8.7408089719163523E-6</v>
      </c>
      <c r="DV25" s="157">
        <f ca="1"/>
        <v>0.74768633206080526</v>
      </c>
      <c r="DW25" s="468" t="str">
        <f ca="1"/>
        <v>Sec1.</v>
      </c>
      <c r="DX25" s="470">
        <f ca="1"/>
        <v>7476860.6252549132</v>
      </c>
      <c r="DY25" s="472">
        <f ca="1"/>
        <v>77794.74373482565</v>
      </c>
      <c r="DZ25" s="462">
        <f ca="1"/>
        <v>813.37713254449727</v>
      </c>
      <c r="EA25" s="464">
        <f ca="1"/>
        <v>278.61019455744628</v>
      </c>
      <c r="EB25" s="464">
        <f ca="1"/>
        <v>1020.3994063423306</v>
      </c>
      <c r="EC25" s="466">
        <f ca="1"/>
        <v>1.4780987471681328E-2</v>
      </c>
      <c r="ED25" s="466">
        <f ca="1"/>
        <v>1.4780595173534122E-2</v>
      </c>
      <c r="EE25" s="157">
        <f ca="1"/>
        <v>0.58283432121617751</v>
      </c>
      <c r="EF25" s="157">
        <f ca="1"/>
        <v>0.58284186404529403</v>
      </c>
      <c r="EG25" s="157">
        <f ca="1"/>
        <v>-3.379112608574304E-6</v>
      </c>
      <c r="EH25" s="157">
        <f ca="1"/>
        <v>0.5828351058200768</v>
      </c>
      <c r="EI25" s="468" t="str">
        <f ca="1"/>
        <v>Sec1.</v>
      </c>
      <c r="EJ25" s="470">
        <f ca="1"/>
        <v>5828347.1351432474</v>
      </c>
      <c r="EK25" s="472">
        <f ca="1"/>
        <v>60642.399865600761</v>
      </c>
      <c r="EL25" s="462">
        <f ca="1"/>
        <v>84.62322435200889</v>
      </c>
      <c r="EM25" s="464">
        <f ca="1"/>
        <v>202.8222511829936</v>
      </c>
      <c r="EN25" s="464">
        <f ca="1"/>
        <v>103.47169704353976</v>
      </c>
      <c r="EO25" s="466" t="e">
        <f ca="1"/>
        <v>#DIV/0!</v>
      </c>
      <c r="EP25" s="466">
        <f ca="1"/>
        <v>1.076591844214079E-2</v>
      </c>
      <c r="EQ25" s="157">
        <f ca="1"/>
        <v>5.9101226379217726E-2</v>
      </c>
      <c r="ER25" s="157">
        <f ca="1"/>
        <v>5.9096884414150459E-2</v>
      </c>
      <c r="ES25" s="157">
        <f ca="1"/>
        <v>2.4567281849526062E-6</v>
      </c>
      <c r="ET25" s="157">
        <f ca="1"/>
        <v>5.9101797870520362E-2</v>
      </c>
      <c r="EU25" s="468" t="str">
        <f ca="1"/>
        <v>Prim.</v>
      </c>
      <c r="EV25" s="470">
        <f ca="1"/>
        <v>590993.41142335418</v>
      </c>
      <c r="EW25" s="472">
        <f ca="1"/>
        <v>6173.4407314849532</v>
      </c>
      <c r="EX25" s="462">
        <f ca="1"/>
        <v>253.32567079296334</v>
      </c>
      <c r="EY25" s="464">
        <f ca="1"/>
        <v>55.832064846450002</v>
      </c>
      <c r="EZ25" s="464">
        <f ca="1"/>
        <v>289.55738756324251</v>
      </c>
      <c r="FA25" s="466">
        <f ca="1"/>
        <v>3.7664943414768004E-3</v>
      </c>
      <c r="FB25" s="466">
        <f ca="1"/>
        <v>3.7663943760545544E-3</v>
      </c>
      <c r="FC25" s="157">
        <f ca="1"/>
        <v>0.16539012310727863</v>
      </c>
      <c r="FD25" s="157">
        <f ca="1"/>
        <v>0.16538851167553573</v>
      </c>
      <c r="FE25" s="157">
        <f ca="1"/>
        <v>9.0568233690683808E-7</v>
      </c>
      <c r="FF25" s="157">
        <f ca="1"/>
        <v>0.16539032304020956</v>
      </c>
      <c r="FG25" s="468" t="str">
        <f ca="1"/>
        <v>Prim.</v>
      </c>
      <c r="FH25" s="470">
        <f ca="1"/>
        <v>1653894.1735787264</v>
      </c>
      <c r="FI25" s="472">
        <f ca="1"/>
        <v>17217.291037369629</v>
      </c>
      <c r="FJ25" s="173">
        <f t="shared" ca="1" si="4"/>
        <v>24164371.650935113</v>
      </c>
      <c r="FK25" s="173">
        <f t="shared" ca="1" si="4"/>
        <v>251457.12636621509</v>
      </c>
      <c r="FL25" s="462">
        <f ca="1"/>
        <v>34.517271893223779</v>
      </c>
      <c r="FM25" s="464">
        <f ca="1"/>
        <v>279.79460736393838</v>
      </c>
      <c r="FN25" s="464">
        <f ca="1"/>
        <v>35.328043117412392</v>
      </c>
      <c r="FO25" s="466">
        <f ca="1"/>
        <v>2.3241782184868498E-4</v>
      </c>
      <c r="FP25" s="466">
        <f ca="1"/>
        <v>2.3241739815713945E-4</v>
      </c>
      <c r="FQ25" s="157">
        <f ca="1"/>
        <v>6.898639716059812E-3</v>
      </c>
      <c r="FR25" s="157">
        <f ca="1"/>
        <v>6.8986405634266206E-3</v>
      </c>
      <c r="FS25" s="157">
        <f ca="1"/>
        <v>6.8990940951653892E-3</v>
      </c>
      <c r="FT25" s="468" t="str">
        <f ca="1"/>
        <v>Sec1.</v>
      </c>
      <c r="FU25" s="470">
        <f ca="1"/>
        <v>6898.6401397513573</v>
      </c>
      <c r="FV25" s="470">
        <f ca="1"/>
        <v>52.689642052555513</v>
      </c>
      <c r="FW25" s="462">
        <f ca="1"/>
        <v>-3.1372183497501251</v>
      </c>
      <c r="FX25" s="464">
        <f ca="1"/>
        <v>-518.08174778538523</v>
      </c>
      <c r="FY25" s="464">
        <f ca="1"/>
        <v>-4.6384830697501247</v>
      </c>
      <c r="FZ25" s="466">
        <f ca="1"/>
        <v>-4.3035651214040627E-4</v>
      </c>
      <c r="GA25" s="466">
        <f ca="1"/>
        <v>-4.3035572764136475E-4</v>
      </c>
      <c r="GB25" s="157">
        <f ca="1"/>
        <v>-9.0577401700117242E-4</v>
      </c>
      <c r="GC25" s="157">
        <f ca="1"/>
        <v>-9.0577558602811497E-4</v>
      </c>
      <c r="GD25" s="157">
        <f ca="1"/>
        <v>-9.0577068372693019E-4</v>
      </c>
      <c r="GE25" s="468" t="str">
        <f ca="1"/>
        <v>Sec1.</v>
      </c>
      <c r="GF25" s="470">
        <f ca="1"/>
        <v>-905.77480150021393</v>
      </c>
      <c r="GG25" s="470">
        <f ca="1"/>
        <v>-6.9180228428310091</v>
      </c>
      <c r="GH25" s="173">
        <f t="shared" ca="1" si="2"/>
        <v>5992.8653382511438</v>
      </c>
      <c r="GI25" s="173">
        <f t="shared" ca="1" si="2"/>
        <v>45.771619209724506</v>
      </c>
    </row>
    <row r="26" spans="1:191" ht="15">
      <c r="A26" s="168"/>
      <c r="B26" s="169"/>
      <c r="C26" s="87">
        <f>'Oil supply projection'!B26</f>
        <v>2035</v>
      </c>
      <c r="D26" s="460">
        <f ca="1"/>
        <v>262273702.79883736</v>
      </c>
      <c r="E26" s="460">
        <f ca="1"/>
        <v>11717039.490258042</v>
      </c>
      <c r="F26" s="462">
        <f ca="1"/>
        <v>0.40422264269076918</v>
      </c>
      <c r="G26" s="464">
        <f ca="1"/>
        <v>1.9544434927357202</v>
      </c>
      <c r="H26" s="464">
        <f ca="1"/>
        <v>0.42563597760404365</v>
      </c>
      <c r="I26" s="466">
        <f ca="1"/>
        <v>6.8034281957807252E-4</v>
      </c>
      <c r="J26" s="466">
        <f ca="1"/>
        <v>6.8022358658561361E-4</v>
      </c>
      <c r="K26" s="157">
        <f ca="1"/>
        <v>1.3493910765150594E-2</v>
      </c>
      <c r="L26" s="157">
        <f ca="1"/>
        <v>1.3492519925363896E-2</v>
      </c>
      <c r="M26" s="157">
        <f ca="1"/>
        <v>8.1466689819347058E-7</v>
      </c>
      <c r="N26" s="157">
        <f ca="1"/>
        <v>1.3494149259160284E-2</v>
      </c>
      <c r="O26" s="468" t="str">
        <f ca="1"/>
        <v>Prim.</v>
      </c>
      <c r="P26" s="470">
        <f ca="1"/>
        <v>4925067.1261756625</v>
      </c>
      <c r="Q26" s="472">
        <f ca="1"/>
        <v>233188.37604549123</v>
      </c>
      <c r="R26" s="462">
        <f ca="1"/>
        <v>0.49615480369088338</v>
      </c>
      <c r="S26" s="464">
        <f ca="1"/>
        <v>1.4632659797598202</v>
      </c>
      <c r="T26" s="464">
        <f ca="1"/>
        <v>0.51744792370554793</v>
      </c>
      <c r="U26" s="466">
        <f ca="1"/>
        <v>6.3398046058082969E-4</v>
      </c>
      <c r="V26" s="466">
        <f ca="1"/>
        <v>6.3386935232529384E-4</v>
      </c>
      <c r="W26" s="157">
        <f ca="1"/>
        <v>1.6404619147563294E-2</v>
      </c>
      <c r="X26" s="157">
        <f ca="1"/>
        <v>1.6403254960569588E-2</v>
      </c>
      <c r="Y26" s="157">
        <f ca="1"/>
        <v>7.9321434479053757E-7</v>
      </c>
      <c r="Z26" s="157">
        <f ca="1"/>
        <v>1.640484138925917E-2</v>
      </c>
      <c r="AA26" s="468" t="str">
        <f ca="1"/>
        <v>Prim.</v>
      </c>
      <c r="AB26" s="470">
        <f ca="1"/>
        <v>5987477.583843749</v>
      </c>
      <c r="AC26" s="472">
        <f ca="1"/>
        <v>283422.01763430343</v>
      </c>
      <c r="AD26" s="462">
        <f ca="1"/>
        <v>5.9181190175738729</v>
      </c>
      <c r="AE26" s="464">
        <f ca="1"/>
        <v>0.95214359570958218</v>
      </c>
      <c r="AF26" s="464">
        <f ca="1"/>
        <v>6.2079908380103248</v>
      </c>
      <c r="AG26" s="466">
        <f ca="1"/>
        <v>2.4262163399821901E-3</v>
      </c>
      <c r="AH26" s="466">
        <f ca="1"/>
        <v>2.4257911166131255E-3</v>
      </c>
      <c r="AI26" s="157">
        <f ca="1"/>
        <v>0.19681154509197188</v>
      </c>
      <c r="AJ26" s="157">
        <f ca="1"/>
        <v>0.19680660456928165</v>
      </c>
      <c r="AK26" s="157">
        <f ca="1"/>
        <v>2.8955161153807796E-6</v>
      </c>
      <c r="AL26" s="157">
        <f ca="1"/>
        <v>0.1968123956015124</v>
      </c>
      <c r="AM26" s="468" t="str">
        <f ca="1"/>
        <v>Prim.</v>
      </c>
      <c r="AN26" s="470">
        <f ca="1"/>
        <v>71835467.531169906</v>
      </c>
      <c r="AO26" s="472">
        <f ca="1"/>
        <v>3398086.5992325498</v>
      </c>
      <c r="AP26" s="462">
        <f ca="1"/>
        <v>11.15691418144965</v>
      </c>
      <c r="AQ26" s="464">
        <f ca="1"/>
        <v>3.9518616808227276</v>
      </c>
      <c r="AR26" s="464">
        <f ca="1"/>
        <v>12.17991021144965</v>
      </c>
      <c r="AS26" s="466">
        <f ca="1"/>
        <v>9.7301053326219744E-3</v>
      </c>
      <c r="AT26" s="466">
        <f ca="1"/>
        <v>9.7284000191218394E-3</v>
      </c>
      <c r="AU26" s="157">
        <f ca="1"/>
        <v>0.38613893131407756</v>
      </c>
      <c r="AV26" s="157">
        <f ca="1"/>
        <v>0.38611359396349748</v>
      </c>
      <c r="AW26" s="157">
        <f ca="1"/>
        <v>1.4374118304811838E-5</v>
      </c>
      <c r="AX26" s="157">
        <f ca="1"/>
        <v>0.38614234220010712</v>
      </c>
      <c r="AY26" s="468" t="str">
        <f ca="1"/>
        <v>Prim.</v>
      </c>
      <c r="AZ26" s="470">
        <f ca="1"/>
        <v>140936708.34985784</v>
      </c>
      <c r="BA26" s="472">
        <f ca="1"/>
        <v>6669857.0370654333</v>
      </c>
      <c r="BB26" s="173">
        <f t="shared" ca="1" si="0"/>
        <v>223684720.59104717</v>
      </c>
      <c r="BC26" s="173">
        <f t="shared" ca="1" si="1"/>
        <v>10584554.029977778</v>
      </c>
      <c r="BD26" s="462">
        <f ca="1"/>
        <v>4.5316432619492</v>
      </c>
      <c r="BE26" s="464">
        <f ca="1"/>
        <v>0.34474226280954534</v>
      </c>
      <c r="BF26" s="464">
        <f ca="1"/>
        <v>4.7601152210011008</v>
      </c>
      <c r="BG26" s="466">
        <f ca="1"/>
        <v>4.1495141620440101E-5</v>
      </c>
      <c r="BH26" s="466">
        <f ca="1"/>
        <v>4.1491907234845991E-5</v>
      </c>
      <c r="BI26" s="157">
        <f ca="1"/>
        <v>2.7620203719197155E-3</v>
      </c>
      <c r="BJ26" s="157">
        <f ca="1"/>
        <v>2.7620521570139592E-3</v>
      </c>
      <c r="BK26" s="157">
        <f ca="1"/>
        <v>-1.2658051145481593E-8</v>
      </c>
      <c r="BL26" s="157">
        <f ca="1"/>
        <v>2.7620268409116683E-3</v>
      </c>
      <c r="BM26" s="468" t="str">
        <f ca="1"/>
        <v>Sec1.</v>
      </c>
      <c r="BN26" s="470">
        <f ca="1"/>
        <v>2762023.6063053096</v>
      </c>
      <c r="BO26" s="472">
        <f ca="1"/>
        <v>207235.72013685323</v>
      </c>
      <c r="BP26" s="462">
        <f ca="1"/>
        <v>3.3899724870295338</v>
      </c>
      <c r="BQ26" s="464">
        <f ca="1"/>
        <v>0.20330003307419139</v>
      </c>
      <c r="BR26" s="464">
        <f ca="1"/>
        <v>3.5277503655801956</v>
      </c>
      <c r="BS26" s="466">
        <f ca="1"/>
        <v>2.3664135148759868E-5</v>
      </c>
      <c r="BT26" s="466">
        <f ca="1"/>
        <v>2.366229062031155E-5</v>
      </c>
      <c r="BU26" s="157">
        <f ca="1"/>
        <v>2.0469501103232792E-3</v>
      </c>
      <c r="BV26" s="157">
        <f ca="1"/>
        <v>2.0469678857105659E-3</v>
      </c>
      <c r="BW26" s="157">
        <f ca="1"/>
        <v>-7.0431030012177574E-9</v>
      </c>
      <c r="BX26" s="157">
        <f ca="1"/>
        <v>2.0469537995045635E-3</v>
      </c>
      <c r="BY26" s="468" t="str">
        <f ca="1"/>
        <v>Sec1.</v>
      </c>
      <c r="BZ26" s="470">
        <f ca="1"/>
        <v>2046951.9548517277</v>
      </c>
      <c r="CA26" s="472">
        <f ca="1"/>
        <v>153583.61220405393</v>
      </c>
      <c r="CB26" s="462">
        <f ca="1"/>
        <v>10.506944545303822</v>
      </c>
      <c r="CC26" s="464">
        <f ca="1"/>
        <v>0.91512308830757783</v>
      </c>
      <c r="CD26" s="464">
        <f ca="1"/>
        <v>11.001646111160492</v>
      </c>
      <c r="CE26" s="466">
        <f ca="1"/>
        <v>1.3434279922108772E-4</v>
      </c>
      <c r="CF26" s="466">
        <f ca="1"/>
        <v>1.3433232776227942E-4</v>
      </c>
      <c r="CG26" s="157">
        <f ca="1"/>
        <v>6.3836208311961705E-3</v>
      </c>
      <c r="CH26" s="157">
        <f ca="1"/>
        <v>6.3836909760187138E-3</v>
      </c>
      <c r="CI26" s="157">
        <f ca="1"/>
        <v>-2.4600552959586622E-8</v>
      </c>
      <c r="CJ26" s="157">
        <f ca="1"/>
        <v>6.3836417749127952E-3</v>
      </c>
      <c r="CK26" s="468" t="str">
        <f ca="1"/>
        <v>Sec1.</v>
      </c>
      <c r="CL26" s="470">
        <f ca="1"/>
        <v>6383631.3026549788</v>
      </c>
      <c r="CM26" s="472">
        <f ca="1"/>
        <v>478966.37344946357</v>
      </c>
      <c r="CN26" s="462">
        <f ca="1"/>
        <v>1.3724583743324976</v>
      </c>
      <c r="CO26" s="464">
        <f ca="1"/>
        <v>0.56947201992566676</v>
      </c>
      <c r="CP26" s="464">
        <f ca="1"/>
        <v>1.5254502909991643</v>
      </c>
      <c r="CQ26" s="466" t="e">
        <f ca="1"/>
        <v>#DIV/0!</v>
      </c>
      <c r="CR26" s="466">
        <f ca="1"/>
        <v>8.8772387002318141E-5</v>
      </c>
      <c r="CS26" s="157">
        <f ca="1"/>
        <v>8.8513083916578908E-4</v>
      </c>
      <c r="CT26" s="157">
        <f ca="1"/>
        <v>8.8504769566181279E-4</v>
      </c>
      <c r="CU26" s="157">
        <f ca="1"/>
        <v>4.8491991324376047E-8</v>
      </c>
      <c r="CV26" s="157">
        <f ca="1"/>
        <v>8.8514467964446162E-4</v>
      </c>
      <c r="CW26" s="468" t="str">
        <f ca="1"/>
        <v>Prim.</v>
      </c>
      <c r="CX26" s="470">
        <f ca="1"/>
        <v>885096.18765313725</v>
      </c>
      <c r="CY26" s="472">
        <f ca="1"/>
        <v>66453.969535843251</v>
      </c>
      <c r="CZ26" s="173">
        <f t="shared" ca="1" si="3"/>
        <v>12077703.051465154</v>
      </c>
      <c r="DA26" s="173">
        <f t="shared" ca="1" si="3"/>
        <v>906239.67532621394</v>
      </c>
      <c r="DB26" s="462">
        <f ca="1"/>
        <v>1357.3339863441531</v>
      </c>
      <c r="DC26" s="464">
        <f ca="1"/>
        <v>313.15683102416591</v>
      </c>
      <c r="DD26" s="464">
        <f ca="1"/>
        <v>1515.6036462118486</v>
      </c>
      <c r="DE26" s="466">
        <f ca="1"/>
        <v>3.0369494653655238E-2</v>
      </c>
      <c r="DF26" s="466">
        <f ca="1"/>
        <v>3.0368552891323442E-2</v>
      </c>
      <c r="DG26" s="157">
        <f ca="1"/>
        <v>1.0133040438324072</v>
      </c>
      <c r="DH26" s="157">
        <f ca="1"/>
        <v>1.0133612668586978</v>
      </c>
      <c r="DI26" s="157">
        <f ca="1"/>
        <v>-2.7669737998060055E-5</v>
      </c>
      <c r="DJ26" s="157">
        <f ca="1"/>
        <v>1.0133059273827016</v>
      </c>
      <c r="DK26" s="468" t="str">
        <f ca="1"/>
        <v>Sec1.</v>
      </c>
      <c r="DL26" s="470">
        <f ca="1"/>
        <v>10133049.855947392</v>
      </c>
      <c r="DM26" s="472">
        <f ca="1"/>
        <v>102844.6920486341</v>
      </c>
      <c r="DN26" s="462">
        <f ca="1"/>
        <v>1178.1132226321429</v>
      </c>
      <c r="DO26" s="464">
        <f ca="1"/>
        <v>185.0794450665741</v>
      </c>
      <c r="DP26" s="464">
        <f ca="1"/>
        <v>1312.6949331613832</v>
      </c>
      <c r="DQ26" s="466">
        <f ca="1"/>
        <v>1.205720878590455E-2</v>
      </c>
      <c r="DR26" s="466">
        <f ca="1"/>
        <v>1.2056834889383932E-2</v>
      </c>
      <c r="DS26" s="157">
        <f ca="1"/>
        <v>0.87764310109400046</v>
      </c>
      <c r="DT26" s="157">
        <f ca="1"/>
        <v>0.87766499449681112</v>
      </c>
      <c r="DU26" s="157">
        <f ca="1"/>
        <v>-1.0572800564759172E-5</v>
      </c>
      <c r="DV26" s="157">
        <f ca="1"/>
        <v>0.87764384889568159</v>
      </c>
      <c r="DW26" s="468" t="str">
        <f ca="1"/>
        <v>Sec1.</v>
      </c>
      <c r="DX26" s="470">
        <f ca="1"/>
        <v>8776434.74990521</v>
      </c>
      <c r="DY26" s="472">
        <f ca="1"/>
        <v>89075.82040654459</v>
      </c>
      <c r="DZ26" s="462">
        <f ca="1"/>
        <v>816.32062399247513</v>
      </c>
      <c r="EA26" s="464">
        <f ca="1"/>
        <v>281.60715260164039</v>
      </c>
      <c r="EB26" s="464">
        <f ca="1"/>
        <v>1025.5223137479479</v>
      </c>
      <c r="EC26" s="466">
        <f ca="1"/>
        <v>1.7483606322912237E-2</v>
      </c>
      <c r="ED26" s="466">
        <f ca="1"/>
        <v>1.7483064152431591E-2</v>
      </c>
      <c r="EE26" s="157">
        <f ca="1"/>
        <v>0.68564489809620666</v>
      </c>
      <c r="EF26" s="157">
        <f ca="1"/>
        <v>0.68565426289321585</v>
      </c>
      <c r="EG26" s="157">
        <f ca="1"/>
        <v>-4.1402220177251783E-6</v>
      </c>
      <c r="EH26" s="157">
        <f ca="1"/>
        <v>0.6856459824491804</v>
      </c>
      <c r="EI26" s="468" t="str">
        <f ca="1"/>
        <v>Sec1.</v>
      </c>
      <c r="EJ26" s="470">
        <f ca="1"/>
        <v>6856454.4026668724</v>
      </c>
      <c r="EK26" s="472">
        <f ca="1"/>
        <v>69589.112025724637</v>
      </c>
      <c r="EL26" s="462">
        <f ca="1"/>
        <v>93.125427825701834</v>
      </c>
      <c r="EM26" s="464">
        <f ca="1"/>
        <v>212.0054953699495</v>
      </c>
      <c r="EN26" s="464">
        <f ca="1"/>
        <v>112.79156989337883</v>
      </c>
      <c r="EO26" s="466" t="e">
        <f ca="1"/>
        <v>#DIV/0!</v>
      </c>
      <c r="EP26" s="466">
        <f ca="1"/>
        <v>1.3148412075731971E-2</v>
      </c>
      <c r="EQ26" s="157">
        <f ca="1"/>
        <v>7.5410318633656021E-2</v>
      </c>
      <c r="ER26" s="157">
        <f ca="1"/>
        <v>7.5405142460131649E-2</v>
      </c>
      <c r="ES26" s="157">
        <f ca="1"/>
        <v>2.9958390763425249E-6</v>
      </c>
      <c r="ET26" s="157">
        <f ca="1"/>
        <v>7.5411134138284333E-2</v>
      </c>
      <c r="EU26" s="468" t="str">
        <f ca="1"/>
        <v>Prim.</v>
      </c>
      <c r="EV26" s="470">
        <f ca="1"/>
        <v>754081.38299207995</v>
      </c>
      <c r="EW26" s="472">
        <f ca="1"/>
        <v>7683.1514229125451</v>
      </c>
      <c r="EX26" s="462">
        <f ca="1"/>
        <v>260.60196383692414</v>
      </c>
      <c r="EY26" s="464">
        <f ca="1"/>
        <v>55.394500331488238</v>
      </c>
      <c r="EZ26" s="464">
        <f ca="1"/>
        <v>296.53785035291008</v>
      </c>
      <c r="FA26" s="466">
        <f ca="1"/>
        <v>4.37276699716449E-3</v>
      </c>
      <c r="FB26" s="466">
        <f ca="1"/>
        <v>4.3726313968731655E-3</v>
      </c>
      <c r="FC26" s="157">
        <f ca="1"/>
        <v>0.19825961996265345</v>
      </c>
      <c r="FD26" s="157">
        <f ca="1"/>
        <v>0.19825771174628562</v>
      </c>
      <c r="FE26" s="157">
        <f ca="1"/>
        <v>1.0897101532521384E-6</v>
      </c>
      <c r="FF26" s="157">
        <f ca="1"/>
        <v>0.19825989116659212</v>
      </c>
      <c r="FG26" s="468" t="str">
        <f ca="1"/>
        <v>Prim.</v>
      </c>
      <c r="FH26" s="470">
        <f ca="1"/>
        <v>1982588.0145643887</v>
      </c>
      <c r="FI26" s="472">
        <f ca="1"/>
        <v>20132.927093170481</v>
      </c>
      <c r="FJ26" s="173">
        <f t="shared" ca="1" si="4"/>
        <v>28502608.40607594</v>
      </c>
      <c r="FK26" s="173">
        <f t="shared" ca="1" si="4"/>
        <v>289325.70299698634</v>
      </c>
      <c r="FL26" s="462">
        <f ca="1"/>
        <v>33.914925558519577</v>
      </c>
      <c r="FM26" s="464">
        <f ca="1"/>
        <v>287.64618983397713</v>
      </c>
      <c r="FN26" s="464">
        <f ca="1"/>
        <v>34.749588167942385</v>
      </c>
      <c r="FO26" s="466">
        <f ca="1"/>
        <v>1.688004979030211E-4</v>
      </c>
      <c r="FP26" s="466">
        <f ca="1"/>
        <v>1.6880028060902385E-4</v>
      </c>
      <c r="FQ26" s="157">
        <f ca="1"/>
        <v>4.7872438567488334E-3</v>
      </c>
      <c r="FR26" s="157">
        <f ca="1"/>
        <v>4.7872442913308045E-3</v>
      </c>
      <c r="FS26" s="157">
        <f ca="1"/>
        <v>4.7875797023561309E-3</v>
      </c>
      <c r="FT26" s="468" t="str">
        <f ca="1"/>
        <v>Sec1.</v>
      </c>
      <c r="FU26" s="470">
        <f ca="1"/>
        <v>4787.2440740428301</v>
      </c>
      <c r="FV26" s="470">
        <f ca="1"/>
        <v>35.702126706247519</v>
      </c>
      <c r="FW26" s="462">
        <f ca="1"/>
        <v>-4.4529514605714411</v>
      </c>
      <c r="FX26" s="464">
        <f ca="1"/>
        <v>455.87100604415502</v>
      </c>
      <c r="FY26" s="464">
        <f ca="1"/>
        <v>-3.1301511005714411</v>
      </c>
      <c r="FZ26" s="466">
        <f ca="1"/>
        <v>2.6752050109735137E-4</v>
      </c>
      <c r="GA26" s="466">
        <f ca="1"/>
        <v>2.6752015674666126E-4</v>
      </c>
      <c r="GB26" s="157">
        <f ca="1"/>
        <v>-4.3122227965654536E-4</v>
      </c>
      <c r="GC26" s="157">
        <f ca="1"/>
        <v>-4.3122159091694919E-4</v>
      </c>
      <c r="GD26" s="157">
        <f ca="1"/>
        <v>-4.31218959464317E-4</v>
      </c>
      <c r="GE26" s="468" t="str">
        <f ca="1"/>
        <v>Sec1.</v>
      </c>
      <c r="GF26" s="470">
        <f ca="1"/>
        <v>-431.22193530585525</v>
      </c>
      <c r="GG26" s="470">
        <f ca="1"/>
        <v>-3.2159505416237053</v>
      </c>
      <c r="GH26" s="173">
        <f t="shared" ca="1" si="2"/>
        <v>4356.0221387369747</v>
      </c>
      <c r="GI26" s="173">
        <f t="shared" ca="1" si="2"/>
        <v>32.486176164623814</v>
      </c>
    </row>
    <row r="27" spans="1:191" ht="15">
      <c r="A27" s="168"/>
      <c r="B27" s="169"/>
      <c r="C27" s="87">
        <f>'Oil supply projection'!B27</f>
        <v>2036</v>
      </c>
      <c r="D27" s="460">
        <f ca="1"/>
        <v>264269388.07072699</v>
      </c>
      <c r="E27" s="460">
        <f ca="1"/>
        <v>11780151.894477142</v>
      </c>
      <c r="F27" s="462">
        <f ca="1"/>
        <v>0.40010489035465779</v>
      </c>
      <c r="G27" s="464">
        <f ca="1"/>
        <v>1.9791428844286327</v>
      </c>
      <c r="H27" s="464">
        <f ca="1"/>
        <v>0.42158842539908165</v>
      </c>
      <c r="I27" s="466">
        <f ca="1"/>
        <v>6.9262903059552627E-4</v>
      </c>
      <c r="J27" s="466">
        <f ca="1"/>
        <v>6.9250699232536832E-4</v>
      </c>
      <c r="K27" s="157">
        <f ca="1"/>
        <v>1.3562483492173467E-2</v>
      </c>
      <c r="L27" s="157">
        <f ca="1"/>
        <v>1.3561003655362312E-2</v>
      </c>
      <c r="M27" s="157">
        <f ca="1"/>
        <v>8.6197107067226035E-7</v>
      </c>
      <c r="N27" s="157">
        <f ca="1"/>
        <v>1.3562727597503656E-2</v>
      </c>
      <c r="O27" s="468" t="str">
        <f ca="1"/>
        <v>Prim.</v>
      </c>
      <c r="P27" s="470">
        <f ca="1"/>
        <v>4950080.9536480391</v>
      </c>
      <c r="Q27" s="472">
        <f ca="1"/>
        <v>218490.90288507496</v>
      </c>
      <c r="R27" s="462">
        <f ca="1"/>
        <v>0.49675673648161489</v>
      </c>
      <c r="S27" s="464">
        <f ca="1"/>
        <v>1.4635479834468028</v>
      </c>
      <c r="T27" s="464">
        <f ca="1"/>
        <v>0.51786944455510076</v>
      </c>
      <c r="U27" s="466">
        <f ca="1"/>
        <v>6.3786964875234275E-4</v>
      </c>
      <c r="V27" s="466">
        <f ca="1"/>
        <v>6.377572583947447E-4</v>
      </c>
      <c r="W27" s="157">
        <f ca="1"/>
        <v>1.6659840189471427E-2</v>
      </c>
      <c r="X27" s="157">
        <f ca="1"/>
        <v>1.6658364573376484E-2</v>
      </c>
      <c r="Y27" s="157">
        <f ca="1"/>
        <v>8.5021120575373409E-7</v>
      </c>
      <c r="Z27" s="157">
        <f ca="1"/>
        <v>1.6660064995787992E-2</v>
      </c>
      <c r="AA27" s="468" t="str">
        <f ca="1"/>
        <v>Prim.</v>
      </c>
      <c r="AB27" s="470">
        <f ca="1"/>
        <v>6080613.3963725166</v>
      </c>
      <c r="AC27" s="472">
        <f ca="1"/>
        <v>268318.51905323629</v>
      </c>
      <c r="AD27" s="462">
        <f ca="1"/>
        <v>5.9596969588592268</v>
      </c>
      <c r="AE27" s="464">
        <f ca="1"/>
        <v>0.935313795891758</v>
      </c>
      <c r="AF27" s="464">
        <f ca="1"/>
        <v>6.2437493223857023</v>
      </c>
      <c r="AG27" s="466">
        <f ca="1"/>
        <v>2.4125319894050534E-3</v>
      </c>
      <c r="AH27" s="466">
        <f ca="1"/>
        <v>2.4121068930203467E-3</v>
      </c>
      <c r="AI27" s="157">
        <f ca="1"/>
        <v>0.20086117647552906</v>
      </c>
      <c r="AJ27" s="157">
        <f ca="1"/>
        <v>0.20085589023067696</v>
      </c>
      <c r="AK27" s="157">
        <f ca="1"/>
        <v>3.0682503714030119E-6</v>
      </c>
      <c r="AL27" s="157">
        <f ca="1"/>
        <v>0.20086202673141976</v>
      </c>
      <c r="AM27" s="468" t="str">
        <f ca="1"/>
        <v>Prim.</v>
      </c>
      <c r="AN27" s="470">
        <f ca="1"/>
        <v>73313519.845582664</v>
      </c>
      <c r="AO27" s="472">
        <f ca="1"/>
        <v>3232591.029018742</v>
      </c>
      <c r="AP27" s="462">
        <f ca="1"/>
        <v>11.083816198371711</v>
      </c>
      <c r="AQ27" s="464">
        <f ca="1"/>
        <v>3.9355026967182312</v>
      </c>
      <c r="AR27" s="464">
        <f ca="1"/>
        <v>12.09974918837171</v>
      </c>
      <c r="AS27" s="466">
        <f ca="1"/>
        <v>9.8052759248403731E-3</v>
      </c>
      <c r="AT27" s="466">
        <f ca="1"/>
        <v>9.8035482053672532E-3</v>
      </c>
      <c r="AU27" s="157">
        <f ca="1"/>
        <v>0.3892484677950746</v>
      </c>
      <c r="AV27" s="157">
        <f ca="1"/>
        <v>0.38922192151677326</v>
      </c>
      <c r="AW27" s="157">
        <f ca="1"/>
        <v>1.5000990564574339E-5</v>
      </c>
      <c r="AX27" s="157">
        <f ca="1"/>
        <v>0.38925192349790244</v>
      </c>
      <c r="AY27" s="468" t="str">
        <f ca="1"/>
        <v>Prim.</v>
      </c>
      <c r="AZ27" s="470">
        <f ca="1"/>
        <v>142071476.71517831</v>
      </c>
      <c r="BA27" s="472">
        <f ca="1"/>
        <v>6267474.4310712442</v>
      </c>
      <c r="BB27" s="173">
        <f t="shared" ca="1" si="0"/>
        <v>226415690.91078153</v>
      </c>
      <c r="BC27" s="173">
        <f t="shared" ca="1" si="1"/>
        <v>9986874.8820282966</v>
      </c>
      <c r="BD27" s="462">
        <f ca="1"/>
        <v>4.5221200512884607</v>
      </c>
      <c r="BE27" s="464">
        <f ca="1"/>
        <v>0.34799125582010398</v>
      </c>
      <c r="BF27" s="464">
        <f ca="1"/>
        <v>4.752730041444071</v>
      </c>
      <c r="BG27" s="466">
        <f ca="1"/>
        <v>4.0997099785000657E-5</v>
      </c>
      <c r="BH27" s="466">
        <f ca="1"/>
        <v>4.0993972504475318E-5</v>
      </c>
      <c r="BI27" s="157">
        <f ca="1"/>
        <v>2.6993764685377853E-3</v>
      </c>
      <c r="BJ27" s="157">
        <f ca="1"/>
        <v>2.6994076829832355E-3</v>
      </c>
      <c r="BK27" s="157">
        <f ca="1"/>
        <v>-1.2479837884000844E-8</v>
      </c>
      <c r="BL27" s="157">
        <f ca="1"/>
        <v>2.6993827233074679E-3</v>
      </c>
      <c r="BM27" s="468" t="str">
        <f ca="1"/>
        <v>Sec1.</v>
      </c>
      <c r="BN27" s="470">
        <f ca="1"/>
        <v>2699379.5958183105</v>
      </c>
      <c r="BO27" s="472">
        <f ca="1"/>
        <v>197640.98495852744</v>
      </c>
      <c r="BP27" s="462">
        <f ca="1"/>
        <v>3.3866464546378423</v>
      </c>
      <c r="BQ27" s="464">
        <f ca="1"/>
        <v>0.20521485957089872</v>
      </c>
      <c r="BR27" s="464">
        <f ca="1"/>
        <v>3.5257133662547546</v>
      </c>
      <c r="BS27" s="466">
        <f ca="1"/>
        <v>2.3380060897804089E-5</v>
      </c>
      <c r="BT27" s="466">
        <f ca="1"/>
        <v>2.3378277453587722E-5</v>
      </c>
      <c r="BU27" s="157">
        <f ca="1"/>
        <v>2.0024759691138505E-3</v>
      </c>
      <c r="BV27" s="157">
        <f ca="1"/>
        <v>2.0024933679583749E-3</v>
      </c>
      <c r="BW27" s="157">
        <f ca="1"/>
        <v>-6.9159193213117969E-9</v>
      </c>
      <c r="BX27" s="157">
        <f ca="1"/>
        <v>2.0024795361197321E-3</v>
      </c>
      <c r="BY27" s="468" t="str">
        <f ca="1"/>
        <v>Sec1.</v>
      </c>
      <c r="BZ27" s="470">
        <f ca="1"/>
        <v>2002477.752558067</v>
      </c>
      <c r="CA27" s="472">
        <f ca="1"/>
        <v>146615.79126782186</v>
      </c>
      <c r="CB27" s="462">
        <f ca="1"/>
        <v>10.561614917698217</v>
      </c>
      <c r="CC27" s="464">
        <f ca="1"/>
        <v>0.96766547605364961</v>
      </c>
      <c r="CD27" s="464">
        <f ca="1"/>
        <v>11.084668605617004</v>
      </c>
      <c r="CE27" s="466">
        <f ca="1"/>
        <v>1.3903621510547026E-4</v>
      </c>
      <c r="CF27" s="466">
        <f ca="1"/>
        <v>1.3902560939136889E-4</v>
      </c>
      <c r="CG27" s="157">
        <f ca="1"/>
        <v>6.2956854975189519E-3</v>
      </c>
      <c r="CH27" s="157">
        <f ca="1"/>
        <v>6.2957533091525016E-3</v>
      </c>
      <c r="CI27" s="157">
        <f ca="1"/>
        <v>-2.3299706734889956E-8</v>
      </c>
      <c r="CJ27" s="157">
        <f ca="1"/>
        <v>6.2957067097390322E-3</v>
      </c>
      <c r="CK27" s="468" t="str">
        <f ca="1"/>
        <v>Sec1.</v>
      </c>
      <c r="CL27" s="470">
        <f ca="1"/>
        <v>6295696.1032330533</v>
      </c>
      <c r="CM27" s="472">
        <f ca="1"/>
        <v>460953.16893189331</v>
      </c>
      <c r="CN27" s="462">
        <f ca="1"/>
        <v>1.3983512985999433</v>
      </c>
      <c r="CO27" s="464">
        <f ca="1"/>
        <v>0.55962156771441773</v>
      </c>
      <c r="CP27" s="464">
        <f ca="1"/>
        <v>1.5486652152666103</v>
      </c>
      <c r="CQ27" s="466" t="e">
        <f ca="1"/>
        <v>#DIV/0!</v>
      </c>
      <c r="CR27" s="466">
        <f ca="1"/>
        <v>8.537279542644488E-5</v>
      </c>
      <c r="CS27" s="157">
        <f ca="1"/>
        <v>8.7958508126489499E-4</v>
      </c>
      <c r="CT27" s="157">
        <f ca="1"/>
        <v>8.7949806060904007E-4</v>
      </c>
      <c r="CU27" s="157">
        <f ca="1"/>
        <v>5.0023324106372397E-8</v>
      </c>
      <c r="CV27" s="157">
        <f ca="1"/>
        <v>8.7959810725725277E-4</v>
      </c>
      <c r="CW27" s="468" t="str">
        <f ca="1"/>
        <v>Prim.</v>
      </c>
      <c r="CX27" s="470">
        <f ca="1"/>
        <v>879548.08393314644</v>
      </c>
      <c r="CY27" s="472">
        <f ca="1"/>
        <v>64444.398697307908</v>
      </c>
      <c r="CZ27" s="173">
        <f t="shared" ca="1" si="3"/>
        <v>11877101.535542578</v>
      </c>
      <c r="DA27" s="173">
        <f t="shared" ca="1" si="3"/>
        <v>869654.34385555051</v>
      </c>
      <c r="DB27" s="462">
        <f ca="1"/>
        <v>1364.0458171022317</v>
      </c>
      <c r="DC27" s="464">
        <f ca="1"/>
        <v>315.10269743213621</v>
      </c>
      <c r="DD27" s="464">
        <f ca="1"/>
        <v>1522.9629233398261</v>
      </c>
      <c r="DE27" s="466">
        <f ca="1"/>
        <v>3.312832780250119E-2</v>
      </c>
      <c r="DF27" s="466">
        <f ca="1"/>
        <v>3.3127219912356086E-2</v>
      </c>
      <c r="DG27" s="157">
        <f ca="1"/>
        <v>1.1061961229162216</v>
      </c>
      <c r="DH27" s="157">
        <f ca="1"/>
        <v>1.1062602055951154</v>
      </c>
      <c r="DI27" s="157">
        <f ca="1"/>
        <v>-3.093343348860786E-5</v>
      </c>
      <c r="DJ27" s="157">
        <f ca="1"/>
        <v>1.106198338728138</v>
      </c>
      <c r="DK27" s="468" t="str">
        <f ca="1"/>
        <v>Sec1.</v>
      </c>
      <c r="DL27" s="470">
        <f ca="1"/>
        <v>11061972.308063667</v>
      </c>
      <c r="DM27" s="472">
        <f ca="1"/>
        <v>110269.63233004755</v>
      </c>
      <c r="DN27" s="462">
        <f ca="1"/>
        <v>1181.4264464867022</v>
      </c>
      <c r="DO27" s="464">
        <f ca="1"/>
        <v>183.23476203286111</v>
      </c>
      <c r="DP27" s="464">
        <f ca="1"/>
        <v>1314.5354584080969</v>
      </c>
      <c r="DQ27" s="466">
        <f ca="1"/>
        <v>1.2955584332104308E-2</v>
      </c>
      <c r="DR27" s="466">
        <f ca="1"/>
        <v>1.2955151065855989E-2</v>
      </c>
      <c r="DS27" s="157">
        <f ca="1"/>
        <v>0.95480592812991738</v>
      </c>
      <c r="DT27" s="157">
        <f ca="1"/>
        <v>0.95483034308096915</v>
      </c>
      <c r="DU27" s="157">
        <f ca="1"/>
        <v>-1.1774203760427157E-5</v>
      </c>
      <c r="DV27" s="157">
        <f ca="1"/>
        <v>0.9548067946734482</v>
      </c>
      <c r="DW27" s="468" t="str">
        <f ca="1"/>
        <v>Sec1.</v>
      </c>
      <c r="DX27" s="470">
        <f ca="1"/>
        <v>9548063.6139616575</v>
      </c>
      <c r="DY27" s="472">
        <f ca="1"/>
        <v>95178.457769955698</v>
      </c>
      <c r="DZ27" s="462">
        <f ca="1"/>
        <v>820.41914849585146</v>
      </c>
      <c r="EA27" s="464">
        <f ca="1"/>
        <v>278.76904298307602</v>
      </c>
      <c r="EB27" s="464">
        <f ca="1"/>
        <v>1027.3220356008615</v>
      </c>
      <c r="EC27" s="466">
        <f ca="1"/>
        <v>1.8785431740695913E-2</v>
      </c>
      <c r="ED27" s="466">
        <f ca="1"/>
        <v>1.8784803509880519E-2</v>
      </c>
      <c r="EE27" s="157">
        <f ca="1"/>
        <v>0.74618996651338609</v>
      </c>
      <c r="EF27" s="157">
        <f ca="1"/>
        <v>0.74620036529315392</v>
      </c>
      <c r="EG27" s="157">
        <f ca="1"/>
        <v>-4.5711513601633868E-6</v>
      </c>
      <c r="EH27" s="157">
        <f ca="1"/>
        <v>0.74619122299043361</v>
      </c>
      <c r="EI27" s="468" t="str">
        <f ca="1"/>
        <v>Sec1.</v>
      </c>
      <c r="EJ27" s="470">
        <f ca="1"/>
        <v>7461905.9474420147</v>
      </c>
      <c r="EK27" s="472">
        <f ca="1"/>
        <v>74382.904096227678</v>
      </c>
      <c r="EL27" s="462">
        <f ca="1"/>
        <v>101.5135106827542</v>
      </c>
      <c r="EM27" s="464">
        <f ca="1"/>
        <v>219.15917686323783</v>
      </c>
      <c r="EN27" s="464">
        <f ca="1"/>
        <v>121.69418687268401</v>
      </c>
      <c r="EO27" s="466" t="e">
        <f ca="1"/>
        <v>#DIV/0!</v>
      </c>
      <c r="EP27" s="466">
        <f ca="1"/>
        <v>1.4658128190160907E-2</v>
      </c>
      <c r="EQ27" s="157">
        <f ca="1"/>
        <v>8.8391933668871936E-2</v>
      </c>
      <c r="ER27" s="157">
        <f ca="1"/>
        <v>8.8386075260343144E-2</v>
      </c>
      <c r="ES27" s="157">
        <f ca="1"/>
        <v>3.4194303564731952E-6</v>
      </c>
      <c r="ET27" s="157">
        <f ca="1"/>
        <v>8.8392914121056085E-2</v>
      </c>
      <c r="EU27" s="468" t="str">
        <f ca="1"/>
        <v>Prim.</v>
      </c>
      <c r="EV27" s="470">
        <f ca="1"/>
        <v>883894.94690699619</v>
      </c>
      <c r="EW27" s="472">
        <f ca="1"/>
        <v>8844.8292885658666</v>
      </c>
      <c r="EX27" s="462">
        <f ca="1"/>
        <v>266.88443039453034</v>
      </c>
      <c r="EY27" s="464">
        <f ca="1"/>
        <v>57.569498188387868</v>
      </c>
      <c r="EZ27" s="464">
        <f ca="1"/>
        <v>304.18130887940424</v>
      </c>
      <c r="FA27" s="466">
        <f ca="1"/>
        <v>4.9304813274062553E-3</v>
      </c>
      <c r="FB27" s="466">
        <f ca="1"/>
        <v>4.930316440224289E-3</v>
      </c>
      <c r="FC27" s="157">
        <f ca="1"/>
        <v>0.22094049657366296</v>
      </c>
      <c r="FD27" s="157">
        <f ca="1"/>
        <v>0.22093836562901173</v>
      </c>
      <c r="FE27" s="157">
        <f ca="1"/>
        <v>1.2303617118971682E-6</v>
      </c>
      <c r="FF27" s="157">
        <f ca="1"/>
        <v>0.22094082635243553</v>
      </c>
      <c r="FG27" s="468" t="str">
        <f ca="1"/>
        <v>Prim.</v>
      </c>
      <c r="FH27" s="470">
        <f ca="1"/>
        <v>2209395.9599072365</v>
      </c>
      <c r="FI27" s="472">
        <f ca="1"/>
        <v>22036.217316264094</v>
      </c>
      <c r="FJ27" s="173">
        <f t="shared" ca="1" si="4"/>
        <v>31165232.776281569</v>
      </c>
      <c r="FK27" s="173">
        <f t="shared" ca="1" si="4"/>
        <v>310712.04080106085</v>
      </c>
      <c r="FL27" s="462">
        <f ca="1"/>
        <v>33.359607669581543</v>
      </c>
      <c r="FM27" s="464">
        <f ca="1"/>
        <v>285.76850734716788</v>
      </c>
      <c r="FN27" s="464">
        <f ca="1"/>
        <v>34.165390440774196</v>
      </c>
      <c r="FO27" s="466">
        <f ca="1"/>
        <v>1.3990146712217211E-4</v>
      </c>
      <c r="FP27" s="466">
        <f ca="1"/>
        <v>1.3990131550392049E-4</v>
      </c>
      <c r="FQ27" s="157">
        <f ca="1"/>
        <v>4.0407681505893866E-3</v>
      </c>
      <c r="FR27" s="157">
        <f ca="1"/>
        <v>4.0407684538260871E-3</v>
      </c>
      <c r="FS27" s="157">
        <f ca="1"/>
        <v>4.0410686245682254E-3</v>
      </c>
      <c r="FT27" s="468" t="str">
        <f ca="1"/>
        <v>Sec1.</v>
      </c>
      <c r="FU27" s="470">
        <f ca="1"/>
        <v>4040.7683022076385</v>
      </c>
      <c r="FV27" s="470">
        <f ca="1"/>
        <v>30.132725562022223</v>
      </c>
      <c r="FW27" s="462">
        <f ca="1"/>
        <v>-3.0049402571104689</v>
      </c>
      <c r="FX27" s="464">
        <f ca="1"/>
        <v>-69.265085729401392</v>
      </c>
      <c r="FY27" s="464">
        <f ca="1"/>
        <v>-3.2002473371104689</v>
      </c>
      <c r="FZ27" s="466">
        <f ca="1"/>
        <v>-3.3909569623347124E-5</v>
      </c>
      <c r="GA27" s="466">
        <f ca="1"/>
        <v>-3.3909532863498751E-5</v>
      </c>
      <c r="GB27" s="157">
        <f ca="1"/>
        <v>-3.7849582126746648E-4</v>
      </c>
      <c r="GC27" s="157">
        <f ca="1"/>
        <v>-3.7849589476652418E-4</v>
      </c>
      <c r="GD27" s="157">
        <f ca="1"/>
        <v>-3.7849365252269287E-4</v>
      </c>
      <c r="GE27" s="468" t="str">
        <f ca="1"/>
        <v>Sec1.</v>
      </c>
      <c r="GF27" s="470">
        <f ca="1"/>
        <v>-378.49585802731485</v>
      </c>
      <c r="GG27" s="470">
        <f ca="1"/>
        <v>-2.8225107116555339</v>
      </c>
      <c r="GH27" s="173">
        <f t="shared" ca="1" si="2"/>
        <v>3662.2724441803239</v>
      </c>
      <c r="GI27" s="173">
        <f t="shared" ca="1" si="2"/>
        <v>27.310214850366691</v>
      </c>
    </row>
    <row r="28" spans="1:191" ht="15">
      <c r="A28" s="168"/>
      <c r="B28" s="169"/>
      <c r="C28" s="87">
        <f>'Oil supply projection'!B28</f>
        <v>2037</v>
      </c>
      <c r="D28" s="460">
        <f ca="1"/>
        <v>269461687.49504983</v>
      </c>
      <c r="E28" s="460">
        <f ca="1"/>
        <v>11167268.576899759</v>
      </c>
      <c r="F28" s="462">
        <f ca="1"/>
        <v>0.39630025258522877</v>
      </c>
      <c r="G28" s="464">
        <f ca="1"/>
        <v>2.0026410993871759</v>
      </c>
      <c r="H28" s="464">
        <f ca="1"/>
        <v>0.41782096447660638</v>
      </c>
      <c r="I28" s="466">
        <f ca="1"/>
        <v>6.9557328004066221E-4</v>
      </c>
      <c r="J28" s="466">
        <f ca="1"/>
        <v>6.9545164360482181E-4</v>
      </c>
      <c r="K28" s="157">
        <f ca="1"/>
        <v>1.3475120522277447E-2</v>
      </c>
      <c r="L28" s="157">
        <f ca="1"/>
        <v>1.3473565774848076E-2</v>
      </c>
      <c r="M28" s="157">
        <f ca="1"/>
        <v>8.9902436232696272E-7</v>
      </c>
      <c r="N28" s="157">
        <f ca="1"/>
        <v>1.347536382357273E-2</v>
      </c>
      <c r="O28" s="468" t="str">
        <f ca="1"/>
        <v>Prim.</v>
      </c>
      <c r="P28" s="470">
        <f ca="1"/>
        <v>4918179.6517117964</v>
      </c>
      <c r="Q28" s="472">
        <f ca="1"/>
        <v>213385.90342686948</v>
      </c>
      <c r="R28" s="462">
        <f ca="1"/>
        <v>0.49716137533120996</v>
      </c>
      <c r="S28" s="464">
        <f ca="1"/>
        <v>1.4760917622641634</v>
      </c>
      <c r="T28" s="464">
        <f ca="1"/>
        <v>0.51825495692501777</v>
      </c>
      <c r="U28" s="466">
        <f ca="1"/>
        <v>6.3889526564508969E-4</v>
      </c>
      <c r="V28" s="466">
        <f ca="1"/>
        <v>6.3878354019957753E-4</v>
      </c>
      <c r="W28" s="157">
        <f ca="1"/>
        <v>1.6714211587205617E-2</v>
      </c>
      <c r="X28" s="157">
        <f ca="1"/>
        <v>1.6712640527939984E-2</v>
      </c>
      <c r="Y28" s="157">
        <f ca="1"/>
        <v>8.9726771278695295E-7</v>
      </c>
      <c r="Z28" s="157">
        <f ca="1"/>
        <v>1.6714435063365556E-2</v>
      </c>
      <c r="AA28" s="468" t="str">
        <f ca="1"/>
        <v>Prim.</v>
      </c>
      <c r="AB28" s="470">
        <f ca="1"/>
        <v>6100441.2954132613</v>
      </c>
      <c r="AC28" s="472">
        <f ca="1"/>
        <v>264604.81477145053</v>
      </c>
      <c r="AD28" s="462">
        <f ca="1"/>
        <v>5.994024722403771</v>
      </c>
      <c r="AE28" s="464">
        <f ca="1"/>
        <v>0.94907508474963564</v>
      </c>
      <c r="AF28" s="464">
        <f ca="1"/>
        <v>6.2814923348501148</v>
      </c>
      <c r="AG28" s="466">
        <f ca="1"/>
        <v>2.447683898234132E-3</v>
      </c>
      <c r="AH28" s="466">
        <f ca="1"/>
        <v>2.447255847882154E-3</v>
      </c>
      <c r="AI28" s="157">
        <f ca="1"/>
        <v>0.20258405745125416</v>
      </c>
      <c r="AJ28" s="157">
        <f ca="1"/>
        <v>0.20257849948965598</v>
      </c>
      <c r="AK28" s="157">
        <f ca="1"/>
        <v>3.2070626960648509E-6</v>
      </c>
      <c r="AL28" s="157">
        <f ca="1"/>
        <v>0.2025849136150481</v>
      </c>
      <c r="AM28" s="468" t="str">
        <f ca="1"/>
        <v>Prim.</v>
      </c>
      <c r="AN28" s="470">
        <f ca="1"/>
        <v>73942322.891608492</v>
      </c>
      <c r="AO28" s="472">
        <f ca="1"/>
        <v>3204548.3586733481</v>
      </c>
      <c r="AP28" s="462">
        <f ca="1"/>
        <v>11.01086951377507</v>
      </c>
      <c r="AQ28" s="464">
        <f ca="1"/>
        <v>3.9916665068237145</v>
      </c>
      <c r="AR28" s="464">
        <f ca="1"/>
        <v>12.03819767377507</v>
      </c>
      <c r="AS28" s="466">
        <f ca="1"/>
        <v>9.9402123849401391E-3</v>
      </c>
      <c r="AT28" s="466">
        <f ca="1"/>
        <v>9.938474046722913E-3</v>
      </c>
      <c r="AU28" s="157">
        <f ca="1"/>
        <v>0.38824323889138279</v>
      </c>
      <c r="AV28" s="157">
        <f ca="1"/>
        <v>0.38821586836099908</v>
      </c>
      <c r="AW28" s="157">
        <f ca="1"/>
        <v>1.5423735170994385E-5</v>
      </c>
      <c r="AX28" s="157">
        <f ca="1"/>
        <v>0.38824671583134107</v>
      </c>
      <c r="AY28" s="468" t="str">
        <f ca="1"/>
        <v>Prim.</v>
      </c>
      <c r="AZ28" s="470">
        <f ca="1"/>
        <v>141704421.61510208</v>
      </c>
      <c r="BA28" s="472">
        <f ca="1"/>
        <v>6144494.7945846831</v>
      </c>
      <c r="BB28" s="173">
        <f t="shared" ca="1" si="0"/>
        <v>226665365.45383564</v>
      </c>
      <c r="BC28" s="173">
        <f t="shared" ca="1" si="1"/>
        <v>9827033.8714563511</v>
      </c>
      <c r="BD28" s="462">
        <f ca="1"/>
        <v>4.515104001369485</v>
      </c>
      <c r="BE28" s="464">
        <f ca="1"/>
        <v>0.35070269948008181</v>
      </c>
      <c r="BF28" s="464">
        <f ca="1"/>
        <v>4.7463543173928038</v>
      </c>
      <c r="BG28" s="466">
        <f ca="1"/>
        <v>4.0016564490819029E-5</v>
      </c>
      <c r="BH28" s="466">
        <f ca="1"/>
        <v>4.001364024629638E-5</v>
      </c>
      <c r="BI28" s="157">
        <f ca="1"/>
        <v>2.6239970959225814E-3</v>
      </c>
      <c r="BJ28" s="157">
        <f ca="1"/>
        <v>2.6240273269152307E-3</v>
      </c>
      <c r="BK28" s="157">
        <f ca="1"/>
        <v>-1.2191158321807421E-8</v>
      </c>
      <c r="BL28" s="157">
        <f ca="1"/>
        <v>2.6240029445985871E-3</v>
      </c>
      <c r="BM28" s="468" t="str">
        <f ca="1"/>
        <v>Sec1.</v>
      </c>
      <c r="BN28" s="470">
        <f ca="1"/>
        <v>2624000.020167104</v>
      </c>
      <c r="BO28" s="472">
        <f ca="1"/>
        <v>192439.33797786981</v>
      </c>
      <c r="BP28" s="462">
        <f ca="1"/>
        <v>3.3846908607359443</v>
      </c>
      <c r="BQ28" s="464">
        <f ca="1"/>
        <v>0.20395824014296579</v>
      </c>
      <c r="BR28" s="464">
        <f ca="1"/>
        <v>3.5222556774833356</v>
      </c>
      <c r="BS28" s="466">
        <f ca="1"/>
        <v>2.2511875268471648E-5</v>
      </c>
      <c r="BT28" s="466">
        <f ca="1"/>
        <v>2.2510230193440057E-5</v>
      </c>
      <c r="BU28" s="157">
        <f ca="1"/>
        <v>1.9472605816520643E-3</v>
      </c>
      <c r="BV28" s="157">
        <f ca="1"/>
        <v>1.9472773452964001E-3</v>
      </c>
      <c r="BW28" s="157">
        <f ca="1"/>
        <v>-6.7366951261218441E-9</v>
      </c>
      <c r="BX28" s="157">
        <f ca="1"/>
        <v>1.9472638719061478E-3</v>
      </c>
      <c r="BY28" s="468" t="str">
        <f ca="1"/>
        <v>Sec1.</v>
      </c>
      <c r="BZ28" s="470">
        <f ca="1"/>
        <v>1947262.2267270959</v>
      </c>
      <c r="CA28" s="472">
        <f ca="1"/>
        <v>142808.63220298718</v>
      </c>
      <c r="CB28" s="462">
        <f ca="1"/>
        <v>10.641317715345458</v>
      </c>
      <c r="CC28" s="464">
        <f ca="1"/>
        <v>0.92344565830579795</v>
      </c>
      <c r="CD28" s="464">
        <f ca="1"/>
        <v>11.13675981629517</v>
      </c>
      <c r="CE28" s="466">
        <f ca="1"/>
        <v>1.2819078566317366E-4</v>
      </c>
      <c r="CF28" s="466">
        <f ca="1"/>
        <v>1.2818141804816642E-4</v>
      </c>
      <c r="CG28" s="157">
        <f ca="1"/>
        <v>6.1568992666350443E-3</v>
      </c>
      <c r="CH28" s="157">
        <f ca="1"/>
        <v>6.1569623924975147E-3</v>
      </c>
      <c r="CI28" s="157">
        <f ca="1"/>
        <v>-2.2194980962767421E-8</v>
      </c>
      <c r="CJ28" s="157">
        <f ca="1"/>
        <v>6.1569180025355897E-3</v>
      </c>
      <c r="CK28" s="468" t="str">
        <f ca="1"/>
        <v>Sec1.</v>
      </c>
      <c r="CL28" s="470">
        <f ca="1"/>
        <v>6156908.6342500513</v>
      </c>
      <c r="CM28" s="472">
        <f ca="1"/>
        <v>451536.36145546107</v>
      </c>
      <c r="CN28" s="462">
        <f ca="1"/>
        <v>1.4196308040123504</v>
      </c>
      <c r="CO28" s="464">
        <f ca="1"/>
        <v>0.57060126877566597</v>
      </c>
      <c r="CP28" s="464">
        <f ca="1"/>
        <v>1.5704704706790169</v>
      </c>
      <c r="CQ28" s="466" t="e">
        <f ca="1"/>
        <v>#DIV/0!</v>
      </c>
      <c r="CR28" s="466">
        <f ca="1"/>
        <v>8.3390918759217929E-5</v>
      </c>
      <c r="CS28" s="157">
        <f ca="1"/>
        <v>8.6822636464223063E-4</v>
      </c>
      <c r="CT28" s="157">
        <f ca="1"/>
        <v>8.681370964240396E-4</v>
      </c>
      <c r="CU28" s="157">
        <f ca="1"/>
        <v>5.0728611653114907E-8</v>
      </c>
      <c r="CV28" s="157">
        <f ca="1"/>
        <v>8.6823855364734576E-4</v>
      </c>
      <c r="CW28" s="468" t="str">
        <f ca="1"/>
        <v>Prim.</v>
      </c>
      <c r="CX28" s="470">
        <f ca="1"/>
        <v>868187.82503569277</v>
      </c>
      <c r="CY28" s="472">
        <f ca="1"/>
        <v>63718.307432492147</v>
      </c>
      <c r="CZ28" s="173">
        <f t="shared" ca="1" si="3"/>
        <v>11596358.706179943</v>
      </c>
      <c r="DA28" s="173">
        <f t="shared" ca="1" si="3"/>
        <v>850502.63906881015</v>
      </c>
      <c r="DB28" s="462">
        <f ca="1"/>
        <v>1370.6693765763546</v>
      </c>
      <c r="DC28" s="464">
        <f ca="1"/>
        <v>317.98829704469182</v>
      </c>
      <c r="DD28" s="464">
        <f ca="1"/>
        <v>1530.7170423048092</v>
      </c>
      <c r="DE28" s="466">
        <f ca="1"/>
        <v>3.1156173385625152E-2</v>
      </c>
      <c r="DF28" s="466">
        <f ca="1"/>
        <v>3.1155207246484778E-2</v>
      </c>
      <c r="DG28" s="157">
        <f ca="1"/>
        <v>1.0382547417431536</v>
      </c>
      <c r="DH28" s="157">
        <f ca="1"/>
        <v>1.0383160060834091</v>
      </c>
      <c r="DI28" s="157">
        <f ca="1"/>
        <v>-2.9666018418607921E-5</v>
      </c>
      <c r="DJ28" s="157">
        <f ca="1"/>
        <v>1.038256674046572</v>
      </c>
      <c r="DK28" s="468" t="str">
        <f ca="1"/>
        <v>Sec1.</v>
      </c>
      <c r="DL28" s="470">
        <f ca="1"/>
        <v>10382557.078822941</v>
      </c>
      <c r="DM28" s="472">
        <f ca="1"/>
        <v>101827.90394718555</v>
      </c>
      <c r="DN28" s="462">
        <f ca="1"/>
        <v>1183.0829862849378</v>
      </c>
      <c r="DO28" s="464">
        <f ca="1"/>
        <v>182.90498246837981</v>
      </c>
      <c r="DP28" s="464">
        <f ca="1"/>
        <v>1315.8267438147529</v>
      </c>
      <c r="DQ28" s="466">
        <f ca="1"/>
        <v>1.2065066381410361E-2</v>
      </c>
      <c r="DR28" s="466">
        <f ca="1"/>
        <v>1.20646922483725E-2</v>
      </c>
      <c r="DS28" s="157">
        <f ca="1"/>
        <v>0.89249895200819163</v>
      </c>
      <c r="DT28" s="157">
        <f ca="1"/>
        <v>0.89252218015663598</v>
      </c>
      <c r="DU28" s="157">
        <f ca="1"/>
        <v>-1.1239936989035713E-5</v>
      </c>
      <c r="DV28" s="157">
        <f ca="1"/>
        <v>0.8924997002826579</v>
      </c>
      <c r="DW28" s="468" t="str">
        <f ca="1"/>
        <v>Sec1.</v>
      </c>
      <c r="DX28" s="470">
        <f ca="1"/>
        <v>8924993.2614122946</v>
      </c>
      <c r="DY28" s="472">
        <f ca="1"/>
        <v>87532.709876072331</v>
      </c>
      <c r="DZ28" s="462">
        <f ca="1"/>
        <v>821.85901237124369</v>
      </c>
      <c r="EA28" s="464">
        <f ca="1"/>
        <v>281.2618645885596</v>
      </c>
      <c r="EB28" s="464">
        <f ca="1"/>
        <v>1030.4278609819619</v>
      </c>
      <c r="EC28" s="466">
        <f ca="1"/>
        <v>1.7683578140349709E-2</v>
      </c>
      <c r="ED28" s="466">
        <f ca="1"/>
        <v>1.7683029779602764E-2</v>
      </c>
      <c r="EE28" s="157">
        <f ca="1"/>
        <v>0.69891860031681807</v>
      </c>
      <c r="EF28" s="157">
        <f ca="1"/>
        <v>0.69892836450306606</v>
      </c>
      <c r="EG28" s="157">
        <f ca="1"/>
        <v>-4.3337260625405032E-6</v>
      </c>
      <c r="EH28" s="157">
        <f ca="1"/>
        <v>0.69891969705094104</v>
      </c>
      <c r="EI28" s="468" t="str">
        <f ca="1"/>
        <v>Sec1.</v>
      </c>
      <c r="EJ28" s="470">
        <f ca="1"/>
        <v>6989191.4867756497</v>
      </c>
      <c r="EK28" s="472">
        <f ca="1"/>
        <v>68547.152111063755</v>
      </c>
      <c r="EL28" s="462">
        <f ca="1"/>
        <v>109.5259830451175</v>
      </c>
      <c r="EM28" s="464">
        <f ca="1"/>
        <v>227.05443547324501</v>
      </c>
      <c r="EN28" s="464">
        <f ca="1"/>
        <v>130.2865269390945</v>
      </c>
      <c r="EO28" s="466" t="e">
        <f ca="1"/>
        <v>#DIV/0!</v>
      </c>
      <c r="EP28" s="466">
        <f ca="1"/>
        <v>1.4081461526405936E-2</v>
      </c>
      <c r="EQ28" s="157">
        <f ca="1"/>
        <v>8.8370744325211317E-2</v>
      </c>
      <c r="ER28" s="157">
        <f ca="1"/>
        <v>8.8364996646649333E-2</v>
      </c>
      <c r="ES28" s="157">
        <f ca="1"/>
        <v>3.310518389390306E-6</v>
      </c>
      <c r="ET28" s="157">
        <f ca="1"/>
        <v>8.8371617683428119E-2</v>
      </c>
      <c r="EU28" s="468" t="str">
        <f ca="1"/>
        <v>Prim.</v>
      </c>
      <c r="EV28" s="470">
        <f ca="1"/>
        <v>883683.07165038725</v>
      </c>
      <c r="EW28" s="472">
        <f ca="1"/>
        <v>8699.5852451318406</v>
      </c>
      <c r="EX28" s="462">
        <f ca="1"/>
        <v>273.76358661408489</v>
      </c>
      <c r="EY28" s="464">
        <f ca="1"/>
        <v>57.863851021853641</v>
      </c>
      <c r="EZ28" s="464">
        <f ca="1"/>
        <v>311.20300764073511</v>
      </c>
      <c r="FA28" s="466">
        <f ca="1"/>
        <v>4.6218087328782076E-3</v>
      </c>
      <c r="FB28" s="466">
        <f ca="1"/>
        <v>4.6216654125674972E-3</v>
      </c>
      <c r="FC28" s="157">
        <f ca="1"/>
        <v>0.2110827732349661</v>
      </c>
      <c r="FD28" s="157">
        <f ca="1"/>
        <v>0.21108070513504951</v>
      </c>
      <c r="FE28" s="157">
        <f ca="1"/>
        <v>1.177372065019188E-6</v>
      </c>
      <c r="FF28" s="157">
        <f ca="1"/>
        <v>0.21108305987917955</v>
      </c>
      <c r="FG28" s="468" t="str">
        <f ca="1"/>
        <v>Prim.</v>
      </c>
      <c r="FH28" s="470">
        <f ca="1"/>
        <v>2110818.8250711453</v>
      </c>
      <c r="FI28" s="472">
        <f ca="1"/>
        <v>20713.712178023703</v>
      </c>
      <c r="FJ28" s="173">
        <f t="shared" ca="1" si="4"/>
        <v>29291243.723732419</v>
      </c>
      <c r="FK28" s="173">
        <f t="shared" ca="1" si="4"/>
        <v>287321.06335747719</v>
      </c>
      <c r="FL28" s="462">
        <f ca="1"/>
        <v>32.798777284505</v>
      </c>
      <c r="FM28" s="464">
        <f ca="1"/>
        <v>320.01699913152612</v>
      </c>
      <c r="FN28" s="464">
        <f ca="1"/>
        <v>33.664542828791966</v>
      </c>
      <c r="FO28" s="466">
        <f ca="1"/>
        <v>4.0605361982670729E-4</v>
      </c>
      <c r="FP28" s="466">
        <f ca="1"/>
        <v>4.060524641065903E-4</v>
      </c>
      <c r="FQ28" s="157">
        <f ca="1"/>
        <v>1.0755434002024973E-2</v>
      </c>
      <c r="FR28" s="157">
        <f ca="1"/>
        <v>1.0755436313428877E-2</v>
      </c>
      <c r="FS28" s="157">
        <f ca="1"/>
        <v>1.0756280381737688E-2</v>
      </c>
      <c r="FT28" s="468" t="str">
        <f ca="1"/>
        <v>Sec1.</v>
      </c>
      <c r="FU28" s="470">
        <f ca="1"/>
        <v>10755.435157745091</v>
      </c>
      <c r="FV28" s="470">
        <f ca="1"/>
        <v>83.477296781702776</v>
      </c>
      <c r="FW28" s="462">
        <f ca="1"/>
        <v>-3.0722380402153506</v>
      </c>
      <c r="FX28" s="464">
        <f ca="1"/>
        <v>-927.10047532153567</v>
      </c>
      <c r="FY28" s="464">
        <f ca="1"/>
        <v>-5.5803912002153506</v>
      </c>
      <c r="FZ28" s="466">
        <f ca="1"/>
        <v>-1.1763515846041628E-3</v>
      </c>
      <c r="GA28" s="466">
        <f ca="1"/>
        <v>-1.1763482365810766E-3</v>
      </c>
      <c r="GB28" s="157">
        <f ca="1"/>
        <v>-1.7828707659759094E-3</v>
      </c>
      <c r="GC28" s="157">
        <f ca="1"/>
        <v>-1.782877462194118E-3</v>
      </c>
      <c r="GD28" s="157">
        <f ca="1"/>
        <v>-1.7828649512165637E-3</v>
      </c>
      <c r="GE28" s="468" t="str">
        <f ca="1"/>
        <v>Sec1.</v>
      </c>
      <c r="GF28" s="470">
        <f ca="1"/>
        <v>-1782.8741139989957</v>
      </c>
      <c r="GG28" s="470">
        <f ca="1"/>
        <v>-13.83760948356757</v>
      </c>
      <c r="GH28" s="173">
        <f t="shared" ca="1" si="2"/>
        <v>8972.5610437460946</v>
      </c>
      <c r="GI28" s="173">
        <f t="shared" ca="1" si="2"/>
        <v>69.6396872981352</v>
      </c>
    </row>
    <row r="29" spans="1:191" ht="15">
      <c r="A29" s="168"/>
      <c r="B29" s="169"/>
      <c r="C29" s="87">
        <f>'Oil supply projection'!B29</f>
        <v>2038</v>
      </c>
      <c r="D29" s="460">
        <f ca="1"/>
        <v>267561940.44479173</v>
      </c>
      <c r="E29" s="460">
        <f ca="1"/>
        <v>10964927.213569937</v>
      </c>
      <c r="F29" s="462">
        <f ca="1"/>
        <v>0.39275879797307678</v>
      </c>
      <c r="G29" s="464">
        <f ca="1"/>
        <v>2.0083045458774169</v>
      </c>
      <c r="H29" s="464">
        <f ca="1"/>
        <v>0.41417916609823163</v>
      </c>
      <c r="I29" s="466">
        <f ca="1"/>
        <v>7.0566563942975336E-4</v>
      </c>
      <c r="J29" s="466">
        <f ca="1"/>
        <v>7.0554079895002208E-4</v>
      </c>
      <c r="K29" s="157">
        <f ca="1"/>
        <v>1.3614935130745643E-2</v>
      </c>
      <c r="L29" s="157">
        <f ca="1"/>
        <v>1.3613285498538122E-2</v>
      </c>
      <c r="M29" s="157">
        <f ca="1"/>
        <v>9.4967130458920001E-7</v>
      </c>
      <c r="N29" s="157">
        <f ca="1"/>
        <v>1.36151848411473E-2</v>
      </c>
      <c r="O29" s="468" t="str">
        <f ca="1"/>
        <v>Prim.</v>
      </c>
      <c r="P29" s="470">
        <f ca="1"/>
        <v>4969195.8369925888</v>
      </c>
      <c r="Q29" s="472">
        <f ca="1"/>
        <v>230927.10955794912</v>
      </c>
      <c r="R29" s="462">
        <f ca="1"/>
        <v>0.49753141076690149</v>
      </c>
      <c r="S29" s="464">
        <f ca="1"/>
        <v>1.4744042925947811</v>
      </c>
      <c r="T29" s="464">
        <f ca="1"/>
        <v>0.51845335959595484</v>
      </c>
      <c r="U29" s="466">
        <f ca="1"/>
        <v>6.4590285794352553E-4</v>
      </c>
      <c r="V29" s="466">
        <f ca="1"/>
        <v>6.4578858979524119E-4</v>
      </c>
      <c r="W29" s="157">
        <f ca="1"/>
        <v>1.7042645881280138E-2</v>
      </c>
      <c r="X29" s="157">
        <f ca="1"/>
        <v>1.7040958151655888E-2</v>
      </c>
      <c r="Y29" s="157">
        <f ca="1"/>
        <v>9.5814603326947781E-7</v>
      </c>
      <c r="Z29" s="157">
        <f ca="1"/>
        <v>1.7042874443722426E-2</v>
      </c>
      <c r="AA29" s="468" t="str">
        <f ca="1"/>
        <v>Prim.</v>
      </c>
      <c r="AB29" s="470">
        <f ca="1"/>
        <v>6220299.4486565432</v>
      </c>
      <c r="AC29" s="472">
        <f ca="1"/>
        <v>288987.78225651279</v>
      </c>
      <c r="AD29" s="462">
        <f ca="1"/>
        <v>6.0302581265160971</v>
      </c>
      <c r="AE29" s="464">
        <f ca="1"/>
        <v>0.91685597502420757</v>
      </c>
      <c r="AF29" s="464">
        <f ca="1"/>
        <v>6.3074187703059534</v>
      </c>
      <c r="AG29" s="466">
        <f ca="1"/>
        <v>2.405376702929729E-3</v>
      </c>
      <c r="AH29" s="466">
        <f ca="1"/>
        <v>2.4049511452984913E-3</v>
      </c>
      <c r="AI29" s="157">
        <f ca="1"/>
        <v>0.20733804215491577</v>
      </c>
      <c r="AJ29" s="157">
        <f ca="1"/>
        <v>0.20733209985701531</v>
      </c>
      <c r="AK29" s="157">
        <f ca="1"/>
        <v>3.3967383118617999E-6</v>
      </c>
      <c r="AL29" s="157">
        <f ca="1"/>
        <v>0.20733889333363903</v>
      </c>
      <c r="AM29" s="468" t="str">
        <f ca="1"/>
        <v>Prim.</v>
      </c>
      <c r="AN29" s="470">
        <f ca="1"/>
        <v>75677456.257294416</v>
      </c>
      <c r="AO29" s="472">
        <f ca="1"/>
        <v>3513010.352494482</v>
      </c>
      <c r="AP29" s="462">
        <f ca="1"/>
        <v>10.954857989267129</v>
      </c>
      <c r="AQ29" s="464">
        <f ca="1"/>
        <v>4.0305221618171387</v>
      </c>
      <c r="AR29" s="464">
        <f ca="1"/>
        <v>11.989860399267128</v>
      </c>
      <c r="AS29" s="466">
        <f ca="1"/>
        <v>1.0207349703584612E-2</v>
      </c>
      <c r="AT29" s="466">
        <f ca="1"/>
        <v>1.0205543829952472E-2</v>
      </c>
      <c r="AU29" s="157">
        <f ca="1"/>
        <v>0.39413177900889829</v>
      </c>
      <c r="AV29" s="157">
        <f ca="1"/>
        <v>0.39410316716520893</v>
      </c>
      <c r="AW29" s="157">
        <f ca="1"/>
        <v>1.6111933951075479E-5</v>
      </c>
      <c r="AX29" s="157">
        <f ca="1"/>
        <v>0.39413539103311107</v>
      </c>
      <c r="AY29" s="468" t="str">
        <f ca="1"/>
        <v>Prim.</v>
      </c>
      <c r="AZ29" s="470">
        <f ca="1"/>
        <v>143853536.87119341</v>
      </c>
      <c r="BA29" s="472">
        <f ca="1"/>
        <v>6681161.2119607227</v>
      </c>
      <c r="BB29" s="173">
        <f t="shared" ca="1" si="0"/>
        <v>230720488.41413695</v>
      </c>
      <c r="BC29" s="173">
        <f t="shared" ca="1" si="1"/>
        <v>10714086.456269665</v>
      </c>
      <c r="BD29" s="462">
        <f ca="1"/>
        <v>4.5090466517988368</v>
      </c>
      <c r="BE29" s="464">
        <f ca="1"/>
        <v>0.3514401884902702</v>
      </c>
      <c r="BF29" s="464">
        <f ca="1"/>
        <v>4.7383368495855978</v>
      </c>
      <c r="BG29" s="466">
        <f ca="1"/>
        <v>4.0464877869239579E-5</v>
      </c>
      <c r="BH29" s="466">
        <f ca="1"/>
        <v>4.046196271491662E-5</v>
      </c>
      <c r="BI29" s="157">
        <f ca="1"/>
        <v>2.6715576234734558E-3</v>
      </c>
      <c r="BJ29" s="157">
        <f ca="1"/>
        <v>2.6715887182467302E-3</v>
      </c>
      <c r="BK29" s="157">
        <f ca="1"/>
        <v>-1.2632140558217324E-8</v>
      </c>
      <c r="BL29" s="157">
        <f ca="1"/>
        <v>2.6715634539656134E-3</v>
      </c>
      <c r="BM29" s="468" t="str">
        <f ca="1"/>
        <v>Sec1.</v>
      </c>
      <c r="BN29" s="470">
        <f ca="1"/>
        <v>2671560.5386277786</v>
      </c>
      <c r="BO29" s="472">
        <f ca="1"/>
        <v>200073.86590620907</v>
      </c>
      <c r="BP29" s="462">
        <f ca="1"/>
        <v>3.3813711638214259</v>
      </c>
      <c r="BQ29" s="464">
        <f ca="1"/>
        <v>0.1987937799453256</v>
      </c>
      <c r="BR29" s="464">
        <f ca="1"/>
        <v>3.5141136926728223</v>
      </c>
      <c r="BS29" s="466">
        <f ca="1"/>
        <v>2.2153873608599106E-5</v>
      </c>
      <c r="BT29" s="466">
        <f ca="1"/>
        <v>2.2152277607660337E-5</v>
      </c>
      <c r="BU29" s="157">
        <f ca="1"/>
        <v>1.9813190837695716E-3</v>
      </c>
      <c r="BV29" s="157">
        <f ca="1"/>
        <v>1.9813361715734865E-3</v>
      </c>
      <c r="BW29" s="157">
        <f ca="1"/>
        <v>-6.9478513434972968E-9</v>
      </c>
      <c r="BX29" s="157">
        <f ca="1"/>
        <v>1.9813222758707995E-3</v>
      </c>
      <c r="BY29" s="468" t="str">
        <f ca="1"/>
        <v>Sec1.</v>
      </c>
      <c r="BZ29" s="470">
        <f ca="1"/>
        <v>1981320.6797705102</v>
      </c>
      <c r="CA29" s="472">
        <f ca="1"/>
        <v>148381.62275192782</v>
      </c>
      <c r="CB29" s="462">
        <f ca="1"/>
        <v>10.691321958029045</v>
      </c>
      <c r="CC29" s="464">
        <f ca="1"/>
        <v>0.92795691229652721</v>
      </c>
      <c r="CD29" s="464">
        <f ca="1"/>
        <v>11.181346378972828</v>
      </c>
      <c r="CE29" s="466">
        <f ca="1"/>
        <v>1.2930545126743631E-4</v>
      </c>
      <c r="CF29" s="466">
        <f ca="1"/>
        <v>1.2929613593146348E-4</v>
      </c>
      <c r="CG29" s="157">
        <f ca="1"/>
        <v>6.3042396747404464E-3</v>
      </c>
      <c r="CH29" s="157">
        <f ca="1"/>
        <v>6.3043031724556269E-3</v>
      </c>
      <c r="CI29" s="157">
        <f ca="1"/>
        <v>-2.2433193495194117E-8</v>
      </c>
      <c r="CJ29" s="157">
        <f ca="1"/>
        <v>6.3042583060686367E-3</v>
      </c>
      <c r="CK29" s="468" t="str">
        <f ca="1"/>
        <v>Sec1.</v>
      </c>
      <c r="CL29" s="470">
        <f ca="1"/>
        <v>6304248.990076419</v>
      </c>
      <c r="CM29" s="472">
        <f ca="1"/>
        <v>472126.85201877035</v>
      </c>
      <c r="CN29" s="462">
        <f ca="1"/>
        <v>1.4396181419299745</v>
      </c>
      <c r="CO29" s="464">
        <f ca="1"/>
        <v>0.57715308163816703</v>
      </c>
      <c r="CP29" s="464">
        <f ca="1"/>
        <v>1.5871032252633079</v>
      </c>
      <c r="CQ29" s="466" t="e">
        <f ca="1"/>
        <v>#DIV/0!</v>
      </c>
      <c r="CR29" s="466">
        <f ca="1"/>
        <v>8.3154683011089727E-5</v>
      </c>
      <c r="CS29" s="157">
        <f ca="1"/>
        <v>8.948367022623818E-4</v>
      </c>
      <c r="CT29" s="157">
        <f ca="1"/>
        <v>8.9474185390125472E-4</v>
      </c>
      <c r="CU29" s="157">
        <f ca="1"/>
        <v>5.3415396691510498E-8</v>
      </c>
      <c r="CV29" s="157">
        <f ca="1"/>
        <v>8.9484868469463775E-4</v>
      </c>
      <c r="CW29" s="468" t="str">
        <f ca="1"/>
        <v>Prim.</v>
      </c>
      <c r="CX29" s="470">
        <f ca="1"/>
        <v>894795.26929794624</v>
      </c>
      <c r="CY29" s="472">
        <f ca="1"/>
        <v>67060.866326499614</v>
      </c>
      <c r="CZ29" s="173">
        <f t="shared" ca="1" si="3"/>
        <v>11851925.477772655</v>
      </c>
      <c r="DA29" s="173">
        <f t="shared" ca="1" si="3"/>
        <v>887643.20700340695</v>
      </c>
      <c r="DB29" s="462">
        <f ca="1"/>
        <v>1377.6479020200434</v>
      </c>
      <c r="DC29" s="464">
        <f ca="1"/>
        <v>320.47749854405873</v>
      </c>
      <c r="DD29" s="464">
        <f ca="1"/>
        <v>1538.4063349805772</v>
      </c>
      <c r="DE29" s="466">
        <f ca="1"/>
        <v>3.3255130235943398E-2</v>
      </c>
      <c r="DF29" s="466">
        <f ca="1"/>
        <v>3.3254047181502627E-2</v>
      </c>
      <c r="DG29" s="157">
        <f ca="1"/>
        <v>1.1088428293857415</v>
      </c>
      <c r="DH29" s="157">
        <f ca="1"/>
        <v>1.1089095506555831</v>
      </c>
      <c r="DI29" s="157">
        <f ca="1"/>
        <v>-3.2277565123447945E-5</v>
      </c>
      <c r="DJ29" s="157">
        <f ca="1"/>
        <v>1.1088449955253361</v>
      </c>
      <c r="DK29" s="468" t="str">
        <f ca="1"/>
        <v>Sec1.</v>
      </c>
      <c r="DL29" s="470">
        <f ca="1"/>
        <v>11088439.124401823</v>
      </c>
      <c r="DM29" s="472">
        <f ca="1"/>
        <v>111583.59976590985</v>
      </c>
      <c r="DN29" s="462">
        <f ca="1"/>
        <v>1184.2450623079437</v>
      </c>
      <c r="DO29" s="464">
        <f ca="1"/>
        <v>182.40768534708198</v>
      </c>
      <c r="DP29" s="464">
        <f ca="1"/>
        <v>1316.4199967511738</v>
      </c>
      <c r="DQ29" s="466">
        <f ca="1"/>
        <v>1.2765996767313936E-2</v>
      </c>
      <c r="DR29" s="466">
        <f ca="1"/>
        <v>1.276558100294997E-2</v>
      </c>
      <c r="DS29" s="157">
        <f ca="1"/>
        <v>0.94884091456628683</v>
      </c>
      <c r="DT29" s="157">
        <f ca="1"/>
        <v>0.94886607835381076</v>
      </c>
      <c r="DU29" s="157">
        <f ca="1"/>
        <v>-1.2166124362432597E-5</v>
      </c>
      <c r="DV29" s="157">
        <f ca="1"/>
        <v>0.94884174610508587</v>
      </c>
      <c r="DW29" s="468" t="str">
        <f ca="1"/>
        <v>Sec1.</v>
      </c>
      <c r="DX29" s="470">
        <f ca="1"/>
        <v>9488413.3033065069</v>
      </c>
      <c r="DY29" s="472">
        <f ca="1"/>
        <v>95482.448031819207</v>
      </c>
      <c r="DZ29" s="462">
        <f ca="1"/>
        <v>824.34358233293915</v>
      </c>
      <c r="EA29" s="464">
        <f ca="1"/>
        <v>282.804767647738</v>
      </c>
      <c r="EB29" s="464">
        <f ca="1"/>
        <v>1033.7493144543394</v>
      </c>
      <c r="EC29" s="466">
        <f ca="1"/>
        <v>1.8866844903413948E-2</v>
      </c>
      <c r="ED29" s="466">
        <f ca="1"/>
        <v>1.8866230445990059E-2</v>
      </c>
      <c r="EE29" s="157">
        <f ca="1"/>
        <v>0.74509932041432492</v>
      </c>
      <c r="EF29" s="157">
        <f ca="1"/>
        <v>0.74510974739269109</v>
      </c>
      <c r="EG29" s="157">
        <f ca="1"/>
        <v>-4.5990242948585117E-6</v>
      </c>
      <c r="EH29" s="157">
        <f ca="1"/>
        <v>0.74510054934410141</v>
      </c>
      <c r="EI29" s="468" t="str">
        <f ca="1"/>
        <v>Sec1.</v>
      </c>
      <c r="EJ29" s="470">
        <f ca="1"/>
        <v>7450999.3487174883</v>
      </c>
      <c r="EK29" s="472">
        <f ca="1"/>
        <v>74979.834389287716</v>
      </c>
      <c r="EL29" s="462">
        <f ca="1"/>
        <v>117.25903309168723</v>
      </c>
      <c r="EM29" s="464">
        <f ca="1"/>
        <v>236.39024625434115</v>
      </c>
      <c r="EN29" s="464">
        <f ca="1"/>
        <v>138.6211488394008</v>
      </c>
      <c r="EO29" s="466" t="e">
        <f ca="1"/>
        <v>#DIV/0!</v>
      </c>
      <c r="EP29" s="466">
        <f ca="1"/>
        <v>1.5397251252228246E-2</v>
      </c>
      <c r="EQ29" s="157">
        <f ca="1"/>
        <v>9.9914478637221554E-2</v>
      </c>
      <c r="ER29" s="157">
        <f ca="1"/>
        <v>9.9908146381621557E-2</v>
      </c>
      <c r="ES29" s="157">
        <f ca="1"/>
        <v>3.6676095505348458E-6</v>
      </c>
      <c r="ET29" s="157">
        <f ca="1"/>
        <v>9.9915481600722625E-2</v>
      </c>
      <c r="EU29" s="468" t="str">
        <f ca="1"/>
        <v>Prim.</v>
      </c>
      <c r="EV29" s="470">
        <f ca="1"/>
        <v>999118.13991172088</v>
      </c>
      <c r="EW29" s="472">
        <f ca="1"/>
        <v>10090.490247460833</v>
      </c>
      <c r="EX29" s="462">
        <f ca="1"/>
        <v>280.08308722076066</v>
      </c>
      <c r="EY29" s="464">
        <f ca="1"/>
        <v>61.185232674115518</v>
      </c>
      <c r="EZ29" s="464">
        <f ca="1"/>
        <v>319.58710729478747</v>
      </c>
      <c r="FA29" s="466">
        <f ca="1"/>
        <v>5.1822002176464821E-3</v>
      </c>
      <c r="FB29" s="466">
        <f ca="1"/>
        <v>5.1820314433859566E-3</v>
      </c>
      <c r="FC29" s="157">
        <f ca="1"/>
        <v>0.23034998246573832</v>
      </c>
      <c r="FD29" s="157">
        <f ca="1"/>
        <v>0.23034773042543069</v>
      </c>
      <c r="FE29" s="157">
        <f ca="1"/>
        <v>1.2947966553363501E-6</v>
      </c>
      <c r="FF29" s="157">
        <f ca="1"/>
        <v>0.23035032001874137</v>
      </c>
      <c r="FG29" s="468" t="str">
        <f ca="1"/>
        <v>Prim.</v>
      </c>
      <c r="FH29" s="470">
        <f ca="1"/>
        <v>2303490.2522208602</v>
      </c>
      <c r="FI29" s="472">
        <f ca="1"/>
        <v>23192.97237793645</v>
      </c>
      <c r="FJ29" s="173">
        <f t="shared" ca="1" si="4"/>
        <v>31330460.168558396</v>
      </c>
      <c r="FK29" s="173">
        <f t="shared" ca="1" si="4"/>
        <v>315329.34481241403</v>
      </c>
      <c r="FL29" s="462">
        <f ca="1"/>
        <v>32.317968060953831</v>
      </c>
      <c r="FM29" s="464">
        <f ca="1"/>
        <v>289.15359047135405</v>
      </c>
      <c r="FN29" s="464">
        <f ca="1"/>
        <v>33.057427781362527</v>
      </c>
      <c r="FO29" s="466">
        <f ca="1"/>
        <v>8.0106745230068555E-5</v>
      </c>
      <c r="FP29" s="466">
        <f ca="1"/>
        <v>8.0106694585911609E-5</v>
      </c>
      <c r="FQ29" s="157">
        <f ca="1"/>
        <v>2.4394794423067442E-3</v>
      </c>
      <c r="FR29" s="157">
        <f ca="1"/>
        <v>2.4394795436708211E-3</v>
      </c>
      <c r="FS29" s="157">
        <f ca="1"/>
        <v>2.4396801813808362E-3</v>
      </c>
      <c r="FT29" s="468" t="str">
        <f ca="1"/>
        <v>Sec1.</v>
      </c>
      <c r="FU29" s="470">
        <f ca="1"/>
        <v>2439.4794929509012</v>
      </c>
      <c r="FV29" s="470">
        <f ca="1"/>
        <v>20.264037062430489</v>
      </c>
      <c r="FW29" s="462">
        <f ca="1"/>
        <v>-5.3571956730237718</v>
      </c>
      <c r="FX29" s="464">
        <f ca="1"/>
        <v>692.72894328532186</v>
      </c>
      <c r="FY29" s="464">
        <f ca="1"/>
        <v>-3.5856625930237724</v>
      </c>
      <c r="FZ29" s="466">
        <f ca="1"/>
        <v>1.9191275049479373E-4</v>
      </c>
      <c r="GA29" s="466">
        <f ca="1"/>
        <v>1.9191262914603765E-4</v>
      </c>
      <c r="GB29" s="157">
        <f ca="1"/>
        <v>-2.6460468251136436E-4</v>
      </c>
      <c r="GC29" s="157">
        <f ca="1"/>
        <v>-2.6460443967215382E-4</v>
      </c>
      <c r="GD29" s="157">
        <f ca="1"/>
        <v>-2.6460190832671598E-4</v>
      </c>
      <c r="GE29" s="468" t="str">
        <f ca="1"/>
        <v>Sec1.</v>
      </c>
      <c r="GF29" s="470">
        <f ca="1"/>
        <v>-264.60456116260826</v>
      </c>
      <c r="GG29" s="470">
        <f ca="1"/>
        <v>-2.1979920920758356</v>
      </c>
      <c r="GH29" s="173">
        <f t="shared" ca="1" si="2"/>
        <v>2174.874931788293</v>
      </c>
      <c r="GI29" s="173">
        <f t="shared" ca="1" si="2"/>
        <v>18.066044970354653</v>
      </c>
    </row>
    <row r="30" spans="1:191" ht="15">
      <c r="A30" s="168"/>
      <c r="B30" s="169"/>
      <c r="C30" s="87">
        <f>'Oil supply projection'!B30</f>
        <v>2039</v>
      </c>
      <c r="D30" s="460">
        <f ca="1"/>
        <v>273905048.93539977</v>
      </c>
      <c r="E30" s="460">
        <f ca="1"/>
        <v>11917077.074130455</v>
      </c>
      <c r="F30" s="462">
        <f ca="1"/>
        <v>0.38933555677268855</v>
      </c>
      <c r="G30" s="464">
        <f ca="1"/>
        <v>2.0185782819702527</v>
      </c>
      <c r="H30" s="464">
        <f ca="1"/>
        <v>0.41079055557964922</v>
      </c>
      <c r="I30" s="466">
        <f ca="1"/>
        <v>6.8834229148251325E-4</v>
      </c>
      <c r="J30" s="466">
        <f ca="1"/>
        <v>6.8822410869386118E-4</v>
      </c>
      <c r="K30" s="157">
        <f ca="1"/>
        <v>1.3150854320108258E-2</v>
      </c>
      <c r="L30" s="157">
        <f ca="1"/>
        <v>1.3149181340769521E-2</v>
      </c>
      <c r="M30" s="157">
        <f ca="1"/>
        <v>9.5468616601390759E-7</v>
      </c>
      <c r="N30" s="157">
        <f ca="1"/>
        <v>1.3151090713101549E-2</v>
      </c>
      <c r="O30" s="468" t="str">
        <f ca="1"/>
        <v>Prim.</v>
      </c>
      <c r="P30" s="470">
        <f ca="1"/>
        <v>4799799.6498314701</v>
      </c>
      <c r="Q30" s="472">
        <f ca="1"/>
        <v>223442.85109829446</v>
      </c>
      <c r="R30" s="462">
        <f ca="1"/>
        <v>0.49772190017375295</v>
      </c>
      <c r="S30" s="464">
        <f ca="1"/>
        <v>1.4858687635394809</v>
      </c>
      <c r="T30" s="464">
        <f ca="1"/>
        <v>0.51873774058479782</v>
      </c>
      <c r="U30" s="466">
        <f ca="1"/>
        <v>6.3185276908583887E-4</v>
      </c>
      <c r="V30" s="466">
        <f ca="1"/>
        <v>6.3174428454935766E-4</v>
      </c>
      <c r="W30" s="157">
        <f ca="1"/>
        <v>1.6606624383432498E-2</v>
      </c>
      <c r="X30" s="157">
        <f ca="1"/>
        <v>1.6604894447698231E-2</v>
      </c>
      <c r="Y30" s="157">
        <f ca="1"/>
        <v>9.7346444588735422E-7</v>
      </c>
      <c r="Z30" s="157">
        <f ca="1"/>
        <v>1.6606841376590006E-2</v>
      </c>
      <c r="AA30" s="468" t="str">
        <f ca="1"/>
        <v>Prim.</v>
      </c>
      <c r="AB30" s="470">
        <f ca="1"/>
        <v>6061141.7879326027</v>
      </c>
      <c r="AC30" s="472">
        <f ca="1"/>
        <v>282080.74765620125</v>
      </c>
      <c r="AD30" s="462">
        <f ca="1"/>
        <v>6.0551468774067931</v>
      </c>
      <c r="AE30" s="464">
        <f ca="1"/>
        <v>0.99877585636662491</v>
      </c>
      <c r="AF30" s="464">
        <f ca="1"/>
        <v>6.3567941881529197</v>
      </c>
      <c r="AG30" s="466">
        <f ca="1"/>
        <v>2.5495092250551465E-3</v>
      </c>
      <c r="AH30" s="466">
        <f ca="1"/>
        <v>2.5490714758980384E-3</v>
      </c>
      <c r="AI30" s="157">
        <f ca="1"/>
        <v>0.20350339893610578</v>
      </c>
      <c r="AJ30" s="157">
        <f ca="1"/>
        <v>0.2034974063832195</v>
      </c>
      <c r="AK30" s="157">
        <f ca="1"/>
        <v>3.4340572682267912E-6</v>
      </c>
      <c r="AL30" s="157">
        <f ca="1"/>
        <v>0.20350427449775596</v>
      </c>
      <c r="AM30" s="468" t="str">
        <f ca="1"/>
        <v>Prim.</v>
      </c>
      <c r="AN30" s="470">
        <f ca="1"/>
        <v>74277806.760778025</v>
      </c>
      <c r="AO30" s="472">
        <f ca="1"/>
        <v>3453873.6890698448</v>
      </c>
      <c r="AP30" s="462">
        <f ca="1"/>
        <v>10.910872955209465</v>
      </c>
      <c r="AQ30" s="464">
        <f ca="1"/>
        <v>4.0287707996401956</v>
      </c>
      <c r="AR30" s="464">
        <f ca="1"/>
        <v>11.944346055209465</v>
      </c>
      <c r="AS30" s="466">
        <f ca="1"/>
        <v>9.9260468171777916E-3</v>
      </c>
      <c r="AT30" s="466">
        <f ca="1"/>
        <v>9.9243425246403252E-3</v>
      </c>
      <c r="AU30" s="157">
        <f ca="1"/>
        <v>0.38238063847250037</v>
      </c>
      <c r="AV30" s="157">
        <f ca="1"/>
        <v>0.38235208063944937</v>
      </c>
      <c r="AW30" s="157">
        <f ca="1"/>
        <v>1.5983335918996249E-5</v>
      </c>
      <c r="AX30" s="157">
        <f ca="1"/>
        <v>0.38238404731128733</v>
      </c>
      <c r="AY30" s="468" t="str">
        <f ca="1"/>
        <v>Prim.</v>
      </c>
      <c r="AZ30" s="470">
        <f ca="1"/>
        <v>139564343.35100946</v>
      </c>
      <c r="BA30" s="472">
        <f ca="1"/>
        <v>6492975.7580427565</v>
      </c>
      <c r="BB30" s="173">
        <f t="shared" ca="1" si="0"/>
        <v>224703091.54955158</v>
      </c>
      <c r="BC30" s="173">
        <f t="shared" ca="1" si="1"/>
        <v>10452373.045867098</v>
      </c>
      <c r="BD30" s="462">
        <f ca="1"/>
        <v>4.5014298311482248</v>
      </c>
      <c r="BE30" s="464">
        <f ca="1"/>
        <v>0.35177161786813027</v>
      </c>
      <c r="BF30" s="464">
        <f ca="1"/>
        <v>4.7326390782945662</v>
      </c>
      <c r="BG30" s="466">
        <f ca="1"/>
        <v>4.0159897737035433E-5</v>
      </c>
      <c r="BH30" s="466">
        <f ca="1"/>
        <v>4.0156982141484107E-5</v>
      </c>
      <c r="BI30" s="157">
        <f ca="1"/>
        <v>2.6262530978175816E-3</v>
      </c>
      <c r="BJ30" s="157">
        <f ca="1"/>
        <v>2.6262835751678822E-3</v>
      </c>
      <c r="BK30" s="157">
        <f ca="1"/>
        <v>-1.2322986983898208E-8</v>
      </c>
      <c r="BL30" s="157">
        <f ca="1"/>
        <v>2.6262589291939143E-3</v>
      </c>
      <c r="BM30" s="468" t="str">
        <f ca="1"/>
        <v>Sec1.</v>
      </c>
      <c r="BN30" s="470">
        <f ca="1"/>
        <v>2626256.0134131331</v>
      </c>
      <c r="BO30" s="472">
        <f ca="1"/>
        <v>192193.21118375935</v>
      </c>
      <c r="BP30" s="462">
        <f ca="1"/>
        <v>3.3735545800876201</v>
      </c>
      <c r="BQ30" s="464">
        <f ca="1"/>
        <v>0.19894779982716643</v>
      </c>
      <c r="BR30" s="464">
        <f ca="1"/>
        <v>3.5073318751180738</v>
      </c>
      <c r="BS30" s="466">
        <f ca="1"/>
        <v>2.197438081119607E-5</v>
      </c>
      <c r="BT30" s="466">
        <f ca="1"/>
        <v>2.1972785477552534E-5</v>
      </c>
      <c r="BU30" s="157">
        <f ca="1"/>
        <v>1.94630121792902E-3</v>
      </c>
      <c r="BV30" s="157">
        <f ca="1"/>
        <v>1.9463179349368399E-3</v>
      </c>
      <c r="BW30" s="157">
        <f ca="1"/>
        <v>-6.7631203133585899E-9</v>
      </c>
      <c r="BX30" s="157">
        <f ca="1"/>
        <v>1.9463044086962132E-3</v>
      </c>
      <c r="BY30" s="468" t="str">
        <f ca="1"/>
        <v>Sec1.</v>
      </c>
      <c r="BZ30" s="470">
        <f ca="1"/>
        <v>1946302.8132626635</v>
      </c>
      <c r="CA30" s="472">
        <f ca="1"/>
        <v>142433.25315828307</v>
      </c>
      <c r="CB30" s="462">
        <f ca="1"/>
        <v>10.7341242469734</v>
      </c>
      <c r="CC30" s="464">
        <f ca="1"/>
        <v>0.98286464721919764</v>
      </c>
      <c r="CD30" s="464">
        <f ca="1"/>
        <v>11.258912069213004</v>
      </c>
      <c r="CE30" s="466">
        <f ca="1"/>
        <v>1.3629425497718728E-4</v>
      </c>
      <c r="CF30" s="466">
        <f ca="1"/>
        <v>1.3628436009629328E-4</v>
      </c>
      <c r="CG30" s="157">
        <f ca="1"/>
        <v>6.2478359770637062E-3</v>
      </c>
      <c r="CH30" s="157">
        <f ca="1"/>
        <v>6.2478986450221711E-3</v>
      </c>
      <c r="CI30" s="157">
        <f ca="1"/>
        <v>-2.1438746204624157E-8</v>
      </c>
      <c r="CJ30" s="157">
        <f ca="1"/>
        <v>6.247855767529762E-3</v>
      </c>
      <c r="CK30" s="468" t="str">
        <f ca="1"/>
        <v>Sec1.</v>
      </c>
      <c r="CL30" s="470">
        <f ca="1"/>
        <v>6247845.8719445998</v>
      </c>
      <c r="CM30" s="472">
        <f ca="1"/>
        <v>457226.39185874845</v>
      </c>
      <c r="CN30" s="462">
        <f ca="1"/>
        <v>1.4548641044523241</v>
      </c>
      <c r="CO30" s="464">
        <f ca="1"/>
        <v>0.52895780991625008</v>
      </c>
      <c r="CP30" s="464">
        <f ca="1"/>
        <v>1.5932636877856574</v>
      </c>
      <c r="CQ30" s="466" t="e">
        <f ca="1"/>
        <v>#DIV/0!</v>
      </c>
      <c r="CR30" s="466">
        <f ca="1"/>
        <v>7.6801194524377345E-5</v>
      </c>
      <c r="CS30" s="157">
        <f ca="1"/>
        <v>8.8413961564869396E-4</v>
      </c>
      <c r="CT30" s="157">
        <f ca="1"/>
        <v>8.8404323219802518E-4</v>
      </c>
      <c r="CU30" s="157">
        <f ca="1"/>
        <v>5.3768049103936052E-8</v>
      </c>
      <c r="CV30" s="157">
        <f ca="1"/>
        <v>8.8415076829623305E-4</v>
      </c>
      <c r="CW30" s="468" t="str">
        <f ca="1"/>
        <v>Prim.</v>
      </c>
      <c r="CX30" s="470">
        <f ca="1"/>
        <v>884097.00024712901</v>
      </c>
      <c r="CY30" s="472">
        <f ca="1"/>
        <v>64749.329621790719</v>
      </c>
      <c r="CZ30" s="173">
        <f t="shared" ca="1" si="3"/>
        <v>11704501.698867526</v>
      </c>
      <c r="DA30" s="173">
        <f t="shared" ca="1" si="3"/>
        <v>856602.18582258164</v>
      </c>
      <c r="DB30" s="462">
        <f ca="1"/>
        <v>1384.5684062505063</v>
      </c>
      <c r="DC30" s="464">
        <f ca="1"/>
        <v>321.00563475585557</v>
      </c>
      <c r="DD30" s="464">
        <f ca="1"/>
        <v>1545.1445932719676</v>
      </c>
      <c r="DE30" s="466">
        <f ca="1"/>
        <v>2.9845661821582326E-2</v>
      </c>
      <c r="DF30" s="466">
        <f ca="1"/>
        <v>2.9844796894523504E-2</v>
      </c>
      <c r="DG30" s="157">
        <f ca="1"/>
        <v>1.0006534344689182</v>
      </c>
      <c r="DH30" s="157">
        <f ca="1"/>
        <v>1.0007143668133789</v>
      </c>
      <c r="DI30" s="157">
        <f ca="1"/>
        <v>-2.9601234311978576E-5</v>
      </c>
      <c r="DJ30" s="157">
        <f ca="1"/>
        <v>1.0006551643447548</v>
      </c>
      <c r="DK30" s="468" t="str">
        <f ca="1"/>
        <v>Sec1.</v>
      </c>
      <c r="DL30" s="470">
        <f ca="1"/>
        <v>10006542.99395977</v>
      </c>
      <c r="DM30" s="472">
        <f ca="1"/>
        <v>100949.01831152196</v>
      </c>
      <c r="DN30" s="462">
        <f ca="1"/>
        <v>1184.7790353838041</v>
      </c>
      <c r="DO30" s="464">
        <f ca="1"/>
        <v>180.89863629017378</v>
      </c>
      <c r="DP30" s="464">
        <f ca="1"/>
        <v>1315.69040699578</v>
      </c>
      <c r="DQ30" s="466">
        <f ca="1"/>
        <v>1.1360525524310106E-2</v>
      </c>
      <c r="DR30" s="466">
        <f ca="1"/>
        <v>1.1360196295871899E-2</v>
      </c>
      <c r="DS30" s="157">
        <f ca="1"/>
        <v>0.85205626074789265</v>
      </c>
      <c r="DT30" s="157">
        <f ca="1"/>
        <v>0.85207912030652277</v>
      </c>
      <c r="DU30" s="157">
        <f ca="1"/>
        <v>-1.1100547235860253E-5</v>
      </c>
      <c r="DV30" s="157">
        <f ca="1"/>
        <v>0.85205691921205107</v>
      </c>
      <c r="DW30" s="468" t="str">
        <f ca="1"/>
        <v>Sec1.</v>
      </c>
      <c r="DX30" s="470">
        <f ca="1"/>
        <v>8520565.8997633085</v>
      </c>
      <c r="DY30" s="472">
        <f ca="1"/>
        <v>85958.034014238685</v>
      </c>
      <c r="DZ30" s="462">
        <f ca="1"/>
        <v>827.00081557525266</v>
      </c>
      <c r="EA30" s="464">
        <f ca="1"/>
        <v>280.67738045010577</v>
      </c>
      <c r="EB30" s="464">
        <f ca="1"/>
        <v>1034.579729687835</v>
      </c>
      <c r="EC30" s="466">
        <f ca="1"/>
        <v>1.6803872810498888E-2</v>
      </c>
      <c r="ED30" s="466">
        <f ca="1"/>
        <v>1.6803385833771899E-2</v>
      </c>
      <c r="EE30" s="157">
        <f ca="1"/>
        <v>0.67000574849232719</v>
      </c>
      <c r="EF30" s="157">
        <f ca="1"/>
        <v>0.67001511751795328</v>
      </c>
      <c r="EG30" s="157">
        <f ca="1"/>
        <v>-4.1975305891240572E-6</v>
      </c>
      <c r="EH30" s="157">
        <f ca="1"/>
        <v>0.67000672245677506</v>
      </c>
      <c r="EI30" s="468" t="str">
        <f ca="1"/>
        <v>Sec1.</v>
      </c>
      <c r="EJ30" s="470">
        <f ca="1"/>
        <v>6700062.3546905415</v>
      </c>
      <c r="EK30" s="472">
        <f ca="1"/>
        <v>67592.246167359408</v>
      </c>
      <c r="EL30" s="462">
        <f ca="1"/>
        <v>124.76028631406973</v>
      </c>
      <c r="EM30" s="464">
        <f ca="1"/>
        <v>241.99568662681665</v>
      </c>
      <c r="EN30" s="464">
        <f ca="1"/>
        <v>146.41807909029893</v>
      </c>
      <c r="EO30" s="466" t="e">
        <f ca="1"/>
        <v>#DIV/0!</v>
      </c>
      <c r="EP30" s="466">
        <f ca="1"/>
        <v>1.4025836040668239E-2</v>
      </c>
      <c r="EQ30" s="157">
        <f ca="1"/>
        <v>9.4822034357182519E-2</v>
      </c>
      <c r="ER30" s="157">
        <f ca="1"/>
        <v>9.4816102765724525E-2</v>
      </c>
      <c r="ES30" s="157">
        <f ca="1"/>
        <v>3.3722812370307472E-6</v>
      </c>
      <c r="ET30" s="157">
        <f ca="1"/>
        <v>9.4822847328198581E-2</v>
      </c>
      <c r="EU30" s="468" t="str">
        <f ca="1"/>
        <v>Prim.</v>
      </c>
      <c r="EV30" s="470">
        <f ca="1"/>
        <v>948194.75046961557</v>
      </c>
      <c r="EW30" s="472">
        <f ca="1"/>
        <v>9599.0567145000987</v>
      </c>
      <c r="EX30" s="462">
        <f ca="1"/>
        <v>287.62881805363702</v>
      </c>
      <c r="EY30" s="464">
        <f ca="1"/>
        <v>62.484535015547834</v>
      </c>
      <c r="EZ30" s="464">
        <f ca="1"/>
        <v>327.90064554587707</v>
      </c>
      <c r="FA30" s="466">
        <f ca="1"/>
        <v>4.7466759090895039E-3</v>
      </c>
      <c r="FB30" s="466">
        <f ca="1"/>
        <v>4.746538350291896E-3</v>
      </c>
      <c r="FC30" s="157">
        <f ca="1"/>
        <v>0.21235223457970859</v>
      </c>
      <c r="FD30" s="157">
        <f ca="1"/>
        <v>0.21235014051689333</v>
      </c>
      <c r="FE30" s="157">
        <f ca="1"/>
        <v>1.1845917674669792E-6</v>
      </c>
      <c r="FF30" s="157">
        <f ca="1"/>
        <v>0.21235250970042827</v>
      </c>
      <c r="FG30" s="468" t="str">
        <f ca="1"/>
        <v>Prim.</v>
      </c>
      <c r="FH30" s="470">
        <f ca="1"/>
        <v>2123513.251086608</v>
      </c>
      <c r="FI30" s="472">
        <f ca="1"/>
        <v>21434.367398303719</v>
      </c>
      <c r="FJ30" s="173">
        <f t="shared" ca="1" si="4"/>
        <v>28298879.249969844</v>
      </c>
      <c r="FK30" s="173">
        <f t="shared" ca="1" si="4"/>
        <v>285532.72260592389</v>
      </c>
      <c r="FL30" s="462">
        <f ca="1"/>
        <v>31.735131988750915</v>
      </c>
      <c r="FM30" s="464">
        <f ca="1"/>
        <v>270.58586836987934</v>
      </c>
      <c r="FN30" s="464">
        <f ca="1"/>
        <v>32.424210604213037</v>
      </c>
      <c r="FO30" s="466">
        <f ca="1"/>
        <v>2.7875457897152955E-4</v>
      </c>
      <c r="FP30" s="466">
        <f ca="1"/>
        <v>2.7875392229605801E-4</v>
      </c>
      <c r="FQ30" s="157">
        <f ca="1"/>
        <v>8.9350109968676737E-3</v>
      </c>
      <c r="FR30" s="157">
        <f ca="1"/>
        <v>8.9350123102585246E-3</v>
      </c>
      <c r="FS30" s="157">
        <f ca="1"/>
        <v>8.9357758016667763E-3</v>
      </c>
      <c r="FT30" s="468" t="str">
        <f ca="1"/>
        <v>Sec1.</v>
      </c>
      <c r="FU30" s="470">
        <f ca="1"/>
        <v>8935.0116535431443</v>
      </c>
      <c r="FV30" s="470">
        <f ca="1"/>
        <v>75.064781843211321</v>
      </c>
      <c r="FW30" s="462">
        <f ca="1"/>
        <v>-3.4422329302132453</v>
      </c>
      <c r="FX30" s="464">
        <f ca="1"/>
        <v>936.56244766305133</v>
      </c>
      <c r="FY30" s="464">
        <f ca="1"/>
        <v>-1.0571669302132451</v>
      </c>
      <c r="FZ30" s="466">
        <f ca="1"/>
        <v>9.6483630903776429E-4</v>
      </c>
      <c r="GA30" s="466">
        <f ca="1"/>
        <v>9.6483403621373592E-4</v>
      </c>
      <c r="GB30" s="157">
        <f ca="1"/>
        <v>-2.9131929416202493E-4</v>
      </c>
      <c r="GC30" s="157">
        <f ca="1"/>
        <v>-2.9131474820197556E-4</v>
      </c>
      <c r="GD30" s="157">
        <f ca="1"/>
        <v>-2.9131021971388904E-4</v>
      </c>
      <c r="GE30" s="468" t="str">
        <f ca="1"/>
        <v>Sec1.</v>
      </c>
      <c r="GF30" s="470">
        <f ca="1"/>
        <v>-291.31702133799655</v>
      </c>
      <c r="GG30" s="470">
        <f ca="1"/>
        <v>-2.4474113187395021</v>
      </c>
      <c r="GH30" s="173">
        <f t="shared" ca="1" si="2"/>
        <v>8643.6946322051481</v>
      </c>
      <c r="GI30" s="173">
        <f t="shared" ca="1" si="2"/>
        <v>72.617370524471824</v>
      </c>
    </row>
    <row r="31" spans="1:191" ht="15">
      <c r="A31" s="168"/>
      <c r="B31" s="169"/>
      <c r="C31" s="87">
        <f>'Oil supply projection'!B31</f>
        <v>2040</v>
      </c>
      <c r="D31" s="460">
        <f ca="1"/>
        <v>264715116.19302115</v>
      </c>
      <c r="E31" s="460">
        <f ca="1"/>
        <v>11594580.571666129</v>
      </c>
      <c r="F31" s="462">
        <f ca="1"/>
        <v>0.38615006335502816</v>
      </c>
      <c r="G31" s="464">
        <f ca="1"/>
        <v>2.0269180554889146</v>
      </c>
      <c r="H31" s="464">
        <f ca="1"/>
        <v>0.40764204630020257</v>
      </c>
      <c r="I31" s="466">
        <f ca="1"/>
        <v>6.9670542848143668E-4</v>
      </c>
      <c r="J31" s="466">
        <f ca="1"/>
        <v>6.9658485390659895E-4</v>
      </c>
      <c r="K31" s="157">
        <f ca="1"/>
        <v>1.3185865487441387E-2</v>
      </c>
      <c r="L31" s="157">
        <f ca="1"/>
        <v>1.318412040400061E-2</v>
      </c>
      <c r="M31" s="157">
        <f ca="1"/>
        <v>9.9313013101449083E-7</v>
      </c>
      <c r="N31" s="157">
        <f ca="1"/>
        <v>1.3186106664262639E-2</v>
      </c>
      <c r="O31" s="468" t="str">
        <f ca="1"/>
        <v>Prim.</v>
      </c>
      <c r="P31" s="470">
        <f ca="1"/>
        <v>4812566.4399580425</v>
      </c>
      <c r="Q31" s="472">
        <f ca="1"/>
        <v>247940.42672798227</v>
      </c>
      <c r="R31" s="462">
        <f ca="1"/>
        <v>0.49799473800559163</v>
      </c>
      <c r="S31" s="464">
        <f ca="1"/>
        <v>1.4823233988497635</v>
      </c>
      <c r="T31" s="464">
        <f ca="1"/>
        <v>0.518913319121033</v>
      </c>
      <c r="U31" s="466">
        <f ca="1"/>
        <v>6.3547440861455584E-4</v>
      </c>
      <c r="V31" s="466">
        <f ca="1"/>
        <v>6.3536443061209505E-4</v>
      </c>
      <c r="W31" s="157">
        <f ca="1"/>
        <v>1.6785121377132797E-2</v>
      </c>
      <c r="X31" s="157">
        <f ca="1"/>
        <v>1.678329650597226E-2</v>
      </c>
      <c r="Y31" s="157">
        <f ca="1"/>
        <v>1.0224258943360189E-6</v>
      </c>
      <c r="Z31" s="157">
        <f ca="1"/>
        <v>1.6785341357760934E-2</v>
      </c>
      <c r="AA31" s="468" t="str">
        <f ca="1"/>
        <v>Prim.</v>
      </c>
      <c r="AB31" s="470">
        <f ca="1"/>
        <v>6126276.4101313083</v>
      </c>
      <c r="AC31" s="472">
        <f ca="1"/>
        <v>315538.22879099863</v>
      </c>
      <c r="AD31" s="462">
        <f ca="1"/>
        <v>6.1025486763779542</v>
      </c>
      <c r="AE31" s="464">
        <f ca="1"/>
        <v>1.0185282832028215</v>
      </c>
      <c r="AF31" s="464">
        <f ca="1"/>
        <v>6.4099670481206577</v>
      </c>
      <c r="AG31" s="466">
        <f ca="1"/>
        <v>2.6253261026756292E-3</v>
      </c>
      <c r="AH31" s="466">
        <f ca="1"/>
        <v>2.6248717344465526E-3</v>
      </c>
      <c r="AI31" s="157">
        <f ca="1"/>
        <v>0.20734113186451425</v>
      </c>
      <c r="AJ31" s="157">
        <f ca="1"/>
        <v>0.20733482270601131</v>
      </c>
      <c r="AK31" s="157">
        <f ca="1"/>
        <v>3.6089806194813275E-6</v>
      </c>
      <c r="AL31" s="157">
        <f ca="1"/>
        <v>0.20734204066725029</v>
      </c>
      <c r="AM31" s="468" t="str">
        <f ca="1"/>
        <v>Prim.</v>
      </c>
      <c r="AN31" s="470">
        <f ca="1"/>
        <v>75678527.565620244</v>
      </c>
      <c r="AO31" s="472">
        <f ca="1"/>
        <v>3894753.133074631</v>
      </c>
      <c r="AP31" s="462">
        <f ca="1"/>
        <v>10.8694518081347</v>
      </c>
      <c r="AQ31" s="464">
        <f ca="1"/>
        <v>4.1090290899557571</v>
      </c>
      <c r="AR31" s="464">
        <f ca="1"/>
        <v>11.9227556681347</v>
      </c>
      <c r="AS31" s="466">
        <f ca="1"/>
        <v>1.0221794561047659E-2</v>
      </c>
      <c r="AT31" s="466">
        <f ca="1"/>
        <v>1.022002546690462E-2</v>
      </c>
      <c r="AU31" s="157">
        <f ca="1"/>
        <v>0.38566152315867075</v>
      </c>
      <c r="AV31" s="157">
        <f ca="1"/>
        <v>0.38563213076427566</v>
      </c>
      <c r="AW31" s="157">
        <f ca="1"/>
        <v>1.6465424048670156E-5</v>
      </c>
      <c r="AX31" s="157">
        <f ca="1"/>
        <v>0.38566506161237302</v>
      </c>
      <c r="AY31" s="468" t="str">
        <f ca="1"/>
        <v>Prim.</v>
      </c>
      <c r="AZ31" s="470">
        <f ca="1"/>
        <v>140761737.60873836</v>
      </c>
      <c r="BA31" s="472">
        <f ca="1"/>
        <v>7247600.7771442896</v>
      </c>
      <c r="BB31" s="173">
        <f t="shared" ca="1" si="0"/>
        <v>227379108.02444795</v>
      </c>
      <c r="BC31" s="173">
        <f t="shared" ca="1" si="1"/>
        <v>11705832.565737901</v>
      </c>
      <c r="BD31" s="462">
        <f ca="1"/>
        <v>4.4960171073893038</v>
      </c>
      <c r="BE31" s="464">
        <f ca="1"/>
        <v>0.35743567565880469</v>
      </c>
      <c r="BF31" s="464">
        <f ca="1"/>
        <v>4.7282719532046036</v>
      </c>
      <c r="BG31" s="466">
        <f ca="1"/>
        <v>4.0001139966938659E-5</v>
      </c>
      <c r="BH31" s="466">
        <f ca="1"/>
        <v>3.9998363936184126E-5</v>
      </c>
      <c r="BI31" s="157">
        <f ca="1"/>
        <v>2.6016942703051622E-3</v>
      </c>
      <c r="BJ31" s="157">
        <f ca="1"/>
        <v>2.6017245593692433E-3</v>
      </c>
      <c r="BK31" s="157">
        <f ca="1"/>
        <v>-1.2368416959882894E-8</v>
      </c>
      <c r="BL31" s="157">
        <f ca="1"/>
        <v>2.6016998225353236E-3</v>
      </c>
      <c r="BM31" s="468" t="str">
        <f ca="1"/>
        <v>Sec1.</v>
      </c>
      <c r="BN31" s="470">
        <f ca="1"/>
        <v>2601697.046335917</v>
      </c>
      <c r="BO31" s="472">
        <f ca="1"/>
        <v>200425.05141128684</v>
      </c>
      <c r="BP31" s="462">
        <f ca="1"/>
        <v>3.3670441200381211</v>
      </c>
      <c r="BQ31" s="464">
        <f ca="1"/>
        <v>0.19894887203497738</v>
      </c>
      <c r="BR31" s="464">
        <f ca="1"/>
        <v>3.4993799905503602</v>
      </c>
      <c r="BS31" s="466">
        <f ca="1"/>
        <v>2.1554205733326226E-5</v>
      </c>
      <c r="BT31" s="466">
        <f ca="1"/>
        <v>2.1552709896962225E-5</v>
      </c>
      <c r="BU31" s="157">
        <f ca="1"/>
        <v>1.9255061809346481E-3</v>
      </c>
      <c r="BV31" s="157">
        <f ca="1"/>
        <v>1.9255226933971197E-3</v>
      </c>
      <c r="BW31" s="157">
        <f ca="1"/>
        <v>-6.7603499776461377E-9</v>
      </c>
      <c r="BX31" s="157">
        <f ca="1"/>
        <v>1.9255091726971645E-3</v>
      </c>
      <c r="BY31" s="468" t="str">
        <f ca="1"/>
        <v>Sec1.</v>
      </c>
      <c r="BZ31" s="470">
        <f ca="1"/>
        <v>1925507.6767710121</v>
      </c>
      <c r="CA31" s="472">
        <f ca="1"/>
        <v>148333.94059203222</v>
      </c>
      <c r="CB31" s="462">
        <f ca="1"/>
        <v>10.808589823315174</v>
      </c>
      <c r="CC31" s="464">
        <f ca="1"/>
        <v>0.95184801858832246</v>
      </c>
      <c r="CD31" s="464">
        <f ca="1"/>
        <v>11.308181533620663</v>
      </c>
      <c r="CE31" s="466">
        <f ca="1"/>
        <v>1.2865568899589341E-4</v>
      </c>
      <c r="CF31" s="466">
        <f ca="1"/>
        <v>1.2864676047875424E-4</v>
      </c>
      <c r="CG31" s="157">
        <f ca="1"/>
        <v>6.2222375097633117E-3</v>
      </c>
      <c r="CH31" s="157">
        <f ca="1"/>
        <v>6.2222977427733271E-3</v>
      </c>
      <c r="CI31" s="157">
        <f ca="1"/>
        <v>-2.1187684509049589E-8</v>
      </c>
      <c r="CJ31" s="157">
        <f ca="1"/>
        <v>6.2222553674043096E-3</v>
      </c>
      <c r="CK31" s="468" t="str">
        <f ca="1"/>
        <v>Sec1.</v>
      </c>
      <c r="CL31" s="470">
        <f ca="1"/>
        <v>6222246.4382804511</v>
      </c>
      <c r="CM31" s="472">
        <f ca="1"/>
        <v>479338.69319734693</v>
      </c>
      <c r="CN31" s="462">
        <f ca="1"/>
        <v>1.4605101366284097</v>
      </c>
      <c r="CO31" s="464">
        <f ca="1"/>
        <v>0.59536740594800031</v>
      </c>
      <c r="CP31" s="464">
        <f ca="1"/>
        <v>1.6106846366284098</v>
      </c>
      <c r="CQ31" s="466" t="e">
        <f ca="1"/>
        <v>#DIV/0!</v>
      </c>
      <c r="CR31" s="466">
        <f ca="1"/>
        <v>8.2632331655383621E-5</v>
      </c>
      <c r="CS31" s="157">
        <f ca="1"/>
        <v>8.8626649056100786E-4</v>
      </c>
      <c r="CT31" s="157">
        <f ca="1"/>
        <v>8.8616874741025337E-4</v>
      </c>
      <c r="CU31" s="157">
        <f ca="1"/>
        <v>5.4606731505422453E-8</v>
      </c>
      <c r="CV31" s="157">
        <f ca="1"/>
        <v>8.862779608732643E-4</v>
      </c>
      <c r="CW31" s="468" t="str">
        <f ca="1"/>
        <v>Prim.</v>
      </c>
      <c r="CX31" s="470">
        <f ca="1"/>
        <v>886223.35414175875</v>
      </c>
      <c r="CY31" s="472">
        <f ca="1"/>
        <v>68321.746831046272</v>
      </c>
      <c r="CZ31" s="173">
        <f t="shared" ca="1" si="3"/>
        <v>11635674.515529139</v>
      </c>
      <c r="DA31" s="173">
        <f t="shared" ca="1" si="3"/>
        <v>896419.43203171215</v>
      </c>
      <c r="DB31" s="462">
        <f ca="1"/>
        <v>1390.6325379913503</v>
      </c>
      <c r="DC31" s="464">
        <f ca="1"/>
        <v>322.59143747472575</v>
      </c>
      <c r="DD31" s="464">
        <f ca="1"/>
        <v>1551.6282150437212</v>
      </c>
      <c r="DE31" s="466">
        <f ca="1"/>
        <v>3.1938011528040988E-2</v>
      </c>
      <c r="DF31" s="466">
        <f ca="1"/>
        <v>3.1937031607464909E-2</v>
      </c>
      <c r="DG31" s="157">
        <f ca="1"/>
        <v>1.0724958138929994</v>
      </c>
      <c r="DH31" s="157">
        <f ca="1"/>
        <v>1.0725620391177191</v>
      </c>
      <c r="DI31" s="157">
        <f ca="1"/>
        <v>-3.2132678806663917E-5</v>
      </c>
      <c r="DJ31" s="157">
        <f ca="1"/>
        <v>1.0724977737601058</v>
      </c>
      <c r="DK31" s="468" t="str">
        <f ca="1"/>
        <v>Sec1.</v>
      </c>
      <c r="DL31" s="470">
        <f ca="1"/>
        <v>10724967.938135754</v>
      </c>
      <c r="DM31" s="472">
        <f ca="1"/>
        <v>108726.43394933535</v>
      </c>
      <c r="DN31" s="462">
        <f ca="1"/>
        <v>1184.1222813783568</v>
      </c>
      <c r="DO31" s="464">
        <f ca="1"/>
        <v>183.07409999972401</v>
      </c>
      <c r="DP31" s="464">
        <f ca="1"/>
        <v>1316.464609761003</v>
      </c>
      <c r="DQ31" s="466">
        <f ca="1"/>
        <v>1.2257821492397625E-2</v>
      </c>
      <c r="DR31" s="466">
        <f ca="1"/>
        <v>1.2257445397810918E-2</v>
      </c>
      <c r="DS31" s="157">
        <f ca="1"/>
        <v>0.9099491549702019</v>
      </c>
      <c r="DT31" s="157">
        <f ca="1"/>
        <v>0.90997391492597879</v>
      </c>
      <c r="DU31" s="157">
        <f ca="1"/>
        <v>-1.2003879002086281E-5</v>
      </c>
      <c r="DV31" s="157">
        <f ca="1"/>
        <v>0.90994990716797464</v>
      </c>
      <c r="DW31" s="468" t="str">
        <f ca="1"/>
        <v>Sec1.</v>
      </c>
      <c r="DX31" s="470">
        <f ca="1"/>
        <v>9099495.3106478862</v>
      </c>
      <c r="DY31" s="472">
        <f ca="1"/>
        <v>92247.89123587971</v>
      </c>
      <c r="DZ31" s="462">
        <f ca="1"/>
        <v>827.66498689681112</v>
      </c>
      <c r="EA31" s="464">
        <f ca="1"/>
        <v>284.21577825662001</v>
      </c>
      <c r="EB31" s="464">
        <f ca="1"/>
        <v>1037.6485835439421</v>
      </c>
      <c r="EC31" s="466">
        <f ca="1"/>
        <v>1.8142828120289778E-2</v>
      </c>
      <c r="ED31" s="466">
        <f ca="1"/>
        <v>1.8142271462133496E-2</v>
      </c>
      <c r="EE31" s="157">
        <f ca="1"/>
        <v>0.7172296503460529</v>
      </c>
      <c r="EF31" s="157">
        <f ca="1"/>
        <v>0.71723967819374546</v>
      </c>
      <c r="EG31" s="157">
        <f ca="1"/>
        <v>-4.4572590705968453E-6</v>
      </c>
      <c r="EH31" s="157">
        <f ca="1"/>
        <v>0.71723076367560423</v>
      </c>
      <c r="EI31" s="468" t="str">
        <f ca="1"/>
        <v>Sec1.</v>
      </c>
      <c r="EJ31" s="470">
        <f ca="1"/>
        <v>7172302.0700420914</v>
      </c>
      <c r="EK31" s="472">
        <f ca="1"/>
        <v>72710.59753104148</v>
      </c>
      <c r="EL31" s="462">
        <f ca="1"/>
        <v>131.77740098500931</v>
      </c>
      <c r="EM31" s="464">
        <f ca="1"/>
        <v>246.48316647192397</v>
      </c>
      <c r="EN31" s="464">
        <f ca="1"/>
        <v>153.65928705648389</v>
      </c>
      <c r="EO31" s="466" t="e">
        <f ca="1"/>
        <v>#DIV/0!</v>
      </c>
      <c r="EP31" s="466">
        <f ca="1"/>
        <v>1.5124906201107463E-2</v>
      </c>
      <c r="EQ31" s="157">
        <f ca="1"/>
        <v>0.1062103283093612</v>
      </c>
      <c r="ER31" s="157">
        <f ca="1"/>
        <v>0.10620384958258601</v>
      </c>
      <c r="ES31" s="157">
        <f ca="1"/>
        <v>3.7034454368187734E-6</v>
      </c>
      <c r="ET31" s="157">
        <f ca="1"/>
        <v>0.10621125647345964</v>
      </c>
      <c r="EU31" s="468" t="str">
        <f ca="1"/>
        <v>Prim.</v>
      </c>
      <c r="EV31" s="470">
        <f ca="1"/>
        <v>1062075.5302802282</v>
      </c>
      <c r="EW31" s="472">
        <f ca="1"/>
        <v>10803.654833480805</v>
      </c>
      <c r="EX31" s="462">
        <f ca="1"/>
        <v>295.11096333261759</v>
      </c>
      <c r="EY31" s="464">
        <f ca="1"/>
        <v>63.57287760339176</v>
      </c>
      <c r="EZ31" s="464">
        <f ca="1"/>
        <v>336.02402805072086</v>
      </c>
      <c r="FA31" s="466">
        <f ca="1"/>
        <v>5.1468766903752794E-3</v>
      </c>
      <c r="FB31" s="466">
        <f ca="1"/>
        <v>5.146718773984117E-3</v>
      </c>
      <c r="FC31" s="157">
        <f ca="1"/>
        <v>0.23226205862833396</v>
      </c>
      <c r="FD31" s="157">
        <f ca="1"/>
        <v>0.23225978282573564</v>
      </c>
      <c r="FE31" s="157">
        <f ca="1"/>
        <v>1.2958196203469235E-6</v>
      </c>
      <c r="FF31" s="157">
        <f ca="1"/>
        <v>0.23226237446497633</v>
      </c>
      <c r="FG31" s="468" t="str">
        <f ca="1"/>
        <v>Prim.</v>
      </c>
      <c r="FH31" s="470">
        <f ca="1"/>
        <v>2322610.78645356</v>
      </c>
      <c r="FI31" s="472">
        <f ca="1"/>
        <v>23558.74227887256</v>
      </c>
      <c r="FJ31" s="173">
        <f t="shared" ca="1" si="4"/>
        <v>30381451.635559518</v>
      </c>
      <c r="FK31" s="173">
        <f t="shared" ca="1" si="4"/>
        <v>308047.31982860988</v>
      </c>
      <c r="FL31" s="462">
        <f ca="1"/>
        <v>31.127246755554836</v>
      </c>
      <c r="FM31" s="464">
        <f ca="1"/>
        <v>333.46652510022199</v>
      </c>
      <c r="FN31" s="464">
        <f ca="1"/>
        <v>31.957704995319396</v>
      </c>
      <c r="FO31" s="466">
        <f ca="1"/>
        <v>2.4734958986982747E-4</v>
      </c>
      <c r="FP31" s="466">
        <f ca="1"/>
        <v>2.4734916730184778E-4</v>
      </c>
      <c r="FQ31" s="157">
        <f ca="1"/>
        <v>6.4839825150722237E-3</v>
      </c>
      <c r="FR31" s="157">
        <f ca="1"/>
        <v>6.483983360189776E-3</v>
      </c>
      <c r="FS31" s="157">
        <f ca="1"/>
        <v>6.4845627889168183E-3</v>
      </c>
      <c r="FT31" s="468" t="str">
        <f ca="1"/>
        <v>Sec1.</v>
      </c>
      <c r="FU31" s="470">
        <f ca="1"/>
        <v>6483.9829376402031</v>
      </c>
      <c r="FV31" s="470">
        <f ca="1"/>
        <v>54.863444919848618</v>
      </c>
      <c r="FW31" s="462">
        <f ca="1"/>
        <v>-1.0148644160684823</v>
      </c>
      <c r="FX31" s="464">
        <f ca="1"/>
        <v>-199.22800323217453</v>
      </c>
      <c r="FY31" s="464">
        <f ca="1"/>
        <v>-1.5110177760684824</v>
      </c>
      <c r="FZ31" s="466">
        <f ca="1"/>
        <v>-1.477778464078483E-4</v>
      </c>
      <c r="GA31" s="466">
        <f ca="1"/>
        <v>-1.477775939345563E-4</v>
      </c>
      <c r="GB31" s="157">
        <f ca="1"/>
        <v>-3.0657435636965514E-4</v>
      </c>
      <c r="GC31" s="157">
        <f ca="1"/>
        <v>-3.0657486128115268E-4</v>
      </c>
      <c r="GD31" s="157">
        <f ca="1"/>
        <v>-3.0657115552177786E-4</v>
      </c>
      <c r="GE31" s="468" t="str">
        <f ca="1"/>
        <v>Sec1.</v>
      </c>
      <c r="GF31" s="470">
        <f ca="1"/>
        <v>-306.57460884294716</v>
      </c>
      <c r="GG31" s="470">
        <f ca="1"/>
        <v>-2.5940443285929717</v>
      </c>
      <c r="GH31" s="173">
        <f t="shared" ca="1" si="2"/>
        <v>6177.4083287972562</v>
      </c>
      <c r="GI31" s="173">
        <f t="shared" ca="1" si="2"/>
        <v>52.269400591255646</v>
      </c>
    </row>
    <row r="32" spans="1:191" ht="15">
      <c r="A32" s="168"/>
      <c r="B32" s="169"/>
      <c r="C32" s="87">
        <f>'Oil supply projection'!B32</f>
        <v>2041</v>
      </c>
      <c r="D32" s="460">
        <f ca="1"/>
        <v>269402411.5838654</v>
      </c>
      <c r="E32" s="460">
        <f ca="1"/>
        <v>12910351.586998813</v>
      </c>
      <c r="F32" s="462">
        <f ca="1"/>
        <v>0.38319053216218046</v>
      </c>
      <c r="G32" s="464">
        <f ca="1"/>
        <v>2.0352831937274778</v>
      </c>
      <c r="H32" s="464">
        <f ca="1"/>
        <v>0.40463803593959391</v>
      </c>
      <c r="I32" s="466">
        <f ca="1"/>
        <v>7.0446448091843195E-4</v>
      </c>
      <c r="J32" s="466">
        <f ca="1"/>
        <v>7.0434171128455451E-4</v>
      </c>
      <c r="K32" s="157">
        <f ca="1"/>
        <v>1.3261891981609306E-2</v>
      </c>
      <c r="L32" s="157">
        <f ca="1"/>
        <v>1.3260066642272424E-2</v>
      </c>
      <c r="M32" s="157">
        <f ca="1"/>
        <v>1.0354537580103777E-6</v>
      </c>
      <c r="N32" s="157">
        <f ca="1"/>
        <v>1.3262137549788444E-2</v>
      </c>
      <c r="O32" s="468" t="str">
        <f ca="1"/>
        <v>Prim.</v>
      </c>
      <c r="P32" s="470">
        <f ca="1"/>
        <v>4840302.2650511088</v>
      </c>
      <c r="Q32" s="472">
        <f ca="1"/>
        <v>247453.04373443138</v>
      </c>
      <c r="R32" s="462">
        <f ca="1"/>
        <v>0.49816331504551781</v>
      </c>
      <c r="S32" s="464">
        <f ca="1"/>
        <v>1.4887778503916842</v>
      </c>
      <c r="T32" s="464">
        <f ca="1"/>
        <v>0.51905145647304363</v>
      </c>
      <c r="U32" s="466">
        <f ca="1"/>
        <v>6.4294711107137914E-4</v>
      </c>
      <c r="V32" s="466">
        <f ca="1"/>
        <v>6.4283506172121117E-4</v>
      </c>
      <c r="W32" s="157">
        <f ca="1"/>
        <v>1.7011758009002648E-2</v>
      </c>
      <c r="X32" s="157">
        <f ca="1"/>
        <v>1.7009830893369281E-2</v>
      </c>
      <c r="Y32" s="157">
        <f ca="1"/>
        <v>1.0756197839534984E-6</v>
      </c>
      <c r="Z32" s="157">
        <f ca="1"/>
        <v>1.7011982132937187E-2</v>
      </c>
      <c r="AA32" s="468" t="str">
        <f ca="1"/>
        <v>Prim.</v>
      </c>
      <c r="AB32" s="470">
        <f ca="1"/>
        <v>6208980.8773009311</v>
      </c>
      <c r="AC32" s="472">
        <f ca="1"/>
        <v>317337.14119138505</v>
      </c>
      <c r="AD32" s="462">
        <f ca="1"/>
        <v>6.1535953380740942</v>
      </c>
      <c r="AE32" s="464">
        <f ca="1"/>
        <v>1.0358884757725331</v>
      </c>
      <c r="AF32" s="464">
        <f ca="1"/>
        <v>6.4657439500453551</v>
      </c>
      <c r="AG32" s="466">
        <f ca="1"/>
        <v>2.700996986856552E-3</v>
      </c>
      <c r="AH32" s="466">
        <f ca="1"/>
        <v>2.7005262532609855E-3</v>
      </c>
      <c r="AI32" s="157">
        <f ca="1"/>
        <v>0.21191284612464409</v>
      </c>
      <c r="AJ32" s="157">
        <f ca="1"/>
        <v>0.21190619449691731</v>
      </c>
      <c r="AK32" s="157">
        <f ca="1"/>
        <v>3.7965820318086331E-6</v>
      </c>
      <c r="AL32" s="157">
        <f ca="1"/>
        <v>0.21191378766098093</v>
      </c>
      <c r="AM32" s="468" t="str">
        <f ca="1"/>
        <v>Prim.</v>
      </c>
      <c r="AN32" s="470">
        <f ca="1"/>
        <v>77347146.74381642</v>
      </c>
      <c r="AO32" s="472">
        <f ca="1"/>
        <v>3949838.3709712368</v>
      </c>
      <c r="AP32" s="462">
        <f ca="1"/>
        <v>10.849807204329927</v>
      </c>
      <c r="AQ32" s="464">
        <f ca="1"/>
        <v>4.1517303347744221</v>
      </c>
      <c r="AR32" s="464">
        <f ca="1"/>
        <v>11.912086434329929</v>
      </c>
      <c r="AS32" s="466">
        <f ca="1"/>
        <v>1.0445312424224085E-2</v>
      </c>
      <c r="AT32" s="466">
        <f ca="1"/>
        <v>1.0443492004126373E-2</v>
      </c>
      <c r="AU32" s="157">
        <f ca="1"/>
        <v>0.39041511063300166</v>
      </c>
      <c r="AV32" s="157">
        <f ca="1"/>
        <v>0.39038474702177312</v>
      </c>
      <c r="AW32" s="157">
        <f ca="1"/>
        <v>1.7002363217378467E-5</v>
      </c>
      <c r="AX32" s="157">
        <f ca="1"/>
        <v>0.39041875174820784</v>
      </c>
      <c r="AY32" s="468" t="str">
        <f ca="1"/>
        <v>Prim.</v>
      </c>
      <c r="AZ32" s="470">
        <f ca="1"/>
        <v>142496638.52552155</v>
      </c>
      <c r="BA32" s="472">
        <f ca="1"/>
        <v>7280253.1374621466</v>
      </c>
      <c r="BB32" s="173">
        <f t="shared" ca="1" si="0"/>
        <v>230893068.41168997</v>
      </c>
      <c r="BC32" s="173">
        <f t="shared" ca="1" si="1"/>
        <v>11794881.6933592</v>
      </c>
      <c r="BD32" s="462">
        <f ca="1"/>
        <v>4.4918679415405931</v>
      </c>
      <c r="BE32" s="464">
        <f ca="1"/>
        <v>0.35898461676950738</v>
      </c>
      <c r="BF32" s="464">
        <f ca="1"/>
        <v>4.7237748595904092</v>
      </c>
      <c r="BG32" s="466">
        <f ca="1"/>
        <v>4.1377329805414309E-5</v>
      </c>
      <c r="BH32" s="466">
        <f ca="1"/>
        <v>4.1374409853285439E-5</v>
      </c>
      <c r="BI32" s="157">
        <f ca="1"/>
        <v>2.6926754873603299E-3</v>
      </c>
      <c r="BJ32" s="157">
        <f ca="1"/>
        <v>2.6927069188391116E-3</v>
      </c>
      <c r="BK32" s="157">
        <f ca="1"/>
        <v>-1.2795697104636768E-8</v>
      </c>
      <c r="BL32" s="157">
        <f ca="1"/>
        <v>2.6926813274449025E-3</v>
      </c>
      <c r="BM32" s="468" t="str">
        <f ca="1"/>
        <v>Sec1.</v>
      </c>
      <c r="BN32" s="470">
        <f ca="1"/>
        <v>2692678.4073124588</v>
      </c>
      <c r="BO32" s="472">
        <f ca="1"/>
        <v>209264.95869048018</v>
      </c>
      <c r="BP32" s="462">
        <f ca="1"/>
        <v>3.3594100106162545</v>
      </c>
      <c r="BQ32" s="464">
        <f ca="1"/>
        <v>0.19837735850128788</v>
      </c>
      <c r="BR32" s="464">
        <f ca="1"/>
        <v>3.4906410409046722</v>
      </c>
      <c r="BS32" s="466">
        <f ca="1"/>
        <v>2.2142780129491557E-5</v>
      </c>
      <c r="BT32" s="466">
        <f ca="1"/>
        <v>2.2141217537514014E-5</v>
      </c>
      <c r="BU32" s="157">
        <f ca="1"/>
        <v>1.9897568883782374E-3</v>
      </c>
      <c r="BV32" s="157">
        <f ca="1"/>
        <v>1.9897739658478481E-3</v>
      </c>
      <c r="BW32" s="157">
        <f ca="1"/>
        <v>-6.9760952001219228E-9</v>
      </c>
      <c r="BX32" s="157">
        <f ca="1"/>
        <v>1.9897600136574477E-3</v>
      </c>
      <c r="BY32" s="468" t="str">
        <f ca="1"/>
        <v>Sec1.</v>
      </c>
      <c r="BZ32" s="470">
        <f ca="1"/>
        <v>1989758.450970215</v>
      </c>
      <c r="CA32" s="472">
        <f ca="1"/>
        <v>154636.63202985618</v>
      </c>
      <c r="CB32" s="462">
        <f ca="1"/>
        <v>10.855885428262409</v>
      </c>
      <c r="CC32" s="464">
        <f ca="1"/>
        <v>0.98192600665577956</v>
      </c>
      <c r="CD32" s="464">
        <f ca="1"/>
        <v>11.366796088585771</v>
      </c>
      <c r="CE32" s="466">
        <f ca="1"/>
        <v>1.3630129659691903E-4</v>
      </c>
      <c r="CF32" s="466">
        <f ca="1"/>
        <v>1.3629167800125179E-4</v>
      </c>
      <c r="CG32" s="157">
        <f ca="1"/>
        <v>6.4793717116763848E-3</v>
      </c>
      <c r="CH32" s="157">
        <f ca="1"/>
        <v>6.4794343640634426E-3</v>
      </c>
      <c r="CI32" s="157">
        <f ca="1"/>
        <v>-2.1707265683386118E-8</v>
      </c>
      <c r="CJ32" s="157">
        <f ca="1"/>
        <v>6.4793909495320752E-3</v>
      </c>
      <c r="CK32" s="468" t="str">
        <f ca="1"/>
        <v>Sec1.</v>
      </c>
      <c r="CL32" s="470">
        <f ca="1"/>
        <v>6479381.3302720524</v>
      </c>
      <c r="CM32" s="472">
        <f ca="1"/>
        <v>503553.43688166986</v>
      </c>
      <c r="CN32" s="462">
        <f ca="1"/>
        <v>1.4764800256852704</v>
      </c>
      <c r="CO32" s="464">
        <f ca="1"/>
        <v>0.59335820969758402</v>
      </c>
      <c r="CP32" s="464">
        <f ca="1"/>
        <v>1.6233889423519372</v>
      </c>
      <c r="CQ32" s="466" t="e">
        <f ca="1"/>
        <v>#DIV/0!</v>
      </c>
      <c r="CR32" s="466">
        <f ca="1"/>
        <v>8.3741933208702625E-5</v>
      </c>
      <c r="CS32" s="157">
        <f ca="1"/>
        <v>9.2537424865796799E-4</v>
      </c>
      <c r="CT32" s="157">
        <f ca="1"/>
        <v>9.252705367483753E-4</v>
      </c>
      <c r="CU32" s="157">
        <f ca="1"/>
        <v>5.7766129393858039E-8</v>
      </c>
      <c r="CV32" s="157">
        <f ca="1"/>
        <v>9.253860690071631E-4</v>
      </c>
      <c r="CW32" s="468" t="str">
        <f ca="1"/>
        <v>Prim.</v>
      </c>
      <c r="CX32" s="470">
        <f ca="1"/>
        <v>925328.30287776922</v>
      </c>
      <c r="CY32" s="472">
        <f ca="1"/>
        <v>71966.353550876724</v>
      </c>
      <c r="CZ32" s="173">
        <f t="shared" ca="1" si="3"/>
        <v>12087146.491432495</v>
      </c>
      <c r="DA32" s="173">
        <f t="shared" ca="1" si="3"/>
        <v>939421.38115288294</v>
      </c>
      <c r="DB32" s="462">
        <f ca="1"/>
        <v>1396.4679454249176</v>
      </c>
      <c r="DC32" s="464">
        <f ca="1"/>
        <v>327.44708197981055</v>
      </c>
      <c r="DD32" s="464">
        <f ca="1"/>
        <v>1559.6442897130223</v>
      </c>
      <c r="DE32" s="466">
        <f ca="1"/>
        <v>3.0544181515210767E-2</v>
      </c>
      <c r="DF32" s="466">
        <f ca="1"/>
        <v>3.0543301803175778E-2</v>
      </c>
      <c r="DG32" s="157">
        <f ca="1"/>
        <v>1.0172117440611625</v>
      </c>
      <c r="DH32" s="157">
        <f ca="1"/>
        <v>1.0172753404776105</v>
      </c>
      <c r="DI32" s="157">
        <f ca="1"/>
        <v>-3.0918485417065069E-5</v>
      </c>
      <c r="DJ32" s="157">
        <f ca="1"/>
        <v>1.0172135035067764</v>
      </c>
      <c r="DK32" s="468" t="str">
        <f ca="1"/>
        <v>Sec1.</v>
      </c>
      <c r="DL32" s="470">
        <f ca="1"/>
        <v>10172126.237731975</v>
      </c>
      <c r="DM32" s="472">
        <f ca="1"/>
        <v>99136.175027591831</v>
      </c>
      <c r="DN32" s="462">
        <f ca="1"/>
        <v>1184.819128199596</v>
      </c>
      <c r="DO32" s="464">
        <f ca="1"/>
        <v>186.33529432672844</v>
      </c>
      <c r="DP32" s="464">
        <f ca="1"/>
        <v>1319.4255237896039</v>
      </c>
      <c r="DQ32" s="466">
        <f ca="1"/>
        <v>1.1764080178409131E-2</v>
      </c>
      <c r="DR32" s="466">
        <f ca="1"/>
        <v>1.1763741357171034E-2</v>
      </c>
      <c r="DS32" s="157">
        <f ca="1"/>
        <v>0.86053925697364719</v>
      </c>
      <c r="DT32" s="157">
        <f ca="1"/>
        <v>0.8605629684247903</v>
      </c>
      <c r="DU32" s="157">
        <f ca="1"/>
        <v>-1.1516900658912247E-5</v>
      </c>
      <c r="DV32" s="157">
        <f ca="1"/>
        <v>0.86053993462347256</v>
      </c>
      <c r="DW32" s="468" t="str">
        <f ca="1"/>
        <v>Sec1.</v>
      </c>
      <c r="DX32" s="470">
        <f ca="1"/>
        <v>8605395.9579488523</v>
      </c>
      <c r="DY32" s="472">
        <f ca="1"/>
        <v>83867.032312721392</v>
      </c>
      <c r="DZ32" s="462">
        <f ca="1"/>
        <v>830.12015539853803</v>
      </c>
      <c r="EA32" s="464">
        <f ca="1"/>
        <v>288.44196219243753</v>
      </c>
      <c r="EB32" s="464">
        <f ca="1"/>
        <v>1043.0882627548408</v>
      </c>
      <c r="EC32" s="466">
        <f ca="1"/>
        <v>1.7362487815319128E-2</v>
      </c>
      <c r="ED32" s="466">
        <f ca="1"/>
        <v>1.7361987752660447E-2</v>
      </c>
      <c r="EE32" s="157">
        <f ca="1"/>
        <v>0.68031001553682069</v>
      </c>
      <c r="EF32" s="157">
        <f ca="1"/>
        <v>0.68031952941798024</v>
      </c>
      <c r="EG32" s="157">
        <f ca="1"/>
        <v>-4.2568722932243282E-6</v>
      </c>
      <c r="EH32" s="157">
        <f ca="1"/>
        <v>0.6803110156733938</v>
      </c>
      <c r="EI32" s="468" t="str">
        <f ca="1"/>
        <v>Sec1.</v>
      </c>
      <c r="EJ32" s="470">
        <f ca="1"/>
        <v>6803105.1559947943</v>
      </c>
      <c r="EK32" s="472">
        <f ca="1"/>
        <v>66302.148411617352</v>
      </c>
      <c r="EL32" s="462">
        <f ca="1"/>
        <v>138.29456688612879</v>
      </c>
      <c r="EM32" s="464">
        <f ca="1"/>
        <v>252.22052728595062</v>
      </c>
      <c r="EN32" s="464">
        <f ca="1"/>
        <v>160.57016991331091</v>
      </c>
      <c r="EO32" s="466" t="e">
        <f ca="1"/>
        <v>#DIV/0!</v>
      </c>
      <c r="EP32" s="466">
        <f ca="1"/>
        <v>1.4528315946608694E-2</v>
      </c>
      <c r="EQ32" s="157">
        <f ca="1"/>
        <v>0.10472507331256281</v>
      </c>
      <c r="ER32" s="157">
        <f ca="1"/>
        <v>0.10471878323031403</v>
      </c>
      <c r="ES32" s="157">
        <f ca="1"/>
        <v>3.5634926384432625E-6</v>
      </c>
      <c r="ET32" s="157">
        <f ca="1"/>
        <v>0.10472591021559091</v>
      </c>
      <c r="EU32" s="468" t="str">
        <f ca="1"/>
        <v>Prim.</v>
      </c>
      <c r="EV32" s="470">
        <f ca="1"/>
        <v>1047223.4672295247</v>
      </c>
      <c r="EW32" s="472">
        <f ca="1"/>
        <v>10241.386782361742</v>
      </c>
      <c r="EX32" s="462">
        <f ca="1"/>
        <v>302.42203648729225</v>
      </c>
      <c r="EY32" s="464">
        <f ca="1"/>
        <v>64.801123635992298</v>
      </c>
      <c r="EZ32" s="464">
        <f ca="1"/>
        <v>344.08627625902449</v>
      </c>
      <c r="FA32" s="466">
        <f ca="1"/>
        <v>4.9456449219462684E-3</v>
      </c>
      <c r="FB32" s="466">
        <f ca="1"/>
        <v>4.9455024807656756E-3</v>
      </c>
      <c r="FC32" s="157">
        <f ca="1"/>
        <v>0.22441565906374433</v>
      </c>
      <c r="FD32" s="157">
        <f ca="1"/>
        <v>0.2244134581910352</v>
      </c>
      <c r="FE32" s="157">
        <f ca="1"/>
        <v>1.2428790856096522E-6</v>
      </c>
      <c r="FF32" s="157">
        <f ca="1"/>
        <v>0.22441594394920641</v>
      </c>
      <c r="FG32" s="468" t="str">
        <f ca="1"/>
        <v>Prim.</v>
      </c>
      <c r="FH32" s="470">
        <f ca="1"/>
        <v>2244147.0107012084</v>
      </c>
      <c r="FI32" s="472">
        <f ca="1"/>
        <v>21883.462781026112</v>
      </c>
      <c r="FJ32" s="173">
        <f t="shared" ca="1" si="4"/>
        <v>28871997.829606354</v>
      </c>
      <c r="FK32" s="173">
        <f t="shared" ca="1" si="4"/>
        <v>281430.20531531842</v>
      </c>
      <c r="FL32" s="462">
        <f ca="1"/>
        <v>30.679400794236823</v>
      </c>
      <c r="FM32" s="464">
        <f ca="1"/>
        <v>370.36413623223058</v>
      </c>
      <c r="FN32" s="464">
        <f ca="1"/>
        <v>31.602364415882295</v>
      </c>
      <c r="FO32" s="466">
        <f ca="1"/>
        <v>3.3706338274441805E-4</v>
      </c>
      <c r="FP32" s="466">
        <f ca="1"/>
        <v>3.3706267642910073E-4</v>
      </c>
      <c r="FQ32" s="157">
        <f ca="1"/>
        <v>7.8617490447722392E-3</v>
      </c>
      <c r="FR32" s="157">
        <f ca="1"/>
        <v>7.8617504574679826E-3</v>
      </c>
      <c r="FS32" s="157">
        <f ca="1"/>
        <v>7.8624862982985839E-3</v>
      </c>
      <c r="FT32" s="468" t="str">
        <f ca="1"/>
        <v>Sec1.</v>
      </c>
      <c r="FU32" s="470">
        <f ca="1"/>
        <v>7861.7497510875564</v>
      </c>
      <c r="FV32" s="470">
        <f ca="1"/>
        <v>65.617759244591042</v>
      </c>
      <c r="FW32" s="462">
        <f ca="1"/>
        <v>-1.4505794540482526</v>
      </c>
      <c r="FX32" s="464">
        <f ca="1"/>
        <v>-217.04558173834761</v>
      </c>
      <c r="FY32" s="464">
        <f ca="1"/>
        <v>-1.9914665340482525</v>
      </c>
      <c r="FZ32" s="466">
        <f ca="1"/>
        <v>-1.9753024358237781E-4</v>
      </c>
      <c r="GA32" s="466">
        <f ca="1"/>
        <v>-1.975298296210249E-4</v>
      </c>
      <c r="GB32" s="157">
        <f ca="1"/>
        <v>-4.9541894763675777E-4</v>
      </c>
      <c r="GC32" s="157">
        <f ca="1"/>
        <v>-4.954197755229914E-4</v>
      </c>
      <c r="GD32" s="157">
        <f ca="1"/>
        <v>-4.9541458567556762E-4</v>
      </c>
      <c r="GE32" s="468" t="str">
        <f ca="1"/>
        <v>Sec1.</v>
      </c>
      <c r="GF32" s="470">
        <f ca="1"/>
        <v>-495.4193615981107</v>
      </c>
      <c r="GG32" s="470">
        <f ca="1"/>
        <v>-4.1349965877452135</v>
      </c>
      <c r="GH32" s="173">
        <f t="shared" ca="1" si="2"/>
        <v>7366.3303894894461</v>
      </c>
      <c r="GI32" s="173">
        <f t="shared" ca="1" si="2"/>
        <v>61.482762656845829</v>
      </c>
    </row>
    <row r="33" spans="1:191" ht="15">
      <c r="A33" s="168"/>
      <c r="B33" s="169"/>
      <c r="C33" s="87">
        <f>'Oil supply projection'!B33</f>
        <v>2042</v>
      </c>
      <c r="D33" s="460">
        <f ca="1"/>
        <v>271859579.06311834</v>
      </c>
      <c r="E33" s="460">
        <f ca="1"/>
        <v>13015794.762590058</v>
      </c>
      <c r="F33" s="462">
        <f ca="1"/>
        <v>0.38036679683953961</v>
      </c>
      <c r="G33" s="464">
        <f ca="1"/>
        <v>2.0365813514323805</v>
      </c>
      <c r="H33" s="464">
        <f ca="1"/>
        <v>0.40169932648434353</v>
      </c>
      <c r="I33" s="466">
        <f ca="1"/>
        <v>6.8947957720411068E-4</v>
      </c>
      <c r="J33" s="466">
        <f ca="1"/>
        <v>6.8936204828818942E-4</v>
      </c>
      <c r="K33" s="157">
        <f ca="1"/>
        <v>1.295502473361641E-2</v>
      </c>
      <c r="L33" s="157">
        <f ca="1"/>
        <v>1.2953174970877985E-2</v>
      </c>
      <c r="M33" s="157">
        <f ca="1"/>
        <v>1.042423891284251E-6</v>
      </c>
      <c r="N33" s="157">
        <f ca="1"/>
        <v>1.2955259818660554E-2</v>
      </c>
      <c r="O33" s="468" t="str">
        <f ca="1"/>
        <v>Prim.</v>
      </c>
      <c r="P33" s="470">
        <f ca="1"/>
        <v>4728289.3490907829</v>
      </c>
      <c r="Q33" s="472">
        <f ca="1"/>
        <v>278868.12967194937</v>
      </c>
      <c r="R33" s="462">
        <f ca="1"/>
        <v>0.49829596300186502</v>
      </c>
      <c r="S33" s="464">
        <f ca="1"/>
        <v>1.4966906951984644</v>
      </c>
      <c r="T33" s="464">
        <f ca="1"/>
        <v>0.51917713313898561</v>
      </c>
      <c r="U33" s="466">
        <f ca="1"/>
        <v>6.3245129656763766E-4</v>
      </c>
      <c r="V33" s="466">
        <f ca="1"/>
        <v>6.3234348811033367E-4</v>
      </c>
      <c r="W33" s="157">
        <f ca="1"/>
        <v>1.6743748763058397E-2</v>
      </c>
      <c r="X33" s="157">
        <f ca="1"/>
        <v>1.6741778137638354E-2</v>
      </c>
      <c r="Y33" s="157">
        <f ca="1"/>
        <v>1.093133047088814E-6</v>
      </c>
      <c r="Z33" s="157">
        <f ca="1"/>
        <v>1.6743964403732534E-2</v>
      </c>
      <c r="AA33" s="468" t="str">
        <f ca="1"/>
        <v>Prim.</v>
      </c>
      <c r="AB33" s="470">
        <f ca="1"/>
        <v>6111148.013800187</v>
      </c>
      <c r="AC33" s="472">
        <f ca="1"/>
        <v>360339.96373635757</v>
      </c>
      <c r="AD33" s="462">
        <f ca="1"/>
        <v>6.2071417704733793</v>
      </c>
      <c r="AE33" s="464">
        <f ca="1"/>
        <v>1.0260542841051394</v>
      </c>
      <c r="AF33" s="464">
        <f ca="1"/>
        <v>6.5158375801948267</v>
      </c>
      <c r="AG33" s="466">
        <f ca="1"/>
        <v>2.6283993392191007E-3</v>
      </c>
      <c r="AH33" s="466">
        <f ca="1"/>
        <v>2.6279512817216884E-3</v>
      </c>
      <c r="AI33" s="157">
        <f ca="1"/>
        <v>0.21013935410454643</v>
      </c>
      <c r="AJ33" s="157">
        <f ca="1"/>
        <v>0.21013253052662034</v>
      </c>
      <c r="AK33" s="157">
        <f ca="1"/>
        <v>3.8598786458200147E-6</v>
      </c>
      <c r="AL33" s="157">
        <f ca="1"/>
        <v>0.21014025028391201</v>
      </c>
      <c r="AM33" s="468" t="str">
        <f ca="1"/>
        <v>Prim.</v>
      </c>
      <c r="AN33" s="470">
        <f ca="1"/>
        <v>76699782.497922137</v>
      </c>
      <c r="AO33" s="472">
        <f ca="1"/>
        <v>4519167.1416588854</v>
      </c>
      <c r="AP33" s="462">
        <f ca="1"/>
        <v>10.840099751952078</v>
      </c>
      <c r="AQ33" s="464">
        <f ca="1"/>
        <v>4.1943991867363994</v>
      </c>
      <c r="AR33" s="464">
        <f ca="1"/>
        <v>11.911366151952077</v>
      </c>
      <c r="AS33" s="466">
        <f ca="1"/>
        <v>1.0365209674226605E-2</v>
      </c>
      <c r="AT33" s="466">
        <f ca="1"/>
        <v>1.0363442743165594E-2</v>
      </c>
      <c r="AU33" s="157">
        <f ca="1"/>
        <v>0.38414812506715734</v>
      </c>
      <c r="AV33" s="157">
        <f ca="1"/>
        <v>0.38411767564619742</v>
      </c>
      <c r="AW33" s="157">
        <f ca="1"/>
        <v>1.6991772070323219E-5</v>
      </c>
      <c r="AX33" s="157">
        <f ca="1"/>
        <v>0.38415165919033806</v>
      </c>
      <c r="AY33" s="468" t="str">
        <f ca="1"/>
        <v>Prim.</v>
      </c>
      <c r="AZ33" s="470">
        <f ca="1"/>
        <v>140209153.60766774</v>
      </c>
      <c r="BA33" s="472">
        <f ca="1"/>
        <v>8264565.4571545003</v>
      </c>
      <c r="BB33" s="173">
        <f t="shared" ca="1" si="0"/>
        <v>227748373.46848083</v>
      </c>
      <c r="BC33" s="173">
        <f t="shared" ca="1" si="1"/>
        <v>13422940.692221692</v>
      </c>
      <c r="BD33" s="462">
        <f ca="1"/>
        <v>4.4875958496376018</v>
      </c>
      <c r="BE33" s="464">
        <f ca="1"/>
        <v>0.35973847498662997</v>
      </c>
      <c r="BF33" s="464">
        <f ca="1"/>
        <v>4.7197178438623624</v>
      </c>
      <c r="BG33" s="466">
        <f ca="1"/>
        <v>4.042959550265568E-5</v>
      </c>
      <c r="BH33" s="466">
        <f ca="1"/>
        <v>4.0426820762494904E-5</v>
      </c>
      <c r="BI33" s="157">
        <f ca="1"/>
        <v>2.6263068864249384E-3</v>
      </c>
      <c r="BJ33" s="157">
        <f ca="1"/>
        <v>2.6263375782901934E-3</v>
      </c>
      <c r="BK33" s="157">
        <f ca="1"/>
        <v>-1.257110911917743E-8</v>
      </c>
      <c r="BL33" s="157">
        <f ca="1"/>
        <v>2.626312436071955E-3</v>
      </c>
      <c r="BM33" s="468" t="str">
        <f ca="1"/>
        <v>Sec1.</v>
      </c>
      <c r="BN33" s="470">
        <f ca="1"/>
        <v>2626309.6611650991</v>
      </c>
      <c r="BO33" s="472">
        <f ca="1"/>
        <v>205521.23863638821</v>
      </c>
      <c r="BP33" s="462">
        <f ca="1"/>
        <v>3.3510206626545913</v>
      </c>
      <c r="BQ33" s="464">
        <f ca="1"/>
        <v>0.19912286475542978</v>
      </c>
      <c r="BR33" s="464">
        <f ca="1"/>
        <v>3.4825990990934108</v>
      </c>
      <c r="BS33" s="466">
        <f ca="1"/>
        <v>2.16727834356778E-5</v>
      </c>
      <c r="BT33" s="466">
        <f ca="1"/>
        <v>2.167129600131206E-5</v>
      </c>
      <c r="BU33" s="157">
        <f ca="1"/>
        <v>1.9379069468104923E-3</v>
      </c>
      <c r="BV33" s="157">
        <f ca="1"/>
        <v>1.9379235852959875E-3</v>
      </c>
      <c r="BW33" s="157">
        <f ca="1"/>
        <v>-6.8317643738347301E-9</v>
      </c>
      <c r="BX33" s="157">
        <f ca="1"/>
        <v>1.9379099217672398E-3</v>
      </c>
      <c r="BY33" s="468" t="str">
        <f ca="1"/>
        <v>Sec1.</v>
      </c>
      <c r="BZ33" s="470">
        <f ca="1"/>
        <v>1937908.4342448581</v>
      </c>
      <c r="CA33" s="472">
        <f ca="1"/>
        <v>151650.5641582337</v>
      </c>
      <c r="CB33" s="462">
        <f ca="1"/>
        <v>10.912156644151519</v>
      </c>
      <c r="CC33" s="464">
        <f ca="1"/>
        <v>0.99199991986484148</v>
      </c>
      <c r="CD33" s="464">
        <f ca="1"/>
        <v>11.427406148517701</v>
      </c>
      <c r="CE33" s="466">
        <f ca="1"/>
        <v>1.3418588086144823E-4</v>
      </c>
      <c r="CF33" s="466">
        <f ca="1"/>
        <v>1.3417667152811497E-4</v>
      </c>
      <c r="CG33" s="157">
        <f ca="1"/>
        <v>6.358828314462675E-3</v>
      </c>
      <c r="CH33" s="157">
        <f ca="1"/>
        <v>6.3588888853287773E-3</v>
      </c>
      <c r="CI33" s="157">
        <f ca="1"/>
        <v>-2.1075790160033742E-8</v>
      </c>
      <c r="CJ33" s="157">
        <f ca="1"/>
        <v>6.3588467337484566E-3</v>
      </c>
      <c r="CK33" s="468" t="str">
        <f ca="1"/>
        <v>Sec1.</v>
      </c>
      <c r="CL33" s="470">
        <f ca="1"/>
        <v>6358837.523796008</v>
      </c>
      <c r="CM33" s="472">
        <f ca="1"/>
        <v>497609.31983867247</v>
      </c>
      <c r="CN33" s="462">
        <f ca="1"/>
        <v>1.4881255389486696</v>
      </c>
      <c r="CO33" s="464">
        <f ca="1"/>
        <v>0.60758733195225001</v>
      </c>
      <c r="CP33" s="464">
        <f ca="1"/>
        <v>1.6379957889486696</v>
      </c>
      <c r="CQ33" s="466" t="e">
        <f ca="1"/>
        <v>#DIV/0!</v>
      </c>
      <c r="CR33" s="466">
        <f ca="1"/>
        <v>8.3395932271216358E-5</v>
      </c>
      <c r="CS33" s="157">
        <f ca="1"/>
        <v>9.1146966042582637E-4</v>
      </c>
      <c r="CT33" s="157">
        <f ca="1"/>
        <v>9.1136627738229393E-4</v>
      </c>
      <c r="CU33" s="157">
        <f ca="1"/>
        <v>5.7415666999671635E-8</v>
      </c>
      <c r="CV33" s="157">
        <f ca="1"/>
        <v>9.1148110871629325E-4</v>
      </c>
      <c r="CW33" s="468" t="str">
        <f ca="1"/>
        <v>Prim.</v>
      </c>
      <c r="CX33" s="470">
        <f ca="1"/>
        <v>911423.69304929359</v>
      </c>
      <c r="CY33" s="472">
        <f ca="1"/>
        <v>71376.167202166995</v>
      </c>
      <c r="CZ33" s="173">
        <f t="shared" ca="1" si="3"/>
        <v>11834479.31225526</v>
      </c>
      <c r="DA33" s="173">
        <f t="shared" ca="1" si="3"/>
        <v>926157.28983546142</v>
      </c>
      <c r="DB33" s="462">
        <f ca="1"/>
        <v>1403.682288651532</v>
      </c>
      <c r="DC33" s="464">
        <f ca="1"/>
        <v>333.14333380563443</v>
      </c>
      <c r="DD33" s="464">
        <f ca="1"/>
        <v>1569.7171533610576</v>
      </c>
      <c r="DE33" s="466">
        <f ca="1"/>
        <v>3.1919729204446412E-2</v>
      </c>
      <c r="DF33" s="466">
        <f ca="1"/>
        <v>3.1918784618973718E-2</v>
      </c>
      <c r="DG33" s="157">
        <f ca="1"/>
        <v>1.0514671877600772</v>
      </c>
      <c r="DH33" s="157">
        <f ca="1"/>
        <v>1.0515335606662521</v>
      </c>
      <c r="DI33" s="157">
        <f ca="1"/>
        <v>-3.2241855317966401E-5</v>
      </c>
      <c r="DJ33" s="157">
        <f ca="1"/>
        <v>1.0514690769556163</v>
      </c>
      <c r="DK33" s="468" t="str">
        <f ca="1"/>
        <v>Sec1.</v>
      </c>
      <c r="DL33" s="470">
        <f ca="1"/>
        <v>10514681.323455499</v>
      </c>
      <c r="DM33" s="472">
        <f ca="1"/>
        <v>100475.43073153085</v>
      </c>
      <c r="DN33" s="462">
        <f ca="1"/>
        <v>1187.4839065192068</v>
      </c>
      <c r="DO33" s="464">
        <f ca="1"/>
        <v>189.03195993624411</v>
      </c>
      <c r="DP33" s="464">
        <f ca="1"/>
        <v>1324.0459886323765</v>
      </c>
      <c r="DQ33" s="466">
        <f ca="1"/>
        <v>1.2257755956198935E-2</v>
      </c>
      <c r="DR33" s="466">
        <f ca="1"/>
        <v>1.2257393217339808E-2</v>
      </c>
      <c r="DS33" s="157">
        <f ca="1"/>
        <v>0.88690558623976012</v>
      </c>
      <c r="DT33" s="157">
        <f ca="1"/>
        <v>0.88693026158099586</v>
      </c>
      <c r="DU33" s="157">
        <f ca="1"/>
        <v>-1.1974927912252999E-5</v>
      </c>
      <c r="DV33" s="157">
        <f ca="1"/>
        <v>0.88690631172517131</v>
      </c>
      <c r="DW33" s="468" t="str">
        <f ca="1"/>
        <v>Sec1.</v>
      </c>
      <c r="DX33" s="470">
        <f ca="1"/>
        <v>8869059.4897861928</v>
      </c>
      <c r="DY33" s="472">
        <f ca="1"/>
        <v>84750.316724481032</v>
      </c>
      <c r="DZ33" s="462">
        <f ca="1"/>
        <v>834.47183697484093</v>
      </c>
      <c r="EA33" s="464">
        <f ca="1"/>
        <v>290.02463664269885</v>
      </c>
      <c r="EB33" s="464">
        <f ca="1"/>
        <v>1048.6196822463285</v>
      </c>
      <c r="EC33" s="466">
        <f ca="1"/>
        <v>1.7930799273642606E-2</v>
      </c>
      <c r="ED33" s="466">
        <f ca="1"/>
        <v>1.7930268654915548E-2</v>
      </c>
      <c r="EE33" s="157">
        <f ca="1"/>
        <v>0.70241265183384372</v>
      </c>
      <c r="EF33" s="157">
        <f ca="1"/>
        <v>0.70242244103076557</v>
      </c>
      <c r="EG33" s="157">
        <f ca="1"/>
        <v>-4.3639738779456141E-6</v>
      </c>
      <c r="EH33" s="157">
        <f ca="1"/>
        <v>0.70241371308300971</v>
      </c>
      <c r="EI33" s="468" t="str">
        <f ca="1"/>
        <v>Sec1.</v>
      </c>
      <c r="EJ33" s="470">
        <f ca="1"/>
        <v>7024131.8245257074</v>
      </c>
      <c r="EK33" s="472">
        <f ca="1"/>
        <v>67120.690477791737</v>
      </c>
      <c r="EL33" s="462">
        <f ca="1"/>
        <v>144.51430778863644</v>
      </c>
      <c r="EM33" s="464">
        <f ca="1"/>
        <v>254.5603635643854</v>
      </c>
      <c r="EN33" s="464">
        <f ca="1"/>
        <v>167.00595812564717</v>
      </c>
      <c r="EO33" s="466" t="e">
        <f ca="1"/>
        <v>#DIV/0!</v>
      </c>
      <c r="EP33" s="466">
        <f ca="1"/>
        <v>1.5065919536752048E-2</v>
      </c>
      <c r="EQ33" s="157">
        <f ca="1"/>
        <v>0.11186810614482762</v>
      </c>
      <c r="ER33" s="157">
        <f ca="1"/>
        <v>0.1118615183982298</v>
      </c>
      <c r="ES33" s="157">
        <f ca="1"/>
        <v>3.7397309391535837E-6</v>
      </c>
      <c r="ET33" s="157">
        <f ca="1"/>
        <v>0.11186899786010812</v>
      </c>
      <c r="EU33" s="468" t="str">
        <f ca="1"/>
        <v>Prim.</v>
      </c>
      <c r="EV33" s="470">
        <f ca="1"/>
        <v>1118652.5812916895</v>
      </c>
      <c r="EW33" s="472">
        <f ca="1"/>
        <v>10726.57931842988</v>
      </c>
      <c r="EX33" s="462">
        <f ca="1"/>
        <v>309.67804175479813</v>
      </c>
      <c r="EY33" s="464">
        <f ca="1"/>
        <v>65.737120897833819</v>
      </c>
      <c r="EZ33" s="464">
        <f ca="1"/>
        <v>351.9473010627147</v>
      </c>
      <c r="FA33" s="466">
        <f ca="1"/>
        <v>5.1531488236662426E-3</v>
      </c>
      <c r="FB33" s="466">
        <f ca="1"/>
        <v>5.1529963287874478E-3</v>
      </c>
      <c r="FC33" s="157">
        <f ca="1"/>
        <v>0.23575014014199441</v>
      </c>
      <c r="FD33" s="157">
        <f ca="1"/>
        <v>0.2357478424601136</v>
      </c>
      <c r="FE33" s="157">
        <f ca="1"/>
        <v>1.3013376252408133E-6</v>
      </c>
      <c r="FF33" s="157">
        <f ca="1"/>
        <v>0.23575044513536408</v>
      </c>
      <c r="FG33" s="468" t="str">
        <f ca="1"/>
        <v>Prim.</v>
      </c>
      <c r="FH33" s="470">
        <f ca="1"/>
        <v>2357491.4379773885</v>
      </c>
      <c r="FI33" s="472">
        <f ca="1"/>
        <v>22540.435070307743</v>
      </c>
      <c r="FJ33" s="173">
        <f t="shared" ca="1" si="4"/>
        <v>29884016.657036476</v>
      </c>
      <c r="FK33" s="173">
        <f t="shared" ca="1" si="4"/>
        <v>285613.45232254127</v>
      </c>
      <c r="FL33" s="462">
        <f ca="1"/>
        <v>30.338275290800397</v>
      </c>
      <c r="FM33" s="464">
        <f ca="1"/>
        <v>372.80428764941178</v>
      </c>
      <c r="FN33" s="464">
        <f ca="1"/>
        <v>31.264186136272059</v>
      </c>
      <c r="FO33" s="466">
        <f ca="1"/>
        <v>2.8036696966182717E-4</v>
      </c>
      <c r="FP33" s="466">
        <f ca="1"/>
        <v>2.8036648359703795E-4</v>
      </c>
      <c r="FQ33" s="157">
        <f ca="1"/>
        <v>6.4487812214961216E-3</v>
      </c>
      <c r="FR33" s="157">
        <f ca="1"/>
        <v>6.4487821935606295E-3</v>
      </c>
      <c r="FS33" s="157">
        <f ca="1"/>
        <v>6.4494121652501632E-3</v>
      </c>
      <c r="FT33" s="468" t="str">
        <f ca="1"/>
        <v>Sec1.</v>
      </c>
      <c r="FU33" s="470">
        <f ca="1"/>
        <v>6448.7817075609109</v>
      </c>
      <c r="FV33" s="470">
        <f ca="1"/>
        <v>53.117665598848305</v>
      </c>
      <c r="FW33" s="462">
        <f ca="1"/>
        <v>-1.9118110674761593</v>
      </c>
      <c r="FX33" s="464">
        <f ca="1"/>
        <v>-19.792724482844697</v>
      </c>
      <c r="FY33" s="464">
        <f ca="1"/>
        <v>-1.9609690274761595</v>
      </c>
      <c r="FZ33" s="466">
        <f ca="1"/>
        <v>-1.48850921810606E-5</v>
      </c>
      <c r="GA33" s="466">
        <f ca="1"/>
        <v>-1.4885066377505166E-5</v>
      </c>
      <c r="GB33" s="157">
        <f ca="1"/>
        <v>-4.0448390964677324E-4</v>
      </c>
      <c r="GC33" s="157">
        <f ca="1"/>
        <v>-4.0448396125509871E-4</v>
      </c>
      <c r="GD33" s="157">
        <f ca="1"/>
        <v>-4.0447977863208417E-4</v>
      </c>
      <c r="GE33" s="468" t="str">
        <f ca="1"/>
        <v>Sec1.</v>
      </c>
      <c r="GF33" s="470">
        <f ca="1"/>
        <v>-404.48393545032866</v>
      </c>
      <c r="GG33" s="470">
        <f ca="1"/>
        <v>-3.3316746321504738</v>
      </c>
      <c r="GH33" s="173">
        <f t="shared" ca="1" si="2"/>
        <v>6044.2977721105826</v>
      </c>
      <c r="GI33" s="173">
        <f t="shared" ca="1" si="2"/>
        <v>49.785990966697831</v>
      </c>
    </row>
    <row r="34" spans="1:191" ht="15">
      <c r="A34" s="168"/>
      <c r="B34" s="169"/>
      <c r="C34" s="87">
        <f>'Oil supply projection'!B34</f>
        <v>2043</v>
      </c>
      <c r="D34" s="460">
        <f ca="1"/>
        <v>269472913.73554468</v>
      </c>
      <c r="E34" s="460">
        <f ca="1"/>
        <v>14634761.220370661</v>
      </c>
      <c r="F34" s="462">
        <f ca="1"/>
        <v>0.37760421886936174</v>
      </c>
      <c r="G34" s="464">
        <f ca="1"/>
        <v>2.0415211958323027</v>
      </c>
      <c r="H34" s="464">
        <f ca="1"/>
        <v>0.39892551890732769</v>
      </c>
      <c r="I34" s="466">
        <f ca="1"/>
        <v>6.9279405693123408E-4</v>
      </c>
      <c r="J34" s="466">
        <f ca="1"/>
        <v>6.9267568151903567E-4</v>
      </c>
      <c r="K34" s="157">
        <f ca="1"/>
        <v>1.2934218927662961E-2</v>
      </c>
      <c r="L34" s="157">
        <f ca="1"/>
        <v>1.2932314955783959E-2</v>
      </c>
      <c r="M34" s="157">
        <f ca="1"/>
        <v>1.0703748227459342E-6</v>
      </c>
      <c r="N34" s="157">
        <f ca="1"/>
        <v>1.293445570542945E-2</v>
      </c>
      <c r="O34" s="468" t="str">
        <f ca="1"/>
        <v>Prim.</v>
      </c>
      <c r="P34" s="470">
        <f ca="1"/>
        <v>4720685.6456714477</v>
      </c>
      <c r="Q34" s="472">
        <f ca="1"/>
        <v>289719.12274421717</v>
      </c>
      <c r="R34" s="462">
        <f ca="1"/>
        <v>0.49841646677492801</v>
      </c>
      <c r="S34" s="464">
        <f ca="1"/>
        <v>1.5185652421786788</v>
      </c>
      <c r="T34" s="464">
        <f ca="1"/>
        <v>0.51954434823629758</v>
      </c>
      <c r="U34" s="466">
        <f ca="1"/>
        <v>6.4333861319809671E-4</v>
      </c>
      <c r="V34" s="466">
        <f ca="1"/>
        <v>6.4322868770237294E-4</v>
      </c>
      <c r="W34" s="157">
        <f ca="1"/>
        <v>1.6844999941654025E-2</v>
      </c>
      <c r="X34" s="157">
        <f ca="1"/>
        <v>1.6842952658872621E-2</v>
      </c>
      <c r="Y34" s="157">
        <f ca="1"/>
        <v>1.1335790253559098E-6</v>
      </c>
      <c r="Z34" s="157">
        <f ca="1"/>
        <v>1.6845219816923333E-2</v>
      </c>
      <c r="AA34" s="468" t="str">
        <f ca="1"/>
        <v>Prim.</v>
      </c>
      <c r="AB34" s="470">
        <f ca="1"/>
        <v>6148091.4768327614</v>
      </c>
      <c r="AC34" s="472">
        <f ca="1"/>
        <v>377233.00069161603</v>
      </c>
      <c r="AD34" s="462">
        <f ca="1"/>
        <v>6.255230753498175</v>
      </c>
      <c r="AE34" s="464">
        <f ca="1"/>
        <v>1.0353790798359006</v>
      </c>
      <c r="AF34" s="464">
        <f ca="1"/>
        <v>6.5664900445523395</v>
      </c>
      <c r="AG34" s="466">
        <f ca="1"/>
        <v>2.6643681386655516E-3</v>
      </c>
      <c r="AH34" s="466">
        <f ca="1"/>
        <v>2.6639128679355603E-3</v>
      </c>
      <c r="AI34" s="157">
        <f ca="1"/>
        <v>0.21290295004238494</v>
      </c>
      <c r="AJ34" s="157">
        <f ca="1"/>
        <v>0.21289584803947817</v>
      </c>
      <c r="AK34" s="157">
        <f ca="1"/>
        <v>4.0063049639768793E-6</v>
      </c>
      <c r="AL34" s="157">
        <f ca="1"/>
        <v>0.21290386064940611</v>
      </c>
      <c r="AM34" s="468" t="str">
        <f ca="1"/>
        <v>Prim.</v>
      </c>
      <c r="AN34" s="470">
        <f ca="1"/>
        <v>77708446.835721374</v>
      </c>
      <c r="AO34" s="472">
        <f ca="1"/>
        <v>4764478.2764631175</v>
      </c>
      <c r="AP34" s="462">
        <f ca="1"/>
        <v>10.839442919117287</v>
      </c>
      <c r="AQ34" s="464">
        <f ca="1"/>
        <v>4.230868050584375</v>
      </c>
      <c r="AR34" s="464">
        <f ca="1"/>
        <v>11.919069899117286</v>
      </c>
      <c r="AS34" s="466">
        <f ca="1"/>
        <v>1.050184577641744E-2</v>
      </c>
      <c r="AT34" s="466">
        <f ca="1"/>
        <v>1.0500051289726104E-2</v>
      </c>
      <c r="AU34" s="157">
        <f ca="1"/>
        <v>0.38644772565957025</v>
      </c>
      <c r="AV34" s="157">
        <f ca="1"/>
        <v>0.38641663561763334</v>
      </c>
      <c r="AW34" s="157">
        <f ca="1"/>
        <v>1.7339640556466631E-5</v>
      </c>
      <c r="AX34" s="157">
        <f ca="1"/>
        <v>0.38645131489874629</v>
      </c>
      <c r="AY34" s="468" t="str">
        <f ca="1"/>
        <v>Prim.</v>
      </c>
      <c r="AZ34" s="470">
        <f ca="1"/>
        <v>141048400.96923929</v>
      </c>
      <c r="BA34" s="472">
        <f ca="1"/>
        <v>8651441.7103616036</v>
      </c>
      <c r="BB34" s="173">
        <f t="shared" ca="1" si="0"/>
        <v>229625624.92746487</v>
      </c>
      <c r="BC34" s="173">
        <f t="shared" ca="1" si="1"/>
        <v>14082872.110260556</v>
      </c>
      <c r="BD34" s="462">
        <f ca="1"/>
        <v>4.483741426239706</v>
      </c>
      <c r="BE34" s="464">
        <f ca="1"/>
        <v>0.3621312195356608</v>
      </c>
      <c r="BF34" s="464">
        <f ca="1"/>
        <v>4.7179853682095256</v>
      </c>
      <c r="BG34" s="466">
        <f ca="1"/>
        <v>3.9770525282145641E-5</v>
      </c>
      <c r="BH34" s="466">
        <f ca="1"/>
        <v>3.9767843508553614E-5</v>
      </c>
      <c r="BI34" s="157">
        <f ca="1"/>
        <v>2.5591517851950552E-3</v>
      </c>
      <c r="BJ34" s="157">
        <f ca="1"/>
        <v>2.5591819612521636E-3</v>
      </c>
      <c r="BK34" s="157">
        <f ca="1"/>
        <v>-1.2406175986943714E-8</v>
      </c>
      <c r="BL34" s="157">
        <f ca="1"/>
        <v>2.5591571489001893E-3</v>
      </c>
      <c r="BM34" s="468" t="str">
        <f ca="1"/>
        <v>Sec1.</v>
      </c>
      <c r="BN34" s="470">
        <f ca="1"/>
        <v>2559154.4669686472</v>
      </c>
      <c r="BO34" s="472">
        <f ca="1"/>
        <v>203685.27970769076</v>
      </c>
      <c r="BP34" s="462">
        <f ca="1"/>
        <v>3.3433002675527956</v>
      </c>
      <c r="BQ34" s="464">
        <f ca="1"/>
        <v>0.20308210176910851</v>
      </c>
      <c r="BR34" s="464">
        <f ca="1"/>
        <v>3.4778088383337682</v>
      </c>
      <c r="BS34" s="466">
        <f ca="1"/>
        <v>2.1596819219260599E-5</v>
      </c>
      <c r="BT34" s="466">
        <f ca="1"/>
        <v>2.1595362919683311E-5</v>
      </c>
      <c r="BU34" s="157">
        <f ca="1"/>
        <v>1.8864494063843701E-3</v>
      </c>
      <c r="BV34" s="157">
        <f ca="1"/>
        <v>1.8864657668170458E-3</v>
      </c>
      <c r="BW34" s="157">
        <f ca="1"/>
        <v>-6.7238743696504034E-9</v>
      </c>
      <c r="BX34" s="157">
        <f ca="1"/>
        <v>1.8864523190683065E-3</v>
      </c>
      <c r="BY34" s="468" t="str">
        <f ca="1"/>
        <v>Sec1.</v>
      </c>
      <c r="BZ34" s="470">
        <f ca="1"/>
        <v>1886450.8626839472</v>
      </c>
      <c r="CA34" s="472">
        <f ca="1"/>
        <v>150144.22793936878</v>
      </c>
      <c r="CB34" s="462">
        <f ca="1"/>
        <v>10.970341679700578</v>
      </c>
      <c r="CC34" s="464">
        <f ca="1"/>
        <v>1.0273114736605435</v>
      </c>
      <c r="CD34" s="464">
        <f ca="1"/>
        <v>11.505906988063932</v>
      </c>
      <c r="CE34" s="466">
        <f ca="1"/>
        <v>1.3596009250882446E-4</v>
      </c>
      <c r="CF34" s="466">
        <f ca="1"/>
        <v>1.3595092459176274E-4</v>
      </c>
      <c r="CG34" s="157">
        <f ca="1"/>
        <v>6.2410881151093054E-3</v>
      </c>
      <c r="CH34" s="157">
        <f ca="1"/>
        <v>6.2411477883004265E-3</v>
      </c>
      <c r="CI34" s="157">
        <f ca="1"/>
        <v>-2.0668375612559253E-8</v>
      </c>
      <c r="CJ34" s="157">
        <f ca="1"/>
        <v>6.2411064515492014E-3</v>
      </c>
      <c r="CK34" s="468" t="str">
        <f ca="1"/>
        <v>Sec1.</v>
      </c>
      <c r="CL34" s="470">
        <f ca="1"/>
        <v>6241097.2830263674</v>
      </c>
      <c r="CM34" s="472">
        <f ca="1"/>
        <v>496734.23866512877</v>
      </c>
      <c r="CN34" s="462">
        <f ca="1"/>
        <v>1.5015149990425414</v>
      </c>
      <c r="CO34" s="464">
        <f ca="1"/>
        <v>0.60880700362300044</v>
      </c>
      <c r="CP34" s="464">
        <f ca="1"/>
        <v>1.6528761657092081</v>
      </c>
      <c r="CQ34" s="466" t="e">
        <f ca="1"/>
        <v>#DIV/0!</v>
      </c>
      <c r="CR34" s="466">
        <f ca="1"/>
        <v>8.2102035011571829E-5</v>
      </c>
      <c r="CS34" s="157">
        <f ca="1"/>
        <v>8.9656085385155545E-4</v>
      </c>
      <c r="CT34" s="157">
        <f ca="1"/>
        <v>8.964582456989996E-4</v>
      </c>
      <c r="CU34" s="157">
        <f ca="1"/>
        <v>5.6840850061506342E-8</v>
      </c>
      <c r="CV34" s="157">
        <f ca="1"/>
        <v>8.9657192739912264E-4</v>
      </c>
      <c r="CW34" s="468" t="str">
        <f ca="1"/>
        <v>Prim.</v>
      </c>
      <c r="CX34" s="470">
        <f ca="1"/>
        <v>896515.08654906112</v>
      </c>
      <c r="CY34" s="472">
        <f ca="1"/>
        <v>71406.714754997447</v>
      </c>
      <c r="CZ34" s="173">
        <f t="shared" ca="1" si="3"/>
        <v>11583217.699228022</v>
      </c>
      <c r="DA34" s="173">
        <f t="shared" ca="1" si="3"/>
        <v>921970.46106718574</v>
      </c>
      <c r="DB34" s="462">
        <f ca="1"/>
        <v>1412.7479763375215</v>
      </c>
      <c r="DC34" s="464">
        <f ca="1"/>
        <v>340.57965473252449</v>
      </c>
      <c r="DD34" s="464">
        <f ca="1"/>
        <v>1582.6844413575118</v>
      </c>
      <c r="DE34" s="466">
        <f ca="1"/>
        <v>3.2884476350886871E-2</v>
      </c>
      <c r="DF34" s="466">
        <f ca="1"/>
        <v>3.2883492886018439E-2</v>
      </c>
      <c r="DG34" s="157">
        <f ca="1"/>
        <v>1.0671195080403348</v>
      </c>
      <c r="DH34" s="157">
        <f ca="1"/>
        <v>1.067187417956349</v>
      </c>
      <c r="DI34" s="157">
        <f ca="1"/>
        <v>-3.2971480676817495E-5</v>
      </c>
      <c r="DJ34" s="157">
        <f ca="1"/>
        <v>1.0671214749949953</v>
      </c>
      <c r="DK34" s="468" t="str">
        <f ca="1"/>
        <v>Sec1.</v>
      </c>
      <c r="DL34" s="470">
        <f ca="1"/>
        <v>10671204.915052032</v>
      </c>
      <c r="DM34" s="472">
        <f ca="1"/>
        <v>101485.78515191186</v>
      </c>
      <c r="DN34" s="462">
        <f ca="1"/>
        <v>1191.6423645272835</v>
      </c>
      <c r="DO34" s="464">
        <f ca="1"/>
        <v>192.93224857101026</v>
      </c>
      <c r="DP34" s="464">
        <f ca="1"/>
        <v>1331.0970255124425</v>
      </c>
      <c r="DQ34" s="466">
        <f ca="1"/>
        <v>1.2599644722939729E-2</v>
      </c>
      <c r="DR34" s="466">
        <f ca="1"/>
        <v>1.2599267908993367E-2</v>
      </c>
      <c r="DS34" s="157">
        <f ca="1"/>
        <v>0.89748756347186975</v>
      </c>
      <c r="DT34" s="157">
        <f ca="1"/>
        <v>0.89751273645577334</v>
      </c>
      <c r="DU34" s="157">
        <f ca="1"/>
        <v>-1.2209673880470569E-5</v>
      </c>
      <c r="DV34" s="157">
        <f ca="1"/>
        <v>0.89748831710801236</v>
      </c>
      <c r="DW34" s="468" t="str">
        <f ca="1"/>
        <v>Sec1.</v>
      </c>
      <c r="DX34" s="470">
        <f ca="1"/>
        <v>8974879.4028581604</v>
      </c>
      <c r="DY34" s="472">
        <f ca="1"/>
        <v>85353.312029276232</v>
      </c>
      <c r="DZ34" s="462">
        <f ca="1"/>
        <v>838.89701325346221</v>
      </c>
      <c r="EA34" s="464">
        <f ca="1"/>
        <v>291.39049595551063</v>
      </c>
      <c r="EB34" s="464">
        <f ca="1"/>
        <v>1054.1612311634678</v>
      </c>
      <c r="EC34" s="466">
        <f ca="1"/>
        <v>1.814271208087348E-2</v>
      </c>
      <c r="ED34" s="466">
        <f ca="1"/>
        <v>1.8142169491870419E-2</v>
      </c>
      <c r="EE34" s="157">
        <f ca="1"/>
        <v>0.71076456240985231</v>
      </c>
      <c r="EF34" s="157">
        <f ca="1"/>
        <v>0.71077438168550355</v>
      </c>
      <c r="EG34" s="157">
        <f ca="1"/>
        <v>-4.3670430204005132E-6</v>
      </c>
      <c r="EH34" s="157">
        <f ca="1"/>
        <v>0.7107656475994627</v>
      </c>
      <c r="EI34" s="468" t="str">
        <f ca="1"/>
        <v>Sec1.</v>
      </c>
      <c r="EJ34" s="470">
        <f ca="1"/>
        <v>7107651.0499885539</v>
      </c>
      <c r="EK34" s="472">
        <f ca="1"/>
        <v>67595.510829002</v>
      </c>
      <c r="EL34" s="462">
        <f ca="1"/>
        <v>150.30656041675056</v>
      </c>
      <c r="EM34" s="464">
        <f ca="1"/>
        <v>255.84130875172758</v>
      </c>
      <c r="EN34" s="464">
        <f ca="1"/>
        <v>173.00219717555694</v>
      </c>
      <c r="EO34" s="466" t="e">
        <f ca="1"/>
        <v>#DIV/0!</v>
      </c>
      <c r="EP34" s="466">
        <f ca="1"/>
        <v>1.5302454551025779E-2</v>
      </c>
      <c r="EQ34" s="157">
        <f ca="1"/>
        <v>0.11664613280808449</v>
      </c>
      <c r="ER34" s="157">
        <f ca="1"/>
        <v>0.11663935705973033</v>
      </c>
      <c r="ES34" s="157">
        <f ca="1"/>
        <v>3.8455389756607851E-6</v>
      </c>
      <c r="ET34" s="157">
        <f ca="1"/>
        <v>0.11664704813768165</v>
      </c>
      <c r="EU34" s="468" t="str">
        <f ca="1"/>
        <v>Prim.</v>
      </c>
      <c r="EV34" s="470">
        <f ca="1"/>
        <v>1166432.0259870598</v>
      </c>
      <c r="EW34" s="472">
        <f ca="1"/>
        <v>11131.145320323092</v>
      </c>
      <c r="EX34" s="462">
        <f ca="1"/>
        <v>316.75298074383045</v>
      </c>
      <c r="EY34" s="464">
        <f ca="1"/>
        <v>67.10178124854292</v>
      </c>
      <c r="EZ34" s="464">
        <f ca="1"/>
        <v>359.93121706866287</v>
      </c>
      <c r="FA34" s="466">
        <f ca="1"/>
        <v>5.2985541510821577E-3</v>
      </c>
      <c r="FB34" s="466">
        <f ca="1"/>
        <v>5.29839568882947E-3</v>
      </c>
      <c r="FC34" s="157">
        <f ca="1"/>
        <v>0.24268237764265016</v>
      </c>
      <c r="FD34" s="157">
        <f ca="1"/>
        <v>0.24268001984300741</v>
      </c>
      <c r="FE34" s="157">
        <f ca="1"/>
        <v>1.3373638891943435E-6</v>
      </c>
      <c r="FF34" s="157">
        <f ca="1"/>
        <v>0.24268269457078578</v>
      </c>
      <c r="FG34" s="468" t="str">
        <f ca="1"/>
        <v>Prim.</v>
      </c>
      <c r="FH34" s="470">
        <f ca="1"/>
        <v>2426813.572068966</v>
      </c>
      <c r="FI34" s="472">
        <f ca="1"/>
        <v>23092.84081294074</v>
      </c>
      <c r="FJ34" s="173">
        <f t="shared" ca="1" si="4"/>
        <v>30346980.965954773</v>
      </c>
      <c r="FK34" s="173">
        <f t="shared" ca="1" si="4"/>
        <v>288658.59414345393</v>
      </c>
      <c r="FL34" s="462">
        <f ca="1"/>
        <v>30.013623214958759</v>
      </c>
      <c r="FM34" s="464">
        <f ca="1"/>
        <v>348.22037730623913</v>
      </c>
      <c r="FN34" s="464">
        <f ca="1"/>
        <v>30.857442245308036</v>
      </c>
      <c r="FO34" s="466">
        <f ca="1"/>
        <v>2.9417032649803332E-4</v>
      </c>
      <c r="FP34" s="466">
        <f ca="1"/>
        <v>2.941697491208959E-4</v>
      </c>
      <c r="FQ34" s="157">
        <f ca="1"/>
        <v>7.3279443893926859E-3</v>
      </c>
      <c r="FR34" s="157">
        <f ca="1"/>
        <v>7.3279455441075886E-3</v>
      </c>
      <c r="FS34" s="157">
        <f ca="1"/>
        <v>7.3286881102766627E-3</v>
      </c>
      <c r="FT34" s="468" t="str">
        <f ca="1"/>
        <v>Sec1.</v>
      </c>
      <c r="FU34" s="470">
        <f ca="1"/>
        <v>7327.9449667698236</v>
      </c>
      <c r="FV34" s="470">
        <f ca="1"/>
        <v>60.525033705452593</v>
      </c>
      <c r="FW34" s="462">
        <f ca="1"/>
        <v>-1.8825305065701896</v>
      </c>
      <c r="FX34" s="464">
        <f ca="1"/>
        <v>189.18489597779308</v>
      </c>
      <c r="FY34" s="464">
        <f ca="1"/>
        <v>-1.4240914665701898</v>
      </c>
      <c r="FZ34" s="466">
        <f ca="1"/>
        <v>1.5982000550707198E-4</v>
      </c>
      <c r="GA34" s="466">
        <f ca="1"/>
        <v>1.5981969184168979E-4</v>
      </c>
      <c r="GB34" s="157">
        <f ca="1"/>
        <v>-3.3818950350694726E-4</v>
      </c>
      <c r="GC34" s="157">
        <f ca="1"/>
        <v>-3.3818887616106786E-4</v>
      </c>
      <c r="GD34" s="157">
        <f ca="1"/>
        <v>-3.3818488063695474E-4</v>
      </c>
      <c r="GE34" s="468" t="str">
        <f ca="1"/>
        <v>Sec1.</v>
      </c>
      <c r="GF34" s="470">
        <f ca="1"/>
        <v>-338.18918984156505</v>
      </c>
      <c r="GG34" s="470">
        <f ca="1"/>
        <v>-2.7932677178664975</v>
      </c>
      <c r="GH34" s="173">
        <f t="shared" ca="1" si="2"/>
        <v>6989.7557769282585</v>
      </c>
      <c r="GI34" s="173">
        <f t="shared" ca="1" si="2"/>
        <v>57.731765987586094</v>
      </c>
    </row>
    <row r="35" spans="1:191" ht="15">
      <c r="A35" s="168"/>
      <c r="B35" s="169"/>
      <c r="C35" s="87">
        <f>'Oil supply projection'!B35</f>
        <v>2044</v>
      </c>
      <c r="D35" s="460">
        <f ca="1"/>
        <v>271562813.34842461</v>
      </c>
      <c r="E35" s="460">
        <f ca="1"/>
        <v>15293558.897237184</v>
      </c>
      <c r="F35" s="462">
        <f ca="1"/>
        <v>0.37499685245426206</v>
      </c>
      <c r="G35" s="464">
        <f ca="1"/>
        <v>2.0586406418637431</v>
      </c>
      <c r="H35" s="464">
        <f ca="1"/>
        <v>0.39635321606469076</v>
      </c>
      <c r="I35" s="466">
        <f ca="1"/>
        <v>7.17031111776123E-4</v>
      </c>
      <c r="J35" s="466">
        <f ca="1"/>
        <v>7.1690536207816302E-4</v>
      </c>
      <c r="K35" s="157">
        <f ca="1"/>
        <v>1.3278500515924666E-2</v>
      </c>
      <c r="L35" s="157">
        <f ca="1"/>
        <v>1.3276485560871059E-2</v>
      </c>
      <c r="M35" s="159">
        <f ca="1"/>
        <v>1.133241942841153E-6</v>
      </c>
      <c r="N35" s="157">
        <f ca="1"/>
        <v>1.3278752044756741E-2</v>
      </c>
      <c r="O35" s="468" t="str">
        <f ca="1"/>
        <v>Prim.</v>
      </c>
      <c r="P35" s="470">
        <f ca="1"/>
        <v>4846330.8630270734</v>
      </c>
      <c r="Q35" s="472">
        <f ca="1"/>
        <v>303182.54064816789</v>
      </c>
      <c r="R35" s="462">
        <f ca="1"/>
        <v>0.49876908458026364</v>
      </c>
      <c r="S35" s="464">
        <f ca="1"/>
        <v>1.5239657825284296</v>
      </c>
      <c r="T35" s="464">
        <f ca="1"/>
        <v>0.5198392449996162</v>
      </c>
      <c r="U35" s="466">
        <f ca="1"/>
        <v>6.6293600600175751E-4</v>
      </c>
      <c r="V35" s="466">
        <f ca="1"/>
        <v>6.6281974283793964E-4</v>
      </c>
      <c r="W35" s="157">
        <f ca="1"/>
        <v>1.741549053508543E-2</v>
      </c>
      <c r="X35" s="157">
        <f ca="1"/>
        <v>1.741330233310736E-2</v>
      </c>
      <c r="Y35" s="157">
        <f ca="1"/>
        <v>1.2103773377783152E-6</v>
      </c>
      <c r="Z35" s="157">
        <f ca="1"/>
        <v>1.7415723087782914E-2</v>
      </c>
      <c r="AA35" s="468" t="str">
        <f ca="1"/>
        <v>Prim.</v>
      </c>
      <c r="AB35" s="470">
        <f ca="1"/>
        <v>6356297.139312475</v>
      </c>
      <c r="AC35" s="472">
        <f ca="1"/>
        <v>397550.38219680957</v>
      </c>
      <c r="AD35" s="462">
        <f ca="1"/>
        <v>6.3038574048779124</v>
      </c>
      <c r="AE35" s="464">
        <f ca="1"/>
        <v>0.9914327222338879</v>
      </c>
      <c r="AF35" s="464">
        <f ca="1"/>
        <v>6.6013791300073912</v>
      </c>
      <c r="AG35" s="466">
        <f ca="1"/>
        <v>2.6315363143076809E-3</v>
      </c>
      <c r="AH35" s="466">
        <f ca="1"/>
        <v>2.6310747873813387E-3</v>
      </c>
      <c r="AI35" s="157">
        <f ca="1"/>
        <v>0.22115732288976969</v>
      </c>
      <c r="AJ35" s="157">
        <f ca="1"/>
        <v>0.22114971365185238</v>
      </c>
      <c r="AK35" s="157">
        <f ca="1"/>
        <v>4.2661799982134061E-6</v>
      </c>
      <c r="AL35" s="157">
        <f ca="1"/>
        <v>0.2211582460118488</v>
      </c>
      <c r="AM35" s="468" t="str">
        <f ca="1"/>
        <v>Prim.</v>
      </c>
      <c r="AN35" s="470">
        <f ca="1"/>
        <v>80721202.638625473</v>
      </c>
      <c r="AO35" s="472">
        <f ca="1"/>
        <v>5044853.9569288669</v>
      </c>
      <c r="AP35" s="462">
        <f ca="1"/>
        <v>10.846454346678815</v>
      </c>
      <c r="AQ35" s="464">
        <f ca="1"/>
        <v>4.2891598322862192</v>
      </c>
      <c r="AR35" s="464">
        <f ca="1"/>
        <v>11.938760336678815</v>
      </c>
      <c r="AS35" s="466">
        <f ca="1"/>
        <v>1.0978804943945875E-2</v>
      </c>
      <c r="AT35" s="466">
        <f ca="1"/>
        <v>1.0976879451422113E-2</v>
      </c>
      <c r="AU35" s="157">
        <f ca="1"/>
        <v>0.39996858575815442</v>
      </c>
      <c r="AV35" s="157">
        <f ca="1"/>
        <v>0.39993597733953196</v>
      </c>
      <c r="AW35" s="157">
        <f ca="1"/>
        <v>1.8229848185143229E-5</v>
      </c>
      <c r="AX35" s="157">
        <f ca="1"/>
        <v>0.39997243703590224</v>
      </c>
      <c r="AY35" s="468" t="str">
        <f ca="1"/>
        <v>Prim.</v>
      </c>
      <c r="AZ35" s="470">
        <f ca="1"/>
        <v>145983285.62351677</v>
      </c>
      <c r="BA35" s="472">
        <f ca="1"/>
        <v>9127153.3151219524</v>
      </c>
      <c r="BB35" s="173">
        <f t="shared" ca="1" si="0"/>
        <v>237907116.26448178</v>
      </c>
      <c r="BC35" s="173">
        <f t="shared" ca="1" si="1"/>
        <v>14872740.194895798</v>
      </c>
      <c r="BD35" s="462">
        <f ca="1"/>
        <v>4.4820954937663648</v>
      </c>
      <c r="BE35" s="464">
        <f ca="1"/>
        <v>0.36535519209504885</v>
      </c>
      <c r="BF35" s="464">
        <f ca="1"/>
        <v>4.7186171459102777</v>
      </c>
      <c r="BG35" s="466">
        <f ca="1"/>
        <v>3.9565750572068126E-5</v>
      </c>
      <c r="BH35" s="466">
        <f ca="1"/>
        <v>3.9563115065322681E-5</v>
      </c>
      <c r="BI35" s="157">
        <f ca="1"/>
        <v>2.5217954335962673E-3</v>
      </c>
      <c r="BJ35" s="157">
        <f ca="1"/>
        <v>2.5218252839918497E-3</v>
      </c>
      <c r="BK35" s="157">
        <f ca="1"/>
        <v>-1.2289614296312719E-8</v>
      </c>
      <c r="BL35" s="157">
        <f ca="1"/>
        <v>2.5218007047632571E-3</v>
      </c>
      <c r="BM35" s="468" t="str">
        <f ca="1"/>
        <v>Sec1.</v>
      </c>
      <c r="BN35" s="470">
        <f ca="1"/>
        <v>2521798.0691030128</v>
      </c>
      <c r="BO35" s="472">
        <f ca="1"/>
        <v>207526.44549656601</v>
      </c>
      <c r="BP35" s="462">
        <f ca="1"/>
        <v>3.3387016397585025</v>
      </c>
      <c r="BQ35" s="464">
        <f ca="1"/>
        <v>0.20768037181818033</v>
      </c>
      <c r="BR35" s="464">
        <f ca="1"/>
        <v>3.4763616497000718</v>
      </c>
      <c r="BS35" s="466">
        <f ca="1"/>
        <v>2.1777257339733458E-5</v>
      </c>
      <c r="BT35" s="466">
        <f ca="1"/>
        <v>2.1775806738451813E-5</v>
      </c>
      <c r="BU35" s="157">
        <f ca="1"/>
        <v>1.8578902807024897E-3</v>
      </c>
      <c r="BV35" s="157">
        <f ca="1"/>
        <v>1.8579065009732599E-3</v>
      </c>
      <c r="BW35" s="157">
        <f ca="1"/>
        <v>-6.6594923622543731E-9</v>
      </c>
      <c r="BX35" s="157">
        <f ca="1"/>
        <v>1.8578931819885356E-3</v>
      </c>
      <c r="BY35" s="468" t="str">
        <f ca="1"/>
        <v>Sec1.</v>
      </c>
      <c r="BZ35" s="470">
        <f ca="1"/>
        <v>1857891.7313037715</v>
      </c>
      <c r="CA35" s="472">
        <f ca="1"/>
        <v>152891.57043889505</v>
      </c>
      <c r="CB35" s="462">
        <f ca="1"/>
        <v>11.045703160939629</v>
      </c>
      <c r="CC35" s="464">
        <f ca="1"/>
        <v>0.97207373651664242</v>
      </c>
      <c r="CD35" s="464">
        <f ca="1"/>
        <v>11.553088185841142</v>
      </c>
      <c r="CE35" s="466">
        <f ca="1"/>
        <v>1.2690892038413892E-4</v>
      </c>
      <c r="CF35" s="466">
        <f ca="1"/>
        <v>1.26900466907757E-4</v>
      </c>
      <c r="CG35" s="157">
        <f ca="1"/>
        <v>6.1743778166534801E-3</v>
      </c>
      <c r="CH35" s="157">
        <f ca="1"/>
        <v>6.1744359707779691E-3</v>
      </c>
      <c r="CI35" s="157">
        <f ca="1"/>
        <v>-2.0623309916261213E-8</v>
      </c>
      <c r="CJ35" s="157">
        <f ca="1"/>
        <v>6.1743947241581359E-3</v>
      </c>
      <c r="CK35" s="468" t="str">
        <f ca="1"/>
        <v>Sec1.</v>
      </c>
      <c r="CL35" s="470">
        <f ca="1"/>
        <v>6174386.2701298613</v>
      </c>
      <c r="CM35" s="472">
        <f ca="1"/>
        <v>508109.05578122585</v>
      </c>
      <c r="CN35" s="462">
        <f ca="1"/>
        <v>1.5151551988945022</v>
      </c>
      <c r="CO35" s="464">
        <f ca="1"/>
        <v>0.62524297883733371</v>
      </c>
      <c r="CP35" s="464">
        <f ca="1"/>
        <v>1.671007115561169</v>
      </c>
      <c r="CQ35" s="466" t="e">
        <f ca="1"/>
        <v>#DIV/0!</v>
      </c>
      <c r="CR35" s="466">
        <f ca="1"/>
        <v>8.3292761335198459E-5</v>
      </c>
      <c r="CS35" s="157">
        <f ca="1"/>
        <v>8.9304514081659122E-4</v>
      </c>
      <c r="CT35" s="157">
        <f ca="1"/>
        <v>8.9294246748457512E-4</v>
      </c>
      <c r="CU35" s="157">
        <f ca="1"/>
        <v>5.6885395592965831E-8</v>
      </c>
      <c r="CV35" s="157">
        <f ca="1"/>
        <v>8.9305623827576103E-4</v>
      </c>
      <c r="CW35" s="468" t="str">
        <f ca="1"/>
        <v>Prim.</v>
      </c>
      <c r="CX35" s="470">
        <f ca="1"/>
        <v>892999.35288016812</v>
      </c>
      <c r="CY35" s="472">
        <f ca="1"/>
        <v>73539.841299322463</v>
      </c>
      <c r="CZ35" s="173">
        <f t="shared" ca="1" si="3"/>
        <v>11447075.423416812</v>
      </c>
      <c r="DA35" s="173">
        <f t="shared" ca="1" si="3"/>
        <v>942066.91301600938</v>
      </c>
      <c r="DB35" s="462">
        <f ca="1"/>
        <v>1424.4186227586974</v>
      </c>
      <c r="DC35" s="464">
        <f ca="1"/>
        <v>343.17301599252909</v>
      </c>
      <c r="DD35" s="464">
        <f ca="1"/>
        <v>1595.6020765926407</v>
      </c>
      <c r="DE35" s="466">
        <f ca="1"/>
        <v>3.0462216597129554E-2</v>
      </c>
      <c r="DF35" s="466">
        <f ca="1"/>
        <v>3.0461379628822904E-2</v>
      </c>
      <c r="DG35" s="157">
        <f ca="1"/>
        <v>0.98932501128139927</v>
      </c>
      <c r="DH35" s="157">
        <f ca="1"/>
        <v>0.98938857421747217</v>
      </c>
      <c r="DI35" s="157">
        <f ca="1"/>
        <v>-3.0944489893646334E-5</v>
      </c>
      <c r="DJ35" s="157">
        <f ca="1"/>
        <v>0.98932668523768497</v>
      </c>
      <c r="DK35" s="468" t="str">
        <f ca="1"/>
        <v>Sec1.</v>
      </c>
      <c r="DL35" s="470">
        <f ca="1"/>
        <v>9893258.4824970588</v>
      </c>
      <c r="DM35" s="472">
        <f ca="1"/>
        <v>94447.543028751184</v>
      </c>
      <c r="DN35" s="462">
        <f ca="1"/>
        <v>1197.9883289322911</v>
      </c>
      <c r="DO35" s="464">
        <f ca="1"/>
        <v>192.60470246376443</v>
      </c>
      <c r="DP35" s="464">
        <f ca="1"/>
        <v>1337.1883907307308</v>
      </c>
      <c r="DQ35" s="466">
        <f ca="1"/>
        <v>1.1565388372900998E-2</v>
      </c>
      <c r="DR35" s="466">
        <f ca="1"/>
        <v>1.1565070606300095E-2</v>
      </c>
      <c r="DS35" s="157">
        <f ca="1"/>
        <v>0.82910014918636754</v>
      </c>
      <c r="DT35" s="157">
        <f ca="1"/>
        <v>0.82912361638674381</v>
      </c>
      <c r="DU35" s="157">
        <f ca="1"/>
        <v>-1.1415830230350314E-5</v>
      </c>
      <c r="DV35" s="157">
        <f ca="1"/>
        <v>0.82910078472628312</v>
      </c>
      <c r="DW35" s="468" t="str">
        <f ca="1"/>
        <v>Sec1.</v>
      </c>
      <c r="DX35" s="470">
        <f ca="1"/>
        <v>8291004.6695296848</v>
      </c>
      <c r="DY35" s="472">
        <f ca="1"/>
        <v>79151.3758244934</v>
      </c>
      <c r="DZ35" s="462">
        <f ca="1"/>
        <v>843.33027251867759</v>
      </c>
      <c r="EA35" s="464">
        <f ca="1"/>
        <v>289.28455785233979</v>
      </c>
      <c r="EB35" s="464">
        <f ca="1"/>
        <v>1057.0131811845681</v>
      </c>
      <c r="EC35" s="466">
        <f ca="1"/>
        <v>1.6561348157154043E-2</v>
      </c>
      <c r="ED35" s="466">
        <f ca="1"/>
        <v>1.6560893123462393E-2</v>
      </c>
      <c r="EE35" s="157">
        <f ca="1"/>
        <v>0.65538243697522247</v>
      </c>
      <c r="EF35" s="157">
        <f ca="1"/>
        <v>0.65539138815086129</v>
      </c>
      <c r="EG35" s="157">
        <f ca="1"/>
        <v>-4.0205491527660289E-6</v>
      </c>
      <c r="EH35" s="157">
        <f ca="1"/>
        <v>0.65538334705255574</v>
      </c>
      <c r="EI35" s="468" t="str">
        <f ca="1"/>
        <v>Sec1.</v>
      </c>
      <c r="EJ35" s="470">
        <f ca="1"/>
        <v>6553828.9200891405</v>
      </c>
      <c r="EK35" s="472">
        <f ca="1"/>
        <v>62567.155202535367</v>
      </c>
      <c r="EL35" s="462">
        <f ca="1"/>
        <v>155.70319926128676</v>
      </c>
      <c r="EM35" s="464">
        <f ca="1"/>
        <v>257.83904485582542</v>
      </c>
      <c r="EN35" s="464">
        <f ca="1"/>
        <v>178.5541864025804</v>
      </c>
      <c r="EO35" s="466" t="e">
        <f ca="1"/>
        <v>#DIV/0!</v>
      </c>
      <c r="EP35" s="466">
        <f ca="1"/>
        <v>1.4168352776042118E-2</v>
      </c>
      <c r="EQ35" s="157">
        <f ca="1"/>
        <v>0.11070938366682284</v>
      </c>
      <c r="ER35" s="157">
        <f ca="1"/>
        <v>0.1107030182713333</v>
      </c>
      <c r="ES35" s="157">
        <f ca="1"/>
        <v>3.5719973017169729E-6</v>
      </c>
      <c r="ET35" s="157">
        <f ca="1"/>
        <v>0.11071016226593675</v>
      </c>
      <c r="EU35" s="468" t="str">
        <f ca="1"/>
        <v>Prim.</v>
      </c>
      <c r="EV35" s="470">
        <f ca="1"/>
        <v>1107065.9026863503</v>
      </c>
      <c r="EW35" s="472">
        <f ca="1"/>
        <v>10604.157156875506</v>
      </c>
      <c r="EX35" s="462">
        <f ca="1"/>
        <v>323.93851840486064</v>
      </c>
      <c r="EY35" s="464">
        <f ca="1"/>
        <v>69.225966705187801</v>
      </c>
      <c r="EZ35" s="464">
        <f ca="1"/>
        <v>368.47585813442942</v>
      </c>
      <c r="FA35" s="466">
        <f ca="1"/>
        <v>5.0258813087538101E-3</v>
      </c>
      <c r="FB35" s="466">
        <f ca="1"/>
        <v>5.0257432193227519E-3</v>
      </c>
      <c r="FC35" s="157">
        <f ca="1"/>
        <v>0.22846697673159005</v>
      </c>
      <c r="FD35" s="157">
        <f ca="1"/>
        <v>0.22846476303667707</v>
      </c>
      <c r="FE35" s="157">
        <f ca="1"/>
        <v>1.2449382874907197E-6</v>
      </c>
      <c r="FF35" s="157">
        <f ca="1"/>
        <v>0.22846725291325204</v>
      </c>
      <c r="FG35" s="468" t="str">
        <f ca="1"/>
        <v>Prim.</v>
      </c>
      <c r="FH35" s="470">
        <f ca="1"/>
        <v>2284660.0797496457</v>
      </c>
      <c r="FI35" s="472">
        <f ca="1"/>
        <v>21823.196141018569</v>
      </c>
      <c r="FJ35" s="173">
        <f t="shared" ca="1" si="4"/>
        <v>28129818.054551881</v>
      </c>
      <c r="FK35" s="173">
        <f t="shared" ca="1" si="4"/>
        <v>268593.42735367402</v>
      </c>
      <c r="FL35" s="462">
        <f ca="1"/>
        <v>29.623149223419578</v>
      </c>
      <c r="FM35" s="464">
        <f ca="1"/>
        <v>330.54745435137005</v>
      </c>
      <c r="FN35" s="464">
        <f ca="1"/>
        <v>30.411864283689475</v>
      </c>
      <c r="FO35" s="466">
        <f ca="1"/>
        <v>2.1538263447951067E-4</v>
      </c>
      <c r="FP35" s="466">
        <f ca="1"/>
        <v>2.1538230677008087E-4</v>
      </c>
      <c r="FQ35" s="157">
        <f ca="1"/>
        <v>5.6572656121349815E-3</v>
      </c>
      <c r="FR35" s="157">
        <f ca="1"/>
        <v>5.657266267461358E-3</v>
      </c>
      <c r="FS35" s="157">
        <f ca="1"/>
        <v>5.6578587824504256E-3</v>
      </c>
      <c r="FT35" s="468" t="str">
        <f ca="1"/>
        <v>Sec1.</v>
      </c>
      <c r="FU35" s="470">
        <f ca="1"/>
        <v>5657.2659398444112</v>
      </c>
      <c r="FV35" s="470">
        <f ca="1"/>
        <v>48.182672730755449</v>
      </c>
      <c r="FW35" s="462">
        <f ca="1"/>
        <v>-1.367125271867712</v>
      </c>
      <c r="FX35" s="464">
        <f ca="1"/>
        <v>296.99003062894542</v>
      </c>
      <c r="FY35" s="464">
        <f ca="1"/>
        <v>-0.65848115186771194</v>
      </c>
      <c r="FZ35" s="466">
        <f ca="1"/>
        <v>1.9351682917090329E-4</v>
      </c>
      <c r="GA35" s="466">
        <f ca="1"/>
        <v>1.9351653474714131E-4</v>
      </c>
      <c r="GB35" s="157">
        <f ca="1"/>
        <v>-1.2249175985893585E-4</v>
      </c>
      <c r="GC35" s="157">
        <f ca="1"/>
        <v>-1.2249117106178072E-4</v>
      </c>
      <c r="GD35" s="157">
        <f ca="1"/>
        <v>-1.224887552616206E-4</v>
      </c>
      <c r="GE35" s="468" t="str">
        <f ca="1"/>
        <v>Sec1.</v>
      </c>
      <c r="GF35" s="470">
        <f ca="1"/>
        <v>-122.49146543517386</v>
      </c>
      <c r="GG35" s="470">
        <f ca="1"/>
        <v>-1.0432541538847906</v>
      </c>
      <c r="GH35" s="173">
        <f t="shared" ca="1" si="2"/>
        <v>5534.774474409237</v>
      </c>
      <c r="GI35" s="173">
        <f t="shared" ca="1" si="2"/>
        <v>47.139418576870661</v>
      </c>
    </row>
    <row r="36" spans="1:191" ht="15">
      <c r="B36" s="169"/>
      <c r="C36" s="87">
        <f>'Oil supply projection'!B36</f>
        <v>2045</v>
      </c>
      <c r="D36" s="460">
        <f ca="1"/>
        <v>277489544.51692486</v>
      </c>
      <c r="E36" s="460">
        <f ca="1"/>
        <v>16083447.674684061</v>
      </c>
      <c r="F36" s="462">
        <f ca="1"/>
        <v>0.37257908056981509</v>
      </c>
      <c r="G36" s="464">
        <f ca="1"/>
        <v>0</v>
      </c>
      <c r="H36" s="464">
        <f ca="1"/>
        <v>0.37257908056981509</v>
      </c>
      <c r="I36" s="466" t="e">
        <f ca="1"/>
        <v>#DIV/0!</v>
      </c>
      <c r="J36" s="466" t="e">
        <f ca="1"/>
        <v>#DIV/0!</v>
      </c>
      <c r="K36" s="157">
        <f ca="1"/>
        <v>35.738756721919707</v>
      </c>
      <c r="L36" s="157">
        <f ca="1"/>
        <v>37.782699270455872</v>
      </c>
      <c r="M36" s="157" t="e">
        <f ca="1"/>
        <v>#DIV/0!</v>
      </c>
      <c r="N36" s="157" t="e">
        <f ca="1"/>
        <v>#DIV/0!</v>
      </c>
      <c r="O36" s="468" t="e">
        <f ca="1"/>
        <v>#DIV/0!</v>
      </c>
      <c r="P36" s="470" t="e">
        <f ca="1"/>
        <v>#DIV/0!</v>
      </c>
      <c r="Q36" s="472" t="e">
        <f ca="1"/>
        <v>#DIV/0!</v>
      </c>
      <c r="R36" s="462">
        <f ca="1"/>
        <v>0.49905233906119212</v>
      </c>
      <c r="S36" s="464">
        <f ca="1"/>
        <v>0</v>
      </c>
      <c r="T36" s="464">
        <f ca="1"/>
        <v>0.49905233906119212</v>
      </c>
      <c r="U36" s="466" t="e">
        <f ca="1"/>
        <v>#DIV/0!</v>
      </c>
      <c r="V36" s="466" t="e">
        <f ca="1"/>
        <v>#DIV/0!</v>
      </c>
      <c r="W36" s="157">
        <f ca="1"/>
        <v>47.870401392197479</v>
      </c>
      <c r="X36" s="157">
        <f ca="1"/>
        <v>49.896990342213115</v>
      </c>
      <c r="Y36" s="157" t="e">
        <f ca="1"/>
        <v>#DIV/0!</v>
      </c>
      <c r="Z36" s="157" t="e">
        <f ca="1"/>
        <v>#DIV/0!</v>
      </c>
      <c r="AA36" s="468" t="e">
        <f ca="1"/>
        <v>#DIV/0!</v>
      </c>
      <c r="AB36" s="470" t="e">
        <f ca="1"/>
        <v>#DIV/0!</v>
      </c>
      <c r="AC36" s="472" t="e">
        <f ca="1"/>
        <v>#DIV/0!</v>
      </c>
      <c r="AD36" s="462">
        <f ca="1"/>
        <v>6.3373504171243775</v>
      </c>
      <c r="AE36" s="464">
        <f ca="1"/>
        <v>0</v>
      </c>
      <c r="AF36" s="464">
        <f ca="1"/>
        <v>6.3373504171243775</v>
      </c>
      <c r="AG36" s="466" t="e">
        <f ca="1"/>
        <v>#DIV/0!</v>
      </c>
      <c r="AH36" s="466" t="e">
        <f ca="1"/>
        <v>#DIV/0!</v>
      </c>
      <c r="AI36" s="157">
        <f ca="1"/>
        <v>607.89517348310778</v>
      </c>
      <c r="AJ36" s="157">
        <f ca="1"/>
        <v>637.48533927880999</v>
      </c>
      <c r="AK36" s="157" t="e">
        <f ca="1"/>
        <v>#DIV/0!</v>
      </c>
      <c r="AL36" s="157" t="e">
        <f ca="1"/>
        <v>#DIV/0!</v>
      </c>
      <c r="AM36" s="468" t="e">
        <f ca="1"/>
        <v>#DIV/0!</v>
      </c>
      <c r="AN36" s="470" t="e">
        <f ca="1"/>
        <v>#DIV/0!</v>
      </c>
      <c r="AO36" s="472" t="e">
        <f ca="1"/>
        <v>#DIV/0!</v>
      </c>
      <c r="AP36" s="462">
        <f ca="1"/>
        <v>10.86437651791505</v>
      </c>
      <c r="AQ36" s="464" t="e">
        <f ca="1"/>
        <v>#NUM!</v>
      </c>
      <c r="AR36" s="464" t="e">
        <f ca="1"/>
        <v>#NUM!</v>
      </c>
      <c r="AS36" s="466" t="e">
        <f ca="1"/>
        <v>#NUM!</v>
      </c>
      <c r="AT36" s="466" t="e">
        <f ca="1"/>
        <v>#DIV/0!</v>
      </c>
      <c r="AU36" s="157" t="e">
        <f ca="1"/>
        <v>#NUM!</v>
      </c>
      <c r="AV36" s="157">
        <f ca="1"/>
        <v>1148.580461664031</v>
      </c>
      <c r="AW36" s="157" t="e">
        <f ca="1"/>
        <v>#DIV/0!</v>
      </c>
      <c r="AX36" s="157" t="e">
        <f ca="1"/>
        <v>#DIV/0!</v>
      </c>
      <c r="AY36" s="468" t="e">
        <f ca="1"/>
        <v>#DIV/0!</v>
      </c>
      <c r="AZ36" s="470" t="e">
        <f ca="1"/>
        <v>#DIV/0!</v>
      </c>
      <c r="BA36" s="472" t="e">
        <f ca="1"/>
        <v>#DIV/0!</v>
      </c>
      <c r="BB36" s="173" t="e">
        <f t="shared" ca="1" si="0"/>
        <v>#DIV/0!</v>
      </c>
      <c r="BC36" s="173" t="e">
        <f t="shared" ca="1" si="1"/>
        <v>#DIV/0!</v>
      </c>
      <c r="BD36" s="462">
        <f ca="1"/>
        <v>4.4826956585214885</v>
      </c>
      <c r="BE36" s="464">
        <f ca="1"/>
        <v>0</v>
      </c>
      <c r="BF36" s="464">
        <f ca="1"/>
        <v>4.4826956585214885</v>
      </c>
      <c r="BG36" s="466" t="e">
        <f ca="1"/>
        <v>#DIV/0!</v>
      </c>
      <c r="BH36" s="466" t="e">
        <f ca="1"/>
        <v>#DIV/0!</v>
      </c>
      <c r="BI36" s="157">
        <f ca="1"/>
        <v>17.786749139881998</v>
      </c>
      <c r="BJ36" s="157">
        <f ca="1"/>
        <v>18.725476878582</v>
      </c>
      <c r="BK36" s="157" t="e">
        <f ca="1"/>
        <v>#DIV/0!</v>
      </c>
      <c r="BL36" s="157" t="e">
        <f ca="1"/>
        <v>#DIV/0!</v>
      </c>
      <c r="BM36" s="468" t="e">
        <f ca="1"/>
        <v>#DIV/0!</v>
      </c>
      <c r="BN36" s="470" t="e">
        <f ca="1"/>
        <v>#DIV/0!</v>
      </c>
      <c r="BO36" s="472" t="e">
        <f ca="1"/>
        <v>#DIV/0!</v>
      </c>
      <c r="BP36" s="462">
        <f ca="1"/>
        <v>3.3373123952591999</v>
      </c>
      <c r="BQ36" s="464">
        <f ca="1"/>
        <v>0</v>
      </c>
      <c r="BR36" s="464">
        <f ca="1"/>
        <v>3.3373123952591999</v>
      </c>
      <c r="BS36" s="466" t="e">
        <f ca="1"/>
        <v>#DIV/0!</v>
      </c>
      <c r="BT36" s="466" t="e">
        <f ca="1"/>
        <v>#DIV/0!</v>
      </c>
      <c r="BU36" s="157">
        <f ca="1"/>
        <v>13.242018396464726</v>
      </c>
      <c r="BV36" s="157">
        <f ca="1"/>
        <v>13.782976248243001</v>
      </c>
      <c r="BW36" s="157" t="e">
        <f ca="1"/>
        <v>#DIV/0!</v>
      </c>
      <c r="BX36" s="157" t="e">
        <f ca="1"/>
        <v>#DIV/0!</v>
      </c>
      <c r="BY36" s="468" t="e">
        <f ca="1"/>
        <v>#DIV/0!</v>
      </c>
      <c r="BZ36" s="470" t="e">
        <f ca="1"/>
        <v>#DIV/0!</v>
      </c>
      <c r="CA36" s="472" t="e">
        <f ca="1"/>
        <v>#DIV/0!</v>
      </c>
      <c r="CB36" s="462">
        <f ca="1"/>
        <v>11.090995029165843</v>
      </c>
      <c r="CC36" s="464">
        <f ca="1"/>
        <v>0</v>
      </c>
      <c r="CD36" s="464">
        <f ca="1"/>
        <v>11.090995029165843</v>
      </c>
      <c r="CE36" s="466" t="e">
        <f ca="1"/>
        <v>#DIV/0!</v>
      </c>
      <c r="CF36" s="466" t="e">
        <f ca="1"/>
        <v>#DIV/0!</v>
      </c>
      <c r="CG36" s="157">
        <f ca="1"/>
        <v>44.00761535538124</v>
      </c>
      <c r="CH36" s="157">
        <f ca="1"/>
        <v>46.116997885958995</v>
      </c>
      <c r="CI36" s="157" t="e">
        <f ca="1"/>
        <v>#DIV/0!</v>
      </c>
      <c r="CJ36" s="157" t="e">
        <f ca="1"/>
        <v>#DIV/0!</v>
      </c>
      <c r="CK36" s="468" t="e">
        <f ca="1"/>
        <v>#DIV/0!</v>
      </c>
      <c r="CL36" s="470" t="e">
        <f ca="1"/>
        <v>#DIV/0!</v>
      </c>
      <c r="CM36" s="472" t="e">
        <f ca="1"/>
        <v>#DIV/0!</v>
      </c>
      <c r="CN36" s="462">
        <f ca="1"/>
        <v>1.5317755570280158</v>
      </c>
      <c r="CO36" s="464" t="e">
        <f ca="1"/>
        <v>#NUM!</v>
      </c>
      <c r="CP36" s="464" t="e">
        <f ca="1"/>
        <v>#NUM!</v>
      </c>
      <c r="CQ36" s="466" t="e">
        <f ca="1"/>
        <v>#NUM!</v>
      </c>
      <c r="CR36" s="466" t="e">
        <f ca="1"/>
        <v>#DIV/0!</v>
      </c>
      <c r="CS36" s="157" t="e">
        <f ca="1"/>
        <v>#NUM!</v>
      </c>
      <c r="CT36" s="157">
        <f ca="1"/>
        <v>6.663813784836</v>
      </c>
      <c r="CU36" s="157" t="e">
        <f ca="1"/>
        <v>#DIV/0!</v>
      </c>
      <c r="CV36" s="157" t="e">
        <f ca="1"/>
        <v>#DIV/0!</v>
      </c>
      <c r="CW36" s="468" t="e">
        <f ca="1"/>
        <v>#DIV/0!</v>
      </c>
      <c r="CX36" s="470" t="e">
        <f ca="1"/>
        <v>#DIV/0!</v>
      </c>
      <c r="CY36" s="472" t="e">
        <f ca="1"/>
        <v>#DIV/0!</v>
      </c>
      <c r="CZ36" s="173" t="e">
        <f t="shared" ca="1" si="3"/>
        <v>#DIV/0!</v>
      </c>
      <c r="DA36" s="173" t="e">
        <f t="shared" ca="1" si="3"/>
        <v>#DIV/0!</v>
      </c>
      <c r="DB36" s="462">
        <f ca="1"/>
        <v>1436.0442987428787</v>
      </c>
      <c r="DC36" s="464">
        <f ca="1"/>
        <v>0</v>
      </c>
      <c r="DD36" s="464">
        <f ca="1"/>
        <v>1436.0442987428787</v>
      </c>
      <c r="DE36" s="466" t="e">
        <f ca="1"/>
        <v>#DIV/0!</v>
      </c>
      <c r="DF36" s="466" t="e">
        <f ca="1"/>
        <v>#DIV/0!</v>
      </c>
      <c r="DG36" s="157">
        <f ca="1"/>
        <v>16226.974593738714</v>
      </c>
      <c r="DH36" s="157">
        <f ca="1"/>
        <v>18182.166582542046</v>
      </c>
      <c r="DI36" s="157" t="e">
        <f ca="1"/>
        <v>#DIV/0!</v>
      </c>
      <c r="DJ36" s="157" t="e">
        <f ca="1"/>
        <v>#DIV/0!</v>
      </c>
      <c r="DK36" s="468" t="e">
        <f ca="1"/>
        <v>#DIV/0!</v>
      </c>
      <c r="DL36" s="470" t="e">
        <f ca="1"/>
        <v>#DIV/0!</v>
      </c>
      <c r="DM36" s="472" t="e">
        <f ca="1"/>
        <v>#DIV/0!</v>
      </c>
      <c r="DN36" s="462">
        <f ca="1"/>
        <v>1203.4704741673665</v>
      </c>
      <c r="DO36" s="464">
        <f ca="1"/>
        <v>0</v>
      </c>
      <c r="DP36" s="464">
        <f ca="1"/>
        <v>1203.4704741673665</v>
      </c>
      <c r="DQ36" s="466" t="e">
        <f ca="1"/>
        <v>#DIV/0!</v>
      </c>
      <c r="DR36" s="466" t="e">
        <f ca="1"/>
        <v>#DIV/0!</v>
      </c>
      <c r="DS36" s="157">
        <f ca="1"/>
        <v>13598.943170293605</v>
      </c>
      <c r="DT36" s="157">
        <f ca="1"/>
        <v>15185.803388950409</v>
      </c>
      <c r="DU36" s="157" t="e">
        <f ca="1"/>
        <v>#DIV/0!</v>
      </c>
      <c r="DV36" s="157" t="e">
        <f ca="1"/>
        <v>#DIV/0!</v>
      </c>
      <c r="DW36" s="468" t="e">
        <f ca="1"/>
        <v>#DIV/0!</v>
      </c>
      <c r="DX36" s="470" t="e">
        <f ca="1"/>
        <v>#DIV/0!</v>
      </c>
      <c r="DY36" s="472" t="e">
        <f ca="1"/>
        <v>#DIV/0!</v>
      </c>
      <c r="DZ36" s="462">
        <f ca="1"/>
        <v>845.61171917959348</v>
      </c>
      <c r="EA36" s="464">
        <f ca="1"/>
        <v>0</v>
      </c>
      <c r="EB36" s="464">
        <f ca="1"/>
        <v>845.61171917959348</v>
      </c>
      <c r="EC36" s="466" t="e">
        <f ca="1"/>
        <v>#DIV/0!</v>
      </c>
      <c r="ED36" s="466" t="e">
        <f ca="1"/>
        <v>#DIV/0!</v>
      </c>
      <c r="EE36" s="157">
        <f ca="1"/>
        <v>9555.2204728691522</v>
      </c>
      <c r="EF36" s="157">
        <f ca="1"/>
        <v>11997.021511258306</v>
      </c>
      <c r="EG36" s="157" t="e">
        <f ca="1"/>
        <v>#DIV/0!</v>
      </c>
      <c r="EH36" s="157" t="e">
        <f ca="1"/>
        <v>#DIV/0!</v>
      </c>
      <c r="EI36" s="468" t="e">
        <f ca="1"/>
        <v>#DIV/0!</v>
      </c>
      <c r="EJ36" s="470" t="e">
        <f ca="1"/>
        <v>#DIV/0!</v>
      </c>
      <c r="EK36" s="472" t="e">
        <f ca="1"/>
        <v>#DIV/0!</v>
      </c>
      <c r="EL36" s="462">
        <f ca="1"/>
        <v>160.69989792775226</v>
      </c>
      <c r="EM36" s="464" t="e">
        <f ca="1"/>
        <v>#NUM!</v>
      </c>
      <c r="EN36" s="464" t="e">
        <f ca="1"/>
        <v>#NUM!</v>
      </c>
      <c r="EO36" s="466" t="e">
        <f ca="1"/>
        <v>#NUM!</v>
      </c>
      <c r="EP36" s="466" t="e">
        <f ca="1"/>
        <v>#DIV/0!</v>
      </c>
      <c r="EQ36" s="157" t="e">
        <f ca="1"/>
        <v>#NUM!</v>
      </c>
      <c r="ER36" s="157">
        <f ca="1"/>
        <v>2075.5113957235631</v>
      </c>
      <c r="ES36" s="157" t="e">
        <f ca="1"/>
        <v>#DIV/0!</v>
      </c>
      <c r="ET36" s="157" t="e">
        <f ca="1"/>
        <v>#DIV/0!</v>
      </c>
      <c r="EU36" s="468" t="e">
        <f ca="1"/>
        <v>#DIV/0!</v>
      </c>
      <c r="EV36" s="470" t="e">
        <f ca="1"/>
        <v>#DIV/0!</v>
      </c>
      <c r="EW36" s="472" t="e">
        <f ca="1"/>
        <v>#DIV/0!</v>
      </c>
      <c r="EX36" s="462">
        <f ca="1"/>
        <v>331.62867320889035</v>
      </c>
      <c r="EY36" s="464" t="e">
        <f ca="1"/>
        <v>#NUM!</v>
      </c>
      <c r="EZ36" s="464" t="e">
        <f ca="1"/>
        <v>#NUM!</v>
      </c>
      <c r="FA36" s="466" t="e">
        <f ca="1"/>
        <v>#NUM!</v>
      </c>
      <c r="FB36" s="466" t="e">
        <f ca="1"/>
        <v>#DIV/0!</v>
      </c>
      <c r="FC36" s="157" t="e">
        <f ca="1"/>
        <v>#NUM!</v>
      </c>
      <c r="FD36" s="157">
        <f ca="1"/>
        <v>4266.3488055978123</v>
      </c>
      <c r="FE36" s="157" t="e">
        <f ca="1"/>
        <v>#DIV/0!</v>
      </c>
      <c r="FF36" s="157" t="e">
        <f ca="1"/>
        <v>#DIV/0!</v>
      </c>
      <c r="FG36" s="468" t="e">
        <f ca="1"/>
        <v>#DIV/0!</v>
      </c>
      <c r="FH36" s="470" t="e">
        <f ca="1"/>
        <v>#DIV/0!</v>
      </c>
      <c r="FI36" s="472" t="e">
        <f ca="1"/>
        <v>#DIV/0!</v>
      </c>
      <c r="FJ36" s="173" t="e">
        <f t="shared" ca="1" si="4"/>
        <v>#DIV/0!</v>
      </c>
      <c r="FK36" s="173" t="e">
        <f t="shared" ca="1" si="4"/>
        <v>#DIV/0!</v>
      </c>
      <c r="FL36" s="462">
        <f ca="1"/>
        <v>29.195393094277666</v>
      </c>
      <c r="FM36" s="464">
        <f ca="1"/>
        <v>0</v>
      </c>
      <c r="FN36" s="464">
        <f ca="1"/>
        <v>29.195393094277666</v>
      </c>
      <c r="FO36" s="466" t="e">
        <f ca="1"/>
        <v>#DIV/0!</v>
      </c>
      <c r="FP36" s="466" t="e">
        <f ca="1"/>
        <v>#DIV/0!</v>
      </c>
      <c r="FQ36" s="157">
        <f ca="1"/>
        <v>1805.8923968544589</v>
      </c>
      <c r="FR36" s="157" t="e">
        <f ca="1"/>
        <v>#DIV/0!</v>
      </c>
      <c r="FS36" s="157">
        <f ca="1"/>
        <v>1875.877804931481</v>
      </c>
      <c r="FT36" s="468" t="e">
        <f ca="1"/>
        <v>#DIV/0!</v>
      </c>
      <c r="FU36" s="470" t="e">
        <f ca="1"/>
        <v>#DIV/0!</v>
      </c>
      <c r="FV36" s="470" t="e">
        <f ca="1"/>
        <v>#DIV/0!</v>
      </c>
      <c r="FW36" s="462">
        <f ca="1"/>
        <v>-0.63213886719386669</v>
      </c>
      <c r="FX36" s="464" t="e">
        <f ca="1"/>
        <v>#NUM!</v>
      </c>
      <c r="FY36" s="464" t="e">
        <f ca="1"/>
        <v>#NUM!</v>
      </c>
      <c r="FZ36" s="466" t="e">
        <f ca="1"/>
        <v>#NUM!</v>
      </c>
      <c r="GA36" s="466" t="e">
        <f ca="1"/>
        <v>#DIV/0!</v>
      </c>
      <c r="GB36" s="157" t="e">
        <f ca="1"/>
        <v>#NUM!</v>
      </c>
      <c r="GC36" s="157" t="e">
        <f ca="1"/>
        <v>#DIV/0!</v>
      </c>
      <c r="GD36" s="157">
        <f ca="1"/>
        <v>-66.033906093116997</v>
      </c>
      <c r="GE36" s="468" t="e">
        <f ca="1"/>
        <v>#DIV/0!</v>
      </c>
      <c r="GF36" s="470" t="e">
        <f ca="1"/>
        <v>#DIV/0!</v>
      </c>
      <c r="GG36" s="470" t="e">
        <f ca="1"/>
        <v>#DIV/0!</v>
      </c>
      <c r="GH36" s="173" t="e">
        <f t="shared" ca="1" si="2"/>
        <v>#DIV/0!</v>
      </c>
      <c r="GI36" s="173" t="e">
        <f t="shared" ca="1" si="2"/>
        <v>#DIV/0!</v>
      </c>
    </row>
    <row r="37" spans="1:191" ht="15">
      <c r="B37" s="169"/>
      <c r="C37" s="87">
        <f>'Oil supply projection'!B37</f>
        <v>2046</v>
      </c>
      <c r="D37" s="460" t="e">
        <f ca="1"/>
        <v>#DIV/0!</v>
      </c>
      <c r="E37" s="460" t="e">
        <f ca="1"/>
        <v>#DIV/0!</v>
      </c>
      <c r="F37" s="462" t="e">
        <f ca="1"/>
        <v>#DIV/0!</v>
      </c>
      <c r="G37" s="464">
        <f ca="1"/>
        <v>0</v>
      </c>
      <c r="H37" s="464" t="e">
        <f ca="1"/>
        <v>#DIV/0!</v>
      </c>
      <c r="I37" s="466" t="e">
        <f ca="1"/>
        <v>#DIV/0!</v>
      </c>
      <c r="J37" s="157" t="e">
        <f ca="1"/>
        <v>#DIV/0!</v>
      </c>
      <c r="K37" s="157" t="e">
        <f ca="1"/>
        <v>#DIV/0!</v>
      </c>
      <c r="L37" s="157">
        <f ca="1"/>
        <v>37.495823611926753</v>
      </c>
      <c r="M37" s="157" t="e">
        <f ca="1"/>
        <v>#DIV/0!</v>
      </c>
      <c r="N37" s="157" t="e">
        <f ca="1"/>
        <v>#DIV/0!</v>
      </c>
      <c r="O37" s="468" t="e">
        <f ca="1"/>
        <v>#DIV/0!</v>
      </c>
      <c r="P37" s="470" t="e">
        <f ca="1"/>
        <v>#DIV/0!</v>
      </c>
      <c r="Q37" s="472" t="e">
        <f ca="1"/>
        <v>#DIV/0!</v>
      </c>
      <c r="R37" s="462" t="e">
        <f ca="1"/>
        <v>#DIV/0!</v>
      </c>
      <c r="S37" s="464">
        <f ca="1"/>
        <v>0</v>
      </c>
      <c r="T37" s="464" t="e">
        <f ca="1"/>
        <v>#DIV/0!</v>
      </c>
      <c r="U37" s="466" t="e">
        <f ca="1"/>
        <v>#DIV/0!</v>
      </c>
      <c r="V37" s="157" t="e">
        <f ca="1"/>
        <v>#DIV/0!</v>
      </c>
      <c r="W37" s="157" t="e">
        <f ca="1"/>
        <v>#DIV/0!</v>
      </c>
      <c r="X37" s="157">
        <f ca="1"/>
        <v>49.853102547025244</v>
      </c>
      <c r="Y37" s="157" t="e">
        <f ca="1"/>
        <v>#DIV/0!</v>
      </c>
      <c r="Z37" s="157" t="e">
        <f ca="1"/>
        <v>#DIV/0!</v>
      </c>
      <c r="AA37" s="468" t="e">
        <f ca="1"/>
        <v>#DIV/0!</v>
      </c>
      <c r="AB37" s="470" t="e">
        <f ca="1"/>
        <v>#DIV/0!</v>
      </c>
      <c r="AC37" s="472" t="e">
        <f ca="1"/>
        <v>#DIV/0!</v>
      </c>
      <c r="AD37" s="462" t="e">
        <f ca="1"/>
        <v>#DIV/0!</v>
      </c>
      <c r="AE37" s="464">
        <f ca="1"/>
        <v>0</v>
      </c>
      <c r="AF37" s="464" t="e">
        <f ca="1"/>
        <v>#DIV/0!</v>
      </c>
      <c r="AG37" s="466" t="e">
        <f ca="1"/>
        <v>#DIV/0!</v>
      </c>
      <c r="AH37" s="157" t="e">
        <f ca="1"/>
        <v>#DIV/0!</v>
      </c>
      <c r="AI37" s="157" t="e">
        <f ca="1"/>
        <v>#DIV/0!</v>
      </c>
      <c r="AJ37" s="157">
        <f ca="1"/>
        <v>641.18986983575996</v>
      </c>
      <c r="AK37" s="157" t="e">
        <f ca="1"/>
        <v>#DIV/0!</v>
      </c>
      <c r="AL37" s="157" t="e">
        <f ca="1"/>
        <v>#DIV/0!</v>
      </c>
      <c r="AM37" s="468" t="e">
        <f ca="1"/>
        <v>#DIV/0!</v>
      </c>
      <c r="AN37" s="470" t="e">
        <f ca="1"/>
        <v>#DIV/0!</v>
      </c>
      <c r="AO37" s="472" t="e">
        <f ca="1"/>
        <v>#DIV/0!</v>
      </c>
      <c r="AP37" s="462" t="e">
        <f ca="1"/>
        <v>#DIV/0!</v>
      </c>
      <c r="AQ37" s="464" t="e">
        <f ca="1"/>
        <v>#NUM!</v>
      </c>
      <c r="AR37" s="464" t="e">
        <f ca="1"/>
        <v>#NUM!</v>
      </c>
      <c r="AS37" s="466" t="e">
        <f ca="1"/>
        <v>#NUM!</v>
      </c>
      <c r="AT37" s="157" t="e">
        <f ca="1"/>
        <v>#DIV/0!</v>
      </c>
      <c r="AU37" s="157" t="e">
        <f ca="1"/>
        <v>#NUM!</v>
      </c>
      <c r="AV37" s="157">
        <f ca="1"/>
        <v>1151.8163971052879</v>
      </c>
      <c r="AW37" s="157" t="e">
        <f ca="1"/>
        <v>#DIV/0!</v>
      </c>
      <c r="AX37" s="157" t="e">
        <f ca="1"/>
        <v>#DIV/0!</v>
      </c>
      <c r="AY37" s="468" t="e">
        <f ca="1"/>
        <v>#DIV/0!</v>
      </c>
      <c r="AZ37" s="470" t="e">
        <f ca="1"/>
        <v>#DIV/0!</v>
      </c>
      <c r="BA37" s="472" t="e">
        <f ca="1"/>
        <v>#DIV/0!</v>
      </c>
      <c r="BB37" s="173" t="e">
        <f t="shared" ca="1" si="0"/>
        <v>#DIV/0!</v>
      </c>
      <c r="BC37" s="173" t="e">
        <f t="shared" ca="1" si="1"/>
        <v>#DIV/0!</v>
      </c>
      <c r="BD37" s="462" t="e">
        <f ca="1"/>
        <v>#DIV/0!</v>
      </c>
      <c r="BE37" s="464">
        <f ca="1"/>
        <v>0</v>
      </c>
      <c r="BF37" s="464" t="e">
        <f ca="1"/>
        <v>#DIV/0!</v>
      </c>
      <c r="BG37" s="466" t="e">
        <f ca="1"/>
        <v>#DIV/0!</v>
      </c>
      <c r="BH37" s="157" t="e">
        <f ca="1"/>
        <v>#DIV/0!</v>
      </c>
      <c r="BI37" s="157" t="e">
        <f ca="1"/>
        <v>#DIV/0!</v>
      </c>
      <c r="BJ37" s="157">
        <f ca="1"/>
        <v>18.937547028424998</v>
      </c>
      <c r="BK37" s="157" t="e">
        <f ca="1"/>
        <v>#DIV/0!</v>
      </c>
      <c r="BL37" s="157" t="e">
        <f ca="1"/>
        <v>#DIV/0!</v>
      </c>
      <c r="BM37" s="468" t="e">
        <f ca="1"/>
        <v>#DIV/0!</v>
      </c>
      <c r="BN37" s="470" t="e">
        <f ca="1"/>
        <v>#DIV/0!</v>
      </c>
      <c r="BO37" s="472" t="e">
        <f ca="1"/>
        <v>#DIV/0!</v>
      </c>
      <c r="BP37" s="462" t="e">
        <f ca="1"/>
        <v>#DIV/0!</v>
      </c>
      <c r="BQ37" s="464">
        <f ca="1"/>
        <v>0</v>
      </c>
      <c r="BR37" s="464" t="e">
        <f ca="1"/>
        <v>#DIV/0!</v>
      </c>
      <c r="BS37" s="466" t="e">
        <f ca="1"/>
        <v>#DIV/0!</v>
      </c>
      <c r="BT37" s="157" t="e">
        <f ca="1"/>
        <v>#DIV/0!</v>
      </c>
      <c r="BU37" s="157" t="e">
        <f ca="1"/>
        <v>#DIV/0!</v>
      </c>
      <c r="BV37" s="157">
        <f ca="1"/>
        <v>13.923597789218999</v>
      </c>
      <c r="BW37" s="157" t="e">
        <f ca="1"/>
        <v>#DIV/0!</v>
      </c>
      <c r="BX37" s="157" t="e">
        <f ca="1"/>
        <v>#DIV/0!</v>
      </c>
      <c r="BY37" s="468" t="e">
        <f ca="1"/>
        <v>#DIV/0!</v>
      </c>
      <c r="BZ37" s="470" t="e">
        <f ca="1"/>
        <v>#DIV/0!</v>
      </c>
      <c r="CA37" s="472" t="e">
        <f ca="1"/>
        <v>#DIV/0!</v>
      </c>
      <c r="CB37" s="462" t="e">
        <f ca="1"/>
        <v>#DIV/0!</v>
      </c>
      <c r="CC37" s="464">
        <f ca="1"/>
        <v>0</v>
      </c>
      <c r="CD37" s="464" t="e">
        <f ca="1"/>
        <v>#DIV/0!</v>
      </c>
      <c r="CE37" s="466" t="e">
        <f ca="1"/>
        <v>#DIV/0!</v>
      </c>
      <c r="CF37" s="157" t="e">
        <f ca="1"/>
        <v>#DIV/0!</v>
      </c>
      <c r="CG37" s="157" t="e">
        <f ca="1"/>
        <v>#DIV/0!</v>
      </c>
      <c r="CH37" s="157">
        <f ca="1"/>
        <v>46.910552194255999</v>
      </c>
      <c r="CI37" s="157" t="e">
        <f ca="1"/>
        <v>#DIV/0!</v>
      </c>
      <c r="CJ37" s="157" t="e">
        <f ca="1"/>
        <v>#DIV/0!</v>
      </c>
      <c r="CK37" s="468" t="e">
        <f ca="1"/>
        <v>#DIV/0!</v>
      </c>
      <c r="CL37" s="470" t="e">
        <f ca="1"/>
        <v>#DIV/0!</v>
      </c>
      <c r="CM37" s="472" t="e">
        <f ca="1"/>
        <v>#DIV/0!</v>
      </c>
      <c r="CN37" s="462" t="e">
        <f ca="1"/>
        <v>#DIV/0!</v>
      </c>
      <c r="CO37" s="464" t="e">
        <f ca="1"/>
        <v>#NUM!</v>
      </c>
      <c r="CP37" s="464" t="e">
        <f ca="1"/>
        <v>#NUM!</v>
      </c>
      <c r="CQ37" s="466" t="e">
        <f ca="1"/>
        <v>#NUM!</v>
      </c>
      <c r="CR37" s="157" t="e">
        <f ca="1"/>
        <v>#DIV/0!</v>
      </c>
      <c r="CS37" s="157" t="e">
        <f ca="1"/>
        <v>#NUM!</v>
      </c>
      <c r="CT37" s="157">
        <f ca="1"/>
        <v>6.8151133343139998</v>
      </c>
      <c r="CU37" s="157" t="e">
        <f ca="1"/>
        <v>#DIV/0!</v>
      </c>
      <c r="CV37" s="157" t="e">
        <f ca="1"/>
        <v>#DIV/0!</v>
      </c>
      <c r="CW37" s="468" t="e">
        <f ca="1"/>
        <v>#DIV/0!</v>
      </c>
      <c r="CX37" s="470" t="e">
        <f ca="1"/>
        <v>#DIV/0!</v>
      </c>
      <c r="CY37" s="472" t="e">
        <f ca="1"/>
        <v>#DIV/0!</v>
      </c>
      <c r="CZ37" s="173" t="e">
        <f t="shared" ca="1" si="3"/>
        <v>#DIV/0!</v>
      </c>
      <c r="DA37" s="173" t="e">
        <f t="shared" ca="1" si="3"/>
        <v>#DIV/0!</v>
      </c>
      <c r="DB37" s="462" t="e">
        <f ca="1"/>
        <v>#DIV/0!</v>
      </c>
      <c r="DC37" s="464">
        <f ca="1"/>
        <v>0</v>
      </c>
      <c r="DD37" s="464" t="e">
        <f ca="1"/>
        <v>#DIV/0!</v>
      </c>
      <c r="DE37" s="466" t="e">
        <f ca="1"/>
        <v>#DIV/0!</v>
      </c>
      <c r="DF37" s="157" t="e">
        <f ca="1"/>
        <v>#DIV/0!</v>
      </c>
      <c r="DG37" s="157" t="e">
        <f ca="1"/>
        <v>#DIV/0!</v>
      </c>
      <c r="DH37" s="157">
        <f ca="1"/>
        <v>18322.081218921609</v>
      </c>
      <c r="DI37" s="157" t="e">
        <f ca="1"/>
        <v>#DIV/0!</v>
      </c>
      <c r="DJ37" s="157" t="e">
        <f ca="1"/>
        <v>#DIV/0!</v>
      </c>
      <c r="DK37" s="468" t="e">
        <f ca="1"/>
        <v>#DIV/0!</v>
      </c>
      <c r="DL37" s="470" t="e">
        <f ca="1"/>
        <v>#DIV/0!</v>
      </c>
      <c r="DM37" s="472" t="e">
        <f ca="1"/>
        <v>#DIV/0!</v>
      </c>
      <c r="DN37" s="462" t="e">
        <f ca="1"/>
        <v>#DIV/0!</v>
      </c>
      <c r="DO37" s="464">
        <f ca="1"/>
        <v>0</v>
      </c>
      <c r="DP37" s="464" t="e">
        <f ca="1"/>
        <v>#DIV/0!</v>
      </c>
      <c r="DQ37" s="466" t="e">
        <f ca="1"/>
        <v>#DIV/0!</v>
      </c>
      <c r="DR37" s="157" t="e">
        <f ca="1"/>
        <v>#DIV/0!</v>
      </c>
      <c r="DS37" s="157" t="e">
        <f ca="1"/>
        <v>#DIV/0!</v>
      </c>
      <c r="DT37" s="157">
        <f ca="1"/>
        <v>15241.78579436887</v>
      </c>
      <c r="DU37" s="157" t="e">
        <f ca="1"/>
        <v>#DIV/0!</v>
      </c>
      <c r="DV37" s="157" t="e">
        <f ca="1"/>
        <v>#DIV/0!</v>
      </c>
      <c r="DW37" s="468" t="e">
        <f ca="1"/>
        <v>#DIV/0!</v>
      </c>
      <c r="DX37" s="470" t="e">
        <f ca="1"/>
        <v>#DIV/0!</v>
      </c>
      <c r="DY37" s="472" t="e">
        <f ca="1"/>
        <v>#DIV/0!</v>
      </c>
      <c r="DZ37" s="462" t="e">
        <f ca="1"/>
        <v>#DIV/0!</v>
      </c>
      <c r="EA37" s="464">
        <f ca="1"/>
        <v>0</v>
      </c>
      <c r="EB37" s="464" t="e">
        <f ca="1"/>
        <v>#DIV/0!</v>
      </c>
      <c r="EC37" s="466" t="e">
        <f ca="1"/>
        <v>#DIV/0!</v>
      </c>
      <c r="ED37" s="157" t="e">
        <f ca="1"/>
        <v>#DIV/0!</v>
      </c>
      <c r="EE37" s="157" t="e">
        <f ca="1"/>
        <v>#DIV/0!</v>
      </c>
      <c r="EF37" s="157">
        <f ca="1"/>
        <v>12067.191291349736</v>
      </c>
      <c r="EG37" s="157" t="e">
        <f ca="1"/>
        <v>#DIV/0!</v>
      </c>
      <c r="EH37" s="157" t="e">
        <f ca="1"/>
        <v>#DIV/0!</v>
      </c>
      <c r="EI37" s="468" t="e">
        <f ca="1"/>
        <v>#DIV/0!</v>
      </c>
      <c r="EJ37" s="470" t="e">
        <f ca="1"/>
        <v>#DIV/0!</v>
      </c>
      <c r="EK37" s="472" t="e">
        <f ca="1"/>
        <v>#DIV/0!</v>
      </c>
      <c r="EL37" s="462" t="e">
        <f ca="1"/>
        <v>#DIV/0!</v>
      </c>
      <c r="EM37" s="464" t="e">
        <f ca="1"/>
        <v>#NUM!</v>
      </c>
      <c r="EN37" s="464" t="e">
        <f ca="1"/>
        <v>#NUM!</v>
      </c>
      <c r="EO37" s="466" t="e">
        <f ca="1"/>
        <v>#NUM!</v>
      </c>
      <c r="EP37" s="157" t="e">
        <f ca="1"/>
        <v>#DIV/0!</v>
      </c>
      <c r="EQ37" s="157" t="e">
        <f ca="1"/>
        <v>#NUM!</v>
      </c>
      <c r="ER37" s="157">
        <f ca="1"/>
        <v>2129.2972874655984</v>
      </c>
      <c r="ES37" s="157" t="e">
        <f ca="1"/>
        <v>#DIV/0!</v>
      </c>
      <c r="ET37" s="157" t="e">
        <f ca="1"/>
        <v>#DIV/0!</v>
      </c>
      <c r="EU37" s="468" t="e">
        <f ca="1"/>
        <v>#DIV/0!</v>
      </c>
      <c r="EV37" s="470" t="e">
        <f ca="1"/>
        <v>#DIV/0!</v>
      </c>
      <c r="EW37" s="472" t="e">
        <f ca="1"/>
        <v>#DIV/0!</v>
      </c>
      <c r="EX37" s="462" t="e">
        <f ca="1"/>
        <v>#DIV/0!</v>
      </c>
      <c r="EY37" s="464" t="e">
        <f ca="1"/>
        <v>#NUM!</v>
      </c>
      <c r="EZ37" s="464" t="e">
        <f ca="1"/>
        <v>#NUM!</v>
      </c>
      <c r="FA37" s="466" t="e">
        <f ca="1"/>
        <v>#NUM!</v>
      </c>
      <c r="FB37" s="157" t="e">
        <f ca="1"/>
        <v>#DIV/0!</v>
      </c>
      <c r="FC37" s="157" t="e">
        <f ca="1"/>
        <v>#NUM!</v>
      </c>
      <c r="FD37" s="157">
        <f ca="1"/>
        <v>4383.0309071128313</v>
      </c>
      <c r="FE37" s="157" t="e">
        <f ca="1"/>
        <v>#DIV/0!</v>
      </c>
      <c r="FF37" s="157" t="e">
        <f ca="1"/>
        <v>#DIV/0!</v>
      </c>
      <c r="FG37" s="468" t="e">
        <f ca="1"/>
        <v>#DIV/0!</v>
      </c>
      <c r="FH37" s="470" t="e">
        <f ca="1"/>
        <v>#DIV/0!</v>
      </c>
      <c r="FI37" s="472" t="e">
        <f ca="1"/>
        <v>#DIV/0!</v>
      </c>
      <c r="FJ37" s="173" t="e">
        <f t="shared" ca="1" si="4"/>
        <v>#DIV/0!</v>
      </c>
      <c r="FK37" s="173" t="e">
        <f t="shared" ca="1" si="4"/>
        <v>#DIV/0!</v>
      </c>
      <c r="FL37" s="462" t="e">
        <f ca="1"/>
        <v>#DIV/0!</v>
      </c>
      <c r="FM37" s="464">
        <f ca="1"/>
        <v>0</v>
      </c>
      <c r="FN37" s="464" t="e">
        <f ca="1"/>
        <v>#DIV/0!</v>
      </c>
      <c r="FO37" s="466" t="e">
        <f ca="1"/>
        <v>#DIV/0!</v>
      </c>
      <c r="FP37" s="157" t="e">
        <f ca="1"/>
        <v>#DIV/0!</v>
      </c>
      <c r="FQ37" s="157" t="e">
        <f ca="1"/>
        <v>#DIV/0!</v>
      </c>
      <c r="FR37" s="157" t="e">
        <f ca="1"/>
        <v>#DIV/0!</v>
      </c>
      <c r="FS37" s="157">
        <f ca="1"/>
        <v>1907.2002951124139</v>
      </c>
      <c r="FT37" s="468" t="e">
        <f ca="1"/>
        <v>#DIV/0!</v>
      </c>
      <c r="FU37" s="470" t="e">
        <f ca="1"/>
        <v>#DIV/0!</v>
      </c>
      <c r="FV37" s="470" t="e">
        <f ca="1"/>
        <v>#DIV/0!</v>
      </c>
      <c r="FW37" s="462" t="e">
        <f ca="1"/>
        <v>#DIV/0!</v>
      </c>
      <c r="FX37" s="464" t="e">
        <f ca="1"/>
        <v>#NUM!</v>
      </c>
      <c r="FY37" s="464" t="e">
        <f ca="1"/>
        <v>#NUM!</v>
      </c>
      <c r="FZ37" s="466" t="e">
        <f ca="1"/>
        <v>#NUM!</v>
      </c>
      <c r="GA37" s="157" t="e">
        <f ca="1"/>
        <v>#DIV/0!</v>
      </c>
      <c r="GB37" s="157" t="e">
        <f ca="1"/>
        <v>#NUM!</v>
      </c>
      <c r="GC37" s="157" t="e">
        <f ca="1"/>
        <v>#DIV/0!</v>
      </c>
      <c r="GD37" s="157">
        <f ca="1"/>
        <v>1.6419943222099935</v>
      </c>
      <c r="GE37" s="468" t="e">
        <f ca="1"/>
        <v>#DIV/0!</v>
      </c>
      <c r="GF37" s="470" t="e">
        <f ca="1"/>
        <v>#DIV/0!</v>
      </c>
      <c r="GG37" s="470" t="e">
        <f ca="1"/>
        <v>#DIV/0!</v>
      </c>
      <c r="GH37" s="173" t="e">
        <f t="shared" ca="1" si="2"/>
        <v>#DIV/0!</v>
      </c>
      <c r="GI37" s="173" t="e">
        <f t="shared" ca="1" si="2"/>
        <v>#DIV/0!</v>
      </c>
    </row>
    <row r="38" spans="1:191" ht="15">
      <c r="B38" s="169"/>
      <c r="C38" s="87">
        <f>'Oil supply projection'!B38</f>
        <v>2047</v>
      </c>
      <c r="D38" s="460" t="e">
        <f ca="1"/>
        <v>#DIV/0!</v>
      </c>
      <c r="E38" s="460" t="e">
        <f ca="1"/>
        <v>#DIV/0!</v>
      </c>
      <c r="F38" s="462" t="e">
        <f ca="1"/>
        <v>#DIV/0!</v>
      </c>
      <c r="G38" s="464">
        <f ca="1"/>
        <v>0</v>
      </c>
      <c r="H38" s="464" t="e">
        <f ca="1"/>
        <v>#DIV/0!</v>
      </c>
      <c r="I38" s="466" t="e">
        <f ca="1"/>
        <v>#DIV/0!</v>
      </c>
      <c r="J38" s="157" t="e">
        <f ca="1"/>
        <v>#DIV/0!</v>
      </c>
      <c r="K38" s="157" t="e">
        <f ca="1"/>
        <v>#DIV/0!</v>
      </c>
      <c r="L38" s="157">
        <f ca="1"/>
        <v>37.591634147297349</v>
      </c>
      <c r="M38" s="157" t="e">
        <f ca="1"/>
        <v>#DIV/0!</v>
      </c>
      <c r="N38" s="157" t="e">
        <f ca="1"/>
        <v>#DIV/0!</v>
      </c>
      <c r="O38" s="468" t="e">
        <f ca="1"/>
        <v>#DIV/0!</v>
      </c>
      <c r="P38" s="470" t="e">
        <f ca="1"/>
        <v>#DIV/0!</v>
      </c>
      <c r="Q38" s="472" t="e">
        <f ca="1"/>
        <v>#DIV/0!</v>
      </c>
      <c r="R38" s="462" t="e">
        <f ca="1"/>
        <v>#DIV/0!</v>
      </c>
      <c r="S38" s="464">
        <f ca="1"/>
        <v>0</v>
      </c>
      <c r="T38" s="464" t="e">
        <f ca="1"/>
        <v>#DIV/0!</v>
      </c>
      <c r="U38" s="466" t="e">
        <f ca="1"/>
        <v>#DIV/0!</v>
      </c>
      <c r="V38" s="157" t="e">
        <f ca="1"/>
        <v>#DIV/0!</v>
      </c>
      <c r="W38" s="157" t="e">
        <f ca="1"/>
        <v>#DIV/0!</v>
      </c>
      <c r="X38" s="157">
        <f ca="1"/>
        <v>50.26861489864266</v>
      </c>
      <c r="Y38" s="157" t="e">
        <f ca="1"/>
        <v>#DIV/0!</v>
      </c>
      <c r="Z38" s="157" t="e">
        <f ca="1"/>
        <v>#DIV/0!</v>
      </c>
      <c r="AA38" s="468" t="e">
        <f ca="1"/>
        <v>#DIV/0!</v>
      </c>
      <c r="AB38" s="470" t="e">
        <f ca="1"/>
        <v>#DIV/0!</v>
      </c>
      <c r="AC38" s="472" t="e">
        <f ca="1"/>
        <v>#DIV/0!</v>
      </c>
      <c r="AD38" s="462" t="e">
        <f ca="1"/>
        <v>#DIV/0!</v>
      </c>
      <c r="AE38" s="464">
        <f ca="1"/>
        <v>0</v>
      </c>
      <c r="AF38" s="464" t="e">
        <f ca="1"/>
        <v>#DIV/0!</v>
      </c>
      <c r="AG38" s="466" t="e">
        <f ca="1"/>
        <v>#DIV/0!</v>
      </c>
      <c r="AH38" s="157" t="e">
        <f ca="1"/>
        <v>#DIV/0!</v>
      </c>
      <c r="AI38" s="157" t="e">
        <f ca="1"/>
        <v>#DIV/0!</v>
      </c>
      <c r="AJ38" s="157">
        <f ca="1"/>
        <v>652.20885522773403</v>
      </c>
      <c r="AK38" s="157" t="e">
        <f ca="1"/>
        <v>#DIV/0!</v>
      </c>
      <c r="AL38" s="157" t="e">
        <f ca="1"/>
        <v>#DIV/0!</v>
      </c>
      <c r="AM38" s="468" t="e">
        <f ca="1"/>
        <v>#DIV/0!</v>
      </c>
      <c r="AN38" s="470" t="e">
        <f ca="1"/>
        <v>#DIV/0!</v>
      </c>
      <c r="AO38" s="472" t="e">
        <f ca="1"/>
        <v>#DIV/0!</v>
      </c>
      <c r="AP38" s="462" t="e">
        <f ca="1"/>
        <v>#DIV/0!</v>
      </c>
      <c r="AQ38" s="464" t="e">
        <f ca="1"/>
        <v>#NUM!</v>
      </c>
      <c r="AR38" s="464" t="e">
        <f ca="1"/>
        <v>#NUM!</v>
      </c>
      <c r="AS38" s="466" t="e">
        <f ca="1"/>
        <v>#NUM!</v>
      </c>
      <c r="AT38" s="157" t="e">
        <f ca="1"/>
        <v>#DIV/0!</v>
      </c>
      <c r="AU38" s="157" t="e">
        <f ca="1"/>
        <v>#NUM!</v>
      </c>
      <c r="AV38" s="157">
        <f ca="1"/>
        <v>1168.6915948770582</v>
      </c>
      <c r="AW38" s="157" t="e">
        <f ca="1"/>
        <v>#DIV/0!</v>
      </c>
      <c r="AX38" s="157" t="e">
        <f ca="1"/>
        <v>#DIV/0!</v>
      </c>
      <c r="AY38" s="468" t="e">
        <f ca="1"/>
        <v>#DIV/0!</v>
      </c>
      <c r="AZ38" s="470" t="e">
        <f ca="1"/>
        <v>#DIV/0!</v>
      </c>
      <c r="BA38" s="472" t="e">
        <f ca="1"/>
        <v>#DIV/0!</v>
      </c>
      <c r="BB38" s="173" t="e">
        <f t="shared" ca="1" si="0"/>
        <v>#DIV/0!</v>
      </c>
      <c r="BC38" s="173" t="e">
        <f t="shared" ca="1" si="1"/>
        <v>#DIV/0!</v>
      </c>
      <c r="BD38" s="462" t="e">
        <f ca="1"/>
        <v>#DIV/0!</v>
      </c>
      <c r="BE38" s="464">
        <f ca="1"/>
        <v>0</v>
      </c>
      <c r="BF38" s="464" t="e">
        <f ca="1"/>
        <v>#DIV/0!</v>
      </c>
      <c r="BG38" s="466" t="e">
        <f ca="1"/>
        <v>#DIV/0!</v>
      </c>
      <c r="BH38" s="157" t="e">
        <f ca="1"/>
        <v>#DIV/0!</v>
      </c>
      <c r="BI38" s="157" t="e">
        <f ca="1"/>
        <v>#DIV/0!</v>
      </c>
      <c r="BJ38" s="157">
        <f ca="1"/>
        <v>18.573314589660001</v>
      </c>
      <c r="BK38" s="157" t="e">
        <f ca="1"/>
        <v>#DIV/0!</v>
      </c>
      <c r="BL38" s="157" t="e">
        <f ca="1"/>
        <v>#DIV/0!</v>
      </c>
      <c r="BM38" s="468" t="e">
        <f ca="1"/>
        <v>#DIV/0!</v>
      </c>
      <c r="BN38" s="470" t="e">
        <f ca="1"/>
        <v>#DIV/0!</v>
      </c>
      <c r="BO38" s="472" t="e">
        <f ca="1"/>
        <v>#DIV/0!</v>
      </c>
      <c r="BP38" s="462" t="e">
        <f ca="1"/>
        <v>#DIV/0!</v>
      </c>
      <c r="BQ38" s="464">
        <f ca="1"/>
        <v>0</v>
      </c>
      <c r="BR38" s="464" t="e">
        <f ca="1"/>
        <v>#DIV/0!</v>
      </c>
      <c r="BS38" s="466" t="e">
        <f ca="1"/>
        <v>#DIV/0!</v>
      </c>
      <c r="BT38" s="157" t="e">
        <f ca="1"/>
        <v>#DIV/0!</v>
      </c>
      <c r="BU38" s="157" t="e">
        <f ca="1"/>
        <v>#DIV/0!</v>
      </c>
      <c r="BV38" s="157">
        <f ca="1"/>
        <v>13.635168125160002</v>
      </c>
      <c r="BW38" s="157" t="e">
        <f ca="1"/>
        <v>#DIV/0!</v>
      </c>
      <c r="BX38" s="157" t="e">
        <f ca="1"/>
        <v>#DIV/0!</v>
      </c>
      <c r="BY38" s="468" t="e">
        <f ca="1"/>
        <v>#DIV/0!</v>
      </c>
      <c r="BZ38" s="470" t="e">
        <f ca="1"/>
        <v>#DIV/0!</v>
      </c>
      <c r="CA38" s="472" t="e">
        <f ca="1"/>
        <v>#DIV/0!</v>
      </c>
      <c r="CB38" s="462" t="e">
        <f ca="1"/>
        <v>#DIV/0!</v>
      </c>
      <c r="CC38" s="464">
        <f ca="1"/>
        <v>0</v>
      </c>
      <c r="CD38" s="464" t="e">
        <f ca="1"/>
        <v>#DIV/0!</v>
      </c>
      <c r="CE38" s="466" t="e">
        <f ca="1"/>
        <v>#DIV/0!</v>
      </c>
      <c r="CF38" s="157" t="e">
        <f ca="1"/>
        <v>#DIV/0!</v>
      </c>
      <c r="CG38" s="157" t="e">
        <f ca="1"/>
        <v>#DIV/0!</v>
      </c>
      <c r="CH38" s="157">
        <f ca="1"/>
        <v>46.208491004460001</v>
      </c>
      <c r="CI38" s="157" t="e">
        <f ca="1"/>
        <v>#DIV/0!</v>
      </c>
      <c r="CJ38" s="157" t="e">
        <f ca="1"/>
        <v>#DIV/0!</v>
      </c>
      <c r="CK38" s="468" t="e">
        <f ca="1"/>
        <v>#DIV/0!</v>
      </c>
      <c r="CL38" s="470" t="e">
        <f ca="1"/>
        <v>#DIV/0!</v>
      </c>
      <c r="CM38" s="472" t="e">
        <f ca="1"/>
        <v>#DIV/0!</v>
      </c>
      <c r="CN38" s="462" t="e">
        <f ca="1"/>
        <v>#DIV/0!</v>
      </c>
      <c r="CO38" s="464" t="e">
        <f ca="1"/>
        <v>#NUM!</v>
      </c>
      <c r="CP38" s="464" t="e">
        <f ca="1"/>
        <v>#NUM!</v>
      </c>
      <c r="CQ38" s="466" t="e">
        <f ca="1"/>
        <v>#NUM!</v>
      </c>
      <c r="CR38" s="157" t="e">
        <f ca="1"/>
        <v>#DIV/0!</v>
      </c>
      <c r="CS38" s="157" t="e">
        <f ca="1"/>
        <v>#NUM!</v>
      </c>
      <c r="CT38" s="157">
        <f ca="1"/>
        <v>6.7479627099000004</v>
      </c>
      <c r="CU38" s="157" t="e">
        <f ca="1"/>
        <v>#DIV/0!</v>
      </c>
      <c r="CV38" s="157" t="e">
        <f ca="1"/>
        <v>#DIV/0!</v>
      </c>
      <c r="CW38" s="468" t="e">
        <f ca="1"/>
        <v>#DIV/0!</v>
      </c>
      <c r="CX38" s="470" t="e">
        <f ca="1"/>
        <v>#DIV/0!</v>
      </c>
      <c r="CY38" s="472" t="e">
        <f ca="1"/>
        <v>#DIV/0!</v>
      </c>
      <c r="CZ38" s="173" t="e">
        <f t="shared" ca="1" si="3"/>
        <v>#DIV/0!</v>
      </c>
      <c r="DA38" s="173" t="e">
        <f t="shared" ca="1" si="3"/>
        <v>#DIV/0!</v>
      </c>
      <c r="DB38" s="462" t="e">
        <f ca="1"/>
        <v>#DIV/0!</v>
      </c>
      <c r="DC38" s="464">
        <f ca="1"/>
        <v>0</v>
      </c>
      <c r="DD38" s="464" t="e">
        <f ca="1"/>
        <v>#DIV/0!</v>
      </c>
      <c r="DE38" s="466" t="e">
        <f ca="1"/>
        <v>#DIV/0!</v>
      </c>
      <c r="DF38" s="157" t="e">
        <f ca="1"/>
        <v>#DIV/0!</v>
      </c>
      <c r="DG38" s="157" t="e">
        <f ca="1"/>
        <v>#DIV/0!</v>
      </c>
      <c r="DH38" s="157">
        <f ca="1"/>
        <v>18427.649667752143</v>
      </c>
      <c r="DI38" s="157" t="e">
        <f ca="1"/>
        <v>#DIV/0!</v>
      </c>
      <c r="DJ38" s="157" t="e">
        <f ca="1"/>
        <v>#DIV/0!</v>
      </c>
      <c r="DK38" s="468" t="e">
        <f ca="1"/>
        <v>#DIV/0!</v>
      </c>
      <c r="DL38" s="470" t="e">
        <f ca="1"/>
        <v>#DIV/0!</v>
      </c>
      <c r="DM38" s="472" t="e">
        <f ca="1"/>
        <v>#DIV/0!</v>
      </c>
      <c r="DN38" s="462" t="e">
        <f ca="1"/>
        <v>#DIV/0!</v>
      </c>
      <c r="DO38" s="464">
        <f ca="1"/>
        <v>0</v>
      </c>
      <c r="DP38" s="464" t="e">
        <f ca="1"/>
        <v>#DIV/0!</v>
      </c>
      <c r="DQ38" s="466" t="e">
        <f ca="1"/>
        <v>#DIV/0!</v>
      </c>
      <c r="DR38" s="157" t="e">
        <f ca="1"/>
        <v>#DIV/0!</v>
      </c>
      <c r="DS38" s="157" t="e">
        <f ca="1"/>
        <v>#DIV/0!</v>
      </c>
      <c r="DT38" s="157">
        <f ca="1"/>
        <v>15288.886924501847</v>
      </c>
      <c r="DU38" s="157" t="e">
        <f ca="1"/>
        <v>#DIV/0!</v>
      </c>
      <c r="DV38" s="157" t="e">
        <f ca="1"/>
        <v>#DIV/0!</v>
      </c>
      <c r="DW38" s="468" t="e">
        <f ca="1"/>
        <v>#DIV/0!</v>
      </c>
      <c r="DX38" s="470" t="e">
        <f ca="1"/>
        <v>#DIV/0!</v>
      </c>
      <c r="DY38" s="472" t="e">
        <f ca="1"/>
        <v>#DIV/0!</v>
      </c>
      <c r="DZ38" s="462" t="e">
        <f ca="1"/>
        <v>#DIV/0!</v>
      </c>
      <c r="EA38" s="464">
        <f ca="1"/>
        <v>0</v>
      </c>
      <c r="EB38" s="464" t="e">
        <f ca="1"/>
        <v>#DIV/0!</v>
      </c>
      <c r="EC38" s="466" t="e">
        <f ca="1"/>
        <v>#DIV/0!</v>
      </c>
      <c r="ED38" s="157" t="e">
        <f ca="1"/>
        <v>#DIV/0!</v>
      </c>
      <c r="EE38" s="157" t="e">
        <f ca="1"/>
        <v>#DIV/0!</v>
      </c>
      <c r="EF38" s="157">
        <f ca="1"/>
        <v>12152.672196273319</v>
      </c>
      <c r="EG38" s="157" t="e">
        <f ca="1"/>
        <v>#DIV/0!</v>
      </c>
      <c r="EH38" s="157" t="e">
        <f ca="1"/>
        <v>#DIV/0!</v>
      </c>
      <c r="EI38" s="468" t="e">
        <f ca="1"/>
        <v>#DIV/0!</v>
      </c>
      <c r="EJ38" s="470" t="e">
        <f ca="1"/>
        <v>#DIV/0!</v>
      </c>
      <c r="EK38" s="472" t="e">
        <f ca="1"/>
        <v>#DIV/0!</v>
      </c>
      <c r="EL38" s="462" t="e">
        <f ca="1"/>
        <v>#DIV/0!</v>
      </c>
      <c r="EM38" s="464" t="e">
        <f ca="1"/>
        <v>#NUM!</v>
      </c>
      <c r="EN38" s="464" t="e">
        <f ca="1"/>
        <v>#NUM!</v>
      </c>
      <c r="EO38" s="466" t="e">
        <f ca="1"/>
        <v>#NUM!</v>
      </c>
      <c r="EP38" s="157" t="e">
        <f ca="1"/>
        <v>#DIV/0!</v>
      </c>
      <c r="EQ38" s="157" t="e">
        <f ca="1"/>
        <v>#NUM!</v>
      </c>
      <c r="ER38" s="157">
        <f ca="1"/>
        <v>2180.1000766761626</v>
      </c>
      <c r="ES38" s="157" t="e">
        <f ca="1"/>
        <v>#DIV/0!</v>
      </c>
      <c r="ET38" s="157" t="e">
        <f ca="1"/>
        <v>#DIV/0!</v>
      </c>
      <c r="EU38" s="468" t="e">
        <f ca="1"/>
        <v>#DIV/0!</v>
      </c>
      <c r="EV38" s="470" t="e">
        <f ca="1"/>
        <v>#DIV/0!</v>
      </c>
      <c r="EW38" s="472" t="e">
        <f ca="1"/>
        <v>#DIV/0!</v>
      </c>
      <c r="EX38" s="462" t="e">
        <f ca="1"/>
        <v>#DIV/0!</v>
      </c>
      <c r="EY38" s="464" t="e">
        <f ca="1"/>
        <v>#NUM!</v>
      </c>
      <c r="EZ38" s="464" t="e">
        <f ca="1"/>
        <v>#NUM!</v>
      </c>
      <c r="FA38" s="466" t="e">
        <f ca="1"/>
        <v>#NUM!</v>
      </c>
      <c r="FB38" s="157" t="e">
        <f ca="1"/>
        <v>#DIV/0!</v>
      </c>
      <c r="FC38" s="157" t="e">
        <f ca="1"/>
        <v>#NUM!</v>
      </c>
      <c r="FD38" s="157">
        <f ca="1"/>
        <v>4455.9235736508854</v>
      </c>
      <c r="FE38" s="157" t="e">
        <f ca="1"/>
        <v>#DIV/0!</v>
      </c>
      <c r="FF38" s="157" t="e">
        <f ca="1"/>
        <v>#DIV/0!</v>
      </c>
      <c r="FG38" s="468" t="e">
        <f ca="1"/>
        <v>#DIV/0!</v>
      </c>
      <c r="FH38" s="470" t="e">
        <f ca="1"/>
        <v>#DIV/0!</v>
      </c>
      <c r="FI38" s="472" t="e">
        <f ca="1"/>
        <v>#DIV/0!</v>
      </c>
      <c r="FJ38" s="173" t="e">
        <f t="shared" ca="1" si="4"/>
        <v>#DIV/0!</v>
      </c>
      <c r="FK38" s="173" t="e">
        <f t="shared" ca="1" si="4"/>
        <v>#DIV/0!</v>
      </c>
      <c r="FL38" s="462" t="e">
        <f ca="1"/>
        <v>#DIV/0!</v>
      </c>
      <c r="FM38" s="464">
        <f ca="1"/>
        <v>0</v>
      </c>
      <c r="FN38" s="464" t="e">
        <f ca="1"/>
        <v>#DIV/0!</v>
      </c>
      <c r="FO38" s="466" t="e">
        <f ca="1"/>
        <v>#DIV/0!</v>
      </c>
      <c r="FP38" s="157" t="e">
        <f ca="1"/>
        <v>#DIV/0!</v>
      </c>
      <c r="FQ38" s="157" t="e">
        <f ca="1"/>
        <v>#DIV/0!</v>
      </c>
      <c r="FR38" s="157" t="e">
        <f ca="1"/>
        <v>#DIV/0!</v>
      </c>
      <c r="FS38" s="157">
        <f ca="1"/>
        <v>1930.3814420783042</v>
      </c>
      <c r="FT38" s="468" t="e">
        <f ca="1"/>
        <v>#DIV/0!</v>
      </c>
      <c r="FU38" s="470" t="e">
        <f ca="1"/>
        <v>#DIV/0!</v>
      </c>
      <c r="FV38" s="470" t="e">
        <f ca="1"/>
        <v>#DIV/0!</v>
      </c>
      <c r="FW38" s="462" t="e">
        <f ca="1"/>
        <v>#DIV/0!</v>
      </c>
      <c r="FX38" s="464" t="e">
        <f ca="1"/>
        <v>#NUM!</v>
      </c>
      <c r="FY38" s="464" t="e">
        <f ca="1"/>
        <v>#NUM!</v>
      </c>
      <c r="FZ38" s="466" t="e">
        <f ca="1"/>
        <v>#NUM!</v>
      </c>
      <c r="GA38" s="157" t="e">
        <f ca="1"/>
        <v>#DIV/0!</v>
      </c>
      <c r="GB38" s="157" t="e">
        <f ca="1"/>
        <v>#NUM!</v>
      </c>
      <c r="GC38" s="157" t="e">
        <f ca="1"/>
        <v>#DIV/0!</v>
      </c>
      <c r="GD38" s="157">
        <f ca="1"/>
        <v>-76.617080419925998</v>
      </c>
      <c r="GE38" s="468" t="e">
        <f ca="1"/>
        <v>#DIV/0!</v>
      </c>
      <c r="GF38" s="470" t="e">
        <f ca="1"/>
        <v>#DIV/0!</v>
      </c>
      <c r="GG38" s="470" t="e">
        <f ca="1"/>
        <v>#DIV/0!</v>
      </c>
      <c r="GH38" s="173" t="e">
        <f t="shared" ca="1" si="2"/>
        <v>#DIV/0!</v>
      </c>
      <c r="GI38" s="173" t="e">
        <f t="shared" ca="1" si="2"/>
        <v>#DIV/0!</v>
      </c>
    </row>
    <row r="39" spans="1:191" ht="15">
      <c r="B39" s="169"/>
      <c r="C39" s="87">
        <f>'Oil supply projection'!B39</f>
        <v>2048</v>
      </c>
      <c r="D39" s="460" t="e">
        <f ca="1"/>
        <v>#DIV/0!</v>
      </c>
      <c r="E39" s="460" t="e">
        <f ca="1"/>
        <v>#DIV/0!</v>
      </c>
      <c r="F39" s="462" t="e">
        <f ca="1"/>
        <v>#DIV/0!</v>
      </c>
      <c r="G39" s="464">
        <f ca="1"/>
        <v>0</v>
      </c>
      <c r="H39" s="464" t="e">
        <f ca="1"/>
        <v>#DIV/0!</v>
      </c>
      <c r="I39" s="466" t="e">
        <f ca="1"/>
        <v>#DIV/0!</v>
      </c>
      <c r="J39" s="157" t="e">
        <f ca="1"/>
        <v>#DIV/0!</v>
      </c>
      <c r="K39" s="157" t="e">
        <f ca="1"/>
        <v>#DIV/0!</v>
      </c>
      <c r="L39" s="157">
        <f ca="1"/>
        <v>37.902693599152116</v>
      </c>
      <c r="M39" s="157" t="e">
        <f ca="1"/>
        <v>#DIV/0!</v>
      </c>
      <c r="N39" s="157" t="e">
        <f ca="1"/>
        <v>#DIV/0!</v>
      </c>
      <c r="O39" s="468" t="e">
        <f ca="1"/>
        <v>#DIV/0!</v>
      </c>
      <c r="P39" s="470" t="e">
        <f ca="1"/>
        <v>#DIV/0!</v>
      </c>
      <c r="Q39" s="472" t="e">
        <f ca="1"/>
        <v>#DIV/0!</v>
      </c>
      <c r="R39" s="462" t="e">
        <f ca="1"/>
        <v>#DIV/0!</v>
      </c>
      <c r="S39" s="464">
        <f ca="1"/>
        <v>0</v>
      </c>
      <c r="T39" s="464" t="e">
        <f ca="1"/>
        <v>#DIV/0!</v>
      </c>
      <c r="U39" s="466" t="e">
        <f ca="1"/>
        <v>#DIV/0!</v>
      </c>
      <c r="V39" s="157" t="e">
        <f ca="1"/>
        <v>#DIV/0!</v>
      </c>
      <c r="W39" s="157" t="e">
        <f ca="1"/>
        <v>#DIV/0!</v>
      </c>
      <c r="X39" s="157">
        <f ca="1"/>
        <v>51.007412855547891</v>
      </c>
      <c r="Y39" s="157" t="e">
        <f ca="1"/>
        <v>#DIV/0!</v>
      </c>
      <c r="Z39" s="157" t="e">
        <f ca="1"/>
        <v>#DIV/0!</v>
      </c>
      <c r="AA39" s="468" t="e">
        <f ca="1"/>
        <v>#DIV/0!</v>
      </c>
      <c r="AB39" s="470" t="e">
        <f ca="1"/>
        <v>#DIV/0!</v>
      </c>
      <c r="AC39" s="472" t="e">
        <f ca="1"/>
        <v>#DIV/0!</v>
      </c>
      <c r="AD39" s="462" t="e">
        <f ca="1"/>
        <v>#DIV/0!</v>
      </c>
      <c r="AE39" s="464">
        <f ca="1"/>
        <v>0</v>
      </c>
      <c r="AF39" s="464" t="e">
        <f ca="1"/>
        <v>#DIV/0!</v>
      </c>
      <c r="AG39" s="466" t="e">
        <f ca="1"/>
        <v>#DIV/0!</v>
      </c>
      <c r="AH39" s="157" t="e">
        <f ca="1"/>
        <v>#DIV/0!</v>
      </c>
      <c r="AI39" s="157" t="e">
        <f ca="1"/>
        <v>#DIV/0!</v>
      </c>
      <c r="AJ39" s="157">
        <f ca="1"/>
        <v>663.09385500940004</v>
      </c>
      <c r="AK39" s="157" t="e">
        <f ca="1"/>
        <v>#DIV/0!</v>
      </c>
      <c r="AL39" s="157" t="e">
        <f ca="1"/>
        <v>#DIV/0!</v>
      </c>
      <c r="AM39" s="468" t="e">
        <f ca="1"/>
        <v>#DIV/0!</v>
      </c>
      <c r="AN39" s="470" t="e">
        <f ca="1"/>
        <v>#DIV/0!</v>
      </c>
      <c r="AO39" s="472" t="e">
        <f ca="1"/>
        <v>#DIV/0!</v>
      </c>
      <c r="AP39" s="462" t="e">
        <f ca="1"/>
        <v>#DIV/0!</v>
      </c>
      <c r="AQ39" s="464" t="e">
        <f ca="1"/>
        <v>#NUM!</v>
      </c>
      <c r="AR39" s="464" t="e">
        <f ca="1"/>
        <v>#NUM!</v>
      </c>
      <c r="AS39" s="466" t="e">
        <f ca="1"/>
        <v>#NUM!</v>
      </c>
      <c r="AT39" s="157" t="e">
        <f ca="1"/>
        <v>#DIV/0!</v>
      </c>
      <c r="AU39" s="157" t="e">
        <f ca="1"/>
        <v>#NUM!</v>
      </c>
      <c r="AV39" s="157">
        <f ca="1"/>
        <v>1191.4734739355999</v>
      </c>
      <c r="AW39" s="157" t="e">
        <f ca="1"/>
        <v>#DIV/0!</v>
      </c>
      <c r="AX39" s="157" t="e">
        <f ca="1"/>
        <v>#DIV/0!</v>
      </c>
      <c r="AY39" s="468" t="e">
        <f ca="1"/>
        <v>#DIV/0!</v>
      </c>
      <c r="AZ39" s="470" t="e">
        <f ca="1"/>
        <v>#DIV/0!</v>
      </c>
      <c r="BA39" s="472" t="e">
        <f ca="1"/>
        <v>#DIV/0!</v>
      </c>
      <c r="BB39" s="173" t="e">
        <f t="shared" ca="1" si="0"/>
        <v>#DIV/0!</v>
      </c>
      <c r="BC39" s="173" t="e">
        <f t="shared" ca="1" si="1"/>
        <v>#DIV/0!</v>
      </c>
      <c r="BD39" s="462" t="e">
        <f ca="1"/>
        <v>#DIV/0!</v>
      </c>
      <c r="BE39" s="464">
        <f ca="1"/>
        <v>0</v>
      </c>
      <c r="BF39" s="464" t="e">
        <f ca="1"/>
        <v>#DIV/0!</v>
      </c>
      <c r="BG39" s="466" t="e">
        <f ca="1"/>
        <v>#DIV/0!</v>
      </c>
      <c r="BH39" s="157" t="e">
        <f ca="1"/>
        <v>#DIV/0!</v>
      </c>
      <c r="BI39" s="157" t="e">
        <f ca="1"/>
        <v>#DIV/0!</v>
      </c>
      <c r="BJ39" s="157">
        <f ca="1"/>
        <v>18.402353093374998</v>
      </c>
      <c r="BK39" s="157" t="e">
        <f ca="1"/>
        <v>#DIV/0!</v>
      </c>
      <c r="BL39" s="157" t="e">
        <f ca="1"/>
        <v>#DIV/0!</v>
      </c>
      <c r="BM39" s="468" t="e">
        <f ca="1"/>
        <v>#DIV/0!</v>
      </c>
      <c r="BN39" s="470" t="e">
        <f ca="1"/>
        <v>#DIV/0!</v>
      </c>
      <c r="BO39" s="472" t="e">
        <f ca="1"/>
        <v>#DIV/0!</v>
      </c>
      <c r="BP39" s="462" t="e">
        <f ca="1"/>
        <v>#DIV/0!</v>
      </c>
      <c r="BQ39" s="464">
        <f ca="1"/>
        <v>0</v>
      </c>
      <c r="BR39" s="464" t="e">
        <f ca="1"/>
        <v>#DIV/0!</v>
      </c>
      <c r="BS39" s="466" t="e">
        <f ca="1"/>
        <v>#DIV/0!</v>
      </c>
      <c r="BT39" s="157" t="e">
        <f ca="1"/>
        <v>#DIV/0!</v>
      </c>
      <c r="BU39" s="157" t="e">
        <f ca="1"/>
        <v>#DIV/0!</v>
      </c>
      <c r="BV39" s="157">
        <f ca="1"/>
        <v>13.49681483775</v>
      </c>
      <c r="BW39" s="157" t="e">
        <f ca="1"/>
        <v>#DIV/0!</v>
      </c>
      <c r="BX39" s="157" t="e">
        <f ca="1"/>
        <v>#DIV/0!</v>
      </c>
      <c r="BY39" s="468" t="e">
        <f ca="1"/>
        <v>#DIV/0!</v>
      </c>
      <c r="BZ39" s="470" t="e">
        <f ca="1"/>
        <v>#DIV/0!</v>
      </c>
      <c r="CA39" s="472" t="e">
        <f ca="1"/>
        <v>#DIV/0!</v>
      </c>
      <c r="CB39" s="462" t="e">
        <f ca="1"/>
        <v>#DIV/0!</v>
      </c>
      <c r="CC39" s="464">
        <f ca="1"/>
        <v>0</v>
      </c>
      <c r="CD39" s="464" t="e">
        <f ca="1"/>
        <v>#DIV/0!</v>
      </c>
      <c r="CE39" s="466" t="e">
        <f ca="1"/>
        <v>#DIV/0!</v>
      </c>
      <c r="CF39" s="157" t="e">
        <f ca="1"/>
        <v>#DIV/0!</v>
      </c>
      <c r="CG39" s="157" t="e">
        <f ca="1"/>
        <v>#DIV/0!</v>
      </c>
      <c r="CH39" s="157">
        <f ca="1"/>
        <v>46.101135694749999</v>
      </c>
      <c r="CI39" s="157" t="e">
        <f ca="1"/>
        <v>#DIV/0!</v>
      </c>
      <c r="CJ39" s="157" t="e">
        <f ca="1"/>
        <v>#DIV/0!</v>
      </c>
      <c r="CK39" s="468" t="e">
        <f ca="1"/>
        <v>#DIV/0!</v>
      </c>
      <c r="CL39" s="470" t="e">
        <f ca="1"/>
        <v>#DIV/0!</v>
      </c>
      <c r="CM39" s="472" t="e">
        <f ca="1"/>
        <v>#DIV/0!</v>
      </c>
      <c r="CN39" s="462" t="e">
        <f ca="1"/>
        <v>#DIV/0!</v>
      </c>
      <c r="CO39" s="464" t="e">
        <f ca="1"/>
        <v>#NUM!</v>
      </c>
      <c r="CP39" s="464" t="e">
        <f ca="1"/>
        <v>#NUM!</v>
      </c>
      <c r="CQ39" s="466" t="e">
        <f ca="1"/>
        <v>#NUM!</v>
      </c>
      <c r="CR39" s="157" t="e">
        <f ca="1"/>
        <v>#DIV/0!</v>
      </c>
      <c r="CS39" s="157" t="e">
        <f ca="1"/>
        <v>#NUM!</v>
      </c>
      <c r="CT39" s="157">
        <f ca="1"/>
        <v>6.7770597160000001</v>
      </c>
      <c r="CU39" s="157" t="e">
        <f ca="1"/>
        <v>#DIV/0!</v>
      </c>
      <c r="CV39" s="157" t="e">
        <f ca="1"/>
        <v>#DIV/0!</v>
      </c>
      <c r="CW39" s="468" t="e">
        <f ca="1"/>
        <v>#DIV/0!</v>
      </c>
      <c r="CX39" s="470" t="e">
        <f ca="1"/>
        <v>#DIV/0!</v>
      </c>
      <c r="CY39" s="472" t="e">
        <f ca="1"/>
        <v>#DIV/0!</v>
      </c>
      <c r="CZ39" s="173" t="e">
        <f t="shared" ca="1" si="3"/>
        <v>#DIV/0!</v>
      </c>
      <c r="DA39" s="173" t="e">
        <f t="shared" ca="1" si="3"/>
        <v>#DIV/0!</v>
      </c>
      <c r="DB39" s="462" t="e">
        <f ca="1"/>
        <v>#DIV/0!</v>
      </c>
      <c r="DC39" s="464">
        <f ca="1"/>
        <v>0</v>
      </c>
      <c r="DD39" s="464" t="e">
        <f ca="1"/>
        <v>#DIV/0!</v>
      </c>
      <c r="DE39" s="466" t="e">
        <f ca="1"/>
        <v>#DIV/0!</v>
      </c>
      <c r="DF39" s="157" t="e">
        <f ca="1"/>
        <v>#DIV/0!</v>
      </c>
      <c r="DG39" s="157" t="e">
        <f ca="1"/>
        <v>#DIV/0!</v>
      </c>
      <c r="DH39" s="157">
        <f ca="1"/>
        <v>18537.366413907181</v>
      </c>
      <c r="DI39" s="157" t="e">
        <f ca="1"/>
        <v>#DIV/0!</v>
      </c>
      <c r="DJ39" s="157" t="e">
        <f ca="1"/>
        <v>#DIV/0!</v>
      </c>
      <c r="DK39" s="468" t="e">
        <f ca="1"/>
        <v>#DIV/0!</v>
      </c>
      <c r="DL39" s="470" t="e">
        <f ca="1"/>
        <v>#DIV/0!</v>
      </c>
      <c r="DM39" s="472" t="e">
        <f ca="1"/>
        <v>#DIV/0!</v>
      </c>
      <c r="DN39" s="462" t="e">
        <f ca="1"/>
        <v>#DIV/0!</v>
      </c>
      <c r="DO39" s="464">
        <f ca="1"/>
        <v>0</v>
      </c>
      <c r="DP39" s="464" t="e">
        <f ca="1"/>
        <v>#DIV/0!</v>
      </c>
      <c r="DQ39" s="466" t="e">
        <f ca="1"/>
        <v>#DIV/0!</v>
      </c>
      <c r="DR39" s="157" t="e">
        <f ca="1"/>
        <v>#DIV/0!</v>
      </c>
      <c r="DS39" s="157" t="e">
        <f ca="1"/>
        <v>#DIV/0!</v>
      </c>
      <c r="DT39" s="157">
        <f ca="1"/>
        <v>15344.815758440111</v>
      </c>
      <c r="DU39" s="157" t="e">
        <f ca="1"/>
        <v>#DIV/0!</v>
      </c>
      <c r="DV39" s="157" t="e">
        <f ca="1"/>
        <v>#DIV/0!</v>
      </c>
      <c r="DW39" s="468" t="e">
        <f ca="1"/>
        <v>#DIV/0!</v>
      </c>
      <c r="DX39" s="470" t="e">
        <f ca="1"/>
        <v>#DIV/0!</v>
      </c>
      <c r="DY39" s="472" t="e">
        <f ca="1"/>
        <v>#DIV/0!</v>
      </c>
      <c r="DZ39" s="462" t="e">
        <f ca="1"/>
        <v>#DIV/0!</v>
      </c>
      <c r="EA39" s="464">
        <f ca="1"/>
        <v>0</v>
      </c>
      <c r="EB39" s="464" t="e">
        <f ca="1"/>
        <v>#DIV/0!</v>
      </c>
      <c r="EC39" s="466" t="e">
        <f ca="1"/>
        <v>#DIV/0!</v>
      </c>
      <c r="ED39" s="157" t="e">
        <f ca="1"/>
        <v>#DIV/0!</v>
      </c>
      <c r="EE39" s="157" t="e">
        <f ca="1"/>
        <v>#DIV/0!</v>
      </c>
      <c r="EF39" s="157">
        <f ca="1"/>
        <v>12153.893356174118</v>
      </c>
      <c r="EG39" s="157" t="e">
        <f ca="1"/>
        <v>#DIV/0!</v>
      </c>
      <c r="EH39" s="157" t="e">
        <f ca="1"/>
        <v>#DIV/0!</v>
      </c>
      <c r="EI39" s="468" t="e">
        <f ca="1"/>
        <v>#DIV/0!</v>
      </c>
      <c r="EJ39" s="470" t="e">
        <f ca="1"/>
        <v>#DIV/0!</v>
      </c>
      <c r="EK39" s="472" t="e">
        <f ca="1"/>
        <v>#DIV/0!</v>
      </c>
      <c r="EL39" s="462" t="e">
        <f ca="1"/>
        <v>#DIV/0!</v>
      </c>
      <c r="EM39" s="464" t="e">
        <f ca="1"/>
        <v>#NUM!</v>
      </c>
      <c r="EN39" s="464" t="e">
        <f ca="1"/>
        <v>#NUM!</v>
      </c>
      <c r="EO39" s="466" t="e">
        <f ca="1"/>
        <v>#NUM!</v>
      </c>
      <c r="EP39" s="157" t="e">
        <f ca="1"/>
        <v>#DIV/0!</v>
      </c>
      <c r="EQ39" s="157" t="e">
        <f ca="1"/>
        <v>#NUM!</v>
      </c>
      <c r="ER39" s="157">
        <f ca="1"/>
        <v>2226.1480489459714</v>
      </c>
      <c r="ES39" s="157" t="e">
        <f ca="1"/>
        <v>#DIV/0!</v>
      </c>
      <c r="ET39" s="157" t="e">
        <f ca="1"/>
        <v>#DIV/0!</v>
      </c>
      <c r="EU39" s="468" t="e">
        <f ca="1"/>
        <v>#DIV/0!</v>
      </c>
      <c r="EV39" s="470" t="e">
        <f ca="1"/>
        <v>#DIV/0!</v>
      </c>
      <c r="EW39" s="472" t="e">
        <f ca="1"/>
        <v>#DIV/0!</v>
      </c>
      <c r="EX39" s="462" t="e">
        <f ca="1"/>
        <v>#DIV/0!</v>
      </c>
      <c r="EY39" s="464" t="e">
        <f ca="1"/>
        <v>#NUM!</v>
      </c>
      <c r="EZ39" s="464" t="e">
        <f ca="1"/>
        <v>#NUM!</v>
      </c>
      <c r="FA39" s="466" t="e">
        <f ca="1"/>
        <v>#NUM!</v>
      </c>
      <c r="FB39" s="157" t="e">
        <f ca="1"/>
        <v>#DIV/0!</v>
      </c>
      <c r="FC39" s="157" t="e">
        <f ca="1"/>
        <v>#NUM!</v>
      </c>
      <c r="FD39" s="157">
        <f ca="1"/>
        <v>4548.8155045294707</v>
      </c>
      <c r="FE39" s="157" t="e">
        <f ca="1"/>
        <v>#DIV/0!</v>
      </c>
      <c r="FF39" s="157" t="e">
        <f ca="1"/>
        <v>#DIV/0!</v>
      </c>
      <c r="FG39" s="468" t="e">
        <f ca="1"/>
        <v>#DIV/0!</v>
      </c>
      <c r="FH39" s="470" t="e">
        <f ca="1"/>
        <v>#DIV/0!</v>
      </c>
      <c r="FI39" s="472" t="e">
        <f ca="1"/>
        <v>#DIV/0!</v>
      </c>
      <c r="FJ39" s="173" t="e">
        <f t="shared" ca="1" si="4"/>
        <v>#DIV/0!</v>
      </c>
      <c r="FK39" s="173" t="e">
        <f t="shared" ca="1" si="4"/>
        <v>#DIV/0!</v>
      </c>
      <c r="FL39" s="462" t="e">
        <f ca="1"/>
        <v>#DIV/0!</v>
      </c>
      <c r="FM39" s="464">
        <f ca="1"/>
        <v>0</v>
      </c>
      <c r="FN39" s="464" t="e">
        <f ca="1"/>
        <v>#DIV/0!</v>
      </c>
      <c r="FO39" s="466" t="e">
        <f ca="1"/>
        <v>#DIV/0!</v>
      </c>
      <c r="FP39" s="157" t="e">
        <f ca="1"/>
        <v>#DIV/0!</v>
      </c>
      <c r="FQ39" s="157" t="e">
        <f ca="1"/>
        <v>#DIV/0!</v>
      </c>
      <c r="FR39" s="157" t="e">
        <f ca="1"/>
        <v>#DIV/0!</v>
      </c>
      <c r="FS39" s="157">
        <f ca="1"/>
        <v>1947.264282786924</v>
      </c>
      <c r="FT39" s="468" t="e">
        <f ca="1"/>
        <v>#DIV/0!</v>
      </c>
      <c r="FU39" s="470" t="e">
        <f ca="1"/>
        <v>#DIV/0!</v>
      </c>
      <c r="FV39" s="470" t="e">
        <f ca="1"/>
        <v>#DIV/0!</v>
      </c>
      <c r="FW39" s="462" t="e">
        <f ca="1"/>
        <v>#DIV/0!</v>
      </c>
      <c r="FX39" s="464" t="e">
        <f ca="1"/>
        <v>#NUM!</v>
      </c>
      <c r="FY39" s="464" t="e">
        <f ca="1"/>
        <v>#NUM!</v>
      </c>
      <c r="FZ39" s="466" t="e">
        <f ca="1"/>
        <v>#NUM!</v>
      </c>
      <c r="GA39" s="157" t="e">
        <f ca="1"/>
        <v>#DIV/0!</v>
      </c>
      <c r="GB39" s="157" t="e">
        <f ca="1"/>
        <v>#NUM!</v>
      </c>
      <c r="GC39" s="157" t="e">
        <f ca="1"/>
        <v>#DIV/0!</v>
      </c>
      <c r="GD39" s="157">
        <f ca="1"/>
        <v>39.444168584951996</v>
      </c>
      <c r="GE39" s="468" t="e">
        <f ca="1"/>
        <v>#DIV/0!</v>
      </c>
      <c r="GF39" s="470" t="e">
        <f ca="1"/>
        <v>#DIV/0!</v>
      </c>
      <c r="GG39" s="470" t="e">
        <f ca="1"/>
        <v>#DIV/0!</v>
      </c>
      <c r="GH39" s="173" t="e">
        <f t="shared" ca="1" si="2"/>
        <v>#DIV/0!</v>
      </c>
      <c r="GI39" s="173" t="e">
        <f t="shared" ca="1" si="2"/>
        <v>#DIV/0!</v>
      </c>
    </row>
    <row r="40" spans="1:191" ht="15">
      <c r="B40" s="169"/>
      <c r="C40" s="87">
        <f>'Oil supply projection'!B40</f>
        <v>2049</v>
      </c>
      <c r="D40" s="460" t="e">
        <f ca="1"/>
        <v>#DIV/0!</v>
      </c>
      <c r="E40" s="460" t="e">
        <f ca="1"/>
        <v>#DIV/0!</v>
      </c>
      <c r="F40" s="462" t="e">
        <f ca="1"/>
        <v>#DIV/0!</v>
      </c>
      <c r="G40" s="464">
        <f ca="1"/>
        <v>0</v>
      </c>
      <c r="H40" s="464" t="e">
        <f ca="1"/>
        <v>#DIV/0!</v>
      </c>
      <c r="I40" s="466" t="e">
        <f ca="1"/>
        <v>#DIV/0!</v>
      </c>
      <c r="J40" s="157" t="e">
        <f ca="1"/>
        <v>#DIV/0!</v>
      </c>
      <c r="K40" s="157" t="e">
        <f ca="1"/>
        <v>#DIV/0!</v>
      </c>
      <c r="L40" s="157">
        <f ca="1"/>
        <v>37.882307975350258</v>
      </c>
      <c r="M40" s="157" t="e">
        <f ca="1"/>
        <v>#DIV/0!</v>
      </c>
      <c r="N40" s="157" t="e">
        <f ca="1"/>
        <v>#DIV/0!</v>
      </c>
      <c r="O40" s="468" t="e">
        <f ca="1"/>
        <v>#DIV/0!</v>
      </c>
      <c r="P40" s="470" t="e">
        <f ca="1"/>
        <v>#DIV/0!</v>
      </c>
      <c r="Q40" s="472" t="e">
        <f ca="1"/>
        <v>#DIV/0!</v>
      </c>
      <c r="R40" s="462" t="e">
        <f ca="1"/>
        <v>#DIV/0!</v>
      </c>
      <c r="S40" s="464">
        <f ca="1"/>
        <v>0</v>
      </c>
      <c r="T40" s="464" t="e">
        <f ca="1"/>
        <v>#DIV/0!</v>
      </c>
      <c r="U40" s="466" t="e">
        <f ca="1"/>
        <v>#DIV/0!</v>
      </c>
      <c r="V40" s="157" t="e">
        <f ca="1"/>
        <v>#DIV/0!</v>
      </c>
      <c r="W40" s="157" t="e">
        <f ca="1"/>
        <v>#DIV/0!</v>
      </c>
      <c r="X40" s="157">
        <f ca="1"/>
        <v>51.322431987099741</v>
      </c>
      <c r="Y40" s="157" t="e">
        <f ca="1"/>
        <v>#DIV/0!</v>
      </c>
      <c r="Z40" s="157" t="e">
        <f ca="1"/>
        <v>#DIV/0!</v>
      </c>
      <c r="AA40" s="468" t="e">
        <f ca="1"/>
        <v>#DIV/0!</v>
      </c>
      <c r="AB40" s="470" t="e">
        <f ca="1"/>
        <v>#DIV/0!</v>
      </c>
      <c r="AC40" s="472" t="e">
        <f ca="1"/>
        <v>#DIV/0!</v>
      </c>
      <c r="AD40" s="462" t="e">
        <f ca="1"/>
        <v>#DIV/0!</v>
      </c>
      <c r="AE40" s="464">
        <f ca="1"/>
        <v>0</v>
      </c>
      <c r="AF40" s="464" t="e">
        <f ca="1"/>
        <v>#DIV/0!</v>
      </c>
      <c r="AG40" s="466" t="e">
        <f ca="1"/>
        <v>#DIV/0!</v>
      </c>
      <c r="AH40" s="157" t="e">
        <f ca="1"/>
        <v>#DIV/0!</v>
      </c>
      <c r="AI40" s="157" t="e">
        <f ca="1"/>
        <v>#DIV/0!</v>
      </c>
      <c r="AJ40" s="157">
        <f ca="1"/>
        <v>668.46973955445503</v>
      </c>
      <c r="AK40" s="157" t="e">
        <f ca="1"/>
        <v>#DIV/0!</v>
      </c>
      <c r="AL40" s="157" t="e">
        <f ca="1"/>
        <v>#DIV/0!</v>
      </c>
      <c r="AM40" s="468" t="e">
        <f ca="1"/>
        <v>#DIV/0!</v>
      </c>
      <c r="AN40" s="470" t="e">
        <f ca="1"/>
        <v>#DIV/0!</v>
      </c>
      <c r="AO40" s="472" t="e">
        <f ca="1"/>
        <v>#DIV/0!</v>
      </c>
      <c r="AP40" s="462" t="e">
        <f ca="1"/>
        <v>#DIV/0!</v>
      </c>
      <c r="AQ40" s="464" t="e">
        <f ca="1"/>
        <v>#NUM!</v>
      </c>
      <c r="AR40" s="464" t="e">
        <f ca="1"/>
        <v>#NUM!</v>
      </c>
      <c r="AS40" s="466" t="e">
        <f ca="1"/>
        <v>#NUM!</v>
      </c>
      <c r="AT40" s="157" t="e">
        <f ca="1"/>
        <v>#DIV/0!</v>
      </c>
      <c r="AU40" s="157" t="e">
        <f ca="1"/>
        <v>#NUM!</v>
      </c>
      <c r="AV40" s="157">
        <f ca="1"/>
        <v>1203.6634072212398</v>
      </c>
      <c r="AW40" s="157" t="e">
        <f ca="1"/>
        <v>#DIV/0!</v>
      </c>
      <c r="AX40" s="157" t="e">
        <f ca="1"/>
        <v>#DIV/0!</v>
      </c>
      <c r="AY40" s="468" t="e">
        <f ca="1"/>
        <v>#DIV/0!</v>
      </c>
      <c r="AZ40" s="470" t="e">
        <f ca="1"/>
        <v>#DIV/0!</v>
      </c>
      <c r="BA40" s="472" t="e">
        <f ca="1"/>
        <v>#DIV/0!</v>
      </c>
      <c r="BB40" s="173" t="e">
        <f t="shared" ca="1" si="0"/>
        <v>#DIV/0!</v>
      </c>
      <c r="BC40" s="173" t="e">
        <f t="shared" ca="1" si="1"/>
        <v>#DIV/0!</v>
      </c>
      <c r="BD40" s="462" t="e">
        <f ca="1"/>
        <v>#DIV/0!</v>
      </c>
      <c r="BE40" s="464">
        <f ca="1"/>
        <v>0</v>
      </c>
      <c r="BF40" s="464" t="e">
        <f ca="1"/>
        <v>#DIV/0!</v>
      </c>
      <c r="BG40" s="466" t="e">
        <f ca="1"/>
        <v>#DIV/0!</v>
      </c>
      <c r="BH40" s="157" t="e">
        <f ca="1"/>
        <v>#DIV/0!</v>
      </c>
      <c r="BI40" s="157" t="e">
        <f ca="1"/>
        <v>#DIV/0!</v>
      </c>
      <c r="BJ40" s="157">
        <f ca="1"/>
        <v>18.230172222130001</v>
      </c>
      <c r="BK40" s="157" t="e">
        <f ca="1"/>
        <v>#DIV/0!</v>
      </c>
      <c r="BL40" s="157" t="e">
        <f ca="1"/>
        <v>#DIV/0!</v>
      </c>
      <c r="BM40" s="468" t="e">
        <f ca="1"/>
        <v>#DIV/0!</v>
      </c>
      <c r="BN40" s="470" t="e">
        <f ca="1"/>
        <v>#DIV/0!</v>
      </c>
      <c r="BO40" s="472" t="e">
        <f ca="1"/>
        <v>#DIV/0!</v>
      </c>
      <c r="BP40" s="462" t="e">
        <f ca="1"/>
        <v>#DIV/0!</v>
      </c>
      <c r="BQ40" s="464">
        <f ca="1"/>
        <v>0</v>
      </c>
      <c r="BR40" s="464" t="e">
        <f ca="1"/>
        <v>#DIV/0!</v>
      </c>
      <c r="BS40" s="466" t="e">
        <f ca="1"/>
        <v>#DIV/0!</v>
      </c>
      <c r="BT40" s="157" t="e">
        <f ca="1"/>
        <v>#DIV/0!</v>
      </c>
      <c r="BU40" s="157" t="e">
        <f ca="1"/>
        <v>#DIV/0!</v>
      </c>
      <c r="BV40" s="157">
        <f ca="1"/>
        <v>13.358532382052001</v>
      </c>
      <c r="BW40" s="157" t="e">
        <f ca="1"/>
        <v>#DIV/0!</v>
      </c>
      <c r="BX40" s="157" t="e">
        <f ca="1"/>
        <v>#DIV/0!</v>
      </c>
      <c r="BY40" s="468" t="e">
        <f ca="1"/>
        <v>#DIV/0!</v>
      </c>
      <c r="BZ40" s="470" t="e">
        <f ca="1"/>
        <v>#DIV/0!</v>
      </c>
      <c r="CA40" s="472" t="e">
        <f ca="1"/>
        <v>#DIV/0!</v>
      </c>
      <c r="CB40" s="462" t="e">
        <f ca="1"/>
        <v>#DIV/0!</v>
      </c>
      <c r="CC40" s="464">
        <f ca="1"/>
        <v>0</v>
      </c>
      <c r="CD40" s="464" t="e">
        <f ca="1"/>
        <v>#DIV/0!</v>
      </c>
      <c r="CE40" s="466" t="e">
        <f ca="1"/>
        <v>#DIV/0!</v>
      </c>
      <c r="CF40" s="157" t="e">
        <f ca="1"/>
        <v>#DIV/0!</v>
      </c>
      <c r="CG40" s="157" t="e">
        <f ca="1"/>
        <v>#DIV/0!</v>
      </c>
      <c r="CH40" s="157">
        <f ca="1"/>
        <v>45.820334283196004</v>
      </c>
      <c r="CI40" s="157" t="e">
        <f ca="1"/>
        <v>#DIV/0!</v>
      </c>
      <c r="CJ40" s="157" t="e">
        <f ca="1"/>
        <v>#DIV/0!</v>
      </c>
      <c r="CK40" s="468" t="e">
        <f ca="1"/>
        <v>#DIV/0!</v>
      </c>
      <c r="CL40" s="470" t="e">
        <f ca="1"/>
        <v>#DIV/0!</v>
      </c>
      <c r="CM40" s="472" t="e">
        <f ca="1"/>
        <v>#DIV/0!</v>
      </c>
      <c r="CN40" s="462" t="e">
        <f ca="1"/>
        <v>#DIV/0!</v>
      </c>
      <c r="CO40" s="464" t="e">
        <f ca="1"/>
        <v>#NUM!</v>
      </c>
      <c r="CP40" s="464" t="e">
        <f ca="1"/>
        <v>#NUM!</v>
      </c>
      <c r="CQ40" s="466" t="e">
        <f ca="1"/>
        <v>#NUM!</v>
      </c>
      <c r="CR40" s="157" t="e">
        <f ca="1"/>
        <v>#DIV/0!</v>
      </c>
      <c r="CS40" s="157" t="e">
        <f ca="1"/>
        <v>#NUM!</v>
      </c>
      <c r="CT40" s="157">
        <f ca="1"/>
        <v>6.7793911214479996</v>
      </c>
      <c r="CU40" s="157" t="e">
        <f ca="1"/>
        <v>#DIV/0!</v>
      </c>
      <c r="CV40" s="157" t="e">
        <f ca="1"/>
        <v>#DIV/0!</v>
      </c>
      <c r="CW40" s="468" t="e">
        <f ca="1"/>
        <v>#DIV/0!</v>
      </c>
      <c r="CX40" s="470" t="e">
        <f ca="1"/>
        <v>#DIV/0!</v>
      </c>
      <c r="CY40" s="472" t="e">
        <f ca="1"/>
        <v>#DIV/0!</v>
      </c>
      <c r="CZ40" s="173" t="e">
        <f t="shared" ca="1" si="3"/>
        <v>#DIV/0!</v>
      </c>
      <c r="DA40" s="173" t="e">
        <f t="shared" ca="1" si="3"/>
        <v>#DIV/0!</v>
      </c>
      <c r="DB40" s="462" t="e">
        <f ca="1"/>
        <v>#DIV/0!</v>
      </c>
      <c r="DC40" s="464">
        <f ca="1"/>
        <v>0</v>
      </c>
      <c r="DD40" s="464" t="e">
        <f ca="1"/>
        <v>#DIV/0!</v>
      </c>
      <c r="DE40" s="466" t="e">
        <f ca="1"/>
        <v>#DIV/0!</v>
      </c>
      <c r="DF40" s="157" t="e">
        <f ca="1"/>
        <v>#DIV/0!</v>
      </c>
      <c r="DG40" s="157" t="e">
        <f ca="1"/>
        <v>#DIV/0!</v>
      </c>
      <c r="DH40" s="157">
        <f ca="1"/>
        <v>18617.128174635072</v>
      </c>
      <c r="DI40" s="157" t="e">
        <f ca="1"/>
        <v>#DIV/0!</v>
      </c>
      <c r="DJ40" s="157" t="e">
        <f ca="1"/>
        <v>#DIV/0!</v>
      </c>
      <c r="DK40" s="468" t="e">
        <f ca="1"/>
        <v>#DIV/0!</v>
      </c>
      <c r="DL40" s="470" t="e">
        <f ca="1"/>
        <v>#DIV/0!</v>
      </c>
      <c r="DM40" s="472" t="e">
        <f ca="1"/>
        <v>#DIV/0!</v>
      </c>
      <c r="DN40" s="462" t="e">
        <f ca="1"/>
        <v>#DIV/0!</v>
      </c>
      <c r="DO40" s="464">
        <f ca="1"/>
        <v>0</v>
      </c>
      <c r="DP40" s="464" t="e">
        <f ca="1"/>
        <v>#DIV/0!</v>
      </c>
      <c r="DQ40" s="466" t="e">
        <f ca="1"/>
        <v>#DIV/0!</v>
      </c>
      <c r="DR40" s="157" t="e">
        <f ca="1"/>
        <v>#DIV/0!</v>
      </c>
      <c r="DS40" s="157" t="e">
        <f ca="1"/>
        <v>#DIV/0!</v>
      </c>
      <c r="DT40" s="157">
        <f ca="1"/>
        <v>15374.323330157731</v>
      </c>
      <c r="DU40" s="157" t="e">
        <f ca="1"/>
        <v>#DIV/0!</v>
      </c>
      <c r="DV40" s="157" t="e">
        <f ca="1"/>
        <v>#DIV/0!</v>
      </c>
      <c r="DW40" s="468" t="e">
        <f ca="1"/>
        <v>#DIV/0!</v>
      </c>
      <c r="DX40" s="470" t="e">
        <f ca="1"/>
        <v>#DIV/0!</v>
      </c>
      <c r="DY40" s="472" t="e">
        <f ca="1"/>
        <v>#DIV/0!</v>
      </c>
      <c r="DZ40" s="462" t="e">
        <f ca="1"/>
        <v>#DIV/0!</v>
      </c>
      <c r="EA40" s="464">
        <f ca="1"/>
        <v>0</v>
      </c>
      <c r="EB40" s="464" t="e">
        <f ca="1"/>
        <v>#DIV/0!</v>
      </c>
      <c r="EC40" s="466" t="e">
        <f ca="1"/>
        <v>#DIV/0!</v>
      </c>
      <c r="ED40" s="157" t="e">
        <f ca="1"/>
        <v>#DIV/0!</v>
      </c>
      <c r="EE40" s="157" t="e">
        <f ca="1"/>
        <v>#DIV/0!</v>
      </c>
      <c r="EF40" s="157">
        <f ca="1"/>
        <v>12107.227638788581</v>
      </c>
      <c r="EG40" s="157" t="e">
        <f ca="1"/>
        <v>#DIV/0!</v>
      </c>
      <c r="EH40" s="157" t="e">
        <f ca="1"/>
        <v>#DIV/0!</v>
      </c>
      <c r="EI40" s="468" t="e">
        <f ca="1"/>
        <v>#DIV/0!</v>
      </c>
      <c r="EJ40" s="470" t="e">
        <f ca="1"/>
        <v>#DIV/0!</v>
      </c>
      <c r="EK40" s="472" t="e">
        <f ca="1"/>
        <v>#DIV/0!</v>
      </c>
      <c r="EL40" s="462" t="e">
        <f ca="1"/>
        <v>#DIV/0!</v>
      </c>
      <c r="EM40" s="464" t="e">
        <f ca="1"/>
        <v>#NUM!</v>
      </c>
      <c r="EN40" s="464" t="e">
        <f ca="1"/>
        <v>#NUM!</v>
      </c>
      <c r="EO40" s="466" t="e">
        <f ca="1"/>
        <v>#NUM!</v>
      </c>
      <c r="EP40" s="157" t="e">
        <f ca="1"/>
        <v>#DIV/0!</v>
      </c>
      <c r="EQ40" s="157" t="e">
        <f ca="1"/>
        <v>#NUM!</v>
      </c>
      <c r="ER40" s="157">
        <f ca="1"/>
        <v>2264.4271425476318</v>
      </c>
      <c r="ES40" s="157" t="e">
        <f ca="1"/>
        <v>#DIV/0!</v>
      </c>
      <c r="ET40" s="157" t="e">
        <f ca="1"/>
        <v>#DIV/0!</v>
      </c>
      <c r="EU40" s="468" t="e">
        <f ca="1"/>
        <v>#DIV/0!</v>
      </c>
      <c r="EV40" s="470" t="e">
        <f ca="1"/>
        <v>#DIV/0!</v>
      </c>
      <c r="EW40" s="472" t="e">
        <f ca="1"/>
        <v>#DIV/0!</v>
      </c>
      <c r="EX40" s="462" t="e">
        <f ca="1"/>
        <v>#DIV/0!</v>
      </c>
      <c r="EY40" s="464" t="e">
        <f ca="1"/>
        <v>#NUM!</v>
      </c>
      <c r="EZ40" s="464" t="e">
        <f ca="1"/>
        <v>#NUM!</v>
      </c>
      <c r="FA40" s="466" t="e">
        <f ca="1"/>
        <v>#NUM!</v>
      </c>
      <c r="FB40" s="157" t="e">
        <f ca="1"/>
        <v>#DIV/0!</v>
      </c>
      <c r="FC40" s="157" t="e">
        <f ca="1"/>
        <v>#NUM!</v>
      </c>
      <c r="FD40" s="157">
        <f ca="1"/>
        <v>4631.2750042147354</v>
      </c>
      <c r="FE40" s="157" t="e">
        <f ca="1"/>
        <v>#DIV/0!</v>
      </c>
      <c r="FF40" s="157" t="e">
        <f ca="1"/>
        <v>#DIV/0!</v>
      </c>
      <c r="FG40" s="468" t="e">
        <f ca="1"/>
        <v>#DIV/0!</v>
      </c>
      <c r="FH40" s="470" t="e">
        <f ca="1"/>
        <v>#DIV/0!</v>
      </c>
      <c r="FI40" s="472" t="e">
        <f ca="1"/>
        <v>#DIV/0!</v>
      </c>
      <c r="FJ40" s="173" t="e">
        <f t="shared" ca="1" si="4"/>
        <v>#DIV/0!</v>
      </c>
      <c r="FK40" s="173" t="e">
        <f t="shared" ca="1" si="4"/>
        <v>#DIV/0!</v>
      </c>
      <c r="FL40" s="462" t="e">
        <f ca="1"/>
        <v>#DIV/0!</v>
      </c>
      <c r="FM40" s="464">
        <f ca="1"/>
        <v>0</v>
      </c>
      <c r="FN40" s="464" t="e">
        <f ca="1"/>
        <v>#DIV/0!</v>
      </c>
      <c r="FO40" s="466" t="e">
        <f ca="1"/>
        <v>#DIV/0!</v>
      </c>
      <c r="FP40" s="157" t="e">
        <f ca="1"/>
        <v>#DIV/0!</v>
      </c>
      <c r="FQ40" s="157" t="e">
        <f ca="1"/>
        <v>#DIV/0!</v>
      </c>
      <c r="FR40" s="157" t="e">
        <f ca="1"/>
        <v>#DIV/0!</v>
      </c>
      <c r="FS40" s="157">
        <f ca="1"/>
        <v>1936.1926555696539</v>
      </c>
      <c r="FT40" s="468" t="e">
        <f ca="1"/>
        <v>#DIV/0!</v>
      </c>
      <c r="FU40" s="470" t="e">
        <f ca="1"/>
        <v>#DIV/0!</v>
      </c>
      <c r="FV40" s="470" t="e">
        <f ca="1"/>
        <v>#DIV/0!</v>
      </c>
      <c r="FW40" s="462" t="e">
        <f ca="1"/>
        <v>#DIV/0!</v>
      </c>
      <c r="FX40" s="464" t="e">
        <f ca="1"/>
        <v>#NUM!</v>
      </c>
      <c r="FY40" s="464" t="e">
        <f ca="1"/>
        <v>#NUM!</v>
      </c>
      <c r="FZ40" s="466" t="e">
        <f ca="1"/>
        <v>#NUM!</v>
      </c>
      <c r="GA40" s="157" t="e">
        <f ca="1"/>
        <v>#DIV/0!</v>
      </c>
      <c r="GB40" s="157" t="e">
        <f ca="1"/>
        <v>#NUM!</v>
      </c>
      <c r="GC40" s="157" t="e">
        <f ca="1"/>
        <v>#DIV/0!</v>
      </c>
      <c r="GD40" s="157">
        <f ca="1"/>
        <v>35.437626246750995</v>
      </c>
      <c r="GE40" s="468" t="e">
        <f ca="1"/>
        <v>#DIV/0!</v>
      </c>
      <c r="GF40" s="470" t="e">
        <f ca="1"/>
        <v>#DIV/0!</v>
      </c>
      <c r="GG40" s="470" t="e">
        <f ca="1"/>
        <v>#DIV/0!</v>
      </c>
      <c r="GH40" s="173" t="e">
        <f t="shared" ca="1" si="2"/>
        <v>#DIV/0!</v>
      </c>
      <c r="GI40" s="173" t="e">
        <f t="shared" ca="1" si="2"/>
        <v>#DIV/0!</v>
      </c>
    </row>
    <row r="41" spans="1:191" ht="15">
      <c r="B41" s="169"/>
      <c r="C41" s="87">
        <f>'Oil supply projection'!B41</f>
        <v>2050</v>
      </c>
      <c r="D41" s="460" t="e">
        <f ca="1"/>
        <v>#DIV/0!</v>
      </c>
      <c r="E41" s="460" t="e">
        <f ca="1"/>
        <v>#DIV/0!</v>
      </c>
      <c r="F41" s="462" t="e">
        <f ca="1"/>
        <v>#DIV/0!</v>
      </c>
      <c r="G41" s="464">
        <f ca="1"/>
        <v>0</v>
      </c>
      <c r="H41" s="464" t="e">
        <f ca="1"/>
        <v>#DIV/0!</v>
      </c>
      <c r="I41" s="466" t="e">
        <f ca="1"/>
        <v>#DIV/0!</v>
      </c>
      <c r="J41" s="157" t="e">
        <f ca="1"/>
        <v>#DIV/0!</v>
      </c>
      <c r="K41" s="157" t="e">
        <f ca="1"/>
        <v>#DIV/0!</v>
      </c>
      <c r="L41" s="157">
        <f ca="1"/>
        <v>37.896036904816725</v>
      </c>
      <c r="M41" s="157" t="e">
        <f ca="1"/>
        <v>#DIV/0!</v>
      </c>
      <c r="N41" s="157" t="e">
        <f ca="1"/>
        <v>#DIV/0!</v>
      </c>
      <c r="O41" s="468" t="e">
        <f ca="1"/>
        <v>#DIV/0!</v>
      </c>
      <c r="P41" s="470" t="e">
        <f ca="1"/>
        <v>#DIV/0!</v>
      </c>
      <c r="Q41" s="472" t="e">
        <f ca="1"/>
        <v>#DIV/0!</v>
      </c>
      <c r="R41" s="462" t="e">
        <f ca="1"/>
        <v>#DIV/0!</v>
      </c>
      <c r="S41" s="464">
        <f ca="1"/>
        <v>0</v>
      </c>
      <c r="T41" s="464" t="e">
        <f ca="1"/>
        <v>#DIV/0!</v>
      </c>
      <c r="U41" s="466" t="e">
        <f ca="1"/>
        <v>#DIV/0!</v>
      </c>
      <c r="V41" s="157" t="e">
        <f ca="1"/>
        <v>#DIV/0!</v>
      </c>
      <c r="W41" s="157" t="e">
        <f ca="1"/>
        <v>#DIV/0!</v>
      </c>
      <c r="X41" s="157">
        <f ca="1"/>
        <v>51.681620100115282</v>
      </c>
      <c r="Y41" s="157" t="e">
        <f ca="1"/>
        <v>#DIV/0!</v>
      </c>
      <c r="Z41" s="157" t="e">
        <f ca="1"/>
        <v>#DIV/0!</v>
      </c>
      <c r="AA41" s="468" t="e">
        <f ca="1"/>
        <v>#DIV/0!</v>
      </c>
      <c r="AB41" s="470" t="e">
        <f ca="1"/>
        <v>#DIV/0!</v>
      </c>
      <c r="AC41" s="472" t="e">
        <f ca="1"/>
        <v>#DIV/0!</v>
      </c>
      <c r="AD41" s="462" t="e">
        <f ca="1"/>
        <v>#DIV/0!</v>
      </c>
      <c r="AE41" s="464">
        <f ca="1"/>
        <v>0</v>
      </c>
      <c r="AF41" s="464" t="e">
        <f ca="1"/>
        <v>#DIV/0!</v>
      </c>
      <c r="AG41" s="466" t="e">
        <f ca="1"/>
        <v>#DIV/0!</v>
      </c>
      <c r="AH41" s="157" t="e">
        <f ca="1"/>
        <v>#DIV/0!</v>
      </c>
      <c r="AI41" s="157" t="e">
        <f ca="1"/>
        <v>#DIV/0!</v>
      </c>
      <c r="AJ41" s="157">
        <f ca="1"/>
        <v>676.11939138971104</v>
      </c>
      <c r="AK41" s="157" t="e">
        <f ca="1"/>
        <v>#DIV/0!</v>
      </c>
      <c r="AL41" s="157" t="e">
        <f ca="1"/>
        <v>#DIV/0!</v>
      </c>
      <c r="AM41" s="468" t="e">
        <f ca="1"/>
        <v>#DIV/0!</v>
      </c>
      <c r="AN41" s="470" t="e">
        <f ca="1"/>
        <v>#DIV/0!</v>
      </c>
      <c r="AO41" s="472" t="e">
        <f ca="1"/>
        <v>#DIV/0!</v>
      </c>
      <c r="AP41" s="462" t="e">
        <f ca="1"/>
        <v>#DIV/0!</v>
      </c>
      <c r="AQ41" s="464" t="e">
        <f ca="1"/>
        <v>#NUM!</v>
      </c>
      <c r="AR41" s="464" t="e">
        <f ca="1"/>
        <v>#NUM!</v>
      </c>
      <c r="AS41" s="466" t="e">
        <f ca="1"/>
        <v>#NUM!</v>
      </c>
      <c r="AT41" s="157" t="e">
        <f ca="1"/>
        <v>#DIV/0!</v>
      </c>
      <c r="AU41" s="157" t="e">
        <f ca="1"/>
        <v>#NUM!</v>
      </c>
      <c r="AV41" s="157">
        <f ca="1"/>
        <v>1218.637277993264</v>
      </c>
      <c r="AW41" s="157" t="e">
        <f ca="1"/>
        <v>#DIV/0!</v>
      </c>
      <c r="AX41" s="157" t="e">
        <f ca="1"/>
        <v>#DIV/0!</v>
      </c>
      <c r="AY41" s="468" t="e">
        <f ca="1"/>
        <v>#DIV/0!</v>
      </c>
      <c r="AZ41" s="470" t="e">
        <f ca="1"/>
        <v>#DIV/0!</v>
      </c>
      <c r="BA41" s="472" t="e">
        <f ca="1"/>
        <v>#DIV/0!</v>
      </c>
      <c r="BB41" s="173" t="e">
        <f t="shared" ca="1" si="0"/>
        <v>#DIV/0!</v>
      </c>
      <c r="BC41" s="173" t="e">
        <f t="shared" ca="1" si="1"/>
        <v>#DIV/0!</v>
      </c>
      <c r="BD41" s="462" t="e">
        <f ca="1"/>
        <v>#DIV/0!</v>
      </c>
      <c r="BE41" s="464">
        <f ca="1"/>
        <v>0</v>
      </c>
      <c r="BF41" s="464" t="e">
        <f ca="1"/>
        <v>#DIV/0!</v>
      </c>
      <c r="BG41" s="466" t="e">
        <f ca="1"/>
        <v>#DIV/0!</v>
      </c>
      <c r="BH41" s="157" t="e">
        <f ca="1"/>
        <v>#DIV/0!</v>
      </c>
      <c r="BI41" s="157" t="e">
        <f ca="1"/>
        <v>#DIV/0!</v>
      </c>
      <c r="BJ41" s="157">
        <f ca="1"/>
        <v>18.291459541771999</v>
      </c>
      <c r="BK41" s="157" t="e">
        <f ca="1"/>
        <v>#DIV/0!</v>
      </c>
      <c r="BL41" s="157" t="e">
        <f ca="1"/>
        <v>#DIV/0!</v>
      </c>
      <c r="BM41" s="468" t="e">
        <f ca="1"/>
        <v>#DIV/0!</v>
      </c>
      <c r="BN41" s="470" t="e">
        <f ca="1"/>
        <v>#DIV/0!</v>
      </c>
      <c r="BO41" s="472" t="e">
        <f ca="1"/>
        <v>#DIV/0!</v>
      </c>
      <c r="BP41" s="462" t="e">
        <f ca="1"/>
        <v>#DIV/0!</v>
      </c>
      <c r="BQ41" s="464">
        <f ca="1"/>
        <v>0</v>
      </c>
      <c r="BR41" s="464" t="e">
        <f ca="1"/>
        <v>#DIV/0!</v>
      </c>
      <c r="BS41" s="466" t="e">
        <f ca="1"/>
        <v>#DIV/0!</v>
      </c>
      <c r="BT41" s="157" t="e">
        <f ca="1"/>
        <v>#DIV/0!</v>
      </c>
      <c r="BU41" s="157" t="e">
        <f ca="1"/>
        <v>#DIV/0!</v>
      </c>
      <c r="BV41" s="157">
        <f ca="1"/>
        <v>13.392635003515998</v>
      </c>
      <c r="BW41" s="157" t="e">
        <f ca="1"/>
        <v>#DIV/0!</v>
      </c>
      <c r="BX41" s="157" t="e">
        <f ca="1"/>
        <v>#DIV/0!</v>
      </c>
      <c r="BY41" s="468" t="e">
        <f ca="1"/>
        <v>#DIV/0!</v>
      </c>
      <c r="BZ41" s="470" t="e">
        <f ca="1"/>
        <v>#DIV/0!</v>
      </c>
      <c r="CA41" s="472" t="e">
        <f ca="1"/>
        <v>#DIV/0!</v>
      </c>
      <c r="CB41" s="462" t="e">
        <f ca="1"/>
        <v>#DIV/0!</v>
      </c>
      <c r="CC41" s="464">
        <f ca="1"/>
        <v>0</v>
      </c>
      <c r="CD41" s="464" t="e">
        <f ca="1"/>
        <v>#DIV/0!</v>
      </c>
      <c r="CE41" s="466" t="e">
        <f ca="1"/>
        <v>#DIV/0!</v>
      </c>
      <c r="CF41" s="157" t="e">
        <f ca="1"/>
        <v>#DIV/0!</v>
      </c>
      <c r="CG41" s="157" t="e">
        <f ca="1"/>
        <v>#DIV/0!</v>
      </c>
      <c r="CH41" s="157">
        <f ca="1"/>
        <v>46.291215506999997</v>
      </c>
      <c r="CI41" s="157" t="e">
        <f ca="1"/>
        <v>#DIV/0!</v>
      </c>
      <c r="CJ41" s="157" t="e">
        <f ca="1"/>
        <v>#DIV/0!</v>
      </c>
      <c r="CK41" s="468" t="e">
        <f ca="1"/>
        <v>#DIV/0!</v>
      </c>
      <c r="CL41" s="470" t="e">
        <f ca="1"/>
        <v>#DIV/0!</v>
      </c>
      <c r="CM41" s="472" t="e">
        <f ca="1"/>
        <v>#DIV/0!</v>
      </c>
      <c r="CN41" s="462" t="e">
        <f ca="1"/>
        <v>#DIV/0!</v>
      </c>
      <c r="CO41" s="464" t="e">
        <f ca="1"/>
        <v>#NUM!</v>
      </c>
      <c r="CP41" s="464" t="e">
        <f ca="1"/>
        <v>#NUM!</v>
      </c>
      <c r="CQ41" s="466" t="e">
        <f ca="1"/>
        <v>#NUM!</v>
      </c>
      <c r="CR41" s="157" t="e">
        <f ca="1"/>
        <v>#DIV/0!</v>
      </c>
      <c r="CS41" s="157" t="e">
        <f ca="1"/>
        <v>#NUM!</v>
      </c>
      <c r="CT41" s="157">
        <f ca="1"/>
        <v>6.8856688249199998</v>
      </c>
      <c r="CU41" s="157" t="e">
        <f ca="1"/>
        <v>#DIV/0!</v>
      </c>
      <c r="CV41" s="157" t="e">
        <f ca="1"/>
        <v>#DIV/0!</v>
      </c>
      <c r="CW41" s="468" t="e">
        <f ca="1"/>
        <v>#DIV/0!</v>
      </c>
      <c r="CX41" s="470" t="e">
        <f ca="1"/>
        <v>#DIV/0!</v>
      </c>
      <c r="CY41" s="472" t="e">
        <f ca="1"/>
        <v>#DIV/0!</v>
      </c>
      <c r="CZ41" s="173" t="e">
        <f t="shared" ca="1" si="3"/>
        <v>#DIV/0!</v>
      </c>
      <c r="DA41" s="173" t="e">
        <f t="shared" ca="1" si="3"/>
        <v>#DIV/0!</v>
      </c>
      <c r="DB41" s="462" t="e">
        <f ca="1"/>
        <v>#DIV/0!</v>
      </c>
      <c r="DC41" s="464">
        <f ca="1"/>
        <v>0</v>
      </c>
      <c r="DD41" s="464" t="e">
        <f ca="1"/>
        <v>#DIV/0!</v>
      </c>
      <c r="DE41" s="466" t="e">
        <f ca="1"/>
        <v>#DIV/0!</v>
      </c>
      <c r="DF41" s="157" t="e">
        <f ca="1"/>
        <v>#DIV/0!</v>
      </c>
      <c r="DG41" s="157" t="e">
        <f ca="1"/>
        <v>#DIV/0!</v>
      </c>
      <c r="DH41" s="157">
        <f ca="1"/>
        <v>18622.830312697519</v>
      </c>
      <c r="DI41" s="157" t="e">
        <f ca="1"/>
        <v>#DIV/0!</v>
      </c>
      <c r="DJ41" s="157" t="e">
        <f ca="1"/>
        <v>#DIV/0!</v>
      </c>
      <c r="DK41" s="468" t="e">
        <f ca="1"/>
        <v>#DIV/0!</v>
      </c>
      <c r="DL41" s="470" t="e">
        <f ca="1"/>
        <v>#DIV/0!</v>
      </c>
      <c r="DM41" s="472" t="e">
        <f ca="1"/>
        <v>#DIV/0!</v>
      </c>
      <c r="DN41" s="462" t="e">
        <f ca="1"/>
        <v>#DIV/0!</v>
      </c>
      <c r="DO41" s="464">
        <f ca="1"/>
        <v>0</v>
      </c>
      <c r="DP41" s="464" t="e">
        <f ca="1"/>
        <v>#DIV/0!</v>
      </c>
      <c r="DQ41" s="466" t="e">
        <f ca="1"/>
        <v>#DIV/0!</v>
      </c>
      <c r="DR41" s="157" t="e">
        <f ca="1"/>
        <v>#DIV/0!</v>
      </c>
      <c r="DS41" s="157" t="e">
        <f ca="1"/>
        <v>#DIV/0!</v>
      </c>
      <c r="DT41" s="157">
        <f ca="1"/>
        <v>15337.600506383278</v>
      </c>
      <c r="DU41" s="157" t="e">
        <f ca="1"/>
        <v>#DIV/0!</v>
      </c>
      <c r="DV41" s="157" t="e">
        <f ca="1"/>
        <v>#DIV/0!</v>
      </c>
      <c r="DW41" s="468" t="e">
        <f ca="1"/>
        <v>#DIV/0!</v>
      </c>
      <c r="DX41" s="470" t="e">
        <f ca="1"/>
        <v>#DIV/0!</v>
      </c>
      <c r="DY41" s="472" t="e">
        <f ca="1"/>
        <v>#DIV/0!</v>
      </c>
      <c r="DZ41" s="462" t="e">
        <f ca="1"/>
        <v>#DIV/0!</v>
      </c>
      <c r="EA41" s="464">
        <f ca="1"/>
        <v>0</v>
      </c>
      <c r="EB41" s="464" t="e">
        <f ca="1"/>
        <v>#DIV/0!</v>
      </c>
      <c r="EC41" s="466" t="e">
        <f ca="1"/>
        <v>#DIV/0!</v>
      </c>
      <c r="ED41" s="157" t="e">
        <f ca="1"/>
        <v>#DIV/0!</v>
      </c>
      <c r="EE41" s="157" t="e">
        <f ca="1"/>
        <v>#DIV/0!</v>
      </c>
      <c r="EF41" s="157">
        <f ca="1"/>
        <v>12050.748211837281</v>
      </c>
      <c r="EG41" s="157" t="e">
        <f ca="1"/>
        <v>#DIV/0!</v>
      </c>
      <c r="EH41" s="157" t="e">
        <f ca="1"/>
        <v>#DIV/0!</v>
      </c>
      <c r="EI41" s="468" t="e">
        <f ca="1"/>
        <v>#DIV/0!</v>
      </c>
      <c r="EJ41" s="470" t="e">
        <f ca="1"/>
        <v>#DIV/0!</v>
      </c>
      <c r="EK41" s="472" t="e">
        <f ca="1"/>
        <v>#DIV/0!</v>
      </c>
      <c r="EL41" s="462" t="e">
        <f ca="1"/>
        <v>#DIV/0!</v>
      </c>
      <c r="EM41" s="464" t="e">
        <f ca="1"/>
        <v>#NUM!</v>
      </c>
      <c r="EN41" s="464" t="e">
        <f ca="1"/>
        <v>#NUM!</v>
      </c>
      <c r="EO41" s="466" t="e">
        <f ca="1"/>
        <v>#NUM!</v>
      </c>
      <c r="EP41" s="157" t="e">
        <f ca="1"/>
        <v>#DIV/0!</v>
      </c>
      <c r="EQ41" s="157" t="e">
        <f ca="1"/>
        <v>#NUM!</v>
      </c>
      <c r="ER41" s="157">
        <f ca="1"/>
        <v>2289.5938815644977</v>
      </c>
      <c r="ES41" s="157" t="e">
        <f ca="1"/>
        <v>#DIV/0!</v>
      </c>
      <c r="ET41" s="157" t="e">
        <f ca="1"/>
        <v>#DIV/0!</v>
      </c>
      <c r="EU41" s="468" t="e">
        <f ca="1"/>
        <v>#DIV/0!</v>
      </c>
      <c r="EV41" s="470" t="e">
        <f ca="1"/>
        <v>#DIV/0!</v>
      </c>
      <c r="EW41" s="472" t="e">
        <f ca="1"/>
        <v>#DIV/0!</v>
      </c>
      <c r="EX41" s="462" t="e">
        <f ca="1"/>
        <v>#DIV/0!</v>
      </c>
      <c r="EY41" s="464" t="e">
        <f ca="1"/>
        <v>#NUM!</v>
      </c>
      <c r="EZ41" s="464" t="e">
        <f ca="1"/>
        <v>#NUM!</v>
      </c>
      <c r="FA41" s="466" t="e">
        <f ca="1"/>
        <v>#NUM!</v>
      </c>
      <c r="FB41" s="157" t="e">
        <f ca="1"/>
        <v>#DIV/0!</v>
      </c>
      <c r="FC41" s="157" t="e">
        <f ca="1"/>
        <v>#NUM!</v>
      </c>
      <c r="FD41" s="157">
        <f ca="1"/>
        <v>4689.943790965558</v>
      </c>
      <c r="FE41" s="157" t="e">
        <f ca="1"/>
        <v>#DIV/0!</v>
      </c>
      <c r="FF41" s="157" t="e">
        <f ca="1"/>
        <v>#DIV/0!</v>
      </c>
      <c r="FG41" s="468" t="e">
        <f ca="1"/>
        <v>#DIV/0!</v>
      </c>
      <c r="FH41" s="470" t="e">
        <f ca="1"/>
        <v>#DIV/0!</v>
      </c>
      <c r="FI41" s="472" t="e">
        <f ca="1"/>
        <v>#DIV/0!</v>
      </c>
      <c r="FJ41" s="173" t="e">
        <f t="shared" ca="1" si="4"/>
        <v>#DIV/0!</v>
      </c>
      <c r="FK41" s="173" t="e">
        <f t="shared" ca="1" si="4"/>
        <v>#DIV/0!</v>
      </c>
      <c r="FL41" s="462" t="e">
        <f ca="1"/>
        <v>#DIV/0!</v>
      </c>
      <c r="FM41" s="464">
        <f ca="1"/>
        <v>0</v>
      </c>
      <c r="FN41" s="464" t="e">
        <f ca="1"/>
        <v>#DIV/0!</v>
      </c>
      <c r="FO41" s="466" t="e">
        <f ca="1"/>
        <v>#DIV/0!</v>
      </c>
      <c r="FP41" s="157" t="e">
        <f ca="1"/>
        <v>#DIV/0!</v>
      </c>
      <c r="FQ41" s="157" t="e">
        <f ca="1"/>
        <v>#DIV/0!</v>
      </c>
      <c r="FR41" s="157" t="e">
        <f ca="1"/>
        <v>#DIV/0!</v>
      </c>
      <c r="FS41" s="157">
        <f ca="1"/>
        <v>1963.1672179447862</v>
      </c>
      <c r="FT41" s="468" t="e">
        <f ca="1"/>
        <v>#DIV/0!</v>
      </c>
      <c r="FU41" s="470" t="e">
        <f ca="1"/>
        <v>#DIV/0!</v>
      </c>
      <c r="FV41" s="470" t="e">
        <f ca="1"/>
        <v>#DIV/0!</v>
      </c>
      <c r="FW41" s="462" t="e">
        <f ca="1"/>
        <v>#DIV/0!</v>
      </c>
      <c r="FX41" s="464" t="e">
        <f ca="1"/>
        <v>#NUM!</v>
      </c>
      <c r="FY41" s="464" t="e">
        <f ca="1"/>
        <v>#NUM!</v>
      </c>
      <c r="FZ41" s="466" t="e">
        <f ca="1"/>
        <v>#NUM!</v>
      </c>
      <c r="GA41" s="157" t="e">
        <f ca="1"/>
        <v>#DIV/0!</v>
      </c>
      <c r="GB41" s="157" t="e">
        <f ca="1"/>
        <v>#NUM!</v>
      </c>
      <c r="GC41" s="157" t="e">
        <f ca="1"/>
        <v>#DIV/0!</v>
      </c>
      <c r="GD41" s="157">
        <f ca="1"/>
        <v>41.602841802354</v>
      </c>
      <c r="GE41" s="468" t="e">
        <f ca="1"/>
        <v>#DIV/0!</v>
      </c>
      <c r="GF41" s="470" t="e">
        <f ca="1"/>
        <v>#DIV/0!</v>
      </c>
      <c r="GG41" s="470" t="e">
        <f ca="1"/>
        <v>#DIV/0!</v>
      </c>
      <c r="GH41" s="173" t="e">
        <f t="shared" ca="1" si="2"/>
        <v>#DIV/0!</v>
      </c>
      <c r="GI41" s="173" t="e">
        <f t="shared" ca="1" si="2"/>
        <v>#DIV/0!</v>
      </c>
    </row>
    <row r="42" spans="1:191" ht="15">
      <c r="B42" s="169"/>
      <c r="C42" s="87">
        <f>'Oil supply projection'!B42</f>
        <v>2051</v>
      </c>
      <c r="D42" s="460" t="e">
        <f ca="1"/>
        <v>#DIV/0!</v>
      </c>
      <c r="E42" s="460" t="e">
        <f ca="1"/>
        <v>#DIV/0!</v>
      </c>
      <c r="F42" s="462" t="e">
        <f ca="1"/>
        <v>#DIV/0!</v>
      </c>
      <c r="G42" s="464">
        <f ca="1"/>
        <v>0</v>
      </c>
      <c r="H42" s="464" t="e">
        <f ca="1"/>
        <v>#DIV/0!</v>
      </c>
      <c r="I42" s="466" t="e">
        <f ca="1"/>
        <v>#DIV/0!</v>
      </c>
      <c r="J42" s="157" t="e">
        <f ca="1"/>
        <v>#DIV/0!</v>
      </c>
      <c r="K42" s="157" t="e">
        <f ca="1"/>
        <v>#DIV/0!</v>
      </c>
      <c r="L42" s="157">
        <f ca="1"/>
        <v>38.399955245411363</v>
      </c>
      <c r="M42" s="157" t="e">
        <f ca="1"/>
        <v>#DIV/0!</v>
      </c>
      <c r="N42" s="157" t="e">
        <f ca="1"/>
        <v>#DIV/0!</v>
      </c>
      <c r="O42" s="468" t="e">
        <f ca="1"/>
        <v>#DIV/0!</v>
      </c>
      <c r="P42" s="470" t="e">
        <f ca="1"/>
        <v>#DIV/0!</v>
      </c>
      <c r="Q42" s="472" t="e">
        <f ca="1"/>
        <v>#DIV/0!</v>
      </c>
      <c r="R42" s="462" t="e">
        <f ca="1"/>
        <v>#DIV/0!</v>
      </c>
      <c r="S42" s="464">
        <f ca="1"/>
        <v>0</v>
      </c>
      <c r="T42" s="464" t="e">
        <f ca="1"/>
        <v>#DIV/0!</v>
      </c>
      <c r="U42" s="466" t="e">
        <f ca="1"/>
        <v>#DIV/0!</v>
      </c>
      <c r="V42" s="157" t="e">
        <f ca="1"/>
        <v>#DIV/0!</v>
      </c>
      <c r="W42" s="157" t="e">
        <f ca="1"/>
        <v>#DIV/0!</v>
      </c>
      <c r="X42" s="157">
        <f ca="1"/>
        <v>52.368850701708411</v>
      </c>
      <c r="Y42" s="157" t="e">
        <f ca="1"/>
        <v>#DIV/0!</v>
      </c>
      <c r="Z42" s="157" t="e">
        <f ca="1"/>
        <v>#DIV/0!</v>
      </c>
      <c r="AA42" s="468" t="e">
        <f ca="1"/>
        <v>#DIV/0!</v>
      </c>
      <c r="AB42" s="470" t="e">
        <f ca="1"/>
        <v>#DIV/0!</v>
      </c>
      <c r="AC42" s="472" t="e">
        <f ca="1"/>
        <v>#DIV/0!</v>
      </c>
      <c r="AD42" s="462" t="e">
        <f ca="1"/>
        <v>#DIV/0!</v>
      </c>
      <c r="AE42" s="464">
        <f ca="1"/>
        <v>0</v>
      </c>
      <c r="AF42" s="464" t="e">
        <f ca="1"/>
        <v>#DIV/0!</v>
      </c>
      <c r="AG42" s="466" t="e">
        <f ca="1"/>
        <v>#DIV/0!</v>
      </c>
      <c r="AH42" s="157" t="e">
        <f ca="1"/>
        <v>#DIV/0!</v>
      </c>
      <c r="AI42" s="157" t="e">
        <f ca="1"/>
        <v>#DIV/0!</v>
      </c>
      <c r="AJ42" s="157">
        <f ca="1"/>
        <v>685.11001388168063</v>
      </c>
      <c r="AK42" s="157" t="e">
        <f ca="1"/>
        <v>#DIV/0!</v>
      </c>
      <c r="AL42" s="157" t="e">
        <f ca="1"/>
        <v>#DIV/0!</v>
      </c>
      <c r="AM42" s="468" t="e">
        <f ca="1"/>
        <v>#DIV/0!</v>
      </c>
      <c r="AN42" s="470" t="e">
        <f ca="1"/>
        <v>#DIV/0!</v>
      </c>
      <c r="AO42" s="472" t="e">
        <f ca="1"/>
        <v>#DIV/0!</v>
      </c>
      <c r="AP42" s="462" t="e">
        <f ca="1"/>
        <v>#DIV/0!</v>
      </c>
      <c r="AQ42" s="464" t="e">
        <f ca="1"/>
        <v>#NUM!</v>
      </c>
      <c r="AR42" s="464" t="e">
        <f ca="1"/>
        <v>#NUM!</v>
      </c>
      <c r="AS42" s="466" t="e">
        <f ca="1"/>
        <v>#NUM!</v>
      </c>
      <c r="AT42" s="157" t="e">
        <f ca="1"/>
        <v>#DIV/0!</v>
      </c>
      <c r="AU42" s="157" t="e">
        <f ca="1"/>
        <v>#NUM!</v>
      </c>
      <c r="AV42" s="157">
        <f ca="1"/>
        <v>1234.8419718100752</v>
      </c>
      <c r="AW42" s="157" t="e">
        <f ca="1"/>
        <v>#DIV/0!</v>
      </c>
      <c r="AX42" s="157" t="e">
        <f ca="1"/>
        <v>#DIV/0!</v>
      </c>
      <c r="AY42" s="468" t="e">
        <f ca="1"/>
        <v>#DIV/0!</v>
      </c>
      <c r="AZ42" s="470" t="e">
        <f ca="1"/>
        <v>#DIV/0!</v>
      </c>
      <c r="BA42" s="472" t="e">
        <f ca="1"/>
        <v>#DIV/0!</v>
      </c>
      <c r="BB42" s="173" t="e">
        <f t="shared" ref="BB42:BB61" ca="1" si="5">AZ42+AN42+AB42+P42</f>
        <v>#DIV/0!</v>
      </c>
      <c r="BC42" s="173" t="e">
        <f t="shared" ref="BC42:BC61" ca="1" si="6">BA42+AO42+AC42+Q42</f>
        <v>#DIV/0!</v>
      </c>
      <c r="BD42" s="462" t="e">
        <f ca="1"/>
        <v>#DIV/0!</v>
      </c>
      <c r="BE42" s="464">
        <f ca="1"/>
        <v>0</v>
      </c>
      <c r="BF42" s="464" t="e">
        <f ca="1"/>
        <v>#DIV/0!</v>
      </c>
      <c r="BG42" s="466" t="e">
        <f ca="1"/>
        <v>#DIV/0!</v>
      </c>
      <c r="BH42" s="157" t="e">
        <f ca="1"/>
        <v>#DIV/0!</v>
      </c>
      <c r="BI42" s="157" t="e">
        <f ca="1"/>
        <v>#DIV/0!</v>
      </c>
      <c r="BJ42" s="157">
        <f ca="1"/>
        <v>18.399445388576233</v>
      </c>
      <c r="BK42" s="157" t="e">
        <f ca="1"/>
        <v>#DIV/0!</v>
      </c>
      <c r="BL42" s="157" t="e">
        <f ca="1"/>
        <v>#DIV/0!</v>
      </c>
      <c r="BM42" s="468" t="e">
        <f ca="1"/>
        <v>#DIV/0!</v>
      </c>
      <c r="BN42" s="470" t="e">
        <f ca="1"/>
        <v>#DIV/0!</v>
      </c>
      <c r="BO42" s="472" t="e">
        <f ca="1"/>
        <v>#DIV/0!</v>
      </c>
      <c r="BP42" s="462" t="e">
        <f ca="1"/>
        <v>#DIV/0!</v>
      </c>
      <c r="BQ42" s="464">
        <f ca="1"/>
        <v>0</v>
      </c>
      <c r="BR42" s="464" t="e">
        <f ca="1"/>
        <v>#DIV/0!</v>
      </c>
      <c r="BS42" s="466" t="e">
        <f ca="1"/>
        <v>#DIV/0!</v>
      </c>
      <c r="BT42" s="157" t="e">
        <f ca="1"/>
        <v>#DIV/0!</v>
      </c>
      <c r="BU42" s="157" t="e">
        <f ca="1"/>
        <v>#DIV/0!</v>
      </c>
      <c r="BV42" s="157">
        <f ca="1"/>
        <v>13.471700046329669</v>
      </c>
      <c r="BW42" s="157" t="e">
        <f ca="1"/>
        <v>#DIV/0!</v>
      </c>
      <c r="BX42" s="157" t="e">
        <f ca="1"/>
        <v>#DIV/0!</v>
      </c>
      <c r="BY42" s="468" t="e">
        <f ca="1"/>
        <v>#DIV/0!</v>
      </c>
      <c r="BZ42" s="470" t="e">
        <f ca="1"/>
        <v>#DIV/0!</v>
      </c>
      <c r="CA42" s="472" t="e">
        <f ca="1"/>
        <v>#DIV/0!</v>
      </c>
      <c r="CB42" s="462" t="e">
        <f ca="1"/>
        <v>#DIV/0!</v>
      </c>
      <c r="CC42" s="464">
        <f ca="1"/>
        <v>0</v>
      </c>
      <c r="CD42" s="464" t="e">
        <f ca="1"/>
        <v>#DIV/0!</v>
      </c>
      <c r="CE42" s="466" t="e">
        <f ca="1"/>
        <v>#DIV/0!</v>
      </c>
      <c r="CF42" s="157" t="e">
        <f ca="1"/>
        <v>#DIV/0!</v>
      </c>
      <c r="CG42" s="157" t="e">
        <f ca="1"/>
        <v>#DIV/0!</v>
      </c>
      <c r="CH42" s="157">
        <f ca="1"/>
        <v>46.564501304380194</v>
      </c>
      <c r="CI42" s="157" t="e">
        <f ca="1"/>
        <v>#DIV/0!</v>
      </c>
      <c r="CJ42" s="157" t="e">
        <f ca="1"/>
        <v>#DIV/0!</v>
      </c>
      <c r="CK42" s="468" t="e">
        <f ca="1"/>
        <v>#DIV/0!</v>
      </c>
      <c r="CL42" s="470" t="e">
        <f ca="1"/>
        <v>#DIV/0!</v>
      </c>
      <c r="CM42" s="472" t="e">
        <f ca="1"/>
        <v>#DIV/0!</v>
      </c>
      <c r="CN42" s="462" t="e">
        <f ca="1"/>
        <v>#DIV/0!</v>
      </c>
      <c r="CO42" s="464" t="e">
        <f ca="1"/>
        <v>#NUM!</v>
      </c>
      <c r="CP42" s="464" t="e">
        <f ca="1"/>
        <v>#NUM!</v>
      </c>
      <c r="CQ42" s="466" t="e">
        <f ca="1"/>
        <v>#NUM!</v>
      </c>
      <c r="CR42" s="157" t="e">
        <f ca="1"/>
        <v>#DIV/0!</v>
      </c>
      <c r="CS42" s="157" t="e">
        <f ca="1"/>
        <v>#NUM!</v>
      </c>
      <c r="CT42" s="157">
        <f ca="1"/>
        <v>6.9263192047967097</v>
      </c>
      <c r="CU42" s="157" t="e">
        <f ca="1"/>
        <v>#DIV/0!</v>
      </c>
      <c r="CV42" s="157" t="e">
        <f ca="1"/>
        <v>#DIV/0!</v>
      </c>
      <c r="CW42" s="468" t="e">
        <f ca="1"/>
        <v>#DIV/0!</v>
      </c>
      <c r="CX42" s="470" t="e">
        <f ca="1"/>
        <v>#DIV/0!</v>
      </c>
      <c r="CY42" s="472" t="e">
        <f ca="1"/>
        <v>#DIV/0!</v>
      </c>
      <c r="CZ42" s="173" t="e">
        <f t="shared" ca="1" si="3"/>
        <v>#DIV/0!</v>
      </c>
      <c r="DA42" s="173" t="e">
        <f t="shared" ca="1" si="3"/>
        <v>#DIV/0!</v>
      </c>
      <c r="DB42" s="462" t="e">
        <f ca="1"/>
        <v>#DIV/0!</v>
      </c>
      <c r="DC42" s="464">
        <f ca="1"/>
        <v>0</v>
      </c>
      <c r="DD42" s="464" t="e">
        <f ca="1"/>
        <v>#DIV/0!</v>
      </c>
      <c r="DE42" s="466" t="e">
        <f ca="1"/>
        <v>#DIV/0!</v>
      </c>
      <c r="DF42" s="157" t="e">
        <f ca="1"/>
        <v>#DIV/0!</v>
      </c>
      <c r="DG42" s="157" t="e">
        <f ca="1"/>
        <v>#DIV/0!</v>
      </c>
      <c r="DH42" s="157">
        <f ca="1"/>
        <v>18814.600968485782</v>
      </c>
      <c r="DI42" s="157" t="e">
        <f ca="1"/>
        <v>#DIV/0!</v>
      </c>
      <c r="DJ42" s="157" t="e">
        <f ca="1"/>
        <v>#DIV/0!</v>
      </c>
      <c r="DK42" s="468" t="e">
        <f ca="1"/>
        <v>#DIV/0!</v>
      </c>
      <c r="DL42" s="470" t="e">
        <f ca="1"/>
        <v>#DIV/0!</v>
      </c>
      <c r="DM42" s="472" t="e">
        <f ca="1"/>
        <v>#DIV/0!</v>
      </c>
      <c r="DN42" s="462" t="e">
        <f ca="1"/>
        <v>#DIV/0!</v>
      </c>
      <c r="DO42" s="464">
        <f ca="1"/>
        <v>0</v>
      </c>
      <c r="DP42" s="464" t="e">
        <f ca="1"/>
        <v>#DIV/0!</v>
      </c>
      <c r="DQ42" s="466" t="e">
        <f ca="1"/>
        <v>#DIV/0!</v>
      </c>
      <c r="DR42" s="157" t="e">
        <f ca="1"/>
        <v>#DIV/0!</v>
      </c>
      <c r="DS42" s="157" t="e">
        <f ca="1"/>
        <v>#DIV/0!</v>
      </c>
      <c r="DT42" s="157">
        <f ca="1"/>
        <v>15495.541144725566</v>
      </c>
      <c r="DU42" s="157" t="e">
        <f ca="1"/>
        <v>#DIV/0!</v>
      </c>
      <c r="DV42" s="157" t="e">
        <f ca="1"/>
        <v>#DIV/0!</v>
      </c>
      <c r="DW42" s="468" t="e">
        <f ca="1"/>
        <v>#DIV/0!</v>
      </c>
      <c r="DX42" s="470" t="e">
        <f ca="1"/>
        <v>#DIV/0!</v>
      </c>
      <c r="DY42" s="472" t="e">
        <f ca="1"/>
        <v>#DIV/0!</v>
      </c>
      <c r="DZ42" s="462" t="e">
        <f ca="1"/>
        <v>#DIV/0!</v>
      </c>
      <c r="EA42" s="464">
        <f ca="1"/>
        <v>0</v>
      </c>
      <c r="EB42" s="464" t="e">
        <f ca="1"/>
        <v>#DIV/0!</v>
      </c>
      <c r="EC42" s="466" t="e">
        <f ca="1"/>
        <v>#DIV/0!</v>
      </c>
      <c r="ED42" s="157" t="e">
        <f ca="1"/>
        <v>#DIV/0!</v>
      </c>
      <c r="EE42" s="157" t="e">
        <f ca="1"/>
        <v>#DIV/0!</v>
      </c>
      <c r="EF42" s="157">
        <f ca="1"/>
        <v>12174.842124981493</v>
      </c>
      <c r="EG42" s="157" t="e">
        <f ca="1"/>
        <v>#DIV/0!</v>
      </c>
      <c r="EH42" s="157" t="e">
        <f ca="1"/>
        <v>#DIV/0!</v>
      </c>
      <c r="EI42" s="468" t="e">
        <f ca="1"/>
        <v>#DIV/0!</v>
      </c>
      <c r="EJ42" s="470" t="e">
        <f ca="1"/>
        <v>#DIV/0!</v>
      </c>
      <c r="EK42" s="472" t="e">
        <f ca="1"/>
        <v>#DIV/0!</v>
      </c>
      <c r="EL42" s="462" t="e">
        <f ca="1"/>
        <v>#DIV/0!</v>
      </c>
      <c r="EM42" s="464" t="e">
        <f ca="1"/>
        <v>#NUM!</v>
      </c>
      <c r="EN42" s="464" t="e">
        <f ca="1"/>
        <v>#NUM!</v>
      </c>
      <c r="EO42" s="466" t="e">
        <f ca="1"/>
        <v>#NUM!</v>
      </c>
      <c r="EP42" s="157" t="e">
        <f ca="1"/>
        <v>#DIV/0!</v>
      </c>
      <c r="EQ42" s="157" t="e">
        <f ca="1"/>
        <v>#NUM!</v>
      </c>
      <c r="ER42" s="157">
        <f ca="1"/>
        <v>2313.1712279068015</v>
      </c>
      <c r="ES42" s="157" t="e">
        <f ca="1"/>
        <v>#DIV/0!</v>
      </c>
      <c r="ET42" s="157" t="e">
        <f ca="1"/>
        <v>#DIV/0!</v>
      </c>
      <c r="EU42" s="468" t="e">
        <f ca="1"/>
        <v>#DIV/0!</v>
      </c>
      <c r="EV42" s="470" t="e">
        <f ca="1"/>
        <v>#DIV/0!</v>
      </c>
      <c r="EW42" s="472" t="e">
        <f ca="1"/>
        <v>#DIV/0!</v>
      </c>
      <c r="EX42" s="462" t="e">
        <f ca="1"/>
        <v>#DIV/0!</v>
      </c>
      <c r="EY42" s="464" t="e">
        <f ca="1"/>
        <v>#NUM!</v>
      </c>
      <c r="EZ42" s="464" t="e">
        <f ca="1"/>
        <v>#NUM!</v>
      </c>
      <c r="FA42" s="466" t="e">
        <f ca="1"/>
        <v>#NUM!</v>
      </c>
      <c r="FB42" s="157" t="e">
        <f ca="1"/>
        <v>#DIV/0!</v>
      </c>
      <c r="FC42" s="157" t="e">
        <f ca="1"/>
        <v>#NUM!</v>
      </c>
      <c r="FD42" s="157">
        <f ca="1"/>
        <v>4738.2390061021279</v>
      </c>
      <c r="FE42" s="157" t="e">
        <f ca="1"/>
        <v>#DIV/0!</v>
      </c>
      <c r="FF42" s="157" t="e">
        <f ca="1"/>
        <v>#DIV/0!</v>
      </c>
      <c r="FG42" s="468" t="e">
        <f ca="1"/>
        <v>#DIV/0!</v>
      </c>
      <c r="FH42" s="470" t="e">
        <f ca="1"/>
        <v>#DIV/0!</v>
      </c>
      <c r="FI42" s="472" t="e">
        <f ca="1"/>
        <v>#DIV/0!</v>
      </c>
      <c r="FJ42" s="173" t="e">
        <f t="shared" ca="1" si="4"/>
        <v>#DIV/0!</v>
      </c>
      <c r="FK42" s="173" t="e">
        <f t="shared" ca="1" si="4"/>
        <v>#DIV/0!</v>
      </c>
      <c r="FL42" s="462" t="e">
        <f ca="1"/>
        <v>#DIV/0!</v>
      </c>
      <c r="FM42" s="464">
        <f ca="1"/>
        <v>0</v>
      </c>
      <c r="FN42" s="464" t="e">
        <f ca="1"/>
        <v>#DIV/0!</v>
      </c>
      <c r="FO42" s="466" t="e">
        <f ca="1"/>
        <v>#DIV/0!</v>
      </c>
      <c r="FP42" s="157" t="e">
        <f ca="1"/>
        <v>#DIV/0!</v>
      </c>
      <c r="FQ42" s="157" t="e">
        <f ca="1"/>
        <v>#DIV/0!</v>
      </c>
      <c r="FR42" s="157" t="e">
        <f ca="1"/>
        <v>#DIV/0!</v>
      </c>
      <c r="FS42" s="157">
        <f ca="1"/>
        <v>1974.1210745749074</v>
      </c>
      <c r="FT42" s="468" t="e">
        <f ca="1"/>
        <v>#DIV/0!</v>
      </c>
      <c r="FU42" s="470" t="e">
        <f ca="1"/>
        <v>#DIV/0!</v>
      </c>
      <c r="FV42" s="470" t="e">
        <f ca="1"/>
        <v>#DIV/0!</v>
      </c>
      <c r="FW42" s="462" t="e">
        <f ca="1"/>
        <v>#DIV/0!</v>
      </c>
      <c r="FX42" s="464" t="e">
        <f ca="1"/>
        <v>#NUM!</v>
      </c>
      <c r="FY42" s="464" t="e">
        <f ca="1"/>
        <v>#NUM!</v>
      </c>
      <c r="FZ42" s="466" t="e">
        <f ca="1"/>
        <v>#NUM!</v>
      </c>
      <c r="GA42" s="157" t="e">
        <f ca="1"/>
        <v>#DIV/0!</v>
      </c>
      <c r="GB42" s="157" t="e">
        <f ca="1"/>
        <v>#NUM!</v>
      </c>
      <c r="GC42" s="157" t="e">
        <f ca="1"/>
        <v>#DIV/0!</v>
      </c>
      <c r="GD42" s="157">
        <f ca="1"/>
        <v>41.834972596075012</v>
      </c>
      <c r="GE42" s="468" t="e">
        <f ca="1"/>
        <v>#DIV/0!</v>
      </c>
      <c r="GF42" s="470" t="e">
        <f ca="1"/>
        <v>#DIV/0!</v>
      </c>
      <c r="GG42" s="470" t="e">
        <f ca="1"/>
        <v>#DIV/0!</v>
      </c>
      <c r="GH42" s="173" t="e">
        <f t="shared" ref="GH42:GI84" ca="1" si="7">GF42+FU42</f>
        <v>#DIV/0!</v>
      </c>
      <c r="GI42" s="173" t="e">
        <f t="shared" ca="1" si="7"/>
        <v>#DIV/0!</v>
      </c>
    </row>
    <row r="43" spans="1:191" ht="15">
      <c r="B43" s="169"/>
      <c r="C43" s="87">
        <f>'Oil supply projection'!B43</f>
        <v>2052</v>
      </c>
      <c r="D43" s="460" t="e">
        <f ca="1"/>
        <v>#DIV/0!</v>
      </c>
      <c r="E43" s="460" t="e">
        <f ca="1"/>
        <v>#DIV/0!</v>
      </c>
      <c r="F43" s="462" t="e">
        <f ca="1"/>
        <v>#DIV/0!</v>
      </c>
      <c r="G43" s="464">
        <f ca="1"/>
        <v>0</v>
      </c>
      <c r="H43" s="464" t="e">
        <f ca="1"/>
        <v>#DIV/0!</v>
      </c>
      <c r="I43" s="466" t="e">
        <f ca="1"/>
        <v>#DIV/0!</v>
      </c>
      <c r="J43" s="157" t="e">
        <f ca="1"/>
        <v>#DIV/0!</v>
      </c>
      <c r="K43" s="157" t="e">
        <f ca="1"/>
        <v>#DIV/0!</v>
      </c>
      <c r="L43" s="157">
        <f ca="1"/>
        <v>38.910574384156085</v>
      </c>
      <c r="M43" s="157" t="e">
        <f ca="1"/>
        <v>#DIV/0!</v>
      </c>
      <c r="N43" s="157" t="e">
        <f ca="1"/>
        <v>#DIV/0!</v>
      </c>
      <c r="O43" s="468" t="e">
        <f ca="1"/>
        <v>#DIV/0!</v>
      </c>
      <c r="P43" s="470" t="e">
        <f ca="1"/>
        <v>#DIV/0!</v>
      </c>
      <c r="Q43" s="472" t="e">
        <f ca="1"/>
        <v>#DIV/0!</v>
      </c>
      <c r="R43" s="462" t="e">
        <f ca="1"/>
        <v>#DIV/0!</v>
      </c>
      <c r="S43" s="464">
        <f ca="1"/>
        <v>0</v>
      </c>
      <c r="T43" s="464" t="e">
        <f ca="1"/>
        <v>#DIV/0!</v>
      </c>
      <c r="U43" s="466" t="e">
        <f ca="1"/>
        <v>#DIV/0!</v>
      </c>
      <c r="V43" s="157" t="e">
        <f ca="1"/>
        <v>#DIV/0!</v>
      </c>
      <c r="W43" s="157" t="e">
        <f ca="1"/>
        <v>#DIV/0!</v>
      </c>
      <c r="X43" s="157">
        <f ca="1"/>
        <v>53.065219675876754</v>
      </c>
      <c r="Y43" s="157" t="e">
        <f ca="1"/>
        <v>#DIV/0!</v>
      </c>
      <c r="Z43" s="157" t="e">
        <f ca="1"/>
        <v>#DIV/0!</v>
      </c>
      <c r="AA43" s="468" t="e">
        <f ca="1"/>
        <v>#DIV/0!</v>
      </c>
      <c r="AB43" s="470" t="e">
        <f ca="1"/>
        <v>#DIV/0!</v>
      </c>
      <c r="AC43" s="472" t="e">
        <f ca="1"/>
        <v>#DIV/0!</v>
      </c>
      <c r="AD43" s="462" t="e">
        <f ca="1"/>
        <v>#DIV/0!</v>
      </c>
      <c r="AE43" s="464">
        <f ca="1"/>
        <v>0</v>
      </c>
      <c r="AF43" s="464" t="e">
        <f ca="1"/>
        <v>#DIV/0!</v>
      </c>
      <c r="AG43" s="466" t="e">
        <f ca="1"/>
        <v>#DIV/0!</v>
      </c>
      <c r="AH43" s="157" t="e">
        <f ca="1"/>
        <v>#DIV/0!</v>
      </c>
      <c r="AI43" s="157" t="e">
        <f ca="1"/>
        <v>#DIV/0!</v>
      </c>
      <c r="AJ43" s="157">
        <f ca="1"/>
        <v>694.22018817740343</v>
      </c>
      <c r="AK43" s="157" t="e">
        <f ca="1"/>
        <v>#DIV/0!</v>
      </c>
      <c r="AL43" s="157" t="e">
        <f ca="1"/>
        <v>#DIV/0!</v>
      </c>
      <c r="AM43" s="468" t="e">
        <f ca="1"/>
        <v>#DIV/0!</v>
      </c>
      <c r="AN43" s="470" t="e">
        <f ca="1"/>
        <v>#DIV/0!</v>
      </c>
      <c r="AO43" s="472" t="e">
        <f ca="1"/>
        <v>#DIV/0!</v>
      </c>
      <c r="AP43" s="462" t="e">
        <f ca="1"/>
        <v>#DIV/0!</v>
      </c>
      <c r="AQ43" s="464" t="e">
        <f ca="1"/>
        <v>#NUM!</v>
      </c>
      <c r="AR43" s="464" t="e">
        <f ca="1"/>
        <v>#NUM!</v>
      </c>
      <c r="AS43" s="466" t="e">
        <f ca="1"/>
        <v>#NUM!</v>
      </c>
      <c r="AT43" s="157" t="e">
        <f ca="1"/>
        <v>#DIV/0!</v>
      </c>
      <c r="AU43" s="157" t="e">
        <f ca="1"/>
        <v>#NUM!</v>
      </c>
      <c r="AV43" s="157">
        <f ca="1"/>
        <v>1251.2621457426176</v>
      </c>
      <c r="AW43" s="157" t="e">
        <f ca="1"/>
        <v>#DIV/0!</v>
      </c>
      <c r="AX43" s="157" t="e">
        <f ca="1"/>
        <v>#DIV/0!</v>
      </c>
      <c r="AY43" s="468" t="e">
        <f ca="1"/>
        <v>#DIV/0!</v>
      </c>
      <c r="AZ43" s="470" t="e">
        <f ca="1"/>
        <v>#DIV/0!</v>
      </c>
      <c r="BA43" s="472" t="e">
        <f ca="1"/>
        <v>#DIV/0!</v>
      </c>
      <c r="BB43" s="173" t="e">
        <f t="shared" ca="1" si="5"/>
        <v>#DIV/0!</v>
      </c>
      <c r="BC43" s="173" t="e">
        <f t="shared" ca="1" si="6"/>
        <v>#DIV/0!</v>
      </c>
      <c r="BD43" s="462" t="e">
        <f ca="1"/>
        <v>#DIV/0!</v>
      </c>
      <c r="BE43" s="464">
        <f ca="1"/>
        <v>0</v>
      </c>
      <c r="BF43" s="464" t="e">
        <f ca="1"/>
        <v>#DIV/0!</v>
      </c>
      <c r="BG43" s="466" t="e">
        <f ca="1"/>
        <v>#DIV/0!</v>
      </c>
      <c r="BH43" s="157" t="e">
        <f ca="1"/>
        <v>#DIV/0!</v>
      </c>
      <c r="BI43" s="157" t="e">
        <f ca="1"/>
        <v>#DIV/0!</v>
      </c>
      <c r="BJ43" s="157">
        <f ca="1"/>
        <v>18.508068742905959</v>
      </c>
      <c r="BK43" s="157" t="e">
        <f ca="1"/>
        <v>#DIV/0!</v>
      </c>
      <c r="BL43" s="157" t="e">
        <f ca="1"/>
        <v>#DIV/0!</v>
      </c>
      <c r="BM43" s="468" t="e">
        <f ca="1"/>
        <v>#DIV/0!</v>
      </c>
      <c r="BN43" s="470" t="e">
        <f ca="1"/>
        <v>#DIV/0!</v>
      </c>
      <c r="BO43" s="472" t="e">
        <f ca="1"/>
        <v>#DIV/0!</v>
      </c>
      <c r="BP43" s="462" t="e">
        <f ca="1"/>
        <v>#DIV/0!</v>
      </c>
      <c r="BQ43" s="464">
        <f ca="1"/>
        <v>0</v>
      </c>
      <c r="BR43" s="464" t="e">
        <f ca="1"/>
        <v>#DIV/0!</v>
      </c>
      <c r="BS43" s="466" t="e">
        <f ca="1"/>
        <v>#DIV/0!</v>
      </c>
      <c r="BT43" s="157" t="e">
        <f ca="1"/>
        <v>#DIV/0!</v>
      </c>
      <c r="BU43" s="157" t="e">
        <f ca="1"/>
        <v>#DIV/0!</v>
      </c>
      <c r="BV43" s="157">
        <f ca="1"/>
        <v>13.551231859199678</v>
      </c>
      <c r="BW43" s="157" t="e">
        <f ca="1"/>
        <v>#DIV/0!</v>
      </c>
      <c r="BX43" s="157" t="e">
        <f ca="1"/>
        <v>#DIV/0!</v>
      </c>
      <c r="BY43" s="468" t="e">
        <f ca="1"/>
        <v>#DIV/0!</v>
      </c>
      <c r="BZ43" s="470" t="e">
        <f ca="1"/>
        <v>#DIV/0!</v>
      </c>
      <c r="CA43" s="472" t="e">
        <f ca="1"/>
        <v>#DIV/0!</v>
      </c>
      <c r="CB43" s="462" t="e">
        <f ca="1"/>
        <v>#DIV/0!</v>
      </c>
      <c r="CC43" s="464">
        <f ca="1"/>
        <v>0</v>
      </c>
      <c r="CD43" s="464" t="e">
        <f ca="1"/>
        <v>#DIV/0!</v>
      </c>
      <c r="CE43" s="466" t="e">
        <f ca="1"/>
        <v>#DIV/0!</v>
      </c>
      <c r="CF43" s="157" t="e">
        <f ca="1"/>
        <v>#DIV/0!</v>
      </c>
      <c r="CG43" s="157" t="e">
        <f ca="1"/>
        <v>#DIV/0!</v>
      </c>
      <c r="CH43" s="157">
        <f ca="1"/>
        <v>46.839400477564666</v>
      </c>
      <c r="CI43" s="157" t="e">
        <f ca="1"/>
        <v>#DIV/0!</v>
      </c>
      <c r="CJ43" s="157" t="e">
        <f ca="1"/>
        <v>#DIV/0!</v>
      </c>
      <c r="CK43" s="468" t="e">
        <f ca="1"/>
        <v>#DIV/0!</v>
      </c>
      <c r="CL43" s="470" t="e">
        <f ca="1"/>
        <v>#DIV/0!</v>
      </c>
      <c r="CM43" s="472" t="e">
        <f ca="1"/>
        <v>#DIV/0!</v>
      </c>
      <c r="CN43" s="462" t="e">
        <f ca="1"/>
        <v>#DIV/0!</v>
      </c>
      <c r="CO43" s="464" t="e">
        <f ca="1"/>
        <v>#NUM!</v>
      </c>
      <c r="CP43" s="464" t="e">
        <f ca="1"/>
        <v>#NUM!</v>
      </c>
      <c r="CQ43" s="466" t="e">
        <f ca="1"/>
        <v>#NUM!</v>
      </c>
      <c r="CR43" s="157" t="e">
        <f ca="1"/>
        <v>#DIV/0!</v>
      </c>
      <c r="CS43" s="157" t="e">
        <f ca="1"/>
        <v>#NUM!</v>
      </c>
      <c r="CT43" s="157">
        <f ca="1"/>
        <v>6.9672095691144582</v>
      </c>
      <c r="CU43" s="157" t="e">
        <f ca="1"/>
        <v>#DIV/0!</v>
      </c>
      <c r="CV43" s="157" t="e">
        <f ca="1"/>
        <v>#DIV/0!</v>
      </c>
      <c r="CW43" s="468" t="e">
        <f ca="1"/>
        <v>#DIV/0!</v>
      </c>
      <c r="CX43" s="470" t="e">
        <f ca="1"/>
        <v>#DIV/0!</v>
      </c>
      <c r="CY43" s="472" t="e">
        <f ca="1"/>
        <v>#DIV/0!</v>
      </c>
      <c r="CZ43" s="173" t="e">
        <f t="shared" ca="1" si="3"/>
        <v>#DIV/0!</v>
      </c>
      <c r="DA43" s="173" t="e">
        <f t="shared" ca="1" si="3"/>
        <v>#DIV/0!</v>
      </c>
      <c r="DB43" s="462" t="e">
        <f ca="1"/>
        <v>#DIV/0!</v>
      </c>
      <c r="DC43" s="464">
        <f ca="1"/>
        <v>0</v>
      </c>
      <c r="DD43" s="464" t="e">
        <f ca="1"/>
        <v>#DIV/0!</v>
      </c>
      <c r="DE43" s="466" t="e">
        <f ca="1"/>
        <v>#DIV/0!</v>
      </c>
      <c r="DF43" s="157" t="e">
        <f ca="1"/>
        <v>#DIV/0!</v>
      </c>
      <c r="DG43" s="157" t="e">
        <f ca="1"/>
        <v>#DIV/0!</v>
      </c>
      <c r="DH43" s="157">
        <f ca="1"/>
        <v>19008.346403821746</v>
      </c>
      <c r="DI43" s="157" t="e">
        <f ca="1"/>
        <v>#DIV/0!</v>
      </c>
      <c r="DJ43" s="157" t="e">
        <f ca="1"/>
        <v>#DIV/0!</v>
      </c>
      <c r="DK43" s="468" t="e">
        <f ca="1"/>
        <v>#DIV/0!</v>
      </c>
      <c r="DL43" s="470" t="e">
        <f ca="1"/>
        <v>#DIV/0!</v>
      </c>
      <c r="DM43" s="472" t="e">
        <f ca="1"/>
        <v>#DIV/0!</v>
      </c>
      <c r="DN43" s="462" t="e">
        <f ca="1"/>
        <v>#DIV/0!</v>
      </c>
      <c r="DO43" s="464">
        <f ca="1"/>
        <v>0</v>
      </c>
      <c r="DP43" s="464" t="e">
        <f ca="1"/>
        <v>#DIV/0!</v>
      </c>
      <c r="DQ43" s="466" t="e">
        <f ca="1"/>
        <v>#DIV/0!</v>
      </c>
      <c r="DR43" s="157" t="e">
        <f ca="1"/>
        <v>#DIV/0!</v>
      </c>
      <c r="DS43" s="157" t="e">
        <f ca="1"/>
        <v>#DIV/0!</v>
      </c>
      <c r="DT43" s="157">
        <f ca="1"/>
        <v>15655.108194267557</v>
      </c>
      <c r="DU43" s="157" t="e">
        <f ca="1"/>
        <v>#DIV/0!</v>
      </c>
      <c r="DV43" s="157" t="e">
        <f ca="1"/>
        <v>#DIV/0!</v>
      </c>
      <c r="DW43" s="468" t="e">
        <f ca="1"/>
        <v>#DIV/0!</v>
      </c>
      <c r="DX43" s="470" t="e">
        <f ca="1"/>
        <v>#DIV/0!</v>
      </c>
      <c r="DY43" s="472" t="e">
        <f ca="1"/>
        <v>#DIV/0!</v>
      </c>
      <c r="DZ43" s="462" t="e">
        <f ca="1"/>
        <v>#DIV/0!</v>
      </c>
      <c r="EA43" s="464">
        <f ca="1"/>
        <v>0</v>
      </c>
      <c r="EB43" s="464" t="e">
        <f ca="1"/>
        <v>#DIV/0!</v>
      </c>
      <c r="EC43" s="466" t="e">
        <f ca="1"/>
        <v>#DIV/0!</v>
      </c>
      <c r="ED43" s="157" t="e">
        <f ca="1"/>
        <v>#DIV/0!</v>
      </c>
      <c r="EE43" s="157" t="e">
        <f ca="1"/>
        <v>#DIV/0!</v>
      </c>
      <c r="EF43" s="157">
        <f ca="1"/>
        <v>12300.213908927493</v>
      </c>
      <c r="EG43" s="157" t="e">
        <f ca="1"/>
        <v>#DIV/0!</v>
      </c>
      <c r="EH43" s="157" t="e">
        <f ca="1"/>
        <v>#DIV/0!</v>
      </c>
      <c r="EI43" s="468" t="e">
        <f ca="1"/>
        <v>#DIV/0!</v>
      </c>
      <c r="EJ43" s="470" t="e">
        <f ca="1"/>
        <v>#DIV/0!</v>
      </c>
      <c r="EK43" s="472" t="e">
        <f ca="1"/>
        <v>#DIV/0!</v>
      </c>
      <c r="EL43" s="462" t="e">
        <f ca="1"/>
        <v>#DIV/0!</v>
      </c>
      <c r="EM43" s="464" t="e">
        <f ca="1"/>
        <v>#NUM!</v>
      </c>
      <c r="EN43" s="464" t="e">
        <f ca="1"/>
        <v>#NUM!</v>
      </c>
      <c r="EO43" s="466" t="e">
        <f ca="1"/>
        <v>#NUM!</v>
      </c>
      <c r="EP43" s="157" t="e">
        <f ca="1"/>
        <v>#DIV/0!</v>
      </c>
      <c r="EQ43" s="157" t="e">
        <f ca="1"/>
        <v>#NUM!</v>
      </c>
      <c r="ER43" s="157">
        <f ca="1"/>
        <v>2336.9913645819347</v>
      </c>
      <c r="ES43" s="157" t="e">
        <f ca="1"/>
        <v>#DIV/0!</v>
      </c>
      <c r="ET43" s="157" t="e">
        <f ca="1"/>
        <v>#DIV/0!</v>
      </c>
      <c r="EU43" s="468" t="e">
        <f ca="1"/>
        <v>#DIV/0!</v>
      </c>
      <c r="EV43" s="470" t="e">
        <f ca="1"/>
        <v>#DIV/0!</v>
      </c>
      <c r="EW43" s="472" t="e">
        <f ca="1"/>
        <v>#DIV/0!</v>
      </c>
      <c r="EX43" s="462" t="e">
        <f ca="1"/>
        <v>#DIV/0!</v>
      </c>
      <c r="EY43" s="464" t="e">
        <f ca="1"/>
        <v>#NUM!</v>
      </c>
      <c r="EZ43" s="464" t="e">
        <f ca="1"/>
        <v>#NUM!</v>
      </c>
      <c r="FA43" s="466" t="e">
        <f ca="1"/>
        <v>#NUM!</v>
      </c>
      <c r="FB43" s="157" t="e">
        <f ca="1"/>
        <v>#DIV/0!</v>
      </c>
      <c r="FC43" s="157" t="e">
        <f ca="1"/>
        <v>#NUM!</v>
      </c>
      <c r="FD43" s="157">
        <f ca="1"/>
        <v>4787.0315465605072</v>
      </c>
      <c r="FE43" s="157" t="e">
        <f ca="1"/>
        <v>#DIV/0!</v>
      </c>
      <c r="FF43" s="157" t="e">
        <f ca="1"/>
        <v>#DIV/0!</v>
      </c>
      <c r="FG43" s="468" t="e">
        <f ca="1"/>
        <v>#DIV/0!</v>
      </c>
      <c r="FH43" s="470" t="e">
        <f ca="1"/>
        <v>#DIV/0!</v>
      </c>
      <c r="FI43" s="472" t="e">
        <f ca="1"/>
        <v>#DIV/0!</v>
      </c>
      <c r="FJ43" s="173" t="e">
        <f t="shared" ca="1" si="4"/>
        <v>#DIV/0!</v>
      </c>
      <c r="FK43" s="173" t="e">
        <f t="shared" ca="1" si="4"/>
        <v>#DIV/0!</v>
      </c>
      <c r="FL43" s="462" t="e">
        <f ca="1"/>
        <v>#DIV/0!</v>
      </c>
      <c r="FM43" s="464">
        <f ca="1"/>
        <v>0</v>
      </c>
      <c r="FN43" s="464" t="e">
        <f ca="1"/>
        <v>#DIV/0!</v>
      </c>
      <c r="FO43" s="466" t="e">
        <f ca="1"/>
        <v>#DIV/0!</v>
      </c>
      <c r="FP43" s="157" t="e">
        <f ca="1"/>
        <v>#DIV/0!</v>
      </c>
      <c r="FQ43" s="157" t="e">
        <f ca="1"/>
        <v>#DIV/0!</v>
      </c>
      <c r="FR43" s="157" t="e">
        <f ca="1"/>
        <v>#DIV/0!</v>
      </c>
      <c r="FS43" s="157">
        <f ca="1"/>
        <v>1985.1360502854493</v>
      </c>
      <c r="FT43" s="468" t="e">
        <f ca="1"/>
        <v>#DIV/0!</v>
      </c>
      <c r="FU43" s="470" t="e">
        <f ca="1"/>
        <v>#DIV/0!</v>
      </c>
      <c r="FV43" s="470" t="e">
        <f ca="1"/>
        <v>#DIV/0!</v>
      </c>
      <c r="FW43" s="462" t="e">
        <f ca="1"/>
        <v>#DIV/0!</v>
      </c>
      <c r="FX43" s="464" t="e">
        <f ca="1"/>
        <v>#NUM!</v>
      </c>
      <c r="FY43" s="464" t="e">
        <f ca="1"/>
        <v>#NUM!</v>
      </c>
      <c r="FZ43" s="466" t="e">
        <f ca="1"/>
        <v>#NUM!</v>
      </c>
      <c r="GA43" s="157" t="e">
        <f ca="1"/>
        <v>#DIV/0!</v>
      </c>
      <c r="GB43" s="157" t="e">
        <f ca="1"/>
        <v>#NUM!</v>
      </c>
      <c r="GC43" s="157" t="e">
        <f ca="1"/>
        <v>#DIV/0!</v>
      </c>
      <c r="GD43" s="157">
        <f ca="1"/>
        <v>42.068398606734561</v>
      </c>
      <c r="GE43" s="468" t="e">
        <f ca="1"/>
        <v>#DIV/0!</v>
      </c>
      <c r="GF43" s="470" t="e">
        <f ca="1"/>
        <v>#DIV/0!</v>
      </c>
      <c r="GG43" s="470" t="e">
        <f ca="1"/>
        <v>#DIV/0!</v>
      </c>
      <c r="GH43" s="173" t="e">
        <f t="shared" ca="1" si="7"/>
        <v>#DIV/0!</v>
      </c>
      <c r="GI43" s="173" t="e">
        <f t="shared" ca="1" si="7"/>
        <v>#DIV/0!</v>
      </c>
    </row>
    <row r="44" spans="1:191" ht="15">
      <c r="B44" s="169"/>
      <c r="C44" s="87">
        <f>'Oil supply projection'!B44</f>
        <v>2053</v>
      </c>
      <c r="D44" s="460" t="e">
        <f ca="1"/>
        <v>#DIV/0!</v>
      </c>
      <c r="E44" s="460" t="e">
        <f ca="1"/>
        <v>#DIV/0!</v>
      </c>
      <c r="F44" s="462" t="e">
        <f ca="1"/>
        <v>#DIV/0!</v>
      </c>
      <c r="G44" s="464">
        <f ca="1"/>
        <v>0</v>
      </c>
      <c r="H44" s="464" t="e">
        <f ca="1"/>
        <v>#DIV/0!</v>
      </c>
      <c r="I44" s="466" t="e">
        <f ca="1"/>
        <v>#DIV/0!</v>
      </c>
      <c r="J44" s="157" t="e">
        <f ca="1"/>
        <v>#DIV/0!</v>
      </c>
      <c r="K44" s="157" t="e">
        <f ca="1"/>
        <v>#DIV/0!</v>
      </c>
      <c r="L44" s="157">
        <f ca="1"/>
        <v>39.427983424169867</v>
      </c>
      <c r="M44" s="157" t="e">
        <f ca="1"/>
        <v>#DIV/0!</v>
      </c>
      <c r="N44" s="157" t="e">
        <f ca="1"/>
        <v>#DIV/0!</v>
      </c>
      <c r="O44" s="468" t="e">
        <f ca="1"/>
        <v>#DIV/0!</v>
      </c>
      <c r="P44" s="470" t="e">
        <f ca="1"/>
        <v>#DIV/0!</v>
      </c>
      <c r="Q44" s="472" t="e">
        <f ca="1"/>
        <v>#DIV/0!</v>
      </c>
      <c r="R44" s="462" t="e">
        <f ca="1"/>
        <v>#DIV/0!</v>
      </c>
      <c r="S44" s="464">
        <f ca="1"/>
        <v>0</v>
      </c>
      <c r="T44" s="464" t="e">
        <f ca="1"/>
        <v>#DIV/0!</v>
      </c>
      <c r="U44" s="466" t="e">
        <f ca="1"/>
        <v>#DIV/0!</v>
      </c>
      <c r="V44" s="157" t="e">
        <f ca="1"/>
        <v>#DIV/0!</v>
      </c>
      <c r="W44" s="157" t="e">
        <f ca="1"/>
        <v>#DIV/0!</v>
      </c>
      <c r="X44" s="157">
        <f ca="1"/>
        <v>53.770848539114397</v>
      </c>
      <c r="Y44" s="157" t="e">
        <f ca="1"/>
        <v>#DIV/0!</v>
      </c>
      <c r="Z44" s="157" t="e">
        <f ca="1"/>
        <v>#DIV/0!</v>
      </c>
      <c r="AA44" s="468" t="e">
        <f ca="1"/>
        <v>#DIV/0!</v>
      </c>
      <c r="AB44" s="470" t="e">
        <f ca="1"/>
        <v>#DIV/0!</v>
      </c>
      <c r="AC44" s="472" t="e">
        <f ca="1"/>
        <v>#DIV/0!</v>
      </c>
      <c r="AD44" s="462" t="e">
        <f ca="1"/>
        <v>#DIV/0!</v>
      </c>
      <c r="AE44" s="464">
        <f ca="1"/>
        <v>0</v>
      </c>
      <c r="AF44" s="464" t="e">
        <f ca="1"/>
        <v>#DIV/0!</v>
      </c>
      <c r="AG44" s="466" t="e">
        <f ca="1"/>
        <v>#DIV/0!</v>
      </c>
      <c r="AH44" s="157" t="e">
        <f ca="1"/>
        <v>#DIV/0!</v>
      </c>
      <c r="AI44" s="157" t="e">
        <f ca="1"/>
        <v>#DIV/0!</v>
      </c>
      <c r="AJ44" s="157">
        <f ca="1"/>
        <v>703.4515040037079</v>
      </c>
      <c r="AK44" s="157" t="e">
        <f ca="1"/>
        <v>#DIV/0!</v>
      </c>
      <c r="AL44" s="157" t="e">
        <f ca="1"/>
        <v>#DIV/0!</v>
      </c>
      <c r="AM44" s="468" t="e">
        <f ca="1"/>
        <v>#DIV/0!</v>
      </c>
      <c r="AN44" s="470" t="e">
        <f ca="1"/>
        <v>#DIV/0!</v>
      </c>
      <c r="AO44" s="472" t="e">
        <f ca="1"/>
        <v>#DIV/0!</v>
      </c>
      <c r="AP44" s="462" t="e">
        <f ca="1"/>
        <v>#DIV/0!</v>
      </c>
      <c r="AQ44" s="464" t="e">
        <f ca="1"/>
        <v>#NUM!</v>
      </c>
      <c r="AR44" s="464" t="e">
        <f ca="1"/>
        <v>#NUM!</v>
      </c>
      <c r="AS44" s="466" t="e">
        <f ca="1"/>
        <v>#NUM!</v>
      </c>
      <c r="AT44" s="157" t="e">
        <f ca="1"/>
        <v>#DIV/0!</v>
      </c>
      <c r="AU44" s="157" t="e">
        <f ca="1"/>
        <v>#NUM!</v>
      </c>
      <c r="AV44" s="157">
        <f ca="1"/>
        <v>1267.9006651137913</v>
      </c>
      <c r="AW44" s="157" t="e">
        <f ca="1"/>
        <v>#DIV/0!</v>
      </c>
      <c r="AX44" s="157" t="e">
        <f ca="1"/>
        <v>#DIV/0!</v>
      </c>
      <c r="AY44" s="468" t="e">
        <f ca="1"/>
        <v>#DIV/0!</v>
      </c>
      <c r="AZ44" s="470" t="e">
        <f ca="1"/>
        <v>#DIV/0!</v>
      </c>
      <c r="BA44" s="472" t="e">
        <f ca="1"/>
        <v>#DIV/0!</v>
      </c>
      <c r="BB44" s="173" t="e">
        <f t="shared" ca="1" si="5"/>
        <v>#DIV/0!</v>
      </c>
      <c r="BC44" s="173" t="e">
        <f t="shared" ca="1" si="6"/>
        <v>#DIV/0!</v>
      </c>
      <c r="BD44" s="462" t="e">
        <f ca="1"/>
        <v>#DIV/0!</v>
      </c>
      <c r="BE44" s="464">
        <f ca="1"/>
        <v>0</v>
      </c>
      <c r="BF44" s="464" t="e">
        <f ca="1"/>
        <v>#DIV/0!</v>
      </c>
      <c r="BG44" s="466" t="e">
        <f ca="1"/>
        <v>#DIV/0!</v>
      </c>
      <c r="BH44" s="157" t="e">
        <f ca="1"/>
        <v>#DIV/0!</v>
      </c>
      <c r="BI44" s="157" t="e">
        <f ca="1"/>
        <v>#DIV/0!</v>
      </c>
      <c r="BJ44" s="157">
        <f ca="1"/>
        <v>18.617333368364054</v>
      </c>
      <c r="BK44" s="157" t="e">
        <f ca="1"/>
        <v>#DIV/0!</v>
      </c>
      <c r="BL44" s="157" t="e">
        <f ca="1"/>
        <v>#DIV/0!</v>
      </c>
      <c r="BM44" s="468" t="e">
        <f ca="1"/>
        <v>#DIV/0!</v>
      </c>
      <c r="BN44" s="470" t="e">
        <f ca="1"/>
        <v>#DIV/0!</v>
      </c>
      <c r="BO44" s="472" t="e">
        <f ca="1"/>
        <v>#DIV/0!</v>
      </c>
      <c r="BP44" s="462" t="e">
        <f ca="1"/>
        <v>#DIV/0!</v>
      </c>
      <c r="BQ44" s="464">
        <f ca="1"/>
        <v>0</v>
      </c>
      <c r="BR44" s="464" t="e">
        <f ca="1"/>
        <v>#DIV/0!</v>
      </c>
      <c r="BS44" s="466" t="e">
        <f ca="1"/>
        <v>#DIV/0!</v>
      </c>
      <c r="BT44" s="157" t="e">
        <f ca="1"/>
        <v>#DIV/0!</v>
      </c>
      <c r="BU44" s="157" t="e">
        <f ca="1"/>
        <v>#DIV/0!</v>
      </c>
      <c r="BV44" s="157">
        <f ca="1"/>
        <v>13.631233197759588</v>
      </c>
      <c r="BW44" s="157" t="e">
        <f ca="1"/>
        <v>#DIV/0!</v>
      </c>
      <c r="BX44" s="157" t="e">
        <f ca="1"/>
        <v>#DIV/0!</v>
      </c>
      <c r="BY44" s="468" t="e">
        <f ca="1"/>
        <v>#DIV/0!</v>
      </c>
      <c r="BZ44" s="470" t="e">
        <f ca="1"/>
        <v>#DIV/0!</v>
      </c>
      <c r="CA44" s="472" t="e">
        <f ca="1"/>
        <v>#DIV/0!</v>
      </c>
      <c r="CB44" s="462" t="e">
        <f ca="1"/>
        <v>#DIV/0!</v>
      </c>
      <c r="CC44" s="464">
        <f ca="1"/>
        <v>0</v>
      </c>
      <c r="CD44" s="464" t="e">
        <f ca="1"/>
        <v>#DIV/0!</v>
      </c>
      <c r="CE44" s="466" t="e">
        <f ca="1"/>
        <v>#DIV/0!</v>
      </c>
      <c r="CF44" s="157" t="e">
        <f ca="1"/>
        <v>#DIV/0!</v>
      </c>
      <c r="CG44" s="157" t="e">
        <f ca="1"/>
        <v>#DIV/0!</v>
      </c>
      <c r="CH44" s="157">
        <f ca="1"/>
        <v>47.115922551312892</v>
      </c>
      <c r="CI44" s="157" t="e">
        <f ca="1"/>
        <v>#DIV/0!</v>
      </c>
      <c r="CJ44" s="157" t="e">
        <f ca="1"/>
        <v>#DIV/0!</v>
      </c>
      <c r="CK44" s="468" t="e">
        <f ca="1"/>
        <v>#DIV/0!</v>
      </c>
      <c r="CL44" s="470" t="e">
        <f ca="1"/>
        <v>#DIV/0!</v>
      </c>
      <c r="CM44" s="472" t="e">
        <f ca="1"/>
        <v>#DIV/0!</v>
      </c>
      <c r="CN44" s="462" t="e">
        <f ca="1"/>
        <v>#DIV/0!</v>
      </c>
      <c r="CO44" s="464" t="e">
        <f ca="1"/>
        <v>#NUM!</v>
      </c>
      <c r="CP44" s="464" t="e">
        <f ca="1"/>
        <v>#NUM!</v>
      </c>
      <c r="CQ44" s="466" t="e">
        <f ca="1"/>
        <v>#NUM!</v>
      </c>
      <c r="CR44" s="157" t="e">
        <f ca="1"/>
        <v>#DIV/0!</v>
      </c>
      <c r="CS44" s="157" t="e">
        <f ca="1"/>
        <v>#NUM!</v>
      </c>
      <c r="CT44" s="157">
        <f ca="1"/>
        <v>7.0083413346504582</v>
      </c>
      <c r="CU44" s="157" t="e">
        <f ca="1"/>
        <v>#DIV/0!</v>
      </c>
      <c r="CV44" s="157" t="e">
        <f ca="1"/>
        <v>#DIV/0!</v>
      </c>
      <c r="CW44" s="468" t="e">
        <f ca="1"/>
        <v>#DIV/0!</v>
      </c>
      <c r="CX44" s="470" t="e">
        <f ca="1"/>
        <v>#DIV/0!</v>
      </c>
      <c r="CY44" s="472" t="e">
        <f ca="1"/>
        <v>#DIV/0!</v>
      </c>
      <c r="CZ44" s="173" t="e">
        <f t="shared" ca="1" si="3"/>
        <v>#DIV/0!</v>
      </c>
      <c r="DA44" s="173" t="e">
        <f t="shared" ca="1" si="3"/>
        <v>#DIV/0!</v>
      </c>
      <c r="DB44" s="462" t="e">
        <f ca="1"/>
        <v>#DIV/0!</v>
      </c>
      <c r="DC44" s="464">
        <f ca="1"/>
        <v>0</v>
      </c>
      <c r="DD44" s="464" t="e">
        <f ca="1"/>
        <v>#DIV/0!</v>
      </c>
      <c r="DE44" s="466" t="e">
        <f ca="1"/>
        <v>#DIV/0!</v>
      </c>
      <c r="DF44" s="157" t="e">
        <f ca="1"/>
        <v>#DIV/0!</v>
      </c>
      <c r="DG44" s="157" t="e">
        <f ca="1"/>
        <v>#DIV/0!</v>
      </c>
      <c r="DH44" s="157">
        <f ca="1"/>
        <v>19204.086954216287</v>
      </c>
      <c r="DI44" s="157" t="e">
        <f ca="1"/>
        <v>#DIV/0!</v>
      </c>
      <c r="DJ44" s="157" t="e">
        <f ca="1"/>
        <v>#DIV/0!</v>
      </c>
      <c r="DK44" s="468" t="e">
        <f ca="1"/>
        <v>#DIV/0!</v>
      </c>
      <c r="DL44" s="470" t="e">
        <f ca="1"/>
        <v>#DIV/0!</v>
      </c>
      <c r="DM44" s="472" t="e">
        <f ca="1"/>
        <v>#DIV/0!</v>
      </c>
      <c r="DN44" s="462" t="e">
        <f ca="1"/>
        <v>#DIV/0!</v>
      </c>
      <c r="DO44" s="464">
        <f ca="1"/>
        <v>0</v>
      </c>
      <c r="DP44" s="464" t="e">
        <f ca="1"/>
        <v>#DIV/0!</v>
      </c>
      <c r="DQ44" s="466" t="e">
        <f ca="1"/>
        <v>#DIV/0!</v>
      </c>
      <c r="DR44" s="157" t="e">
        <f ca="1"/>
        <v>#DIV/0!</v>
      </c>
      <c r="DS44" s="157" t="e">
        <f ca="1"/>
        <v>#DIV/0!</v>
      </c>
      <c r="DT44" s="157">
        <f ca="1"/>
        <v>15816.318403158526</v>
      </c>
      <c r="DU44" s="157" t="e">
        <f ca="1"/>
        <v>#DIV/0!</v>
      </c>
      <c r="DV44" s="157" t="e">
        <f ca="1"/>
        <v>#DIV/0!</v>
      </c>
      <c r="DW44" s="468" t="e">
        <f ca="1"/>
        <v>#DIV/0!</v>
      </c>
      <c r="DX44" s="470" t="e">
        <f ca="1"/>
        <v>#DIV/0!</v>
      </c>
      <c r="DY44" s="472" t="e">
        <f ca="1"/>
        <v>#DIV/0!</v>
      </c>
      <c r="DZ44" s="462" t="e">
        <f ca="1"/>
        <v>#DIV/0!</v>
      </c>
      <c r="EA44" s="464">
        <f ca="1"/>
        <v>0</v>
      </c>
      <c r="EB44" s="464" t="e">
        <f ca="1"/>
        <v>#DIV/0!</v>
      </c>
      <c r="EC44" s="466" t="e">
        <f ca="1"/>
        <v>#DIV/0!</v>
      </c>
      <c r="ED44" s="157" t="e">
        <f ca="1"/>
        <v>#DIV/0!</v>
      </c>
      <c r="EE44" s="157" t="e">
        <f ca="1"/>
        <v>#DIV/0!</v>
      </c>
      <c r="EF44" s="157">
        <f ca="1"/>
        <v>12426.876722691241</v>
      </c>
      <c r="EG44" s="157" t="e">
        <f ca="1"/>
        <v>#DIV/0!</v>
      </c>
      <c r="EH44" s="157" t="e">
        <f ca="1"/>
        <v>#DIV/0!</v>
      </c>
      <c r="EI44" s="468" t="e">
        <f ca="1"/>
        <v>#DIV/0!</v>
      </c>
      <c r="EJ44" s="470" t="e">
        <f ca="1"/>
        <v>#DIV/0!</v>
      </c>
      <c r="EK44" s="472" t="e">
        <f ca="1"/>
        <v>#DIV/0!</v>
      </c>
      <c r="EL44" s="462" t="e">
        <f ca="1"/>
        <v>#DIV/0!</v>
      </c>
      <c r="EM44" s="464" t="e">
        <f ca="1"/>
        <v>#NUM!</v>
      </c>
      <c r="EN44" s="464" t="e">
        <f ca="1"/>
        <v>#NUM!</v>
      </c>
      <c r="EO44" s="466" t="e">
        <f ca="1"/>
        <v>#NUM!</v>
      </c>
      <c r="EP44" s="157" t="e">
        <f ca="1"/>
        <v>#DIV/0!</v>
      </c>
      <c r="EQ44" s="157" t="e">
        <f ca="1"/>
        <v>#NUM!</v>
      </c>
      <c r="ER44" s="157">
        <f ca="1"/>
        <v>2361.0567917502121</v>
      </c>
      <c r="ES44" s="157" t="e">
        <f ca="1"/>
        <v>#DIV/0!</v>
      </c>
      <c r="ET44" s="157" t="e">
        <f ca="1"/>
        <v>#DIV/0!</v>
      </c>
      <c r="EU44" s="468" t="e">
        <f ca="1"/>
        <v>#DIV/0!</v>
      </c>
      <c r="EV44" s="470" t="e">
        <f ca="1"/>
        <v>#DIV/0!</v>
      </c>
      <c r="EW44" s="472" t="e">
        <f ca="1"/>
        <v>#DIV/0!</v>
      </c>
      <c r="EX44" s="462" t="e">
        <f ca="1"/>
        <v>#DIV/0!</v>
      </c>
      <c r="EY44" s="464" t="e">
        <f ca="1"/>
        <v>#NUM!</v>
      </c>
      <c r="EZ44" s="464" t="e">
        <f ca="1"/>
        <v>#NUM!</v>
      </c>
      <c r="FA44" s="466" t="e">
        <f ca="1"/>
        <v>#NUM!</v>
      </c>
      <c r="FB44" s="157" t="e">
        <f ca="1"/>
        <v>#DIV/0!</v>
      </c>
      <c r="FC44" s="157" t="e">
        <f ca="1"/>
        <v>#NUM!</v>
      </c>
      <c r="FD44" s="157">
        <f ca="1"/>
        <v>4836.32653360322</v>
      </c>
      <c r="FE44" s="157" t="e">
        <f ca="1"/>
        <v>#DIV/0!</v>
      </c>
      <c r="FF44" s="157" t="e">
        <f ca="1"/>
        <v>#DIV/0!</v>
      </c>
      <c r="FG44" s="468" t="e">
        <f ca="1"/>
        <v>#DIV/0!</v>
      </c>
      <c r="FH44" s="470" t="e">
        <f ca="1"/>
        <v>#DIV/0!</v>
      </c>
      <c r="FI44" s="472" t="e">
        <f ca="1"/>
        <v>#DIV/0!</v>
      </c>
      <c r="FJ44" s="173" t="e">
        <f t="shared" ca="1" si="4"/>
        <v>#DIV/0!</v>
      </c>
      <c r="FK44" s="173" t="e">
        <f t="shared" ca="1" si="4"/>
        <v>#DIV/0!</v>
      </c>
      <c r="FL44" s="462" t="e">
        <f ca="1"/>
        <v>#DIV/0!</v>
      </c>
      <c r="FM44" s="464">
        <f ca="1"/>
        <v>0</v>
      </c>
      <c r="FN44" s="464" t="e">
        <f ca="1"/>
        <v>#DIV/0!</v>
      </c>
      <c r="FO44" s="466" t="e">
        <f ca="1"/>
        <v>#DIV/0!</v>
      </c>
      <c r="FP44" s="157" t="e">
        <f ca="1"/>
        <v>#DIV/0!</v>
      </c>
      <c r="FQ44" s="157" t="e">
        <f ca="1"/>
        <v>#DIV/0!</v>
      </c>
      <c r="FR44" s="157" t="e">
        <f ca="1"/>
        <v>#DIV/0!</v>
      </c>
      <c r="FS44" s="157">
        <f ca="1"/>
        <v>1996.2124861016891</v>
      </c>
      <c r="FT44" s="468" t="e">
        <f ca="1"/>
        <v>#DIV/0!</v>
      </c>
      <c r="FU44" s="470" t="e">
        <f ca="1"/>
        <v>#DIV/0!</v>
      </c>
      <c r="FV44" s="470" t="e">
        <f ca="1"/>
        <v>#DIV/0!</v>
      </c>
      <c r="FW44" s="462" t="e">
        <f ca="1"/>
        <v>#DIV/0!</v>
      </c>
      <c r="FX44" s="464" t="e">
        <f ca="1"/>
        <v>#NUM!</v>
      </c>
      <c r="FY44" s="464" t="e">
        <f ca="1"/>
        <v>#NUM!</v>
      </c>
      <c r="FZ44" s="466" t="e">
        <f ca="1"/>
        <v>#NUM!</v>
      </c>
      <c r="GA44" s="157" t="e">
        <f ca="1"/>
        <v>#DIV/0!</v>
      </c>
      <c r="GB44" s="157" t="e">
        <f ca="1"/>
        <v>#NUM!</v>
      </c>
      <c r="GC44" s="157" t="e">
        <f ca="1"/>
        <v>#DIV/0!</v>
      </c>
      <c r="GD44" s="157">
        <f ca="1"/>
        <v>42.303127061236452</v>
      </c>
      <c r="GE44" s="468" t="e">
        <f ca="1"/>
        <v>#DIV/0!</v>
      </c>
      <c r="GF44" s="470" t="e">
        <f ca="1"/>
        <v>#DIV/0!</v>
      </c>
      <c r="GG44" s="470" t="e">
        <f ca="1"/>
        <v>#DIV/0!</v>
      </c>
      <c r="GH44" s="173" t="e">
        <f t="shared" ca="1" si="7"/>
        <v>#DIV/0!</v>
      </c>
      <c r="GI44" s="173" t="e">
        <f t="shared" ca="1" si="7"/>
        <v>#DIV/0!</v>
      </c>
    </row>
    <row r="45" spans="1:191" ht="15">
      <c r="B45" s="169"/>
      <c r="C45" s="87">
        <f>'Oil supply projection'!B45</f>
        <v>2054</v>
      </c>
      <c r="D45" s="460" t="e">
        <f ca="1"/>
        <v>#DIV/0!</v>
      </c>
      <c r="E45" s="460" t="e">
        <f ca="1"/>
        <v>#DIV/0!</v>
      </c>
      <c r="F45" s="462" t="e">
        <f ca="1"/>
        <v>#DIV/0!</v>
      </c>
      <c r="G45" s="464">
        <f ca="1"/>
        <v>0</v>
      </c>
      <c r="H45" s="464" t="e">
        <f ca="1"/>
        <v>#DIV/0!</v>
      </c>
      <c r="I45" s="466" t="e">
        <f ca="1"/>
        <v>#DIV/0!</v>
      </c>
      <c r="J45" s="157" t="e">
        <f ca="1"/>
        <v>#DIV/0!</v>
      </c>
      <c r="K45" s="157" t="e">
        <f ca="1"/>
        <v>#DIV/0!</v>
      </c>
      <c r="L45" s="157">
        <f ca="1"/>
        <v>39.952272653410489</v>
      </c>
      <c r="M45" s="157" t="e">
        <f ca="1"/>
        <v>#DIV/0!</v>
      </c>
      <c r="N45" s="157" t="e">
        <f ca="1"/>
        <v>#DIV/0!</v>
      </c>
      <c r="O45" s="468" t="e">
        <f ca="1"/>
        <v>#DIV/0!</v>
      </c>
      <c r="P45" s="470" t="e">
        <f ca="1"/>
        <v>#DIV/0!</v>
      </c>
      <c r="Q45" s="472" t="e">
        <f ca="1"/>
        <v>#DIV/0!</v>
      </c>
      <c r="R45" s="462" t="e">
        <f ca="1"/>
        <v>#DIV/0!</v>
      </c>
      <c r="S45" s="464">
        <f ca="1"/>
        <v>0</v>
      </c>
      <c r="T45" s="464" t="e">
        <f ca="1"/>
        <v>#DIV/0!</v>
      </c>
      <c r="U45" s="466" t="e">
        <f ca="1"/>
        <v>#DIV/0!</v>
      </c>
      <c r="V45" s="157" t="e">
        <f ca="1"/>
        <v>#DIV/0!</v>
      </c>
      <c r="W45" s="157" t="e">
        <f ca="1"/>
        <v>#DIV/0!</v>
      </c>
      <c r="X45" s="157">
        <f ca="1"/>
        <v>54.485860423767484</v>
      </c>
      <c r="Y45" s="157" t="e">
        <f ca="1"/>
        <v>#DIV/0!</v>
      </c>
      <c r="Z45" s="157" t="e">
        <f ca="1"/>
        <v>#DIV/0!</v>
      </c>
      <c r="AA45" s="468" t="e">
        <f ca="1"/>
        <v>#DIV/0!</v>
      </c>
      <c r="AB45" s="470" t="e">
        <f ca="1"/>
        <v>#DIV/0!</v>
      </c>
      <c r="AC45" s="472" t="e">
        <f ca="1"/>
        <v>#DIV/0!</v>
      </c>
      <c r="AD45" s="462" t="e">
        <f ca="1"/>
        <v>#DIV/0!</v>
      </c>
      <c r="AE45" s="464">
        <f ca="1"/>
        <v>0</v>
      </c>
      <c r="AF45" s="464" t="e">
        <f ca="1"/>
        <v>#DIV/0!</v>
      </c>
      <c r="AG45" s="466" t="e">
        <f ca="1"/>
        <v>#DIV/0!</v>
      </c>
      <c r="AH45" s="157" t="e">
        <f ca="1"/>
        <v>#DIV/0!</v>
      </c>
      <c r="AI45" s="157" t="e">
        <f ca="1"/>
        <v>#DIV/0!</v>
      </c>
      <c r="AJ45" s="157">
        <f ca="1"/>
        <v>712.80557222663845</v>
      </c>
      <c r="AK45" s="157" t="e">
        <f ca="1"/>
        <v>#DIV/0!</v>
      </c>
      <c r="AL45" s="157" t="e">
        <f ca="1"/>
        <v>#DIV/0!</v>
      </c>
      <c r="AM45" s="468" t="e">
        <f ca="1"/>
        <v>#DIV/0!</v>
      </c>
      <c r="AN45" s="470" t="e">
        <f ca="1"/>
        <v>#DIV/0!</v>
      </c>
      <c r="AO45" s="472" t="e">
        <f ca="1"/>
        <v>#DIV/0!</v>
      </c>
      <c r="AP45" s="462" t="e">
        <f ca="1"/>
        <v>#DIV/0!</v>
      </c>
      <c r="AQ45" s="464" t="e">
        <f ca="1"/>
        <v>#NUM!</v>
      </c>
      <c r="AR45" s="464" t="e">
        <f ca="1"/>
        <v>#NUM!</v>
      </c>
      <c r="AS45" s="466" t="e">
        <f ca="1"/>
        <v>#NUM!</v>
      </c>
      <c r="AT45" s="157" t="e">
        <f ca="1"/>
        <v>#DIV/0!</v>
      </c>
      <c r="AU45" s="157" t="e">
        <f ca="1"/>
        <v>#NUM!</v>
      </c>
      <c r="AV45" s="157">
        <f ca="1"/>
        <v>1284.7604333478087</v>
      </c>
      <c r="AW45" s="157" t="e">
        <f ca="1"/>
        <v>#DIV/0!</v>
      </c>
      <c r="AX45" s="157" t="e">
        <f ca="1"/>
        <v>#DIV/0!</v>
      </c>
      <c r="AY45" s="468" t="e">
        <f ca="1"/>
        <v>#DIV/0!</v>
      </c>
      <c r="AZ45" s="470" t="e">
        <f ca="1"/>
        <v>#DIV/0!</v>
      </c>
      <c r="BA45" s="472" t="e">
        <f ca="1"/>
        <v>#DIV/0!</v>
      </c>
      <c r="BB45" s="173" t="e">
        <f t="shared" ca="1" si="5"/>
        <v>#DIV/0!</v>
      </c>
      <c r="BC45" s="173" t="e">
        <f t="shared" ca="1" si="6"/>
        <v>#DIV/0!</v>
      </c>
      <c r="BD45" s="462" t="e">
        <f ca="1"/>
        <v>#DIV/0!</v>
      </c>
      <c r="BE45" s="464">
        <f ca="1"/>
        <v>0</v>
      </c>
      <c r="BF45" s="464" t="e">
        <f ca="1"/>
        <v>#DIV/0!</v>
      </c>
      <c r="BG45" s="466" t="e">
        <f ca="1"/>
        <v>#DIV/0!</v>
      </c>
      <c r="BH45" s="157" t="e">
        <f ca="1"/>
        <v>#DIV/0!</v>
      </c>
      <c r="BI45" s="157" t="e">
        <f ca="1"/>
        <v>#DIV/0!</v>
      </c>
      <c r="BJ45" s="157">
        <f ca="1"/>
        <v>18.727243050772305</v>
      </c>
      <c r="BK45" s="157" t="e">
        <f ca="1"/>
        <v>#DIV/0!</v>
      </c>
      <c r="BL45" s="157" t="e">
        <f ca="1"/>
        <v>#DIV/0!</v>
      </c>
      <c r="BM45" s="468" t="e">
        <f ca="1"/>
        <v>#DIV/0!</v>
      </c>
      <c r="BN45" s="470" t="e">
        <f ca="1"/>
        <v>#DIV/0!</v>
      </c>
      <c r="BO45" s="472" t="e">
        <f ca="1"/>
        <v>#DIV/0!</v>
      </c>
      <c r="BP45" s="462" t="e">
        <f ca="1"/>
        <v>#DIV/0!</v>
      </c>
      <c r="BQ45" s="464">
        <f ca="1"/>
        <v>0</v>
      </c>
      <c r="BR45" s="464" t="e">
        <f ca="1"/>
        <v>#DIV/0!</v>
      </c>
      <c r="BS45" s="466" t="e">
        <f ca="1"/>
        <v>#DIV/0!</v>
      </c>
      <c r="BT45" s="157" t="e">
        <f ca="1"/>
        <v>#DIV/0!</v>
      </c>
      <c r="BU45" s="157" t="e">
        <f ca="1"/>
        <v>#DIV/0!</v>
      </c>
      <c r="BV45" s="157">
        <f ca="1"/>
        <v>13.711706833911178</v>
      </c>
      <c r="BW45" s="157" t="e">
        <f ca="1"/>
        <v>#DIV/0!</v>
      </c>
      <c r="BX45" s="157" t="e">
        <f ca="1"/>
        <v>#DIV/0!</v>
      </c>
      <c r="BY45" s="468" t="e">
        <f ca="1"/>
        <v>#DIV/0!</v>
      </c>
      <c r="BZ45" s="470" t="e">
        <f ca="1"/>
        <v>#DIV/0!</v>
      </c>
      <c r="CA45" s="472" t="e">
        <f ca="1"/>
        <v>#DIV/0!</v>
      </c>
      <c r="CB45" s="462" t="e">
        <f ca="1"/>
        <v>#DIV/0!</v>
      </c>
      <c r="CC45" s="464">
        <f ca="1"/>
        <v>0</v>
      </c>
      <c r="CD45" s="464" t="e">
        <f ca="1"/>
        <v>#DIV/0!</v>
      </c>
      <c r="CE45" s="466" t="e">
        <f ca="1"/>
        <v>#DIV/0!</v>
      </c>
      <c r="CF45" s="157" t="e">
        <f ca="1"/>
        <v>#DIV/0!</v>
      </c>
      <c r="CG45" s="157" t="e">
        <f ca="1"/>
        <v>#DIV/0!</v>
      </c>
      <c r="CH45" s="157">
        <f ca="1"/>
        <v>47.394077106614901</v>
      </c>
      <c r="CI45" s="157" t="e">
        <f ca="1"/>
        <v>#DIV/0!</v>
      </c>
      <c r="CJ45" s="157" t="e">
        <f ca="1"/>
        <v>#DIV/0!</v>
      </c>
      <c r="CK45" s="468" t="e">
        <f ca="1"/>
        <v>#DIV/0!</v>
      </c>
      <c r="CL45" s="470" t="e">
        <f ca="1"/>
        <v>#DIV/0!</v>
      </c>
      <c r="CM45" s="472" t="e">
        <f ca="1"/>
        <v>#DIV/0!</v>
      </c>
      <c r="CN45" s="462" t="e">
        <f ca="1"/>
        <v>#DIV/0!</v>
      </c>
      <c r="CO45" s="464" t="e">
        <f ca="1"/>
        <v>#NUM!</v>
      </c>
      <c r="CP45" s="464" t="e">
        <f ca="1"/>
        <v>#NUM!</v>
      </c>
      <c r="CQ45" s="466" t="e">
        <f ca="1"/>
        <v>#NUM!</v>
      </c>
      <c r="CR45" s="157" t="e">
        <f ca="1"/>
        <v>#DIV/0!</v>
      </c>
      <c r="CS45" s="157" t="e">
        <f ca="1"/>
        <v>#NUM!</v>
      </c>
      <c r="CT45" s="157">
        <f ca="1"/>
        <v>7.049715926546039</v>
      </c>
      <c r="CU45" s="157" t="e">
        <f ca="1"/>
        <v>#DIV/0!</v>
      </c>
      <c r="CV45" s="157" t="e">
        <f ca="1"/>
        <v>#DIV/0!</v>
      </c>
      <c r="CW45" s="468" t="e">
        <f ca="1"/>
        <v>#DIV/0!</v>
      </c>
      <c r="CX45" s="470" t="e">
        <f ca="1"/>
        <v>#DIV/0!</v>
      </c>
      <c r="CY45" s="472" t="e">
        <f ca="1"/>
        <v>#DIV/0!</v>
      </c>
      <c r="CZ45" s="173" t="e">
        <f t="shared" ca="1" si="3"/>
        <v>#DIV/0!</v>
      </c>
      <c r="DA45" s="173" t="e">
        <f t="shared" ca="1" si="3"/>
        <v>#DIV/0!</v>
      </c>
      <c r="DB45" s="462" t="e">
        <f ca="1"/>
        <v>#DIV/0!</v>
      </c>
      <c r="DC45" s="464">
        <f ca="1"/>
        <v>0</v>
      </c>
      <c r="DD45" s="464" t="e">
        <f ca="1"/>
        <v>#DIV/0!</v>
      </c>
      <c r="DE45" s="466" t="e">
        <f ca="1"/>
        <v>#DIV/0!</v>
      </c>
      <c r="DF45" s="157" t="e">
        <f ca="1"/>
        <v>#DIV/0!</v>
      </c>
      <c r="DG45" s="157" t="e">
        <f ca="1"/>
        <v>#DIV/0!</v>
      </c>
      <c r="DH45" s="157">
        <f ca="1"/>
        <v>19401.843164587506</v>
      </c>
      <c r="DI45" s="157" t="e">
        <f ca="1"/>
        <v>#DIV/0!</v>
      </c>
      <c r="DJ45" s="157" t="e">
        <f ca="1"/>
        <v>#DIV/0!</v>
      </c>
      <c r="DK45" s="468" t="e">
        <f ca="1"/>
        <v>#DIV/0!</v>
      </c>
      <c r="DL45" s="470" t="e">
        <f ca="1"/>
        <v>#DIV/0!</v>
      </c>
      <c r="DM45" s="472" t="e">
        <f ca="1"/>
        <v>#DIV/0!</v>
      </c>
      <c r="DN45" s="462" t="e">
        <f ca="1"/>
        <v>#DIV/0!</v>
      </c>
      <c r="DO45" s="464">
        <f ca="1"/>
        <v>0</v>
      </c>
      <c r="DP45" s="464" t="e">
        <f ca="1"/>
        <v>#DIV/0!</v>
      </c>
      <c r="DQ45" s="466" t="e">
        <f ca="1"/>
        <v>#DIV/0!</v>
      </c>
      <c r="DR45" s="157" t="e">
        <f ca="1"/>
        <v>#DIV/0!</v>
      </c>
      <c r="DS45" s="157" t="e">
        <f ca="1"/>
        <v>#DIV/0!</v>
      </c>
      <c r="DT45" s="157">
        <f ca="1"/>
        <v>15979.188692013704</v>
      </c>
      <c r="DU45" s="157" t="e">
        <f ca="1"/>
        <v>#DIV/0!</v>
      </c>
      <c r="DV45" s="157" t="e">
        <f ca="1"/>
        <v>#DIV/0!</v>
      </c>
      <c r="DW45" s="468" t="e">
        <f ca="1"/>
        <v>#DIV/0!</v>
      </c>
      <c r="DX45" s="470" t="e">
        <f ca="1"/>
        <v>#DIV/0!</v>
      </c>
      <c r="DY45" s="472" t="e">
        <f ca="1"/>
        <v>#DIV/0!</v>
      </c>
      <c r="DZ45" s="462" t="e">
        <f ca="1"/>
        <v>#DIV/0!</v>
      </c>
      <c r="EA45" s="464">
        <f ca="1"/>
        <v>0</v>
      </c>
      <c r="EB45" s="464" t="e">
        <f ca="1"/>
        <v>#DIV/0!</v>
      </c>
      <c r="EC45" s="466" t="e">
        <f ca="1"/>
        <v>#DIV/0!</v>
      </c>
      <c r="ED45" s="157" t="e">
        <f ca="1"/>
        <v>#DIV/0!</v>
      </c>
      <c r="EE45" s="157" t="e">
        <f ca="1"/>
        <v>#DIV/0!</v>
      </c>
      <c r="EF45" s="157">
        <f ca="1"/>
        <v>12554.84386079515</v>
      </c>
      <c r="EG45" s="157" t="e">
        <f ca="1"/>
        <v>#DIV/0!</v>
      </c>
      <c r="EH45" s="157" t="e">
        <f ca="1"/>
        <v>#DIV/0!</v>
      </c>
      <c r="EI45" s="468" t="e">
        <f ca="1"/>
        <v>#DIV/0!</v>
      </c>
      <c r="EJ45" s="470" t="e">
        <f ca="1"/>
        <v>#DIV/0!</v>
      </c>
      <c r="EK45" s="472" t="e">
        <f ca="1"/>
        <v>#DIV/0!</v>
      </c>
      <c r="EL45" s="462" t="e">
        <f ca="1"/>
        <v>#DIV/0!</v>
      </c>
      <c r="EM45" s="464" t="e">
        <f ca="1"/>
        <v>#NUM!</v>
      </c>
      <c r="EN45" s="464" t="e">
        <f ca="1"/>
        <v>#NUM!</v>
      </c>
      <c r="EO45" s="466" t="e">
        <f ca="1"/>
        <v>#NUM!</v>
      </c>
      <c r="EP45" s="157" t="e">
        <f ca="1"/>
        <v>#DIV/0!</v>
      </c>
      <c r="EQ45" s="157" t="e">
        <f ca="1"/>
        <v>#NUM!</v>
      </c>
      <c r="ER45" s="157">
        <f ca="1"/>
        <v>2385.3700353176309</v>
      </c>
      <c r="ES45" s="157" t="e">
        <f ca="1"/>
        <v>#DIV/0!</v>
      </c>
      <c r="ET45" s="157" t="e">
        <f ca="1"/>
        <v>#DIV/0!</v>
      </c>
      <c r="EU45" s="468" t="e">
        <f ca="1"/>
        <v>#DIV/0!</v>
      </c>
      <c r="EV45" s="470" t="e">
        <f ca="1"/>
        <v>#DIV/0!</v>
      </c>
      <c r="EW45" s="472" t="e">
        <f ca="1"/>
        <v>#DIV/0!</v>
      </c>
      <c r="EX45" s="462" t="e">
        <f ca="1"/>
        <v>#DIV/0!</v>
      </c>
      <c r="EY45" s="464" t="e">
        <f ca="1"/>
        <v>#NUM!</v>
      </c>
      <c r="EZ45" s="464" t="e">
        <f ca="1"/>
        <v>#NUM!</v>
      </c>
      <c r="FA45" s="466" t="e">
        <f ca="1"/>
        <v>#NUM!</v>
      </c>
      <c r="FB45" s="157" t="e">
        <f ca="1"/>
        <v>#DIV/0!</v>
      </c>
      <c r="FC45" s="157" t="e">
        <f ca="1"/>
        <v>#NUM!</v>
      </c>
      <c r="FD45" s="157">
        <f ca="1"/>
        <v>4886.1291412295695</v>
      </c>
      <c r="FE45" s="157" t="e">
        <f ca="1"/>
        <v>#DIV/0!</v>
      </c>
      <c r="FF45" s="157" t="e">
        <f ca="1"/>
        <v>#DIV/0!</v>
      </c>
      <c r="FG45" s="468" t="e">
        <f ca="1"/>
        <v>#DIV/0!</v>
      </c>
      <c r="FH45" s="470" t="e">
        <f ca="1"/>
        <v>#DIV/0!</v>
      </c>
      <c r="FI45" s="472" t="e">
        <f ca="1"/>
        <v>#DIV/0!</v>
      </c>
      <c r="FJ45" s="173" t="e">
        <f t="shared" ca="1" si="4"/>
        <v>#DIV/0!</v>
      </c>
      <c r="FK45" s="173" t="e">
        <f t="shared" ca="1" si="4"/>
        <v>#DIV/0!</v>
      </c>
      <c r="FL45" s="462" t="e">
        <f ca="1"/>
        <v>#DIV/0!</v>
      </c>
      <c r="FM45" s="464">
        <f ca="1"/>
        <v>0</v>
      </c>
      <c r="FN45" s="464" t="e">
        <f ca="1"/>
        <v>#DIV/0!</v>
      </c>
      <c r="FO45" s="466" t="e">
        <f ca="1"/>
        <v>#DIV/0!</v>
      </c>
      <c r="FP45" s="157" t="e">
        <f ca="1"/>
        <v>#DIV/0!</v>
      </c>
      <c r="FQ45" s="157" t="e">
        <f ca="1"/>
        <v>#DIV/0!</v>
      </c>
      <c r="FR45" s="157" t="e">
        <f ca="1"/>
        <v>#DIV/0!</v>
      </c>
      <c r="FS45" s="157">
        <f ca="1"/>
        <v>2007.3507249517177</v>
      </c>
      <c r="FT45" s="468" t="e">
        <f ca="1"/>
        <v>#DIV/0!</v>
      </c>
      <c r="FU45" s="470" t="e">
        <f ca="1"/>
        <v>#DIV/0!</v>
      </c>
      <c r="FV45" s="470" t="e">
        <f ca="1"/>
        <v>#DIV/0!</v>
      </c>
      <c r="FW45" s="462" t="e">
        <f ca="1"/>
        <v>#DIV/0!</v>
      </c>
      <c r="FX45" s="464" t="e">
        <f ca="1"/>
        <v>#NUM!</v>
      </c>
      <c r="FY45" s="464" t="e">
        <f ca="1"/>
        <v>#NUM!</v>
      </c>
      <c r="FZ45" s="466" t="e">
        <f ca="1"/>
        <v>#NUM!</v>
      </c>
      <c r="GA45" s="157" t="e">
        <f ca="1"/>
        <v>#DIV/0!</v>
      </c>
      <c r="GB45" s="157" t="e">
        <f ca="1"/>
        <v>#NUM!</v>
      </c>
      <c r="GC45" s="157" t="e">
        <f ca="1"/>
        <v>#DIV/0!</v>
      </c>
      <c r="GD45" s="157">
        <f ca="1"/>
        <v>42.53916522680835</v>
      </c>
      <c r="GE45" s="468" t="e">
        <f ca="1"/>
        <v>#DIV/0!</v>
      </c>
      <c r="GF45" s="470" t="e">
        <f ca="1"/>
        <v>#DIV/0!</v>
      </c>
      <c r="GG45" s="470" t="e">
        <f ca="1"/>
        <v>#DIV/0!</v>
      </c>
      <c r="GH45" s="173" t="e">
        <f t="shared" ca="1" si="7"/>
        <v>#DIV/0!</v>
      </c>
      <c r="GI45" s="173" t="e">
        <f t="shared" ca="1" si="7"/>
        <v>#DIV/0!</v>
      </c>
    </row>
    <row r="46" spans="1:191" ht="15">
      <c r="B46" s="169"/>
      <c r="C46" s="87">
        <f>'Oil supply projection'!B46</f>
        <v>2055</v>
      </c>
      <c r="D46" s="460" t="e">
        <f ca="1"/>
        <v>#DIV/0!</v>
      </c>
      <c r="E46" s="460" t="e">
        <f ca="1"/>
        <v>#DIV/0!</v>
      </c>
      <c r="F46" s="462" t="e">
        <f ca="1"/>
        <v>#DIV/0!</v>
      </c>
      <c r="G46" s="464">
        <f ca="1"/>
        <v>0</v>
      </c>
      <c r="H46" s="464" t="e">
        <f ca="1"/>
        <v>#DIV/0!</v>
      </c>
      <c r="I46" s="466" t="e">
        <f ca="1"/>
        <v>#DIV/0!</v>
      </c>
      <c r="J46" s="157" t="e">
        <f ca="1"/>
        <v>#DIV/0!</v>
      </c>
      <c r="K46" s="157" t="e">
        <f ca="1"/>
        <v>#DIV/0!</v>
      </c>
      <c r="L46" s="157">
        <f ca="1"/>
        <v>40.483533560429827</v>
      </c>
      <c r="M46" s="157" t="e">
        <f ca="1"/>
        <v>#DIV/0!</v>
      </c>
      <c r="N46" s="157" t="e">
        <f ca="1"/>
        <v>#DIV/0!</v>
      </c>
      <c r="O46" s="468" t="e">
        <f ca="1"/>
        <v>#DIV/0!</v>
      </c>
      <c r="P46" s="470" t="e">
        <f ca="1"/>
        <v>#DIV/0!</v>
      </c>
      <c r="Q46" s="472" t="e">
        <f ca="1"/>
        <v>#DIV/0!</v>
      </c>
      <c r="R46" s="462" t="e">
        <f ca="1"/>
        <v>#DIV/0!</v>
      </c>
      <c r="S46" s="464">
        <f ca="1"/>
        <v>0</v>
      </c>
      <c r="T46" s="464" t="e">
        <f ca="1"/>
        <v>#DIV/0!</v>
      </c>
      <c r="U46" s="466" t="e">
        <f ca="1"/>
        <v>#DIV/0!</v>
      </c>
      <c r="V46" s="157" t="e">
        <f ca="1"/>
        <v>#DIV/0!</v>
      </c>
      <c r="W46" s="157" t="e">
        <f ca="1"/>
        <v>#DIV/0!</v>
      </c>
      <c r="X46" s="157">
        <f ca="1"/>
        <v>55.210380099520869</v>
      </c>
      <c r="Y46" s="157" t="e">
        <f ca="1"/>
        <v>#DIV/0!</v>
      </c>
      <c r="Z46" s="157" t="e">
        <f ca="1"/>
        <v>#DIV/0!</v>
      </c>
      <c r="AA46" s="468" t="e">
        <f ca="1"/>
        <v>#DIV/0!</v>
      </c>
      <c r="AB46" s="470" t="e">
        <f ca="1"/>
        <v>#DIV/0!</v>
      </c>
      <c r="AC46" s="472" t="e">
        <f ca="1"/>
        <v>#DIV/0!</v>
      </c>
      <c r="AD46" s="462" t="e">
        <f ca="1"/>
        <v>#DIV/0!</v>
      </c>
      <c r="AE46" s="464">
        <f ca="1"/>
        <v>0</v>
      </c>
      <c r="AF46" s="464" t="e">
        <f ca="1"/>
        <v>#DIV/0!</v>
      </c>
      <c r="AG46" s="466" t="e">
        <f ca="1"/>
        <v>#DIV/0!</v>
      </c>
      <c r="AH46" s="157" t="e">
        <f ca="1"/>
        <v>#DIV/0!</v>
      </c>
      <c r="AI46" s="157" t="e">
        <f ca="1"/>
        <v>#DIV/0!</v>
      </c>
      <c r="AJ46" s="157">
        <f ca="1"/>
        <v>722.28402513255185</v>
      </c>
      <c r="AK46" s="157" t="e">
        <f ca="1"/>
        <v>#DIV/0!</v>
      </c>
      <c r="AL46" s="157" t="e">
        <f ca="1"/>
        <v>#DIV/0!</v>
      </c>
      <c r="AM46" s="468" t="e">
        <f ca="1"/>
        <v>#DIV/0!</v>
      </c>
      <c r="AN46" s="470" t="e">
        <f ca="1"/>
        <v>#DIV/0!</v>
      </c>
      <c r="AO46" s="472" t="e">
        <f ca="1"/>
        <v>#DIV/0!</v>
      </c>
      <c r="AP46" s="462" t="e">
        <f ca="1"/>
        <v>#DIV/0!</v>
      </c>
      <c r="AQ46" s="464" t="e">
        <f ca="1"/>
        <v>#NUM!</v>
      </c>
      <c r="AR46" s="464" t="e">
        <f ca="1"/>
        <v>#NUM!</v>
      </c>
      <c r="AS46" s="466" t="e">
        <f ca="1"/>
        <v>#NUM!</v>
      </c>
      <c r="AT46" s="157" t="e">
        <f ca="1"/>
        <v>#DIV/0!</v>
      </c>
      <c r="AU46" s="157" t="e">
        <f ca="1"/>
        <v>#NUM!</v>
      </c>
      <c r="AV46" s="157">
        <f ca="1"/>
        <v>1301.8443924768433</v>
      </c>
      <c r="AW46" s="157" t="e">
        <f ca="1"/>
        <v>#DIV/0!</v>
      </c>
      <c r="AX46" s="157" t="e">
        <f ca="1"/>
        <v>#DIV/0!</v>
      </c>
      <c r="AY46" s="468" t="e">
        <f ca="1"/>
        <v>#DIV/0!</v>
      </c>
      <c r="AZ46" s="470" t="e">
        <f ca="1"/>
        <v>#DIV/0!</v>
      </c>
      <c r="BA46" s="472" t="e">
        <f ca="1"/>
        <v>#DIV/0!</v>
      </c>
      <c r="BB46" s="173" t="e">
        <f t="shared" ca="1" si="5"/>
        <v>#DIV/0!</v>
      </c>
      <c r="BC46" s="173" t="e">
        <f t="shared" ca="1" si="6"/>
        <v>#DIV/0!</v>
      </c>
      <c r="BD46" s="462" t="e">
        <f ca="1"/>
        <v>#DIV/0!</v>
      </c>
      <c r="BE46" s="464">
        <f ca="1"/>
        <v>0</v>
      </c>
      <c r="BF46" s="464" t="e">
        <f ca="1"/>
        <v>#DIV/0!</v>
      </c>
      <c r="BG46" s="466" t="e">
        <f ca="1"/>
        <v>#DIV/0!</v>
      </c>
      <c r="BH46" s="157" t="e">
        <f ca="1"/>
        <v>#DIV/0!</v>
      </c>
      <c r="BI46" s="157" t="e">
        <f ca="1"/>
        <v>#DIV/0!</v>
      </c>
      <c r="BJ46" s="157">
        <f ca="1"/>
        <v>18.837801598302541</v>
      </c>
      <c r="BK46" s="157" t="e">
        <f ca="1"/>
        <v>#DIV/0!</v>
      </c>
      <c r="BL46" s="157" t="e">
        <f ca="1"/>
        <v>#DIV/0!</v>
      </c>
      <c r="BM46" s="468" t="e">
        <f ca="1"/>
        <v>#DIV/0!</v>
      </c>
      <c r="BN46" s="470" t="e">
        <f ca="1"/>
        <v>#DIV/0!</v>
      </c>
      <c r="BO46" s="472" t="e">
        <f ca="1"/>
        <v>#DIV/0!</v>
      </c>
      <c r="BP46" s="462" t="e">
        <f ca="1"/>
        <v>#DIV/0!</v>
      </c>
      <c r="BQ46" s="464">
        <f ca="1"/>
        <v>0</v>
      </c>
      <c r="BR46" s="464" t="e">
        <f ca="1"/>
        <v>#DIV/0!</v>
      </c>
      <c r="BS46" s="466" t="e">
        <f ca="1"/>
        <v>#DIV/0!</v>
      </c>
      <c r="BT46" s="157" t="e">
        <f ca="1"/>
        <v>#DIV/0!</v>
      </c>
      <c r="BU46" s="157" t="e">
        <f ca="1"/>
        <v>#DIV/0!</v>
      </c>
      <c r="BV46" s="157">
        <f ca="1"/>
        <v>13.792655555920479</v>
      </c>
      <c r="BW46" s="157" t="e">
        <f ca="1"/>
        <v>#DIV/0!</v>
      </c>
      <c r="BX46" s="157" t="e">
        <f ca="1"/>
        <v>#DIV/0!</v>
      </c>
      <c r="BY46" s="468" t="e">
        <f ca="1"/>
        <v>#DIV/0!</v>
      </c>
      <c r="BZ46" s="470" t="e">
        <f ca="1"/>
        <v>#DIV/0!</v>
      </c>
      <c r="CA46" s="472" t="e">
        <f ca="1"/>
        <v>#DIV/0!</v>
      </c>
      <c r="CB46" s="462" t="e">
        <f ca="1"/>
        <v>#DIV/0!</v>
      </c>
      <c r="CC46" s="464">
        <f ca="1"/>
        <v>0</v>
      </c>
      <c r="CD46" s="464" t="e">
        <f ca="1"/>
        <v>#DIV/0!</v>
      </c>
      <c r="CE46" s="466" t="e">
        <f ca="1"/>
        <v>#DIV/0!</v>
      </c>
      <c r="CF46" s="157" t="e">
        <f ca="1"/>
        <v>#DIV/0!</v>
      </c>
      <c r="CG46" s="157" t="e">
        <f ca="1"/>
        <v>#DIV/0!</v>
      </c>
      <c r="CH46" s="157">
        <f ca="1"/>
        <v>47.673873781023268</v>
      </c>
      <c r="CI46" s="157" t="e">
        <f ca="1"/>
        <v>#DIV/0!</v>
      </c>
      <c r="CJ46" s="157" t="e">
        <f ca="1"/>
        <v>#DIV/0!</v>
      </c>
      <c r="CK46" s="468" t="e">
        <f ca="1"/>
        <v>#DIV/0!</v>
      </c>
      <c r="CL46" s="470" t="e">
        <f ca="1"/>
        <v>#DIV/0!</v>
      </c>
      <c r="CM46" s="472" t="e">
        <f ca="1"/>
        <v>#DIV/0!</v>
      </c>
      <c r="CN46" s="462" t="e">
        <f ca="1"/>
        <v>#DIV/0!</v>
      </c>
      <c r="CO46" s="464" t="e">
        <f ca="1"/>
        <v>#NUM!</v>
      </c>
      <c r="CP46" s="464" t="e">
        <f ca="1"/>
        <v>#NUM!</v>
      </c>
      <c r="CQ46" s="466" t="e">
        <f ca="1"/>
        <v>#NUM!</v>
      </c>
      <c r="CR46" s="157" t="e">
        <f ca="1"/>
        <v>#DIV/0!</v>
      </c>
      <c r="CS46" s="157" t="e">
        <f ca="1"/>
        <v>#NUM!</v>
      </c>
      <c r="CT46" s="157">
        <f ca="1"/>
        <v>7.0913347783560257</v>
      </c>
      <c r="CU46" s="157" t="e">
        <f ca="1"/>
        <v>#DIV/0!</v>
      </c>
      <c r="CV46" s="157" t="e">
        <f ca="1"/>
        <v>#DIV/0!</v>
      </c>
      <c r="CW46" s="468" t="e">
        <f ca="1"/>
        <v>#DIV/0!</v>
      </c>
      <c r="CX46" s="470" t="e">
        <f ca="1"/>
        <v>#DIV/0!</v>
      </c>
      <c r="CY46" s="472" t="e">
        <f ca="1"/>
        <v>#DIV/0!</v>
      </c>
      <c r="CZ46" s="173" t="e">
        <f t="shared" ca="1" si="3"/>
        <v>#DIV/0!</v>
      </c>
      <c r="DA46" s="173" t="e">
        <f t="shared" ca="1" si="3"/>
        <v>#DIV/0!</v>
      </c>
      <c r="DB46" s="462" t="e">
        <f ca="1"/>
        <v>#DIV/0!</v>
      </c>
      <c r="DC46" s="464">
        <f ca="1"/>
        <v>0</v>
      </c>
      <c r="DD46" s="464" t="e">
        <f ca="1"/>
        <v>#DIV/0!</v>
      </c>
      <c r="DE46" s="466" t="e">
        <f ca="1"/>
        <v>#DIV/0!</v>
      </c>
      <c r="DF46" s="157" t="e">
        <f ca="1"/>
        <v>#DIV/0!</v>
      </c>
      <c r="DG46" s="157" t="e">
        <f ca="1"/>
        <v>#DIV/0!</v>
      </c>
      <c r="DH46" s="157">
        <f ca="1"/>
        <v>19601.635791417015</v>
      </c>
      <c r="DI46" s="157" t="e">
        <f ca="1"/>
        <v>#DIV/0!</v>
      </c>
      <c r="DJ46" s="157" t="e">
        <f ca="1"/>
        <v>#DIV/0!</v>
      </c>
      <c r="DK46" s="468" t="e">
        <f ca="1"/>
        <v>#DIV/0!</v>
      </c>
      <c r="DL46" s="470" t="e">
        <f ca="1"/>
        <v>#DIV/0!</v>
      </c>
      <c r="DM46" s="472" t="e">
        <f ca="1"/>
        <v>#DIV/0!</v>
      </c>
      <c r="DN46" s="462" t="e">
        <f ca="1"/>
        <v>#DIV/0!</v>
      </c>
      <c r="DO46" s="464">
        <f ca="1"/>
        <v>0</v>
      </c>
      <c r="DP46" s="464" t="e">
        <f ca="1"/>
        <v>#DIV/0!</v>
      </c>
      <c r="DQ46" s="466" t="e">
        <f ca="1"/>
        <v>#DIV/0!</v>
      </c>
      <c r="DR46" s="157" t="e">
        <f ca="1"/>
        <v>#DIV/0!</v>
      </c>
      <c r="DS46" s="157" t="e">
        <f ca="1"/>
        <v>#DIV/0!</v>
      </c>
      <c r="DT46" s="157">
        <f ca="1"/>
        <v>16143.736155690191</v>
      </c>
      <c r="DU46" s="157" t="e">
        <f ca="1"/>
        <v>#DIV/0!</v>
      </c>
      <c r="DV46" s="157" t="e">
        <f ca="1"/>
        <v>#DIV/0!</v>
      </c>
      <c r="DW46" s="468" t="e">
        <f ca="1"/>
        <v>#DIV/0!</v>
      </c>
      <c r="DX46" s="470" t="e">
        <f ca="1"/>
        <v>#DIV/0!</v>
      </c>
      <c r="DY46" s="472" t="e">
        <f ca="1"/>
        <v>#DIV/0!</v>
      </c>
      <c r="DZ46" s="462" t="e">
        <f ca="1"/>
        <v>#DIV/0!</v>
      </c>
      <c r="EA46" s="464">
        <f ca="1"/>
        <v>0</v>
      </c>
      <c r="EB46" s="464" t="e">
        <f ca="1"/>
        <v>#DIV/0!</v>
      </c>
      <c r="EC46" s="466" t="e">
        <f ca="1"/>
        <v>#DIV/0!</v>
      </c>
      <c r="ED46" s="157" t="e">
        <f ca="1"/>
        <v>#DIV/0!</v>
      </c>
      <c r="EE46" s="157" t="e">
        <f ca="1"/>
        <v>#DIV/0!</v>
      </c>
      <c r="EF46" s="157">
        <f ca="1"/>
        <v>12684.128754663425</v>
      </c>
      <c r="EG46" s="157" t="e">
        <f ca="1"/>
        <v>#DIV/0!</v>
      </c>
      <c r="EH46" s="157" t="e">
        <f ca="1"/>
        <v>#DIV/0!</v>
      </c>
      <c r="EI46" s="468" t="e">
        <f ca="1"/>
        <v>#DIV/0!</v>
      </c>
      <c r="EJ46" s="470" t="e">
        <f ca="1"/>
        <v>#DIV/0!</v>
      </c>
      <c r="EK46" s="472" t="e">
        <f ca="1"/>
        <v>#DIV/0!</v>
      </c>
      <c r="EL46" s="462" t="e">
        <f ca="1"/>
        <v>#DIV/0!</v>
      </c>
      <c r="EM46" s="464" t="e">
        <f ca="1"/>
        <v>#NUM!</v>
      </c>
      <c r="EN46" s="464" t="e">
        <f ca="1"/>
        <v>#NUM!</v>
      </c>
      <c r="EO46" s="466" t="e">
        <f ca="1"/>
        <v>#NUM!</v>
      </c>
      <c r="EP46" s="157" t="e">
        <f ca="1"/>
        <v>#DIV/0!</v>
      </c>
      <c r="EQ46" s="157" t="e">
        <f ca="1"/>
        <v>#NUM!</v>
      </c>
      <c r="ER46" s="157">
        <f ca="1"/>
        <v>2409.9336472009786</v>
      </c>
      <c r="ES46" s="157" t="e">
        <f ca="1"/>
        <v>#DIV/0!</v>
      </c>
      <c r="ET46" s="157" t="e">
        <f ca="1"/>
        <v>#DIV/0!</v>
      </c>
      <c r="EU46" s="468" t="e">
        <f ca="1"/>
        <v>#DIV/0!</v>
      </c>
      <c r="EV46" s="470" t="e">
        <f ca="1"/>
        <v>#DIV/0!</v>
      </c>
      <c r="EW46" s="472" t="e">
        <f ca="1"/>
        <v>#DIV/0!</v>
      </c>
      <c r="EX46" s="462" t="e">
        <f ca="1"/>
        <v>#DIV/0!</v>
      </c>
      <c r="EY46" s="464" t="e">
        <f ca="1"/>
        <v>#NUM!</v>
      </c>
      <c r="EZ46" s="464" t="e">
        <f ca="1"/>
        <v>#NUM!</v>
      </c>
      <c r="FA46" s="466" t="e">
        <f ca="1"/>
        <v>#NUM!</v>
      </c>
      <c r="FB46" s="157" t="e">
        <f ca="1"/>
        <v>#DIV/0!</v>
      </c>
      <c r="FC46" s="157" t="e">
        <f ca="1"/>
        <v>#NUM!</v>
      </c>
      <c r="FD46" s="157">
        <f ca="1"/>
        <v>4936.4445967186784</v>
      </c>
      <c r="FE46" s="157" t="e">
        <f ca="1"/>
        <v>#DIV/0!</v>
      </c>
      <c r="FF46" s="157" t="e">
        <f ca="1"/>
        <v>#DIV/0!</v>
      </c>
      <c r="FG46" s="468" t="e">
        <f ca="1"/>
        <v>#DIV/0!</v>
      </c>
      <c r="FH46" s="470" t="e">
        <f ca="1"/>
        <v>#DIV/0!</v>
      </c>
      <c r="FI46" s="472" t="e">
        <f ca="1"/>
        <v>#DIV/0!</v>
      </c>
      <c r="FJ46" s="173" t="e">
        <f t="shared" ca="1" si="4"/>
        <v>#DIV/0!</v>
      </c>
      <c r="FK46" s="173" t="e">
        <f t="shared" ca="1" si="4"/>
        <v>#DIV/0!</v>
      </c>
      <c r="FL46" s="462" t="e">
        <f ca="1"/>
        <v>#DIV/0!</v>
      </c>
      <c r="FM46" s="464">
        <f ca="1"/>
        <v>0</v>
      </c>
      <c r="FN46" s="464" t="e">
        <f ca="1"/>
        <v>#DIV/0!</v>
      </c>
      <c r="FO46" s="466" t="e">
        <f ca="1"/>
        <v>#DIV/0!</v>
      </c>
      <c r="FP46" s="157" t="e">
        <f ca="1"/>
        <v>#DIV/0!</v>
      </c>
      <c r="FQ46" s="157" t="e">
        <f ca="1"/>
        <v>#DIV/0!</v>
      </c>
      <c r="FR46" s="157" t="e">
        <f ca="1"/>
        <v>#DIV/0!</v>
      </c>
      <c r="FS46" s="157">
        <f ca="1"/>
        <v>2018.5511116770572</v>
      </c>
      <c r="FT46" s="468" t="e">
        <f ca="1"/>
        <v>#DIV/0!</v>
      </c>
      <c r="FU46" s="470" t="e">
        <f ca="1"/>
        <v>#DIV/0!</v>
      </c>
      <c r="FV46" s="470" t="e">
        <f ca="1"/>
        <v>#DIV/0!</v>
      </c>
      <c r="FW46" s="462" t="e">
        <f ca="1"/>
        <v>#DIV/0!</v>
      </c>
      <c r="FX46" s="464" t="e">
        <f ca="1"/>
        <v>#NUM!</v>
      </c>
      <c r="FY46" s="464" t="e">
        <f ca="1"/>
        <v>#NUM!</v>
      </c>
      <c r="FZ46" s="466" t="e">
        <f ca="1"/>
        <v>#NUM!</v>
      </c>
      <c r="GA46" s="157" t="e">
        <f ca="1"/>
        <v>#DIV/0!</v>
      </c>
      <c r="GB46" s="157" t="e">
        <f ca="1"/>
        <v>#NUM!</v>
      </c>
      <c r="GC46" s="157" t="e">
        <f ca="1"/>
        <v>#DIV/0!</v>
      </c>
      <c r="GD46" s="157">
        <f ca="1"/>
        <v>42.776520411226777</v>
      </c>
      <c r="GE46" s="468" t="e">
        <f ca="1"/>
        <v>#DIV/0!</v>
      </c>
      <c r="GF46" s="470" t="e">
        <f ca="1"/>
        <v>#DIV/0!</v>
      </c>
      <c r="GG46" s="470" t="e">
        <f ca="1"/>
        <v>#DIV/0!</v>
      </c>
      <c r="GH46" s="173" t="e">
        <f t="shared" ca="1" si="7"/>
        <v>#DIV/0!</v>
      </c>
      <c r="GI46" s="173" t="e">
        <f t="shared" ca="1" si="7"/>
        <v>#DIV/0!</v>
      </c>
    </row>
    <row r="47" spans="1:191" ht="15">
      <c r="B47" s="169"/>
      <c r="C47" s="87">
        <f>'Oil supply projection'!B47</f>
        <v>2056</v>
      </c>
      <c r="D47" s="460" t="e">
        <f ca="1"/>
        <v>#DIV/0!</v>
      </c>
      <c r="E47" s="460" t="e">
        <f ca="1"/>
        <v>#DIV/0!</v>
      </c>
      <c r="F47" s="462" t="e">
        <f ca="1"/>
        <v>#DIV/0!</v>
      </c>
      <c r="G47" s="464">
        <f ca="1"/>
        <v>0</v>
      </c>
      <c r="H47" s="464" t="e">
        <f ca="1"/>
        <v>#DIV/0!</v>
      </c>
      <c r="I47" s="466" t="e">
        <f ca="1"/>
        <v>#DIV/0!</v>
      </c>
      <c r="J47" s="157" t="e">
        <f ca="1"/>
        <v>#DIV/0!</v>
      </c>
      <c r="K47" s="157" t="e">
        <f ca="1"/>
        <v>#DIV/0!</v>
      </c>
      <c r="L47" s="157">
        <f ca="1"/>
        <v>41.021858850338596</v>
      </c>
      <c r="M47" s="157" t="e">
        <f ca="1"/>
        <v>#DIV/0!</v>
      </c>
      <c r="N47" s="157" t="e">
        <f ca="1"/>
        <v>#DIV/0!</v>
      </c>
      <c r="O47" s="468" t="e">
        <f ca="1"/>
        <v>#DIV/0!</v>
      </c>
      <c r="P47" s="470" t="e">
        <f ca="1"/>
        <v>#DIV/0!</v>
      </c>
      <c r="Q47" s="472" t="e">
        <f ca="1"/>
        <v>#DIV/0!</v>
      </c>
      <c r="R47" s="462" t="e">
        <f ca="1"/>
        <v>#DIV/0!</v>
      </c>
      <c r="S47" s="464">
        <f ca="1"/>
        <v>0</v>
      </c>
      <c r="T47" s="464" t="e">
        <f ca="1"/>
        <v>#DIV/0!</v>
      </c>
      <c r="U47" s="466" t="e">
        <f ca="1"/>
        <v>#DIV/0!</v>
      </c>
      <c r="V47" s="157" t="e">
        <f ca="1"/>
        <v>#DIV/0!</v>
      </c>
      <c r="W47" s="157" t="e">
        <f ca="1"/>
        <v>#DIV/0!</v>
      </c>
      <c r="X47" s="157">
        <f ca="1"/>
        <v>55.944533995170396</v>
      </c>
      <c r="Y47" s="157" t="e">
        <f ca="1"/>
        <v>#DIV/0!</v>
      </c>
      <c r="Z47" s="157" t="e">
        <f ca="1"/>
        <v>#DIV/0!</v>
      </c>
      <c r="AA47" s="468" t="e">
        <f ca="1"/>
        <v>#DIV/0!</v>
      </c>
      <c r="AB47" s="470" t="e">
        <f ca="1"/>
        <v>#DIV/0!</v>
      </c>
      <c r="AC47" s="472" t="e">
        <f ca="1"/>
        <v>#DIV/0!</v>
      </c>
      <c r="AD47" s="462" t="e">
        <f ca="1"/>
        <v>#DIV/0!</v>
      </c>
      <c r="AE47" s="464">
        <f ca="1"/>
        <v>0</v>
      </c>
      <c r="AF47" s="464" t="e">
        <f ca="1"/>
        <v>#DIV/0!</v>
      </c>
      <c r="AG47" s="466" t="e">
        <f ca="1"/>
        <v>#DIV/0!</v>
      </c>
      <c r="AH47" s="157" t="e">
        <f ca="1"/>
        <v>#DIV/0!</v>
      </c>
      <c r="AI47" s="157" t="e">
        <f ca="1"/>
        <v>#DIV/0!</v>
      </c>
      <c r="AJ47" s="157">
        <f ca="1"/>
        <v>731.88851671295095</v>
      </c>
      <c r="AK47" s="157" t="e">
        <f ca="1"/>
        <v>#DIV/0!</v>
      </c>
      <c r="AL47" s="157" t="e">
        <f ca="1"/>
        <v>#DIV/0!</v>
      </c>
      <c r="AM47" s="468" t="e">
        <f ca="1"/>
        <v>#DIV/0!</v>
      </c>
      <c r="AN47" s="470" t="e">
        <f ca="1"/>
        <v>#DIV/0!</v>
      </c>
      <c r="AO47" s="472" t="e">
        <f ca="1"/>
        <v>#DIV/0!</v>
      </c>
      <c r="AP47" s="462" t="e">
        <f ca="1"/>
        <v>#DIV/0!</v>
      </c>
      <c r="AQ47" s="464" t="e">
        <f ca="1"/>
        <v>#NUM!</v>
      </c>
      <c r="AR47" s="464" t="e">
        <f ca="1"/>
        <v>#NUM!</v>
      </c>
      <c r="AS47" s="466" t="e">
        <f ca="1"/>
        <v>#NUM!</v>
      </c>
      <c r="AT47" s="157" t="e">
        <f ca="1"/>
        <v>#DIV/0!</v>
      </c>
      <c r="AU47" s="157" t="e">
        <f ca="1"/>
        <v>#NUM!</v>
      </c>
      <c r="AV47" s="157">
        <f ca="1"/>
        <v>1319.1555236544143</v>
      </c>
      <c r="AW47" s="157" t="e">
        <f ca="1"/>
        <v>#DIV/0!</v>
      </c>
      <c r="AX47" s="157" t="e">
        <f ca="1"/>
        <v>#DIV/0!</v>
      </c>
      <c r="AY47" s="468" t="e">
        <f ca="1"/>
        <v>#DIV/0!</v>
      </c>
      <c r="AZ47" s="470" t="e">
        <f ca="1"/>
        <v>#DIV/0!</v>
      </c>
      <c r="BA47" s="472" t="e">
        <f ca="1"/>
        <v>#DIV/0!</v>
      </c>
      <c r="BB47" s="173" t="e">
        <f t="shared" ca="1" si="5"/>
        <v>#DIV/0!</v>
      </c>
      <c r="BC47" s="173" t="e">
        <f t="shared" ca="1" si="6"/>
        <v>#DIV/0!</v>
      </c>
      <c r="BD47" s="462" t="e">
        <f ca="1"/>
        <v>#DIV/0!</v>
      </c>
      <c r="BE47" s="464">
        <f ca="1"/>
        <v>0</v>
      </c>
      <c r="BF47" s="464" t="e">
        <f ca="1"/>
        <v>#DIV/0!</v>
      </c>
      <c r="BG47" s="466" t="e">
        <f ca="1"/>
        <v>#DIV/0!</v>
      </c>
      <c r="BH47" s="157" t="e">
        <f ca="1"/>
        <v>#DIV/0!</v>
      </c>
      <c r="BI47" s="157" t="e">
        <f ca="1"/>
        <v>#DIV/0!</v>
      </c>
      <c r="BJ47" s="157">
        <f ca="1"/>
        <v>18.949012841608596</v>
      </c>
      <c r="BK47" s="157" t="e">
        <f ca="1"/>
        <v>#DIV/0!</v>
      </c>
      <c r="BL47" s="157" t="e">
        <f ca="1"/>
        <v>#DIV/0!</v>
      </c>
      <c r="BM47" s="468" t="e">
        <f ca="1"/>
        <v>#DIV/0!</v>
      </c>
      <c r="BN47" s="470" t="e">
        <f ca="1"/>
        <v>#DIV/0!</v>
      </c>
      <c r="BO47" s="472" t="e">
        <f ca="1"/>
        <v>#DIV/0!</v>
      </c>
      <c r="BP47" s="462" t="e">
        <f ca="1"/>
        <v>#DIV/0!</v>
      </c>
      <c r="BQ47" s="464">
        <f ca="1"/>
        <v>0</v>
      </c>
      <c r="BR47" s="464" t="e">
        <f ca="1"/>
        <v>#DIV/0!</v>
      </c>
      <c r="BS47" s="466" t="e">
        <f ca="1"/>
        <v>#DIV/0!</v>
      </c>
      <c r="BT47" s="157" t="e">
        <f ca="1"/>
        <v>#DIV/0!</v>
      </c>
      <c r="BU47" s="157" t="e">
        <f ca="1"/>
        <v>#DIV/0!</v>
      </c>
      <c r="BV47" s="157">
        <f ca="1"/>
        <v>13.874082168514398</v>
      </c>
      <c r="BW47" s="157" t="e">
        <f ca="1"/>
        <v>#DIV/0!</v>
      </c>
      <c r="BX47" s="157" t="e">
        <f ca="1"/>
        <v>#DIV/0!</v>
      </c>
      <c r="BY47" s="468" t="e">
        <f ca="1"/>
        <v>#DIV/0!</v>
      </c>
      <c r="BZ47" s="470" t="e">
        <f ca="1"/>
        <v>#DIV/0!</v>
      </c>
      <c r="CA47" s="472" t="e">
        <f ca="1"/>
        <v>#DIV/0!</v>
      </c>
      <c r="CB47" s="462" t="e">
        <f ca="1"/>
        <v>#DIV/0!</v>
      </c>
      <c r="CC47" s="464">
        <f ca="1"/>
        <v>0</v>
      </c>
      <c r="CD47" s="464" t="e">
        <f ca="1"/>
        <v>#DIV/0!</v>
      </c>
      <c r="CE47" s="466" t="e">
        <f ca="1"/>
        <v>#DIV/0!</v>
      </c>
      <c r="CF47" s="157" t="e">
        <f ca="1"/>
        <v>#DIV/0!</v>
      </c>
      <c r="CG47" s="157" t="e">
        <f ca="1"/>
        <v>#DIV/0!</v>
      </c>
      <c r="CH47" s="157">
        <f ca="1"/>
        <v>47.955322268987025</v>
      </c>
      <c r="CI47" s="157" t="e">
        <f ca="1"/>
        <v>#DIV/0!</v>
      </c>
      <c r="CJ47" s="157" t="e">
        <f ca="1"/>
        <v>#DIV/0!</v>
      </c>
      <c r="CK47" s="468" t="e">
        <f ca="1"/>
        <v>#DIV/0!</v>
      </c>
      <c r="CL47" s="470" t="e">
        <f ca="1"/>
        <v>#DIV/0!</v>
      </c>
      <c r="CM47" s="472" t="e">
        <f ca="1"/>
        <v>#DIV/0!</v>
      </c>
      <c r="CN47" s="462" t="e">
        <f ca="1"/>
        <v>#DIV/0!</v>
      </c>
      <c r="CO47" s="464" t="e">
        <f ca="1"/>
        <v>#NUM!</v>
      </c>
      <c r="CP47" s="464" t="e">
        <f ca="1"/>
        <v>#NUM!</v>
      </c>
      <c r="CQ47" s="466" t="e">
        <f ca="1"/>
        <v>#NUM!</v>
      </c>
      <c r="CR47" s="157" t="e">
        <f ca="1"/>
        <v>#DIV/0!</v>
      </c>
      <c r="CS47" s="157" t="e">
        <f ca="1"/>
        <v>#NUM!</v>
      </c>
      <c r="CT47" s="157">
        <f ca="1"/>
        <v>7.133199332098406</v>
      </c>
      <c r="CU47" s="157" t="e">
        <f ca="1"/>
        <v>#DIV/0!</v>
      </c>
      <c r="CV47" s="157" t="e">
        <f ca="1"/>
        <v>#DIV/0!</v>
      </c>
      <c r="CW47" s="468" t="e">
        <f ca="1"/>
        <v>#DIV/0!</v>
      </c>
      <c r="CX47" s="470" t="e">
        <f ca="1"/>
        <v>#DIV/0!</v>
      </c>
      <c r="CY47" s="472" t="e">
        <f ca="1"/>
        <v>#DIV/0!</v>
      </c>
      <c r="CZ47" s="173" t="e">
        <f t="shared" ca="1" si="3"/>
        <v>#DIV/0!</v>
      </c>
      <c r="DA47" s="173" t="e">
        <f t="shared" ca="1" si="3"/>
        <v>#DIV/0!</v>
      </c>
      <c r="DB47" s="462" t="e">
        <f ca="1"/>
        <v>#DIV/0!</v>
      </c>
      <c r="DC47" s="464">
        <f ca="1"/>
        <v>0</v>
      </c>
      <c r="DD47" s="464" t="e">
        <f ca="1"/>
        <v>#DIV/0!</v>
      </c>
      <c r="DE47" s="466" t="e">
        <f ca="1"/>
        <v>#DIV/0!</v>
      </c>
      <c r="DF47" s="157" t="e">
        <f ca="1"/>
        <v>#DIV/0!</v>
      </c>
      <c r="DG47" s="157" t="e">
        <f ca="1"/>
        <v>#DIV/0!</v>
      </c>
      <c r="DH47" s="157">
        <f ca="1"/>
        <v>19803.485804928659</v>
      </c>
      <c r="DI47" s="157" t="e">
        <f ca="1"/>
        <v>#DIV/0!</v>
      </c>
      <c r="DJ47" s="157" t="e">
        <f ca="1"/>
        <v>#DIV/0!</v>
      </c>
      <c r="DK47" s="468" t="e">
        <f ca="1"/>
        <v>#DIV/0!</v>
      </c>
      <c r="DL47" s="470" t="e">
        <f ca="1"/>
        <v>#DIV/0!</v>
      </c>
      <c r="DM47" s="472" t="e">
        <f ca="1"/>
        <v>#DIV/0!</v>
      </c>
      <c r="DN47" s="462" t="e">
        <f ca="1"/>
        <v>#DIV/0!</v>
      </c>
      <c r="DO47" s="464">
        <f ca="1"/>
        <v>0</v>
      </c>
      <c r="DP47" s="464" t="e">
        <f ca="1"/>
        <v>#DIV/0!</v>
      </c>
      <c r="DQ47" s="466" t="e">
        <f ca="1"/>
        <v>#DIV/0!</v>
      </c>
      <c r="DR47" s="157" t="e">
        <f ca="1"/>
        <v>#DIV/0!</v>
      </c>
      <c r="DS47" s="157" t="e">
        <f ca="1"/>
        <v>#DIV/0!</v>
      </c>
      <c r="DT47" s="157">
        <f ca="1"/>
        <v>16309.978065081312</v>
      </c>
      <c r="DU47" s="157" t="e">
        <f ca="1"/>
        <v>#DIV/0!</v>
      </c>
      <c r="DV47" s="157" t="e">
        <f ca="1"/>
        <v>#DIV/0!</v>
      </c>
      <c r="DW47" s="468" t="e">
        <f ca="1"/>
        <v>#DIV/0!</v>
      </c>
      <c r="DX47" s="470" t="e">
        <f ca="1"/>
        <v>#DIV/0!</v>
      </c>
      <c r="DY47" s="472" t="e">
        <f ca="1"/>
        <v>#DIV/0!</v>
      </c>
      <c r="DZ47" s="462" t="e">
        <f ca="1"/>
        <v>#DIV/0!</v>
      </c>
      <c r="EA47" s="464">
        <f ca="1"/>
        <v>0</v>
      </c>
      <c r="EB47" s="464" t="e">
        <f ca="1"/>
        <v>#DIV/0!</v>
      </c>
      <c r="EC47" s="466" t="e">
        <f ca="1"/>
        <v>#DIV/0!</v>
      </c>
      <c r="ED47" s="157" t="e">
        <f ca="1"/>
        <v>#DIV/0!</v>
      </c>
      <c r="EE47" s="157" t="e">
        <f ca="1"/>
        <v>#DIV/0!</v>
      </c>
      <c r="EF47" s="157">
        <f ca="1"/>
        <v>12814.744974031881</v>
      </c>
      <c r="EG47" s="157" t="e">
        <f ca="1"/>
        <v>#DIV/0!</v>
      </c>
      <c r="EH47" s="157" t="e">
        <f ca="1"/>
        <v>#DIV/0!</v>
      </c>
      <c r="EI47" s="468" t="e">
        <f ca="1"/>
        <v>#DIV/0!</v>
      </c>
      <c r="EJ47" s="470" t="e">
        <f ca="1"/>
        <v>#DIV/0!</v>
      </c>
      <c r="EK47" s="472" t="e">
        <f ca="1"/>
        <v>#DIV/0!</v>
      </c>
      <c r="EL47" s="462" t="e">
        <f ca="1"/>
        <v>#DIV/0!</v>
      </c>
      <c r="EM47" s="464" t="e">
        <f ca="1"/>
        <v>#NUM!</v>
      </c>
      <c r="EN47" s="464" t="e">
        <f ca="1"/>
        <v>#NUM!</v>
      </c>
      <c r="EO47" s="466" t="e">
        <f ca="1"/>
        <v>#NUM!</v>
      </c>
      <c r="EP47" s="157" t="e">
        <f ca="1"/>
        <v>#DIV/0!</v>
      </c>
      <c r="EQ47" s="157" t="e">
        <f ca="1"/>
        <v>#NUM!</v>
      </c>
      <c r="ER47" s="157">
        <f ca="1"/>
        <v>2434.7502055956961</v>
      </c>
      <c r="ES47" s="157" t="e">
        <f ca="1"/>
        <v>#DIV/0!</v>
      </c>
      <c r="ET47" s="157" t="e">
        <f ca="1"/>
        <v>#DIV/0!</v>
      </c>
      <c r="EU47" s="468" t="e">
        <f ca="1"/>
        <v>#DIV/0!</v>
      </c>
      <c r="EV47" s="470" t="e">
        <f ca="1"/>
        <v>#DIV/0!</v>
      </c>
      <c r="EW47" s="472" t="e">
        <f ca="1"/>
        <v>#DIV/0!</v>
      </c>
      <c r="EX47" s="462" t="e">
        <f ca="1"/>
        <v>#DIV/0!</v>
      </c>
      <c r="EY47" s="464" t="e">
        <f ca="1"/>
        <v>#NUM!</v>
      </c>
      <c r="EZ47" s="464" t="e">
        <f ca="1"/>
        <v>#NUM!</v>
      </c>
      <c r="FA47" s="466" t="e">
        <f ca="1"/>
        <v>#NUM!</v>
      </c>
      <c r="FB47" s="157" t="e">
        <f ca="1"/>
        <v>#DIV/0!</v>
      </c>
      <c r="FC47" s="157" t="e">
        <f ca="1"/>
        <v>#NUM!</v>
      </c>
      <c r="FD47" s="157">
        <f ca="1"/>
        <v>4987.2781811781679</v>
      </c>
      <c r="FE47" s="157" t="e">
        <f ca="1"/>
        <v>#DIV/0!</v>
      </c>
      <c r="FF47" s="157" t="e">
        <f ca="1"/>
        <v>#DIV/0!</v>
      </c>
      <c r="FG47" s="468" t="e">
        <f ca="1"/>
        <v>#DIV/0!</v>
      </c>
      <c r="FH47" s="470" t="e">
        <f ca="1"/>
        <v>#DIV/0!</v>
      </c>
      <c r="FI47" s="472" t="e">
        <f ca="1"/>
        <v>#DIV/0!</v>
      </c>
      <c r="FJ47" s="173" t="e">
        <f t="shared" ca="1" si="4"/>
        <v>#DIV/0!</v>
      </c>
      <c r="FK47" s="173" t="e">
        <f t="shared" ca="1" si="4"/>
        <v>#DIV/0!</v>
      </c>
      <c r="FL47" s="462" t="e">
        <f ca="1"/>
        <v>#DIV/0!</v>
      </c>
      <c r="FM47" s="464">
        <f ca="1"/>
        <v>0</v>
      </c>
      <c r="FN47" s="464" t="e">
        <f ca="1"/>
        <v>#DIV/0!</v>
      </c>
      <c r="FO47" s="466" t="e">
        <f ca="1"/>
        <v>#DIV/0!</v>
      </c>
      <c r="FP47" s="157" t="e">
        <f ca="1"/>
        <v>#DIV/0!</v>
      </c>
      <c r="FQ47" s="157" t="e">
        <f ca="1"/>
        <v>#DIV/0!</v>
      </c>
      <c r="FR47" s="157" t="e">
        <f ca="1"/>
        <v>#DIV/0!</v>
      </c>
      <c r="FS47" s="157">
        <f ca="1"/>
        <v>2029.8139930433369</v>
      </c>
      <c r="FT47" s="468" t="e">
        <f ca="1"/>
        <v>#DIV/0!</v>
      </c>
      <c r="FU47" s="470" t="e">
        <f ca="1"/>
        <v>#DIV/0!</v>
      </c>
      <c r="FV47" s="470" t="e">
        <f ca="1"/>
        <v>#DIV/0!</v>
      </c>
      <c r="FW47" s="462" t="e">
        <f ca="1"/>
        <v>#DIV/0!</v>
      </c>
      <c r="FX47" s="464" t="e">
        <f ca="1"/>
        <v>#NUM!</v>
      </c>
      <c r="FY47" s="464" t="e">
        <f ca="1"/>
        <v>#NUM!</v>
      </c>
      <c r="FZ47" s="466" t="e">
        <f ca="1"/>
        <v>#NUM!</v>
      </c>
      <c r="GA47" s="157" t="e">
        <f ca="1"/>
        <v>#DIV/0!</v>
      </c>
      <c r="GB47" s="157" t="e">
        <f ca="1"/>
        <v>#NUM!</v>
      </c>
      <c r="GC47" s="157" t="e">
        <f ca="1"/>
        <v>#DIV/0!</v>
      </c>
      <c r="GD47" s="157">
        <f ca="1"/>
        <v>43.015199963043337</v>
      </c>
      <c r="GE47" s="468" t="e">
        <f ca="1"/>
        <v>#DIV/0!</v>
      </c>
      <c r="GF47" s="470" t="e">
        <f ca="1"/>
        <v>#DIV/0!</v>
      </c>
      <c r="GG47" s="470" t="e">
        <f ca="1"/>
        <v>#DIV/0!</v>
      </c>
      <c r="GH47" s="173" t="e">
        <f t="shared" ca="1" si="7"/>
        <v>#DIV/0!</v>
      </c>
      <c r="GI47" s="173" t="e">
        <f t="shared" ca="1" si="7"/>
        <v>#DIV/0!</v>
      </c>
    </row>
    <row r="48" spans="1:191" ht="15">
      <c r="B48" s="169"/>
      <c r="C48" s="87">
        <f>'Oil supply projection'!B48</f>
        <v>2057</v>
      </c>
      <c r="D48" s="460" t="e">
        <f ca="1"/>
        <v>#DIV/0!</v>
      </c>
      <c r="E48" s="460" t="e">
        <f ca="1"/>
        <v>#DIV/0!</v>
      </c>
      <c r="F48" s="462" t="e">
        <f ca="1"/>
        <v>#DIV/0!</v>
      </c>
      <c r="G48" s="464">
        <f ca="1"/>
        <v>0</v>
      </c>
      <c r="H48" s="464" t="e">
        <f ca="1"/>
        <v>#DIV/0!</v>
      </c>
      <c r="I48" s="466" t="e">
        <f ca="1"/>
        <v>#DIV/0!</v>
      </c>
      <c r="J48" s="157" t="e">
        <f ca="1"/>
        <v>#DIV/0!</v>
      </c>
      <c r="K48" s="157" t="e">
        <f ca="1"/>
        <v>#DIV/0!</v>
      </c>
      <c r="L48" s="157">
        <f ca="1"/>
        <v>41.567342460983454</v>
      </c>
      <c r="M48" s="157" t="e">
        <f ca="1"/>
        <v>#DIV/0!</v>
      </c>
      <c r="N48" s="157" t="e">
        <f ca="1"/>
        <v>#DIV/0!</v>
      </c>
      <c r="O48" s="468" t="e">
        <f ca="1"/>
        <v>#DIV/0!</v>
      </c>
      <c r="P48" s="470" t="e">
        <f ca="1"/>
        <v>#DIV/0!</v>
      </c>
      <c r="Q48" s="472" t="e">
        <f ca="1"/>
        <v>#DIV/0!</v>
      </c>
      <c r="R48" s="462" t="e">
        <f ca="1"/>
        <v>#DIV/0!</v>
      </c>
      <c r="S48" s="464">
        <f ca="1"/>
        <v>0</v>
      </c>
      <c r="T48" s="464" t="e">
        <f ca="1"/>
        <v>#DIV/0!</v>
      </c>
      <c r="U48" s="466" t="e">
        <f ca="1"/>
        <v>#DIV/0!</v>
      </c>
      <c r="V48" s="157" t="e">
        <f ca="1"/>
        <v>#DIV/0!</v>
      </c>
      <c r="W48" s="157" t="e">
        <f ca="1"/>
        <v>#DIV/0!</v>
      </c>
      <c r="X48" s="157">
        <f ca="1"/>
        <v>56.688450220684821</v>
      </c>
      <c r="Y48" s="157" t="e">
        <f ca="1"/>
        <v>#DIV/0!</v>
      </c>
      <c r="Z48" s="157" t="e">
        <f ca="1"/>
        <v>#DIV/0!</v>
      </c>
      <c r="AA48" s="468" t="e">
        <f ca="1"/>
        <v>#DIV/0!</v>
      </c>
      <c r="AB48" s="470" t="e">
        <f ca="1"/>
        <v>#DIV/0!</v>
      </c>
      <c r="AC48" s="472" t="e">
        <f ca="1"/>
        <v>#DIV/0!</v>
      </c>
      <c r="AD48" s="462" t="e">
        <f ca="1"/>
        <v>#DIV/0!</v>
      </c>
      <c r="AE48" s="464">
        <f ca="1"/>
        <v>0</v>
      </c>
      <c r="AF48" s="464" t="e">
        <f ca="1"/>
        <v>#DIV/0!</v>
      </c>
      <c r="AG48" s="466" t="e">
        <f ca="1"/>
        <v>#DIV/0!</v>
      </c>
      <c r="AH48" s="157" t="e">
        <f ca="1"/>
        <v>#DIV/0!</v>
      </c>
      <c r="AI48" s="157" t="e">
        <f ca="1"/>
        <v>#DIV/0!</v>
      </c>
      <c r="AJ48" s="157">
        <f ca="1"/>
        <v>741.62072295310759</v>
      </c>
      <c r="AK48" s="157" t="e">
        <f ca="1"/>
        <v>#DIV/0!</v>
      </c>
      <c r="AL48" s="157" t="e">
        <f ca="1"/>
        <v>#DIV/0!</v>
      </c>
      <c r="AM48" s="468" t="e">
        <f ca="1"/>
        <v>#DIV/0!</v>
      </c>
      <c r="AN48" s="470" t="e">
        <f ca="1"/>
        <v>#DIV/0!</v>
      </c>
      <c r="AO48" s="472" t="e">
        <f ca="1"/>
        <v>#DIV/0!</v>
      </c>
      <c r="AP48" s="462" t="e">
        <f ca="1"/>
        <v>#DIV/0!</v>
      </c>
      <c r="AQ48" s="464" t="e">
        <f ca="1"/>
        <v>#NUM!</v>
      </c>
      <c r="AR48" s="464" t="e">
        <f ca="1"/>
        <v>#NUM!</v>
      </c>
      <c r="AS48" s="466" t="e">
        <f ca="1"/>
        <v>#NUM!</v>
      </c>
      <c r="AT48" s="157" t="e">
        <f ca="1"/>
        <v>#DIV/0!</v>
      </c>
      <c r="AU48" s="157" t="e">
        <f ca="1"/>
        <v>#NUM!</v>
      </c>
      <c r="AV48" s="157">
        <f ca="1"/>
        <v>1336.6968476755997</v>
      </c>
      <c r="AW48" s="157" t="e">
        <f ca="1"/>
        <v>#DIV/0!</v>
      </c>
      <c r="AX48" s="157" t="e">
        <f ca="1"/>
        <v>#DIV/0!</v>
      </c>
      <c r="AY48" s="468" t="e">
        <f ca="1"/>
        <v>#DIV/0!</v>
      </c>
      <c r="AZ48" s="470" t="e">
        <f ca="1"/>
        <v>#DIV/0!</v>
      </c>
      <c r="BA48" s="472" t="e">
        <f ca="1"/>
        <v>#DIV/0!</v>
      </c>
      <c r="BB48" s="173" t="e">
        <f t="shared" ca="1" si="5"/>
        <v>#DIV/0!</v>
      </c>
      <c r="BC48" s="173" t="e">
        <f t="shared" ca="1" si="6"/>
        <v>#DIV/0!</v>
      </c>
      <c r="BD48" s="462" t="e">
        <f ca="1"/>
        <v>#DIV/0!</v>
      </c>
      <c r="BE48" s="464">
        <f ca="1"/>
        <v>0</v>
      </c>
      <c r="BF48" s="464" t="e">
        <f ca="1"/>
        <v>#DIV/0!</v>
      </c>
      <c r="BG48" s="466" t="e">
        <f ca="1"/>
        <v>#DIV/0!</v>
      </c>
      <c r="BH48" s="157" t="e">
        <f ca="1"/>
        <v>#DIV/0!</v>
      </c>
      <c r="BI48" s="157" t="e">
        <f ca="1"/>
        <v>#DIV/0!</v>
      </c>
      <c r="BJ48" s="157">
        <f ca="1"/>
        <v>19.060880633959034</v>
      </c>
      <c r="BK48" s="157" t="e">
        <f ca="1"/>
        <v>#DIV/0!</v>
      </c>
      <c r="BL48" s="157" t="e">
        <f ca="1"/>
        <v>#DIV/0!</v>
      </c>
      <c r="BM48" s="468" t="e">
        <f ca="1"/>
        <v>#DIV/0!</v>
      </c>
      <c r="BN48" s="470" t="e">
        <f ca="1"/>
        <v>#DIV/0!</v>
      </c>
      <c r="BO48" s="472" t="e">
        <f ca="1"/>
        <v>#DIV/0!</v>
      </c>
      <c r="BP48" s="462" t="e">
        <f ca="1"/>
        <v>#DIV/0!</v>
      </c>
      <c r="BQ48" s="464">
        <f ca="1"/>
        <v>0</v>
      </c>
      <c r="BR48" s="464" t="e">
        <f ca="1"/>
        <v>#DIV/0!</v>
      </c>
      <c r="BS48" s="466" t="e">
        <f ca="1"/>
        <v>#DIV/0!</v>
      </c>
      <c r="BT48" s="157" t="e">
        <f ca="1"/>
        <v>#DIV/0!</v>
      </c>
      <c r="BU48" s="157" t="e">
        <f ca="1"/>
        <v>#DIV/0!</v>
      </c>
      <c r="BV48" s="157">
        <f ca="1"/>
        <v>13.95598949297788</v>
      </c>
      <c r="BW48" s="157" t="e">
        <f ca="1"/>
        <v>#DIV/0!</v>
      </c>
      <c r="BX48" s="157" t="e">
        <f ca="1"/>
        <v>#DIV/0!</v>
      </c>
      <c r="BY48" s="468" t="e">
        <f ca="1"/>
        <v>#DIV/0!</v>
      </c>
      <c r="BZ48" s="470" t="e">
        <f ca="1"/>
        <v>#DIV/0!</v>
      </c>
      <c r="CA48" s="472" t="e">
        <f ca="1"/>
        <v>#DIV/0!</v>
      </c>
      <c r="CB48" s="462" t="e">
        <f ca="1"/>
        <v>#DIV/0!</v>
      </c>
      <c r="CC48" s="464">
        <f ca="1"/>
        <v>0</v>
      </c>
      <c r="CD48" s="464" t="e">
        <f ca="1"/>
        <v>#DIV/0!</v>
      </c>
      <c r="CE48" s="466" t="e">
        <f ca="1"/>
        <v>#DIV/0!</v>
      </c>
      <c r="CF48" s="157" t="e">
        <f ca="1"/>
        <v>#DIV/0!</v>
      </c>
      <c r="CG48" s="157" t="e">
        <f ca="1"/>
        <v>#DIV/0!</v>
      </c>
      <c r="CH48" s="157">
        <f ca="1"/>
        <v>48.238432322187563</v>
      </c>
      <c r="CI48" s="157" t="e">
        <f ca="1"/>
        <v>#DIV/0!</v>
      </c>
      <c r="CJ48" s="157" t="e">
        <f ca="1"/>
        <v>#DIV/0!</v>
      </c>
      <c r="CK48" s="468" t="e">
        <f ca="1"/>
        <v>#DIV/0!</v>
      </c>
      <c r="CL48" s="470" t="e">
        <f ca="1"/>
        <v>#DIV/0!</v>
      </c>
      <c r="CM48" s="472" t="e">
        <f ca="1"/>
        <v>#DIV/0!</v>
      </c>
      <c r="CN48" s="462" t="e">
        <f ca="1"/>
        <v>#DIV/0!</v>
      </c>
      <c r="CO48" s="464" t="e">
        <f ca="1"/>
        <v>#NUM!</v>
      </c>
      <c r="CP48" s="464" t="e">
        <f ca="1"/>
        <v>#NUM!</v>
      </c>
      <c r="CQ48" s="466" t="e">
        <f ca="1"/>
        <v>#NUM!</v>
      </c>
      <c r="CR48" s="157" t="e">
        <f ca="1"/>
        <v>#DIV/0!</v>
      </c>
      <c r="CS48" s="157" t="e">
        <f ca="1"/>
        <v>#NUM!</v>
      </c>
      <c r="CT48" s="157">
        <f ca="1"/>
        <v>7.1753110383042964</v>
      </c>
      <c r="CU48" s="157" t="e">
        <f ca="1"/>
        <v>#DIV/0!</v>
      </c>
      <c r="CV48" s="157" t="e">
        <f ca="1"/>
        <v>#DIV/0!</v>
      </c>
      <c r="CW48" s="468" t="e">
        <f ca="1"/>
        <v>#DIV/0!</v>
      </c>
      <c r="CX48" s="470" t="e">
        <f ca="1"/>
        <v>#DIV/0!</v>
      </c>
      <c r="CY48" s="472" t="e">
        <f ca="1"/>
        <v>#DIV/0!</v>
      </c>
      <c r="CZ48" s="173" t="e">
        <f t="shared" ca="1" si="3"/>
        <v>#DIV/0!</v>
      </c>
      <c r="DA48" s="173" t="e">
        <f t="shared" ca="1" si="3"/>
        <v>#DIV/0!</v>
      </c>
      <c r="DB48" s="462" t="e">
        <f ca="1"/>
        <v>#DIV/0!</v>
      </c>
      <c r="DC48" s="464">
        <f ca="1"/>
        <v>0</v>
      </c>
      <c r="DD48" s="464" t="e">
        <f ca="1"/>
        <v>#DIV/0!</v>
      </c>
      <c r="DE48" s="466" t="e">
        <f ca="1"/>
        <v>#DIV/0!</v>
      </c>
      <c r="DF48" s="157" t="e">
        <f ca="1"/>
        <v>#DIV/0!</v>
      </c>
      <c r="DG48" s="157" t="e">
        <f ca="1"/>
        <v>#DIV/0!</v>
      </c>
      <c r="DH48" s="157">
        <f ca="1"/>
        <v>20007.414391289429</v>
      </c>
      <c r="DI48" s="157" t="e">
        <f ca="1"/>
        <v>#DIV/0!</v>
      </c>
      <c r="DJ48" s="157" t="e">
        <f ca="1"/>
        <v>#DIV/0!</v>
      </c>
      <c r="DK48" s="468" t="e">
        <f ca="1"/>
        <v>#DIV/0!</v>
      </c>
      <c r="DL48" s="470" t="e">
        <f ca="1"/>
        <v>#DIV/0!</v>
      </c>
      <c r="DM48" s="472" t="e">
        <f ca="1"/>
        <v>#DIV/0!</v>
      </c>
      <c r="DN48" s="462" t="e">
        <f ca="1"/>
        <v>#DIV/0!</v>
      </c>
      <c r="DO48" s="464">
        <f ca="1"/>
        <v>0</v>
      </c>
      <c r="DP48" s="464" t="e">
        <f ca="1"/>
        <v>#DIV/0!</v>
      </c>
      <c r="DQ48" s="466" t="e">
        <f ca="1"/>
        <v>#DIV/0!</v>
      </c>
      <c r="DR48" s="157" t="e">
        <f ca="1"/>
        <v>#DIV/0!</v>
      </c>
      <c r="DS48" s="157" t="e">
        <f ca="1"/>
        <v>#DIV/0!</v>
      </c>
      <c r="DT48" s="157">
        <f ca="1"/>
        <v>16477.931868929292</v>
      </c>
      <c r="DU48" s="157" t="e">
        <f ca="1"/>
        <v>#DIV/0!</v>
      </c>
      <c r="DV48" s="157" t="e">
        <f ca="1"/>
        <v>#DIV/0!</v>
      </c>
      <c r="DW48" s="468" t="e">
        <f ca="1"/>
        <v>#DIV/0!</v>
      </c>
      <c r="DX48" s="470" t="e">
        <f ca="1"/>
        <v>#DIV/0!</v>
      </c>
      <c r="DY48" s="472" t="e">
        <f ca="1"/>
        <v>#DIV/0!</v>
      </c>
      <c r="DZ48" s="462" t="e">
        <f ca="1"/>
        <v>#DIV/0!</v>
      </c>
      <c r="EA48" s="464">
        <f ca="1"/>
        <v>0</v>
      </c>
      <c r="EB48" s="464" t="e">
        <f ca="1"/>
        <v>#DIV/0!</v>
      </c>
      <c r="EC48" s="466" t="e">
        <f ca="1"/>
        <v>#DIV/0!</v>
      </c>
      <c r="ED48" s="157" t="e">
        <f ca="1"/>
        <v>#DIV/0!</v>
      </c>
      <c r="EE48" s="157" t="e">
        <f ca="1"/>
        <v>#DIV/0!</v>
      </c>
      <c r="EF48" s="157">
        <f ca="1"/>
        <v>12946.70622837215</v>
      </c>
      <c r="EG48" s="157" t="e">
        <f ca="1"/>
        <v>#DIV/0!</v>
      </c>
      <c r="EH48" s="157" t="e">
        <f ca="1"/>
        <v>#DIV/0!</v>
      </c>
      <c r="EI48" s="468" t="e">
        <f ca="1"/>
        <v>#DIV/0!</v>
      </c>
      <c r="EJ48" s="470" t="e">
        <f ca="1"/>
        <v>#DIV/0!</v>
      </c>
      <c r="EK48" s="472" t="e">
        <f ca="1"/>
        <v>#DIV/0!</v>
      </c>
      <c r="EL48" s="462" t="e">
        <f ca="1"/>
        <v>#DIV/0!</v>
      </c>
      <c r="EM48" s="464" t="e">
        <f ca="1"/>
        <v>#NUM!</v>
      </c>
      <c r="EN48" s="464" t="e">
        <f ca="1"/>
        <v>#NUM!</v>
      </c>
      <c r="EO48" s="466" t="e">
        <f ca="1"/>
        <v>#NUM!</v>
      </c>
      <c r="EP48" s="157" t="e">
        <f ca="1"/>
        <v>#DIV/0!</v>
      </c>
      <c r="EQ48" s="157" t="e">
        <f ca="1"/>
        <v>#NUM!</v>
      </c>
      <c r="ER48" s="157">
        <f ca="1"/>
        <v>2459.8223152464707</v>
      </c>
      <c r="ES48" s="157" t="e">
        <f ca="1"/>
        <v>#DIV/0!</v>
      </c>
      <c r="ET48" s="157" t="e">
        <f ca="1"/>
        <v>#DIV/0!</v>
      </c>
      <c r="EU48" s="468" t="e">
        <f ca="1"/>
        <v>#DIV/0!</v>
      </c>
      <c r="EV48" s="470" t="e">
        <f ca="1"/>
        <v>#DIV/0!</v>
      </c>
      <c r="EW48" s="472" t="e">
        <f ca="1"/>
        <v>#DIV/0!</v>
      </c>
      <c r="EX48" s="462" t="e">
        <f ca="1"/>
        <v>#DIV/0!</v>
      </c>
      <c r="EY48" s="464" t="e">
        <f ca="1"/>
        <v>#NUM!</v>
      </c>
      <c r="EZ48" s="464" t="e">
        <f ca="1"/>
        <v>#NUM!</v>
      </c>
      <c r="FA48" s="466" t="e">
        <f ca="1"/>
        <v>#NUM!</v>
      </c>
      <c r="FB48" s="157" t="e">
        <f ca="1"/>
        <v>#DIV/0!</v>
      </c>
      <c r="FC48" s="157" t="e">
        <f ca="1"/>
        <v>#NUM!</v>
      </c>
      <c r="FD48" s="157">
        <f ca="1"/>
        <v>5038.6352300984372</v>
      </c>
      <c r="FE48" s="157" t="e">
        <f ca="1"/>
        <v>#DIV/0!</v>
      </c>
      <c r="FF48" s="157" t="e">
        <f ca="1"/>
        <v>#DIV/0!</v>
      </c>
      <c r="FG48" s="468" t="e">
        <f ca="1"/>
        <v>#DIV/0!</v>
      </c>
      <c r="FH48" s="470" t="e">
        <f ca="1"/>
        <v>#DIV/0!</v>
      </c>
      <c r="FI48" s="472" t="e">
        <f ca="1"/>
        <v>#DIV/0!</v>
      </c>
      <c r="FJ48" s="173" t="e">
        <f t="shared" ca="1" si="4"/>
        <v>#DIV/0!</v>
      </c>
      <c r="FK48" s="173" t="e">
        <f t="shared" ca="1" si="4"/>
        <v>#DIV/0!</v>
      </c>
      <c r="FL48" s="462" t="e">
        <f ca="1"/>
        <v>#DIV/0!</v>
      </c>
      <c r="FM48" s="464">
        <f ca="1"/>
        <v>0</v>
      </c>
      <c r="FN48" s="464" t="e">
        <f ca="1"/>
        <v>#DIV/0!</v>
      </c>
      <c r="FO48" s="466" t="e">
        <f ca="1"/>
        <v>#DIV/0!</v>
      </c>
      <c r="FP48" s="157" t="e">
        <f ca="1"/>
        <v>#DIV/0!</v>
      </c>
      <c r="FQ48" s="157" t="e">
        <f ca="1"/>
        <v>#DIV/0!</v>
      </c>
      <c r="FR48" s="157" t="e">
        <f ca="1"/>
        <v>#DIV/0!</v>
      </c>
      <c r="FS48" s="157">
        <f ca="1"/>
        <v>2041.13971775103</v>
      </c>
      <c r="FT48" s="468" t="e">
        <f ca="1"/>
        <v>#DIV/0!</v>
      </c>
      <c r="FU48" s="470" t="e">
        <f ca="1"/>
        <v>#DIV/0!</v>
      </c>
      <c r="FV48" s="470" t="e">
        <f ca="1"/>
        <v>#DIV/0!</v>
      </c>
      <c r="FW48" s="462" t="e">
        <f ca="1"/>
        <v>#DIV/0!</v>
      </c>
      <c r="FX48" s="464" t="e">
        <f ca="1"/>
        <v>#NUM!</v>
      </c>
      <c r="FY48" s="464" t="e">
        <f ca="1"/>
        <v>#NUM!</v>
      </c>
      <c r="FZ48" s="466" t="e">
        <f ca="1"/>
        <v>#NUM!</v>
      </c>
      <c r="GA48" s="157" t="e">
        <f ca="1"/>
        <v>#DIV/0!</v>
      </c>
      <c r="GB48" s="157" t="e">
        <f ca="1"/>
        <v>#NUM!</v>
      </c>
      <c r="GC48" s="157" t="e">
        <f ca="1"/>
        <v>#DIV/0!</v>
      </c>
      <c r="GD48" s="157">
        <f ca="1"/>
        <v>43.255211271812257</v>
      </c>
      <c r="GE48" s="468" t="e">
        <f ca="1"/>
        <v>#DIV/0!</v>
      </c>
      <c r="GF48" s="470" t="e">
        <f ca="1"/>
        <v>#DIV/0!</v>
      </c>
      <c r="GG48" s="470" t="e">
        <f ca="1"/>
        <v>#DIV/0!</v>
      </c>
      <c r="GH48" s="173" t="e">
        <f t="shared" ca="1" si="7"/>
        <v>#DIV/0!</v>
      </c>
      <c r="GI48" s="173" t="e">
        <f t="shared" ca="1" si="7"/>
        <v>#DIV/0!</v>
      </c>
    </row>
    <row r="49" spans="2:191" ht="15">
      <c r="B49" s="169"/>
      <c r="C49" s="87">
        <f>'Oil supply projection'!B49</f>
        <v>2058</v>
      </c>
      <c r="D49" s="460" t="e">
        <f ca="1"/>
        <v>#DIV/0!</v>
      </c>
      <c r="E49" s="460" t="e">
        <f ca="1"/>
        <v>#DIV/0!</v>
      </c>
      <c r="F49" s="462" t="e">
        <f ca="1"/>
        <v>#DIV/0!</v>
      </c>
      <c r="G49" s="464">
        <f ca="1"/>
        <v>0</v>
      </c>
      <c r="H49" s="464" t="e">
        <f ca="1"/>
        <v>#DIV/0!</v>
      </c>
      <c r="I49" s="466" t="e">
        <f ca="1"/>
        <v>#DIV/0!</v>
      </c>
      <c r="J49" s="157" t="e">
        <f ca="1"/>
        <v>#DIV/0!</v>
      </c>
      <c r="K49" s="157" t="e">
        <f ca="1"/>
        <v>#DIV/0!</v>
      </c>
      <c r="L49" s="157">
        <f ca="1"/>
        <v>42.120079579339105</v>
      </c>
      <c r="M49" s="157" t="e">
        <f ca="1"/>
        <v>#DIV/0!</v>
      </c>
      <c r="N49" s="157" t="e">
        <f ca="1"/>
        <v>#DIV/0!</v>
      </c>
      <c r="O49" s="468" t="e">
        <f ca="1"/>
        <v>#DIV/0!</v>
      </c>
      <c r="P49" s="470" t="e">
        <f ca="1"/>
        <v>#DIV/0!</v>
      </c>
      <c r="Q49" s="472" t="e">
        <f ca="1"/>
        <v>#DIV/0!</v>
      </c>
      <c r="R49" s="462" t="e">
        <f ca="1"/>
        <v>#DIV/0!</v>
      </c>
      <c r="S49" s="464">
        <f ca="1"/>
        <v>0</v>
      </c>
      <c r="T49" s="464" t="e">
        <f ca="1"/>
        <v>#DIV/0!</v>
      </c>
      <c r="U49" s="466" t="e">
        <f ca="1"/>
        <v>#DIV/0!</v>
      </c>
      <c r="V49" s="157" t="e">
        <f ca="1"/>
        <v>#DIV/0!</v>
      </c>
      <c r="W49" s="157" t="e">
        <f ca="1"/>
        <v>#DIV/0!</v>
      </c>
      <c r="X49" s="157">
        <f ca="1"/>
        <v>57.442258589560943</v>
      </c>
      <c r="Y49" s="157" t="e">
        <f ca="1"/>
        <v>#DIV/0!</v>
      </c>
      <c r="Z49" s="157" t="e">
        <f ca="1"/>
        <v>#DIV/0!</v>
      </c>
      <c r="AA49" s="468" t="e">
        <f ca="1"/>
        <v>#DIV/0!</v>
      </c>
      <c r="AB49" s="470" t="e">
        <f ca="1"/>
        <v>#DIV/0!</v>
      </c>
      <c r="AC49" s="472" t="e">
        <f ca="1"/>
        <v>#DIV/0!</v>
      </c>
      <c r="AD49" s="462" t="e">
        <f ca="1"/>
        <v>#DIV/0!</v>
      </c>
      <c r="AE49" s="464">
        <f ca="1"/>
        <v>0</v>
      </c>
      <c r="AF49" s="464" t="e">
        <f ca="1"/>
        <v>#DIV/0!</v>
      </c>
      <c r="AG49" s="466" t="e">
        <f ca="1"/>
        <v>#DIV/0!</v>
      </c>
      <c r="AH49" s="157" t="e">
        <f ca="1"/>
        <v>#DIV/0!</v>
      </c>
      <c r="AI49" s="157" t="e">
        <f ca="1"/>
        <v>#DIV/0!</v>
      </c>
      <c r="AJ49" s="157">
        <f ca="1"/>
        <v>751.48234212452087</v>
      </c>
      <c r="AK49" s="157" t="e">
        <f ca="1"/>
        <v>#DIV/0!</v>
      </c>
      <c r="AL49" s="157" t="e">
        <f ca="1"/>
        <v>#DIV/0!</v>
      </c>
      <c r="AM49" s="468" t="e">
        <f ca="1"/>
        <v>#DIV/0!</v>
      </c>
      <c r="AN49" s="470" t="e">
        <f ca="1"/>
        <v>#DIV/0!</v>
      </c>
      <c r="AO49" s="472" t="e">
        <f ca="1"/>
        <v>#DIV/0!</v>
      </c>
      <c r="AP49" s="462" t="e">
        <f ca="1"/>
        <v>#DIV/0!</v>
      </c>
      <c r="AQ49" s="464" t="e">
        <f ca="1"/>
        <v>#NUM!</v>
      </c>
      <c r="AR49" s="464" t="e">
        <f ca="1"/>
        <v>#NUM!</v>
      </c>
      <c r="AS49" s="466" t="e">
        <f ca="1"/>
        <v>#NUM!</v>
      </c>
      <c r="AT49" s="157" t="e">
        <f ca="1"/>
        <v>#DIV/0!</v>
      </c>
      <c r="AU49" s="157" t="e">
        <f ca="1"/>
        <v>#NUM!</v>
      </c>
      <c r="AV49" s="157">
        <f ca="1"/>
        <v>1354.4714255041629</v>
      </c>
      <c r="AW49" s="157" t="e">
        <f ca="1"/>
        <v>#DIV/0!</v>
      </c>
      <c r="AX49" s="157" t="e">
        <f ca="1"/>
        <v>#DIV/0!</v>
      </c>
      <c r="AY49" s="468" t="e">
        <f ca="1"/>
        <v>#DIV/0!</v>
      </c>
      <c r="AZ49" s="470" t="e">
        <f ca="1"/>
        <v>#DIV/0!</v>
      </c>
      <c r="BA49" s="472" t="e">
        <f ca="1"/>
        <v>#DIV/0!</v>
      </c>
      <c r="BB49" s="173" t="e">
        <f t="shared" ca="1" si="5"/>
        <v>#DIV/0!</v>
      </c>
      <c r="BC49" s="173" t="e">
        <f t="shared" ca="1" si="6"/>
        <v>#DIV/0!</v>
      </c>
      <c r="BD49" s="462" t="e">
        <f ca="1"/>
        <v>#DIV/0!</v>
      </c>
      <c r="BE49" s="464">
        <f ca="1"/>
        <v>0</v>
      </c>
      <c r="BF49" s="464" t="e">
        <f ca="1"/>
        <v>#DIV/0!</v>
      </c>
      <c r="BG49" s="466" t="e">
        <f ca="1"/>
        <v>#DIV/0!</v>
      </c>
      <c r="BH49" s="157" t="e">
        <f ca="1"/>
        <v>#DIV/0!</v>
      </c>
      <c r="BI49" s="157" t="e">
        <f ca="1"/>
        <v>#DIV/0!</v>
      </c>
      <c r="BJ49" s="157">
        <f ca="1"/>
        <v>19.17340885137066</v>
      </c>
      <c r="BK49" s="157" t="e">
        <f ca="1"/>
        <v>#DIV/0!</v>
      </c>
      <c r="BL49" s="157" t="e">
        <f ca="1"/>
        <v>#DIV/0!</v>
      </c>
      <c r="BM49" s="468" t="e">
        <f ca="1"/>
        <v>#DIV/0!</v>
      </c>
      <c r="BN49" s="470" t="e">
        <f ca="1"/>
        <v>#DIV/0!</v>
      </c>
      <c r="BO49" s="472" t="e">
        <f ca="1"/>
        <v>#DIV/0!</v>
      </c>
      <c r="BP49" s="462" t="e">
        <f ca="1"/>
        <v>#DIV/0!</v>
      </c>
      <c r="BQ49" s="464">
        <f ca="1"/>
        <v>0</v>
      </c>
      <c r="BR49" s="464" t="e">
        <f ca="1"/>
        <v>#DIV/0!</v>
      </c>
      <c r="BS49" s="466" t="e">
        <f ca="1"/>
        <v>#DIV/0!</v>
      </c>
      <c r="BT49" s="157" t="e">
        <f ca="1"/>
        <v>#DIV/0!</v>
      </c>
      <c r="BU49" s="157" t="e">
        <f ca="1"/>
        <v>#DIV/0!</v>
      </c>
      <c r="BV49" s="157">
        <f ca="1"/>
        <v>14.038380367251667</v>
      </c>
      <c r="BW49" s="157" t="e">
        <f ca="1"/>
        <v>#DIV/0!</v>
      </c>
      <c r="BX49" s="157" t="e">
        <f ca="1"/>
        <v>#DIV/0!</v>
      </c>
      <c r="BY49" s="468" t="e">
        <f ca="1"/>
        <v>#DIV/0!</v>
      </c>
      <c r="BZ49" s="470" t="e">
        <f ca="1"/>
        <v>#DIV/0!</v>
      </c>
      <c r="CA49" s="472" t="e">
        <f ca="1"/>
        <v>#DIV/0!</v>
      </c>
      <c r="CB49" s="462" t="e">
        <f ca="1"/>
        <v>#DIV/0!</v>
      </c>
      <c r="CC49" s="464">
        <f ca="1"/>
        <v>0</v>
      </c>
      <c r="CD49" s="464" t="e">
        <f ca="1"/>
        <v>#DIV/0!</v>
      </c>
      <c r="CE49" s="466" t="e">
        <f ca="1"/>
        <v>#DIV/0!</v>
      </c>
      <c r="CF49" s="157" t="e">
        <f ca="1"/>
        <v>#DIV/0!</v>
      </c>
      <c r="CG49" s="157" t="e">
        <f ca="1"/>
        <v>#DIV/0!</v>
      </c>
      <c r="CH49" s="157">
        <f ca="1"/>
        <v>48.523213749876497</v>
      </c>
      <c r="CI49" s="157" t="e">
        <f ca="1"/>
        <v>#DIV/0!</v>
      </c>
      <c r="CJ49" s="157" t="e">
        <f ca="1"/>
        <v>#DIV/0!</v>
      </c>
      <c r="CK49" s="468" t="e">
        <f ca="1"/>
        <v>#DIV/0!</v>
      </c>
      <c r="CL49" s="470" t="e">
        <f ca="1"/>
        <v>#DIV/0!</v>
      </c>
      <c r="CM49" s="472" t="e">
        <f ca="1"/>
        <v>#DIV/0!</v>
      </c>
      <c r="CN49" s="462" t="e">
        <f ca="1"/>
        <v>#DIV/0!</v>
      </c>
      <c r="CO49" s="464" t="e">
        <f ca="1"/>
        <v>#NUM!</v>
      </c>
      <c r="CP49" s="464" t="e">
        <f ca="1"/>
        <v>#NUM!</v>
      </c>
      <c r="CQ49" s="466" t="e">
        <f ca="1"/>
        <v>#NUM!</v>
      </c>
      <c r="CR49" s="157" t="e">
        <f ca="1"/>
        <v>#DIV/0!</v>
      </c>
      <c r="CS49" s="157" t="e">
        <f ca="1"/>
        <v>#NUM!</v>
      </c>
      <c r="CT49" s="157">
        <f ca="1"/>
        <v>7.2176713560682</v>
      </c>
      <c r="CU49" s="157" t="e">
        <f ca="1"/>
        <v>#DIV/0!</v>
      </c>
      <c r="CV49" s="157" t="e">
        <f ca="1"/>
        <v>#DIV/0!</v>
      </c>
      <c r="CW49" s="468" t="e">
        <f ca="1"/>
        <v>#DIV/0!</v>
      </c>
      <c r="CX49" s="470" t="e">
        <f ca="1"/>
        <v>#DIV/0!</v>
      </c>
      <c r="CY49" s="472" t="e">
        <f ca="1"/>
        <v>#DIV/0!</v>
      </c>
      <c r="CZ49" s="173" t="e">
        <f t="shared" ca="1" si="3"/>
        <v>#DIV/0!</v>
      </c>
      <c r="DA49" s="173" t="e">
        <f t="shared" ca="1" si="3"/>
        <v>#DIV/0!</v>
      </c>
      <c r="DB49" s="462" t="e">
        <f ca="1"/>
        <v>#DIV/0!</v>
      </c>
      <c r="DC49" s="464">
        <f ca="1"/>
        <v>0</v>
      </c>
      <c r="DD49" s="464" t="e">
        <f ca="1"/>
        <v>#DIV/0!</v>
      </c>
      <c r="DE49" s="466" t="e">
        <f ca="1"/>
        <v>#DIV/0!</v>
      </c>
      <c r="DF49" s="157" t="e">
        <f ca="1"/>
        <v>#DIV/0!</v>
      </c>
      <c r="DG49" s="157" t="e">
        <f ca="1"/>
        <v>#DIV/0!</v>
      </c>
      <c r="DH49" s="157">
        <f ca="1"/>
        <v>20213.442954833245</v>
      </c>
      <c r="DI49" s="157" t="e">
        <f ca="1"/>
        <v>#DIV/0!</v>
      </c>
      <c r="DJ49" s="157" t="e">
        <f ca="1"/>
        <v>#DIV/0!</v>
      </c>
      <c r="DK49" s="468" t="e">
        <f ca="1"/>
        <v>#DIV/0!</v>
      </c>
      <c r="DL49" s="470" t="e">
        <f ca="1"/>
        <v>#DIV/0!</v>
      </c>
      <c r="DM49" s="472" t="e">
        <f ca="1"/>
        <v>#DIV/0!</v>
      </c>
      <c r="DN49" s="462" t="e">
        <f ca="1"/>
        <v>#DIV/0!</v>
      </c>
      <c r="DO49" s="464">
        <f ca="1"/>
        <v>0</v>
      </c>
      <c r="DP49" s="464" t="e">
        <f ca="1"/>
        <v>#DIV/0!</v>
      </c>
      <c r="DQ49" s="466" t="e">
        <f ca="1"/>
        <v>#DIV/0!</v>
      </c>
      <c r="DR49" s="157" t="e">
        <f ca="1"/>
        <v>#DIV/0!</v>
      </c>
      <c r="DS49" s="157" t="e">
        <f ca="1"/>
        <v>#DIV/0!</v>
      </c>
      <c r="DT49" s="157">
        <f ca="1"/>
        <v>16647.615195656726</v>
      </c>
      <c r="DU49" s="157" t="e">
        <f ca="1"/>
        <v>#DIV/0!</v>
      </c>
      <c r="DV49" s="157" t="e">
        <f ca="1"/>
        <v>#DIV/0!</v>
      </c>
      <c r="DW49" s="468" t="e">
        <f ca="1"/>
        <v>#DIV/0!</v>
      </c>
      <c r="DX49" s="470" t="e">
        <f ca="1"/>
        <v>#DIV/0!</v>
      </c>
      <c r="DY49" s="472" t="e">
        <f ca="1"/>
        <v>#DIV/0!</v>
      </c>
      <c r="DZ49" s="462" t="e">
        <f ca="1"/>
        <v>#DIV/0!</v>
      </c>
      <c r="EA49" s="464">
        <f ca="1"/>
        <v>0</v>
      </c>
      <c r="EB49" s="464" t="e">
        <f ca="1"/>
        <v>#DIV/0!</v>
      </c>
      <c r="EC49" s="466" t="e">
        <f ca="1"/>
        <v>#DIV/0!</v>
      </c>
      <c r="ED49" s="157" t="e">
        <f ca="1"/>
        <v>#DIV/0!</v>
      </c>
      <c r="EE49" s="157" t="e">
        <f ca="1"/>
        <v>#DIV/0!</v>
      </c>
      <c r="EF49" s="157">
        <f ca="1"/>
        <v>13080.026368330693</v>
      </c>
      <c r="EG49" s="157" t="e">
        <f ca="1"/>
        <v>#DIV/0!</v>
      </c>
      <c r="EH49" s="157" t="e">
        <f ca="1"/>
        <v>#DIV/0!</v>
      </c>
      <c r="EI49" s="468" t="e">
        <f ca="1"/>
        <v>#DIV/0!</v>
      </c>
      <c r="EJ49" s="470" t="e">
        <f ca="1"/>
        <v>#DIV/0!</v>
      </c>
      <c r="EK49" s="472" t="e">
        <f ca="1"/>
        <v>#DIV/0!</v>
      </c>
      <c r="EL49" s="462" t="e">
        <f ca="1"/>
        <v>#DIV/0!</v>
      </c>
      <c r="EM49" s="464" t="e">
        <f ca="1"/>
        <v>#NUM!</v>
      </c>
      <c r="EN49" s="464" t="e">
        <f ca="1"/>
        <v>#NUM!</v>
      </c>
      <c r="EO49" s="466" t="e">
        <f ca="1"/>
        <v>#NUM!</v>
      </c>
      <c r="EP49" s="157" t="e">
        <f ca="1"/>
        <v>#DIV/0!</v>
      </c>
      <c r="EQ49" s="157" t="e">
        <f ca="1"/>
        <v>#NUM!</v>
      </c>
      <c r="ER49" s="157">
        <f ca="1"/>
        <v>2485.152607720639</v>
      </c>
      <c r="ES49" s="157" t="e">
        <f ca="1"/>
        <v>#DIV/0!</v>
      </c>
      <c r="ET49" s="157" t="e">
        <f ca="1"/>
        <v>#DIV/0!</v>
      </c>
      <c r="EU49" s="468" t="e">
        <f ca="1"/>
        <v>#DIV/0!</v>
      </c>
      <c r="EV49" s="470" t="e">
        <f ca="1"/>
        <v>#DIV/0!</v>
      </c>
      <c r="EW49" s="472" t="e">
        <f ca="1"/>
        <v>#DIV/0!</v>
      </c>
      <c r="EX49" s="462" t="e">
        <f ca="1"/>
        <v>#DIV/0!</v>
      </c>
      <c r="EY49" s="464" t="e">
        <f ca="1"/>
        <v>#NUM!</v>
      </c>
      <c r="EZ49" s="464" t="e">
        <f ca="1"/>
        <v>#NUM!</v>
      </c>
      <c r="FA49" s="466" t="e">
        <f ca="1"/>
        <v>#NUM!</v>
      </c>
      <c r="FB49" s="157" t="e">
        <f ca="1"/>
        <v>#DIV/0!</v>
      </c>
      <c r="FC49" s="157" t="e">
        <f ca="1"/>
        <v>#NUM!</v>
      </c>
      <c r="FD49" s="157">
        <f ca="1"/>
        <v>5090.5211339126954</v>
      </c>
      <c r="FE49" s="157" t="e">
        <f ca="1"/>
        <v>#DIV/0!</v>
      </c>
      <c r="FF49" s="157" t="e">
        <f ca="1"/>
        <v>#DIV/0!</v>
      </c>
      <c r="FG49" s="468" t="e">
        <f ca="1"/>
        <v>#DIV/0!</v>
      </c>
      <c r="FH49" s="470" t="e">
        <f ca="1"/>
        <v>#DIV/0!</v>
      </c>
      <c r="FI49" s="472" t="e">
        <f ca="1"/>
        <v>#DIV/0!</v>
      </c>
      <c r="FJ49" s="173" t="e">
        <f t="shared" ca="1" si="4"/>
        <v>#DIV/0!</v>
      </c>
      <c r="FK49" s="173" t="e">
        <f t="shared" ca="1" si="4"/>
        <v>#DIV/0!</v>
      </c>
      <c r="FL49" s="462" t="e">
        <f ca="1"/>
        <v>#DIV/0!</v>
      </c>
      <c r="FM49" s="464">
        <f ca="1"/>
        <v>0</v>
      </c>
      <c r="FN49" s="464" t="e">
        <f ca="1"/>
        <v>#DIV/0!</v>
      </c>
      <c r="FO49" s="466" t="e">
        <f ca="1"/>
        <v>#DIV/0!</v>
      </c>
      <c r="FP49" s="157" t="e">
        <f ca="1"/>
        <v>#DIV/0!</v>
      </c>
      <c r="FQ49" s="157" t="e">
        <f ca="1"/>
        <v>#DIV/0!</v>
      </c>
      <c r="FR49" s="157" t="e">
        <f ca="1"/>
        <v>#DIV/0!</v>
      </c>
      <c r="FS49" s="157">
        <f ca="1"/>
        <v>2052.5286364462481</v>
      </c>
      <c r="FT49" s="468" t="e">
        <f ca="1"/>
        <v>#DIV/0!</v>
      </c>
      <c r="FU49" s="470" t="e">
        <f ca="1"/>
        <v>#DIV/0!</v>
      </c>
      <c r="FV49" s="470" t="e">
        <f ca="1"/>
        <v>#DIV/0!</v>
      </c>
      <c r="FW49" s="462" t="e">
        <f ca="1"/>
        <v>#DIV/0!</v>
      </c>
      <c r="FX49" s="464" t="e">
        <f ca="1"/>
        <v>#NUM!</v>
      </c>
      <c r="FY49" s="464" t="e">
        <f ca="1"/>
        <v>#NUM!</v>
      </c>
      <c r="FZ49" s="466" t="e">
        <f ca="1"/>
        <v>#NUM!</v>
      </c>
      <c r="GA49" s="157" t="e">
        <f ca="1"/>
        <v>#DIV/0!</v>
      </c>
      <c r="GB49" s="157" t="e">
        <f ca="1"/>
        <v>#NUM!</v>
      </c>
      <c r="GC49" s="157" t="e">
        <f ca="1"/>
        <v>#DIV/0!</v>
      </c>
      <c r="GD49" s="157">
        <f ca="1"/>
        <v>43.496561768319147</v>
      </c>
      <c r="GE49" s="468" t="e">
        <f ca="1"/>
        <v>#DIV/0!</v>
      </c>
      <c r="GF49" s="470" t="e">
        <f ca="1"/>
        <v>#DIV/0!</v>
      </c>
      <c r="GG49" s="470" t="e">
        <f ca="1"/>
        <v>#DIV/0!</v>
      </c>
      <c r="GH49" s="173" t="e">
        <f t="shared" ca="1" si="7"/>
        <v>#DIV/0!</v>
      </c>
      <c r="GI49" s="173" t="e">
        <f t="shared" ca="1" si="7"/>
        <v>#DIV/0!</v>
      </c>
    </row>
    <row r="50" spans="2:191" ht="15">
      <c r="B50" s="169"/>
      <c r="C50" s="87">
        <f>'Oil supply projection'!B50</f>
        <v>2059</v>
      </c>
      <c r="D50" s="460" t="e">
        <f ca="1"/>
        <v>#DIV/0!</v>
      </c>
      <c r="E50" s="460" t="e">
        <f ca="1"/>
        <v>#DIV/0!</v>
      </c>
      <c r="F50" s="462" t="e">
        <f ca="1"/>
        <v>#DIV/0!</v>
      </c>
      <c r="G50" s="464">
        <f ca="1"/>
        <v>0</v>
      </c>
      <c r="H50" s="464" t="e">
        <f ca="1"/>
        <v>#DIV/0!</v>
      </c>
      <c r="I50" s="466" t="e">
        <f ca="1"/>
        <v>#DIV/0!</v>
      </c>
      <c r="J50" s="157" t="e">
        <f ca="1"/>
        <v>#DIV/0!</v>
      </c>
      <c r="K50" s="157" t="e">
        <f ca="1"/>
        <v>#DIV/0!</v>
      </c>
      <c r="L50" s="157">
        <f ca="1"/>
        <v>42.680166658118495</v>
      </c>
      <c r="M50" s="157" t="e">
        <f ca="1"/>
        <v>#DIV/0!</v>
      </c>
      <c r="N50" s="157" t="e">
        <f ca="1"/>
        <v>#DIV/0!</v>
      </c>
      <c r="O50" s="468" t="e">
        <f ca="1"/>
        <v>#DIV/0!</v>
      </c>
      <c r="P50" s="470" t="e">
        <f ca="1"/>
        <v>#DIV/0!</v>
      </c>
      <c r="Q50" s="472" t="e">
        <f ca="1"/>
        <v>#DIV/0!</v>
      </c>
      <c r="R50" s="462" t="e">
        <f ca="1"/>
        <v>#DIV/0!</v>
      </c>
      <c r="S50" s="464">
        <f ca="1"/>
        <v>0</v>
      </c>
      <c r="T50" s="464" t="e">
        <f ca="1"/>
        <v>#DIV/0!</v>
      </c>
      <c r="U50" s="466" t="e">
        <f ca="1"/>
        <v>#DIV/0!</v>
      </c>
      <c r="V50" s="157" t="e">
        <f ca="1"/>
        <v>#DIV/0!</v>
      </c>
      <c r="W50" s="157" t="e">
        <f ca="1"/>
        <v>#DIV/0!</v>
      </c>
      <c r="X50" s="157">
        <f ca="1"/>
        <v>58.206090641476123</v>
      </c>
      <c r="Y50" s="157" t="e">
        <f ca="1"/>
        <v>#DIV/0!</v>
      </c>
      <c r="Z50" s="157" t="e">
        <f ca="1"/>
        <v>#DIV/0!</v>
      </c>
      <c r="AA50" s="468" t="e">
        <f ca="1"/>
        <v>#DIV/0!</v>
      </c>
      <c r="AB50" s="470" t="e">
        <f ca="1"/>
        <v>#DIV/0!</v>
      </c>
      <c r="AC50" s="472" t="e">
        <f ca="1"/>
        <v>#DIV/0!</v>
      </c>
      <c r="AD50" s="462" t="e">
        <f ca="1"/>
        <v>#DIV/0!</v>
      </c>
      <c r="AE50" s="464">
        <f ca="1"/>
        <v>0</v>
      </c>
      <c r="AF50" s="464" t="e">
        <f ca="1"/>
        <v>#DIV/0!</v>
      </c>
      <c r="AG50" s="466" t="e">
        <f ca="1"/>
        <v>#DIV/0!</v>
      </c>
      <c r="AH50" s="157" t="e">
        <f ca="1"/>
        <v>#DIV/0!</v>
      </c>
      <c r="AI50" s="157" t="e">
        <f ca="1"/>
        <v>#DIV/0!</v>
      </c>
      <c r="AJ50" s="157">
        <f ca="1"/>
        <v>761.47509508126677</v>
      </c>
      <c r="AK50" s="157" t="e">
        <f ca="1"/>
        <v>#DIV/0!</v>
      </c>
      <c r="AL50" s="157" t="e">
        <f ca="1"/>
        <v>#DIV/0!</v>
      </c>
      <c r="AM50" s="468" t="e">
        <f ca="1"/>
        <v>#DIV/0!</v>
      </c>
      <c r="AN50" s="470" t="e">
        <f ca="1"/>
        <v>#DIV/0!</v>
      </c>
      <c r="AO50" s="472" t="e">
        <f ca="1"/>
        <v>#DIV/0!</v>
      </c>
      <c r="AP50" s="462" t="e">
        <f ca="1"/>
        <v>#DIV/0!</v>
      </c>
      <c r="AQ50" s="464" t="e">
        <f ca="1"/>
        <v>#NUM!</v>
      </c>
      <c r="AR50" s="464" t="e">
        <f ca="1"/>
        <v>#NUM!</v>
      </c>
      <c r="AS50" s="466" t="e">
        <f ca="1"/>
        <v>#NUM!</v>
      </c>
      <c r="AT50" s="157" t="e">
        <f ca="1"/>
        <v>#DIV/0!</v>
      </c>
      <c r="AU50" s="157" t="e">
        <f ca="1"/>
        <v>#NUM!</v>
      </c>
      <c r="AV50" s="157">
        <f ca="1"/>
        <v>1372.482358806694</v>
      </c>
      <c r="AW50" s="157" t="e">
        <f ca="1"/>
        <v>#DIV/0!</v>
      </c>
      <c r="AX50" s="157" t="e">
        <f ca="1"/>
        <v>#DIV/0!</v>
      </c>
      <c r="AY50" s="468" t="e">
        <f ca="1"/>
        <v>#DIV/0!</v>
      </c>
      <c r="AZ50" s="470" t="e">
        <f ca="1"/>
        <v>#DIV/0!</v>
      </c>
      <c r="BA50" s="472" t="e">
        <f ca="1"/>
        <v>#DIV/0!</v>
      </c>
      <c r="BB50" s="173" t="e">
        <f t="shared" ca="1" si="5"/>
        <v>#DIV/0!</v>
      </c>
      <c r="BC50" s="173" t="e">
        <f t="shared" ca="1" si="6"/>
        <v>#DIV/0!</v>
      </c>
      <c r="BD50" s="462" t="e">
        <f ca="1"/>
        <v>#DIV/0!</v>
      </c>
      <c r="BE50" s="464">
        <f ca="1"/>
        <v>0</v>
      </c>
      <c r="BF50" s="464" t="e">
        <f ca="1"/>
        <v>#DIV/0!</v>
      </c>
      <c r="BG50" s="466" t="e">
        <f ca="1"/>
        <v>#DIV/0!</v>
      </c>
      <c r="BH50" s="157" t="e">
        <f ca="1"/>
        <v>#DIV/0!</v>
      </c>
      <c r="BI50" s="157" t="e">
        <f ca="1"/>
        <v>#DIV/0!</v>
      </c>
      <c r="BJ50" s="157">
        <f ca="1"/>
        <v>19.28660139274281</v>
      </c>
      <c r="BK50" s="157" t="e">
        <f ca="1"/>
        <v>#DIV/0!</v>
      </c>
      <c r="BL50" s="157" t="e">
        <f ca="1"/>
        <v>#DIV/0!</v>
      </c>
      <c r="BM50" s="468" t="e">
        <f ca="1"/>
        <v>#DIV/0!</v>
      </c>
      <c r="BN50" s="470" t="e">
        <f ca="1"/>
        <v>#DIV/0!</v>
      </c>
      <c r="BO50" s="472" t="e">
        <f ca="1"/>
        <v>#DIV/0!</v>
      </c>
      <c r="BP50" s="462" t="e">
        <f ca="1"/>
        <v>#DIV/0!</v>
      </c>
      <c r="BQ50" s="464">
        <f ca="1"/>
        <v>0</v>
      </c>
      <c r="BR50" s="464" t="e">
        <f ca="1"/>
        <v>#DIV/0!</v>
      </c>
      <c r="BS50" s="466" t="e">
        <f ca="1"/>
        <v>#DIV/0!</v>
      </c>
      <c r="BT50" s="157" t="e">
        <f ca="1"/>
        <v>#DIV/0!</v>
      </c>
      <c r="BU50" s="157" t="e">
        <f ca="1"/>
        <v>#DIV/0!</v>
      </c>
      <c r="BV50" s="157">
        <f ca="1"/>
        <v>14.121257646030632</v>
      </c>
      <c r="BW50" s="157" t="e">
        <f ca="1"/>
        <v>#DIV/0!</v>
      </c>
      <c r="BX50" s="157" t="e">
        <f ca="1"/>
        <v>#DIV/0!</v>
      </c>
      <c r="BY50" s="468" t="e">
        <f ca="1"/>
        <v>#DIV/0!</v>
      </c>
      <c r="BZ50" s="470" t="e">
        <f ca="1"/>
        <v>#DIV/0!</v>
      </c>
      <c r="CA50" s="472" t="e">
        <f ca="1"/>
        <v>#DIV/0!</v>
      </c>
      <c r="CB50" s="462" t="e">
        <f ca="1"/>
        <v>#DIV/0!</v>
      </c>
      <c r="CC50" s="464">
        <f ca="1"/>
        <v>0</v>
      </c>
      <c r="CD50" s="464" t="e">
        <f ca="1"/>
        <v>#DIV/0!</v>
      </c>
      <c r="CE50" s="466" t="e">
        <f ca="1"/>
        <v>#DIV/0!</v>
      </c>
      <c r="CF50" s="157" t="e">
        <f ca="1"/>
        <v>#DIV/0!</v>
      </c>
      <c r="CG50" s="157" t="e">
        <f ca="1"/>
        <v>#DIV/0!</v>
      </c>
      <c r="CH50" s="157">
        <f ca="1"/>
        <v>48.809676419215542</v>
      </c>
      <c r="CI50" s="157" t="e">
        <f ca="1"/>
        <v>#DIV/0!</v>
      </c>
      <c r="CJ50" s="157" t="e">
        <f ca="1"/>
        <v>#DIV/0!</v>
      </c>
      <c r="CK50" s="468" t="e">
        <f ca="1"/>
        <v>#DIV/0!</v>
      </c>
      <c r="CL50" s="470" t="e">
        <f ca="1"/>
        <v>#DIV/0!</v>
      </c>
      <c r="CM50" s="472" t="e">
        <f ca="1"/>
        <v>#DIV/0!</v>
      </c>
      <c r="CN50" s="462" t="e">
        <f ca="1"/>
        <v>#DIV/0!</v>
      </c>
      <c r="CO50" s="464" t="e">
        <f ca="1"/>
        <v>#NUM!</v>
      </c>
      <c r="CP50" s="464" t="e">
        <f ca="1"/>
        <v>#NUM!</v>
      </c>
      <c r="CQ50" s="466" t="e">
        <f ca="1"/>
        <v>#NUM!</v>
      </c>
      <c r="CR50" s="157" t="e">
        <f ca="1"/>
        <v>#DIV/0!</v>
      </c>
      <c r="CS50" s="157" t="e">
        <f ca="1"/>
        <v>#NUM!</v>
      </c>
      <c r="CT50" s="157">
        <f ca="1"/>
        <v>7.2602817530985613</v>
      </c>
      <c r="CU50" s="157" t="e">
        <f ca="1"/>
        <v>#DIV/0!</v>
      </c>
      <c r="CV50" s="157" t="e">
        <f ca="1"/>
        <v>#DIV/0!</v>
      </c>
      <c r="CW50" s="468" t="e">
        <f ca="1"/>
        <v>#DIV/0!</v>
      </c>
      <c r="CX50" s="470" t="e">
        <f ca="1"/>
        <v>#DIV/0!</v>
      </c>
      <c r="CY50" s="472" t="e">
        <f ca="1"/>
        <v>#DIV/0!</v>
      </c>
      <c r="CZ50" s="173" t="e">
        <f t="shared" ca="1" si="3"/>
        <v>#DIV/0!</v>
      </c>
      <c r="DA50" s="173" t="e">
        <f t="shared" ca="1" si="3"/>
        <v>#DIV/0!</v>
      </c>
      <c r="DB50" s="462" t="e">
        <f ca="1"/>
        <v>#DIV/0!</v>
      </c>
      <c r="DC50" s="464">
        <f ca="1"/>
        <v>0</v>
      </c>
      <c r="DD50" s="464" t="e">
        <f ca="1"/>
        <v>#DIV/0!</v>
      </c>
      <c r="DE50" s="466" t="e">
        <f ca="1"/>
        <v>#DIV/0!</v>
      </c>
      <c r="DF50" s="157" t="e">
        <f ca="1"/>
        <v>#DIV/0!</v>
      </c>
      <c r="DG50" s="157" t="e">
        <f ca="1"/>
        <v>#DIV/0!</v>
      </c>
      <c r="DH50" s="157">
        <f ca="1"/>
        <v>20421.593120307516</v>
      </c>
      <c r="DI50" s="157" t="e">
        <f ca="1"/>
        <v>#DIV/0!</v>
      </c>
      <c r="DJ50" s="157" t="e">
        <f ca="1"/>
        <v>#DIV/0!</v>
      </c>
      <c r="DK50" s="468" t="e">
        <f ca="1"/>
        <v>#DIV/0!</v>
      </c>
      <c r="DL50" s="470" t="e">
        <f ca="1"/>
        <v>#DIV/0!</v>
      </c>
      <c r="DM50" s="472" t="e">
        <f ca="1"/>
        <v>#DIV/0!</v>
      </c>
      <c r="DN50" s="462" t="e">
        <f ca="1"/>
        <v>#DIV/0!</v>
      </c>
      <c r="DO50" s="464">
        <f ca="1"/>
        <v>0</v>
      </c>
      <c r="DP50" s="464" t="e">
        <f ca="1"/>
        <v>#DIV/0!</v>
      </c>
      <c r="DQ50" s="466" t="e">
        <f ca="1"/>
        <v>#DIV/0!</v>
      </c>
      <c r="DR50" s="157" t="e">
        <f ca="1"/>
        <v>#DIV/0!</v>
      </c>
      <c r="DS50" s="157" t="e">
        <f ca="1"/>
        <v>#DIV/0!</v>
      </c>
      <c r="DT50" s="157">
        <f ca="1"/>
        <v>16819.045855216846</v>
      </c>
      <c r="DU50" s="157" t="e">
        <f ca="1"/>
        <v>#DIV/0!</v>
      </c>
      <c r="DV50" s="157" t="e">
        <f ca="1"/>
        <v>#DIV/0!</v>
      </c>
      <c r="DW50" s="468" t="e">
        <f ca="1"/>
        <v>#DIV/0!</v>
      </c>
      <c r="DX50" s="470" t="e">
        <f ca="1"/>
        <v>#DIV/0!</v>
      </c>
      <c r="DY50" s="472" t="e">
        <f ca="1"/>
        <v>#DIV/0!</v>
      </c>
      <c r="DZ50" s="462" t="e">
        <f ca="1"/>
        <v>#DIV/0!</v>
      </c>
      <c r="EA50" s="464">
        <f ca="1"/>
        <v>0</v>
      </c>
      <c r="EB50" s="464" t="e">
        <f ca="1"/>
        <v>#DIV/0!</v>
      </c>
      <c r="EC50" s="466" t="e">
        <f ca="1"/>
        <v>#DIV/0!</v>
      </c>
      <c r="ED50" s="157" t="e">
        <f ca="1"/>
        <v>#DIV/0!</v>
      </c>
      <c r="EE50" s="157" t="e">
        <f ca="1"/>
        <v>#DIV/0!</v>
      </c>
      <c r="EF50" s="157">
        <f ca="1"/>
        <v>13214.719387182527</v>
      </c>
      <c r="EG50" s="157" t="e">
        <f ca="1"/>
        <v>#DIV/0!</v>
      </c>
      <c r="EH50" s="157" t="e">
        <f ca="1"/>
        <v>#DIV/0!</v>
      </c>
      <c r="EI50" s="468" t="e">
        <f ca="1"/>
        <v>#DIV/0!</v>
      </c>
      <c r="EJ50" s="470" t="e">
        <f ca="1"/>
        <v>#DIV/0!</v>
      </c>
      <c r="EK50" s="472" t="e">
        <f ca="1"/>
        <v>#DIV/0!</v>
      </c>
      <c r="EL50" s="462" t="e">
        <f ca="1"/>
        <v>#DIV/0!</v>
      </c>
      <c r="EM50" s="464" t="e">
        <f ca="1"/>
        <v>#NUM!</v>
      </c>
      <c r="EN50" s="464" t="e">
        <f ca="1"/>
        <v>#NUM!</v>
      </c>
      <c r="EO50" s="466" t="e">
        <f ca="1"/>
        <v>#NUM!</v>
      </c>
      <c r="EP50" s="157" t="e">
        <f ca="1"/>
        <v>#DIV/0!</v>
      </c>
      <c r="EQ50" s="157" t="e">
        <f ca="1"/>
        <v>#NUM!</v>
      </c>
      <c r="ER50" s="157">
        <f ca="1"/>
        <v>2510.7437416843945</v>
      </c>
      <c r="ES50" s="157" t="e">
        <f ca="1"/>
        <v>#DIV/0!</v>
      </c>
      <c r="ET50" s="157" t="e">
        <f ca="1"/>
        <v>#DIV/0!</v>
      </c>
      <c r="EU50" s="468" t="e">
        <f ca="1"/>
        <v>#DIV/0!</v>
      </c>
      <c r="EV50" s="470" t="e">
        <f ca="1"/>
        <v>#DIV/0!</v>
      </c>
      <c r="EW50" s="472" t="e">
        <f ca="1"/>
        <v>#DIV/0!</v>
      </c>
      <c r="EX50" s="462" t="e">
        <f ca="1"/>
        <v>#DIV/0!</v>
      </c>
      <c r="EY50" s="464" t="e">
        <f ca="1"/>
        <v>#NUM!</v>
      </c>
      <c r="EZ50" s="464" t="e">
        <f ca="1"/>
        <v>#NUM!</v>
      </c>
      <c r="FA50" s="466" t="e">
        <f ca="1"/>
        <v>#NUM!</v>
      </c>
      <c r="FB50" s="157" t="e">
        <f ca="1"/>
        <v>#DIV/0!</v>
      </c>
      <c r="FC50" s="157" t="e">
        <f ca="1"/>
        <v>#NUM!</v>
      </c>
      <c r="FD50" s="157">
        <f ca="1"/>
        <v>5142.9413385627313</v>
      </c>
      <c r="FE50" s="157" t="e">
        <f ca="1"/>
        <v>#DIV/0!</v>
      </c>
      <c r="FF50" s="157" t="e">
        <f ca="1"/>
        <v>#DIV/0!</v>
      </c>
      <c r="FG50" s="468" t="e">
        <f ca="1"/>
        <v>#DIV/0!</v>
      </c>
      <c r="FH50" s="470" t="e">
        <f ca="1"/>
        <v>#DIV/0!</v>
      </c>
      <c r="FI50" s="472" t="e">
        <f ca="1"/>
        <v>#DIV/0!</v>
      </c>
      <c r="FJ50" s="173" t="e">
        <f t="shared" ca="1" si="4"/>
        <v>#DIV/0!</v>
      </c>
      <c r="FK50" s="173" t="e">
        <f t="shared" ca="1" si="4"/>
        <v>#DIV/0!</v>
      </c>
      <c r="FL50" s="462" t="e">
        <f ca="1"/>
        <v>#DIV/0!</v>
      </c>
      <c r="FM50" s="464">
        <f ca="1"/>
        <v>0</v>
      </c>
      <c r="FN50" s="464" t="e">
        <f ca="1"/>
        <v>#DIV/0!</v>
      </c>
      <c r="FO50" s="466" t="e">
        <f ca="1"/>
        <v>#DIV/0!</v>
      </c>
      <c r="FP50" s="157" t="e">
        <f ca="1"/>
        <v>#DIV/0!</v>
      </c>
      <c r="FQ50" s="157" t="e">
        <f ca="1"/>
        <v>#DIV/0!</v>
      </c>
      <c r="FR50" s="157" t="e">
        <f ca="1"/>
        <v>#DIV/0!</v>
      </c>
      <c r="FS50" s="157">
        <f ca="1"/>
        <v>2063.9811017315983</v>
      </c>
      <c r="FT50" s="468" t="e">
        <f ca="1"/>
        <v>#DIV/0!</v>
      </c>
      <c r="FU50" s="470" t="e">
        <f ca="1"/>
        <v>#DIV/0!</v>
      </c>
      <c r="FV50" s="470" t="e">
        <f ca="1"/>
        <v>#DIV/0!</v>
      </c>
      <c r="FW50" s="462" t="e">
        <f ca="1"/>
        <v>#DIV/0!</v>
      </c>
      <c r="FX50" s="464" t="e">
        <f ca="1"/>
        <v>#NUM!</v>
      </c>
      <c r="FY50" s="464" t="e">
        <f ca="1"/>
        <v>#NUM!</v>
      </c>
      <c r="FZ50" s="466" t="e">
        <f ca="1"/>
        <v>#NUM!</v>
      </c>
      <c r="GA50" s="157" t="e">
        <f ca="1"/>
        <v>#DIV/0!</v>
      </c>
      <c r="GB50" s="157" t="e">
        <f ca="1"/>
        <v>#NUM!</v>
      </c>
      <c r="GC50" s="157" t="e">
        <f ca="1"/>
        <v>#DIV/0!</v>
      </c>
      <c r="GD50" s="157">
        <f ca="1"/>
        <v>43.739258924811075</v>
      </c>
      <c r="GE50" s="468" t="e">
        <f ca="1"/>
        <v>#DIV/0!</v>
      </c>
      <c r="GF50" s="470" t="e">
        <f ca="1"/>
        <v>#DIV/0!</v>
      </c>
      <c r="GG50" s="470" t="e">
        <f ca="1"/>
        <v>#DIV/0!</v>
      </c>
      <c r="GH50" s="173" t="e">
        <f t="shared" ca="1" si="7"/>
        <v>#DIV/0!</v>
      </c>
      <c r="GI50" s="173" t="e">
        <f t="shared" ca="1" si="7"/>
        <v>#DIV/0!</v>
      </c>
    </row>
    <row r="51" spans="2:191" ht="15">
      <c r="B51" s="169"/>
      <c r="C51" s="87">
        <f>'Oil supply projection'!B51</f>
        <v>2060</v>
      </c>
      <c r="D51" s="460" t="e">
        <f ca="1"/>
        <v>#DIV/0!</v>
      </c>
      <c r="E51" s="460" t="e">
        <f ca="1"/>
        <v>#DIV/0!</v>
      </c>
      <c r="F51" s="462" t="e">
        <f ca="1"/>
        <v>#DIV/0!</v>
      </c>
      <c r="G51" s="464">
        <f ca="1"/>
        <v>0</v>
      </c>
      <c r="H51" s="464" t="e">
        <f ca="1"/>
        <v>#DIV/0!</v>
      </c>
      <c r="I51" s="466" t="e">
        <f ca="1"/>
        <v>#DIV/0!</v>
      </c>
      <c r="J51" s="157" t="e">
        <f ca="1"/>
        <v>#DIV/0!</v>
      </c>
      <c r="K51" s="157" t="e">
        <f ca="1"/>
        <v>#DIV/0!</v>
      </c>
      <c r="L51" s="157">
        <f ca="1"/>
        <v>43.24770143260379</v>
      </c>
      <c r="M51" s="157" t="e">
        <f ca="1"/>
        <v>#DIV/0!</v>
      </c>
      <c r="N51" s="157" t="e">
        <f ca="1"/>
        <v>#DIV/0!</v>
      </c>
      <c r="O51" s="468" t="e">
        <f ca="1"/>
        <v>#DIV/0!</v>
      </c>
      <c r="P51" s="470" t="e">
        <f ca="1"/>
        <v>#DIV/0!</v>
      </c>
      <c r="Q51" s="472" t="e">
        <f ca="1"/>
        <v>#DIV/0!</v>
      </c>
      <c r="R51" s="462" t="e">
        <f ca="1"/>
        <v>#DIV/0!</v>
      </c>
      <c r="S51" s="464">
        <f ca="1"/>
        <v>0</v>
      </c>
      <c r="T51" s="464" t="e">
        <f ca="1"/>
        <v>#DIV/0!</v>
      </c>
      <c r="U51" s="466" t="e">
        <f ca="1"/>
        <v>#DIV/0!</v>
      </c>
      <c r="V51" s="157" t="e">
        <f ca="1"/>
        <v>#DIV/0!</v>
      </c>
      <c r="W51" s="157" t="e">
        <f ca="1"/>
        <v>#DIV/0!</v>
      </c>
      <c r="X51" s="157">
        <f ca="1"/>
        <v>58.980079665241973</v>
      </c>
      <c r="Y51" s="157" t="e">
        <f ca="1"/>
        <v>#DIV/0!</v>
      </c>
      <c r="Z51" s="157" t="e">
        <f ca="1"/>
        <v>#DIV/0!</v>
      </c>
      <c r="AA51" s="468" t="e">
        <f ca="1"/>
        <v>#DIV/0!</v>
      </c>
      <c r="AB51" s="470" t="e">
        <f ca="1"/>
        <v>#DIV/0!</v>
      </c>
      <c r="AC51" s="472" t="e">
        <f ca="1"/>
        <v>#DIV/0!</v>
      </c>
      <c r="AD51" s="462" t="e">
        <f ca="1"/>
        <v>#DIV/0!</v>
      </c>
      <c r="AE51" s="464">
        <f ca="1"/>
        <v>0</v>
      </c>
      <c r="AF51" s="464" t="e">
        <f ca="1"/>
        <v>#DIV/0!</v>
      </c>
      <c r="AG51" s="466" t="e">
        <f ca="1"/>
        <v>#DIV/0!</v>
      </c>
      <c r="AH51" s="157" t="e">
        <f ca="1"/>
        <v>#DIV/0!</v>
      </c>
      <c r="AI51" s="157" t="e">
        <f ca="1"/>
        <v>#DIV/0!</v>
      </c>
      <c r="AJ51" s="157">
        <f ca="1"/>
        <v>771.60072556028717</v>
      </c>
      <c r="AK51" s="157" t="e">
        <f ca="1"/>
        <v>#DIV/0!</v>
      </c>
      <c r="AL51" s="157" t="e">
        <f ca="1"/>
        <v>#DIV/0!</v>
      </c>
      <c r="AM51" s="468" t="e">
        <f ca="1"/>
        <v>#DIV/0!</v>
      </c>
      <c r="AN51" s="470" t="e">
        <f ca="1"/>
        <v>#DIV/0!</v>
      </c>
      <c r="AO51" s="472" t="e">
        <f ca="1"/>
        <v>#DIV/0!</v>
      </c>
      <c r="AP51" s="462" t="e">
        <f ca="1"/>
        <v>#DIV/0!</v>
      </c>
      <c r="AQ51" s="464" t="e">
        <f ca="1"/>
        <v>#NUM!</v>
      </c>
      <c r="AR51" s="464" t="e">
        <f ca="1"/>
        <v>#NUM!</v>
      </c>
      <c r="AS51" s="466" t="e">
        <f ca="1"/>
        <v>#NUM!</v>
      </c>
      <c r="AT51" s="157" t="e">
        <f ca="1"/>
        <v>#DIV/0!</v>
      </c>
      <c r="AU51" s="157" t="e">
        <f ca="1"/>
        <v>#NUM!</v>
      </c>
      <c r="AV51" s="157">
        <f ca="1"/>
        <v>1390.7327904938497</v>
      </c>
      <c r="AW51" s="157" t="e">
        <f ca="1"/>
        <v>#DIV/0!</v>
      </c>
      <c r="AX51" s="157" t="e">
        <f ca="1"/>
        <v>#DIV/0!</v>
      </c>
      <c r="AY51" s="468" t="e">
        <f ca="1"/>
        <v>#DIV/0!</v>
      </c>
      <c r="AZ51" s="470" t="e">
        <f ca="1"/>
        <v>#DIV/0!</v>
      </c>
      <c r="BA51" s="472" t="e">
        <f ca="1"/>
        <v>#DIV/0!</v>
      </c>
      <c r="BB51" s="173" t="e">
        <f t="shared" ca="1" si="5"/>
        <v>#DIV/0!</v>
      </c>
      <c r="BC51" s="173" t="e">
        <f t="shared" ca="1" si="6"/>
        <v>#DIV/0!</v>
      </c>
      <c r="BD51" s="462" t="e">
        <f ca="1"/>
        <v>#DIV/0!</v>
      </c>
      <c r="BE51" s="464">
        <f ca="1"/>
        <v>0</v>
      </c>
      <c r="BF51" s="464" t="e">
        <f ca="1"/>
        <v>#DIV/0!</v>
      </c>
      <c r="BG51" s="466" t="e">
        <f ca="1"/>
        <v>#DIV/0!</v>
      </c>
      <c r="BH51" s="157" t="e">
        <f ca="1"/>
        <v>#DIV/0!</v>
      </c>
      <c r="BI51" s="157" t="e">
        <f ca="1"/>
        <v>#DIV/0!</v>
      </c>
      <c r="BJ51" s="157">
        <f ca="1"/>
        <v>19.400462179992449</v>
      </c>
      <c r="BK51" s="157" t="e">
        <f ca="1"/>
        <v>#DIV/0!</v>
      </c>
      <c r="BL51" s="157" t="e">
        <f ca="1"/>
        <v>#DIV/0!</v>
      </c>
      <c r="BM51" s="468" t="e">
        <f ca="1"/>
        <v>#DIV/0!</v>
      </c>
      <c r="BN51" s="470" t="e">
        <f ca="1"/>
        <v>#DIV/0!</v>
      </c>
      <c r="BO51" s="472" t="e">
        <f ca="1"/>
        <v>#DIV/0!</v>
      </c>
      <c r="BP51" s="462" t="e">
        <f ca="1"/>
        <v>#DIV/0!</v>
      </c>
      <c r="BQ51" s="464">
        <f ca="1"/>
        <v>0</v>
      </c>
      <c r="BR51" s="464" t="e">
        <f ca="1"/>
        <v>#DIV/0!</v>
      </c>
      <c r="BS51" s="466" t="e">
        <f ca="1"/>
        <v>#DIV/0!</v>
      </c>
      <c r="BT51" s="157" t="e">
        <f ca="1"/>
        <v>#DIV/0!</v>
      </c>
      <c r="BU51" s="157" t="e">
        <f ca="1"/>
        <v>#DIV/0!</v>
      </c>
      <c r="BV51" s="157">
        <f ca="1"/>
        <v>14.204624200862684</v>
      </c>
      <c r="BW51" s="157" t="e">
        <f ca="1"/>
        <v>#DIV/0!</v>
      </c>
      <c r="BX51" s="157" t="e">
        <f ca="1"/>
        <v>#DIV/0!</v>
      </c>
      <c r="BY51" s="468" t="e">
        <f ca="1"/>
        <v>#DIV/0!</v>
      </c>
      <c r="BZ51" s="470" t="e">
        <f ca="1"/>
        <v>#DIV/0!</v>
      </c>
      <c r="CA51" s="472" t="e">
        <f ca="1"/>
        <v>#DIV/0!</v>
      </c>
      <c r="CB51" s="462" t="e">
        <f ca="1"/>
        <v>#DIV/0!</v>
      </c>
      <c r="CC51" s="464">
        <f ca="1"/>
        <v>0</v>
      </c>
      <c r="CD51" s="464" t="e">
        <f ca="1"/>
        <v>#DIV/0!</v>
      </c>
      <c r="CE51" s="466" t="e">
        <f ca="1"/>
        <v>#DIV/0!</v>
      </c>
      <c r="CF51" s="157" t="e">
        <f ca="1"/>
        <v>#DIV/0!</v>
      </c>
      <c r="CG51" s="157" t="e">
        <f ca="1"/>
        <v>#DIV/0!</v>
      </c>
      <c r="CH51" s="157">
        <f ca="1"/>
        <v>49.097830255618426</v>
      </c>
      <c r="CI51" s="157" t="e">
        <f ca="1"/>
        <v>#DIV/0!</v>
      </c>
      <c r="CJ51" s="157" t="e">
        <f ca="1"/>
        <v>#DIV/0!</v>
      </c>
      <c r="CK51" s="468" t="e">
        <f ca="1"/>
        <v>#DIV/0!</v>
      </c>
      <c r="CL51" s="470" t="e">
        <f ca="1"/>
        <v>#DIV/0!</v>
      </c>
      <c r="CM51" s="472" t="e">
        <f ca="1"/>
        <v>#DIV/0!</v>
      </c>
      <c r="CN51" s="462" t="e">
        <f ca="1"/>
        <v>#DIV/0!</v>
      </c>
      <c r="CO51" s="464" t="e">
        <f ca="1"/>
        <v>#NUM!</v>
      </c>
      <c r="CP51" s="464" t="e">
        <f ca="1"/>
        <v>#NUM!</v>
      </c>
      <c r="CQ51" s="466" t="e">
        <f ca="1"/>
        <v>#NUM!</v>
      </c>
      <c r="CR51" s="157" t="e">
        <f ca="1"/>
        <v>#DIV/0!</v>
      </c>
      <c r="CS51" s="157" t="e">
        <f ca="1"/>
        <v>#NUM!</v>
      </c>
      <c r="CT51" s="157">
        <f ca="1"/>
        <v>7.3031437057686182</v>
      </c>
      <c r="CU51" s="157" t="e">
        <f ca="1"/>
        <v>#DIV/0!</v>
      </c>
      <c r="CV51" s="157" t="e">
        <f ca="1"/>
        <v>#DIV/0!</v>
      </c>
      <c r="CW51" s="468" t="e">
        <f ca="1"/>
        <v>#DIV/0!</v>
      </c>
      <c r="CX51" s="470" t="e">
        <f ca="1"/>
        <v>#DIV/0!</v>
      </c>
      <c r="CY51" s="472" t="e">
        <f ca="1"/>
        <v>#DIV/0!</v>
      </c>
      <c r="CZ51" s="173" t="e">
        <f t="shared" ca="1" si="3"/>
        <v>#DIV/0!</v>
      </c>
      <c r="DA51" s="173" t="e">
        <f t="shared" ca="1" si="3"/>
        <v>#DIV/0!</v>
      </c>
      <c r="DB51" s="462" t="e">
        <f ca="1"/>
        <v>#DIV/0!</v>
      </c>
      <c r="DC51" s="464">
        <f ca="1"/>
        <v>0</v>
      </c>
      <c r="DD51" s="464" t="e">
        <f ca="1"/>
        <v>#DIV/0!</v>
      </c>
      <c r="DE51" s="466" t="e">
        <f ca="1"/>
        <v>#DIV/0!</v>
      </c>
      <c r="DF51" s="157" t="e">
        <f ca="1"/>
        <v>#DIV/0!</v>
      </c>
      <c r="DG51" s="157" t="e">
        <f ca="1"/>
        <v>#DIV/0!</v>
      </c>
      <c r="DH51" s="157">
        <f ca="1"/>
        <v>20631.886735142882</v>
      </c>
      <c r="DI51" s="157" t="e">
        <f ca="1"/>
        <v>#DIV/0!</v>
      </c>
      <c r="DJ51" s="157" t="e">
        <f ca="1"/>
        <v>#DIV/0!</v>
      </c>
      <c r="DK51" s="468" t="e">
        <f ca="1"/>
        <v>#DIV/0!</v>
      </c>
      <c r="DL51" s="470" t="e">
        <f ca="1"/>
        <v>#DIV/0!</v>
      </c>
      <c r="DM51" s="472" t="e">
        <f ca="1"/>
        <v>#DIV/0!</v>
      </c>
      <c r="DN51" s="462" t="e">
        <f ca="1"/>
        <v>#DIV/0!</v>
      </c>
      <c r="DO51" s="464">
        <f ca="1"/>
        <v>0</v>
      </c>
      <c r="DP51" s="464" t="e">
        <f ca="1"/>
        <v>#DIV/0!</v>
      </c>
      <c r="DQ51" s="466" t="e">
        <f ca="1"/>
        <v>#DIV/0!</v>
      </c>
      <c r="DR51" s="157" t="e">
        <f ca="1"/>
        <v>#DIV/0!</v>
      </c>
      <c r="DS51" s="157" t="e">
        <f ca="1"/>
        <v>#DIV/0!</v>
      </c>
      <c r="DT51" s="157">
        <f ca="1"/>
        <v>16992.241840962841</v>
      </c>
      <c r="DU51" s="157" t="e">
        <f ca="1"/>
        <v>#DIV/0!</v>
      </c>
      <c r="DV51" s="157" t="e">
        <f ca="1"/>
        <v>#DIV/0!</v>
      </c>
      <c r="DW51" s="468" t="e">
        <f ca="1"/>
        <v>#DIV/0!</v>
      </c>
      <c r="DX51" s="470" t="e">
        <f ca="1"/>
        <v>#DIV/0!</v>
      </c>
      <c r="DY51" s="472" t="e">
        <f ca="1"/>
        <v>#DIV/0!</v>
      </c>
      <c r="DZ51" s="462" t="e">
        <f ca="1"/>
        <v>#DIV/0!</v>
      </c>
      <c r="EA51" s="464">
        <f ca="1"/>
        <v>0</v>
      </c>
      <c r="EB51" s="464" t="e">
        <f ca="1"/>
        <v>#DIV/0!</v>
      </c>
      <c r="EC51" s="466" t="e">
        <f ca="1"/>
        <v>#DIV/0!</v>
      </c>
      <c r="ED51" s="157" t="e">
        <f ca="1"/>
        <v>#DIV/0!</v>
      </c>
      <c r="EE51" s="157" t="e">
        <f ca="1"/>
        <v>#DIV/0!</v>
      </c>
      <c r="EF51" s="157">
        <f ca="1"/>
        <v>13350.799422299971</v>
      </c>
      <c r="EG51" s="157" t="e">
        <f ca="1"/>
        <v>#DIV/0!</v>
      </c>
      <c r="EH51" s="157" t="e">
        <f ca="1"/>
        <v>#DIV/0!</v>
      </c>
      <c r="EI51" s="468" t="e">
        <f ca="1"/>
        <v>#DIV/0!</v>
      </c>
      <c r="EJ51" s="470" t="e">
        <f ca="1"/>
        <v>#DIV/0!</v>
      </c>
      <c r="EK51" s="472" t="e">
        <f ca="1"/>
        <v>#DIV/0!</v>
      </c>
      <c r="EL51" s="462" t="e">
        <f ca="1"/>
        <v>#DIV/0!</v>
      </c>
      <c r="EM51" s="464" t="e">
        <f ca="1"/>
        <v>#NUM!</v>
      </c>
      <c r="EN51" s="464" t="e">
        <f ca="1"/>
        <v>#NUM!</v>
      </c>
      <c r="EO51" s="466" t="e">
        <f ca="1"/>
        <v>#NUM!</v>
      </c>
      <c r="EP51" s="157" t="e">
        <f ca="1"/>
        <v>#DIV/0!</v>
      </c>
      <c r="EQ51" s="157" t="e">
        <f ca="1"/>
        <v>#NUM!</v>
      </c>
      <c r="ER51" s="157">
        <f ca="1"/>
        <v>2536.5984031818389</v>
      </c>
      <c r="ES51" s="157" t="e">
        <f ca="1"/>
        <v>#DIV/0!</v>
      </c>
      <c r="ET51" s="157" t="e">
        <f ca="1"/>
        <v>#DIV/0!</v>
      </c>
      <c r="EU51" s="468" t="e">
        <f ca="1"/>
        <v>#DIV/0!</v>
      </c>
      <c r="EV51" s="470" t="e">
        <f ca="1"/>
        <v>#DIV/0!</v>
      </c>
      <c r="EW51" s="472" t="e">
        <f ca="1"/>
        <v>#DIV/0!</v>
      </c>
      <c r="EX51" s="462" t="e">
        <f ca="1"/>
        <v>#DIV/0!</v>
      </c>
      <c r="EY51" s="464" t="e">
        <f ca="1"/>
        <v>#NUM!</v>
      </c>
      <c r="EZ51" s="464" t="e">
        <f ca="1"/>
        <v>#NUM!</v>
      </c>
      <c r="FA51" s="466" t="e">
        <f ca="1"/>
        <v>#NUM!</v>
      </c>
      <c r="FB51" s="157" t="e">
        <f ca="1"/>
        <v>#DIV/0!</v>
      </c>
      <c r="FC51" s="157" t="e">
        <f ca="1"/>
        <v>#NUM!</v>
      </c>
      <c r="FD51" s="157">
        <f ca="1"/>
        <v>5195.9013460705246</v>
      </c>
      <c r="FE51" s="157" t="e">
        <f ca="1"/>
        <v>#DIV/0!</v>
      </c>
      <c r="FF51" s="157" t="e">
        <f ca="1"/>
        <v>#DIV/0!</v>
      </c>
      <c r="FG51" s="468" t="e">
        <f ca="1"/>
        <v>#DIV/0!</v>
      </c>
      <c r="FH51" s="470" t="e">
        <f ca="1"/>
        <v>#DIV/0!</v>
      </c>
      <c r="FI51" s="472" t="e">
        <f ca="1"/>
        <v>#DIV/0!</v>
      </c>
      <c r="FJ51" s="173" t="e">
        <f t="shared" ca="1" si="4"/>
        <v>#DIV/0!</v>
      </c>
      <c r="FK51" s="173" t="e">
        <f t="shared" ca="1" si="4"/>
        <v>#DIV/0!</v>
      </c>
      <c r="FL51" s="462" t="e">
        <f ca="1"/>
        <v>#DIV/0!</v>
      </c>
      <c r="FM51" s="464">
        <f ca="1"/>
        <v>0</v>
      </c>
      <c r="FN51" s="464" t="e">
        <f ca="1"/>
        <v>#DIV/0!</v>
      </c>
      <c r="FO51" s="466" t="e">
        <f ca="1"/>
        <v>#DIV/0!</v>
      </c>
      <c r="FP51" s="157" t="e">
        <f ca="1"/>
        <v>#DIV/0!</v>
      </c>
      <c r="FQ51" s="157" t="e">
        <f ca="1"/>
        <v>#DIV/0!</v>
      </c>
      <c r="FR51" s="157" t="e">
        <f ca="1"/>
        <v>#DIV/0!</v>
      </c>
      <c r="FS51" s="157">
        <f ca="1"/>
        <v>2075.4974681770996</v>
      </c>
      <c r="FT51" s="468" t="e">
        <f ca="1"/>
        <v>#DIV/0!</v>
      </c>
      <c r="FU51" s="470" t="e">
        <f ca="1"/>
        <v>#DIV/0!</v>
      </c>
      <c r="FV51" s="470" t="e">
        <f ca="1"/>
        <v>#DIV/0!</v>
      </c>
      <c r="FW51" s="462" t="e">
        <f ca="1"/>
        <v>#DIV/0!</v>
      </c>
      <c r="FX51" s="464" t="e">
        <f ca="1"/>
        <v>#NUM!</v>
      </c>
      <c r="FY51" s="464" t="e">
        <f ca="1"/>
        <v>#NUM!</v>
      </c>
      <c r="FZ51" s="466" t="e">
        <f ca="1"/>
        <v>#NUM!</v>
      </c>
      <c r="GA51" s="157" t="e">
        <f ca="1"/>
        <v>#DIV/0!</v>
      </c>
      <c r="GB51" s="157" t="e">
        <f ca="1"/>
        <v>#NUM!</v>
      </c>
      <c r="GC51" s="157" t="e">
        <f ca="1"/>
        <v>#DIV/0!</v>
      </c>
      <c r="GD51" s="157">
        <f ca="1"/>
        <v>43.983310255227899</v>
      </c>
      <c r="GE51" s="468" t="e">
        <f ca="1"/>
        <v>#DIV/0!</v>
      </c>
      <c r="GF51" s="470" t="e">
        <f ca="1"/>
        <v>#DIV/0!</v>
      </c>
      <c r="GG51" s="470" t="e">
        <f ca="1"/>
        <v>#DIV/0!</v>
      </c>
      <c r="GH51" s="173" t="e">
        <f t="shared" ca="1" si="7"/>
        <v>#DIV/0!</v>
      </c>
      <c r="GI51" s="173" t="e">
        <f t="shared" ca="1" si="7"/>
        <v>#DIV/0!</v>
      </c>
    </row>
    <row r="52" spans="2:191" ht="15">
      <c r="B52" s="169"/>
      <c r="C52" s="87">
        <f>'Oil supply projection'!B52</f>
        <v>2061</v>
      </c>
      <c r="D52" s="460" t="e">
        <f ca="1"/>
        <v>#DIV/0!</v>
      </c>
      <c r="E52" s="460" t="e">
        <f ca="1"/>
        <v>#DIV/0!</v>
      </c>
      <c r="F52" s="462" t="e">
        <f ca="1"/>
        <v>#DIV/0!</v>
      </c>
      <c r="G52" s="464">
        <f ca="1"/>
        <v>0</v>
      </c>
      <c r="H52" s="464" t="e">
        <f ca="1"/>
        <v>#DIV/0!</v>
      </c>
      <c r="I52" s="466" t="e">
        <f ca="1"/>
        <v>#DIV/0!</v>
      </c>
      <c r="J52" s="157" t="e">
        <f ca="1"/>
        <v>#DIV/0!</v>
      </c>
      <c r="K52" s="157" t="e">
        <f ca="1"/>
        <v>#DIV/0!</v>
      </c>
      <c r="L52" s="157">
        <f ca="1"/>
        <v>43.822782937701234</v>
      </c>
      <c r="M52" s="157" t="e">
        <f ca="1"/>
        <v>#DIV/0!</v>
      </c>
      <c r="N52" s="157" t="e">
        <f ca="1"/>
        <v>#DIV/0!</v>
      </c>
      <c r="O52" s="468" t="e">
        <f ca="1"/>
        <v>#DIV/0!</v>
      </c>
      <c r="P52" s="470" t="e">
        <f ca="1"/>
        <v>#DIV/0!</v>
      </c>
      <c r="Q52" s="472" t="e">
        <f ca="1"/>
        <v>#DIV/0!</v>
      </c>
      <c r="R52" s="462" t="e">
        <f ca="1"/>
        <v>#DIV/0!</v>
      </c>
      <c r="S52" s="464">
        <f ca="1"/>
        <v>0</v>
      </c>
      <c r="T52" s="464" t="e">
        <f ca="1"/>
        <v>#DIV/0!</v>
      </c>
      <c r="U52" s="466" t="e">
        <f ca="1"/>
        <v>#DIV/0!</v>
      </c>
      <c r="V52" s="157" t="e">
        <f ca="1"/>
        <v>#DIV/0!</v>
      </c>
      <c r="W52" s="157" t="e">
        <f ca="1"/>
        <v>#DIV/0!</v>
      </c>
      <c r="X52" s="157">
        <f ca="1"/>
        <v>59.764360722063259</v>
      </c>
      <c r="Y52" s="157" t="e">
        <f ca="1"/>
        <v>#DIV/0!</v>
      </c>
      <c r="Z52" s="157" t="e">
        <f ca="1"/>
        <v>#DIV/0!</v>
      </c>
      <c r="AA52" s="468" t="e">
        <f ca="1"/>
        <v>#DIV/0!</v>
      </c>
      <c r="AB52" s="470" t="e">
        <f ca="1"/>
        <v>#DIV/0!</v>
      </c>
      <c r="AC52" s="472" t="e">
        <f ca="1"/>
        <v>#DIV/0!</v>
      </c>
      <c r="AD52" s="462" t="e">
        <f ca="1"/>
        <v>#DIV/0!</v>
      </c>
      <c r="AE52" s="464">
        <f ca="1"/>
        <v>0</v>
      </c>
      <c r="AF52" s="464" t="e">
        <f ca="1"/>
        <v>#DIV/0!</v>
      </c>
      <c r="AG52" s="466" t="e">
        <f ca="1"/>
        <v>#DIV/0!</v>
      </c>
      <c r="AH52" s="157" t="e">
        <f ca="1"/>
        <v>#DIV/0!</v>
      </c>
      <c r="AI52" s="157" t="e">
        <f ca="1"/>
        <v>#DIV/0!</v>
      </c>
      <c r="AJ52" s="157">
        <f ca="1"/>
        <v>781.86100048567221</v>
      </c>
      <c r="AK52" s="157" t="e">
        <f ca="1"/>
        <v>#DIV/0!</v>
      </c>
      <c r="AL52" s="157" t="e">
        <f ca="1"/>
        <v>#DIV/0!</v>
      </c>
      <c r="AM52" s="468" t="e">
        <f ca="1"/>
        <v>#DIV/0!</v>
      </c>
      <c r="AN52" s="470" t="e">
        <f ca="1"/>
        <v>#DIV/0!</v>
      </c>
      <c r="AO52" s="472" t="e">
        <f ca="1"/>
        <v>#DIV/0!</v>
      </c>
      <c r="AP52" s="462" t="e">
        <f ca="1"/>
        <v>#DIV/0!</v>
      </c>
      <c r="AQ52" s="464" t="e">
        <f ca="1"/>
        <v>#NUM!</v>
      </c>
      <c r="AR52" s="464" t="e">
        <f ca="1"/>
        <v>#NUM!</v>
      </c>
      <c r="AS52" s="466" t="e">
        <f ca="1"/>
        <v>#NUM!</v>
      </c>
      <c r="AT52" s="157" t="e">
        <f ca="1"/>
        <v>#DIV/0!</v>
      </c>
      <c r="AU52" s="157" t="e">
        <f ca="1"/>
        <v>#NUM!</v>
      </c>
      <c r="AV52" s="157">
        <f ca="1"/>
        <v>1409.2259052687916</v>
      </c>
      <c r="AW52" s="157" t="e">
        <f ca="1"/>
        <v>#DIV/0!</v>
      </c>
      <c r="AX52" s="157" t="e">
        <f ca="1"/>
        <v>#DIV/0!</v>
      </c>
      <c r="AY52" s="468" t="e">
        <f ca="1"/>
        <v>#DIV/0!</v>
      </c>
      <c r="AZ52" s="470" t="e">
        <f ca="1"/>
        <v>#DIV/0!</v>
      </c>
      <c r="BA52" s="472" t="e">
        <f ca="1"/>
        <v>#DIV/0!</v>
      </c>
      <c r="BB52" s="173" t="e">
        <f t="shared" ca="1" si="5"/>
        <v>#DIV/0!</v>
      </c>
      <c r="BC52" s="173" t="e">
        <f t="shared" ca="1" si="6"/>
        <v>#DIV/0!</v>
      </c>
      <c r="BD52" s="462" t="e">
        <f ca="1"/>
        <v>#DIV/0!</v>
      </c>
      <c r="BE52" s="464">
        <f ca="1"/>
        <v>0</v>
      </c>
      <c r="BF52" s="464" t="e">
        <f ca="1"/>
        <v>#DIV/0!</v>
      </c>
      <c r="BG52" s="466" t="e">
        <f ca="1"/>
        <v>#DIV/0!</v>
      </c>
      <c r="BH52" s="157" t="e">
        <f ca="1"/>
        <v>#DIV/0!</v>
      </c>
      <c r="BI52" s="157" t="e">
        <f ca="1"/>
        <v>#DIV/0!</v>
      </c>
      <c r="BJ52" s="157">
        <f ca="1"/>
        <v>19.514995158190047</v>
      </c>
      <c r="BK52" s="157" t="e">
        <f ca="1"/>
        <v>#DIV/0!</v>
      </c>
      <c r="BL52" s="157" t="e">
        <f ca="1"/>
        <v>#DIV/0!</v>
      </c>
      <c r="BM52" s="468" t="e">
        <f ca="1"/>
        <v>#DIV/0!</v>
      </c>
      <c r="BN52" s="470" t="e">
        <f ca="1"/>
        <v>#DIV/0!</v>
      </c>
      <c r="BO52" s="472" t="e">
        <f ca="1"/>
        <v>#DIV/0!</v>
      </c>
      <c r="BP52" s="462" t="e">
        <f ca="1"/>
        <v>#DIV/0!</v>
      </c>
      <c r="BQ52" s="464">
        <f ca="1"/>
        <v>0</v>
      </c>
      <c r="BR52" s="464" t="e">
        <f ca="1"/>
        <v>#DIV/0!</v>
      </c>
      <c r="BS52" s="466" t="e">
        <f ca="1"/>
        <v>#DIV/0!</v>
      </c>
      <c r="BT52" s="157" t="e">
        <f ca="1"/>
        <v>#DIV/0!</v>
      </c>
      <c r="BU52" s="157" t="e">
        <f ca="1"/>
        <v>#DIV/0!</v>
      </c>
      <c r="BV52" s="157">
        <f ca="1"/>
        <v>14.288482920248258</v>
      </c>
      <c r="BW52" s="157" t="e">
        <f ca="1"/>
        <v>#DIV/0!</v>
      </c>
      <c r="BX52" s="157" t="e">
        <f ca="1"/>
        <v>#DIV/0!</v>
      </c>
      <c r="BY52" s="468" t="e">
        <f ca="1"/>
        <v>#DIV/0!</v>
      </c>
      <c r="BZ52" s="470" t="e">
        <f ca="1"/>
        <v>#DIV/0!</v>
      </c>
      <c r="CA52" s="472" t="e">
        <f ca="1"/>
        <v>#DIV/0!</v>
      </c>
      <c r="CB52" s="462" t="e">
        <f ca="1"/>
        <v>#DIV/0!</v>
      </c>
      <c r="CC52" s="464">
        <f ca="1"/>
        <v>0</v>
      </c>
      <c r="CD52" s="464" t="e">
        <f ca="1"/>
        <v>#DIV/0!</v>
      </c>
      <c r="CE52" s="466" t="e">
        <f ca="1"/>
        <v>#DIV/0!</v>
      </c>
      <c r="CF52" s="157" t="e">
        <f ca="1"/>
        <v>#DIV/0!</v>
      </c>
      <c r="CG52" s="157" t="e">
        <f ca="1"/>
        <v>#DIV/0!</v>
      </c>
      <c r="CH52" s="157">
        <f ca="1"/>
        <v>49.387685243094722</v>
      </c>
      <c r="CI52" s="157" t="e">
        <f ca="1"/>
        <v>#DIV/0!</v>
      </c>
      <c r="CJ52" s="157" t="e">
        <f ca="1"/>
        <v>#DIV/0!</v>
      </c>
      <c r="CK52" s="468" t="e">
        <f ca="1"/>
        <v>#DIV/0!</v>
      </c>
      <c r="CL52" s="470" t="e">
        <f ca="1"/>
        <v>#DIV/0!</v>
      </c>
      <c r="CM52" s="472" t="e">
        <f ca="1"/>
        <v>#DIV/0!</v>
      </c>
      <c r="CN52" s="462" t="e">
        <f ca="1"/>
        <v>#DIV/0!</v>
      </c>
      <c r="CO52" s="464" t="e">
        <f ca="1"/>
        <v>#NUM!</v>
      </c>
      <c r="CP52" s="464" t="e">
        <f ca="1"/>
        <v>#NUM!</v>
      </c>
      <c r="CQ52" s="466" t="e">
        <f ca="1"/>
        <v>#NUM!</v>
      </c>
      <c r="CR52" s="157" t="e">
        <f ca="1"/>
        <v>#DIV/0!</v>
      </c>
      <c r="CS52" s="157" t="e">
        <f ca="1"/>
        <v>#NUM!</v>
      </c>
      <c r="CT52" s="157">
        <f ca="1"/>
        <v>7.3462586991675556</v>
      </c>
      <c r="CU52" s="157" t="e">
        <f ca="1"/>
        <v>#DIV/0!</v>
      </c>
      <c r="CV52" s="157" t="e">
        <f ca="1"/>
        <v>#DIV/0!</v>
      </c>
      <c r="CW52" s="468" t="e">
        <f ca="1"/>
        <v>#DIV/0!</v>
      </c>
      <c r="CX52" s="470" t="e">
        <f ca="1"/>
        <v>#DIV/0!</v>
      </c>
      <c r="CY52" s="472" t="e">
        <f ca="1"/>
        <v>#DIV/0!</v>
      </c>
      <c r="CZ52" s="173" t="e">
        <f t="shared" ca="1" si="3"/>
        <v>#DIV/0!</v>
      </c>
      <c r="DA52" s="173" t="e">
        <f t="shared" ca="1" si="3"/>
        <v>#DIV/0!</v>
      </c>
      <c r="DB52" s="462" t="e">
        <f ca="1"/>
        <v>#DIV/0!</v>
      </c>
      <c r="DC52" s="464">
        <f ca="1"/>
        <v>0</v>
      </c>
      <c r="DD52" s="464" t="e">
        <f ca="1"/>
        <v>#DIV/0!</v>
      </c>
      <c r="DE52" s="466" t="e">
        <f ca="1"/>
        <v>#DIV/0!</v>
      </c>
      <c r="DF52" s="157" t="e">
        <f ca="1"/>
        <v>#DIV/0!</v>
      </c>
      <c r="DG52" s="157" t="e">
        <f ca="1"/>
        <v>#DIV/0!</v>
      </c>
      <c r="DH52" s="157">
        <f ca="1"/>
        <v>20844.3458717463</v>
      </c>
      <c r="DI52" s="157" t="e">
        <f ca="1"/>
        <v>#DIV/0!</v>
      </c>
      <c r="DJ52" s="157" t="e">
        <f ca="1"/>
        <v>#DIV/0!</v>
      </c>
      <c r="DK52" s="468" t="e">
        <f ca="1"/>
        <v>#DIV/0!</v>
      </c>
      <c r="DL52" s="470" t="e">
        <f ca="1"/>
        <v>#DIV/0!</v>
      </c>
      <c r="DM52" s="472" t="e">
        <f ca="1"/>
        <v>#DIV/0!</v>
      </c>
      <c r="DN52" s="462" t="e">
        <f ca="1"/>
        <v>#DIV/0!</v>
      </c>
      <c r="DO52" s="464">
        <f ca="1"/>
        <v>0</v>
      </c>
      <c r="DP52" s="464" t="e">
        <f ca="1"/>
        <v>#DIV/0!</v>
      </c>
      <c r="DQ52" s="466" t="e">
        <f ca="1"/>
        <v>#DIV/0!</v>
      </c>
      <c r="DR52" s="157" t="e">
        <f ca="1"/>
        <v>#DIV/0!</v>
      </c>
      <c r="DS52" s="157" t="e">
        <f ca="1"/>
        <v>#DIV/0!</v>
      </c>
      <c r="DT52" s="157">
        <f ca="1"/>
        <v>17167.221331536439</v>
      </c>
      <c r="DU52" s="157" t="e">
        <f ca="1"/>
        <v>#DIV/0!</v>
      </c>
      <c r="DV52" s="157" t="e">
        <f ca="1"/>
        <v>#DIV/0!</v>
      </c>
      <c r="DW52" s="468" t="e">
        <f ca="1"/>
        <v>#DIV/0!</v>
      </c>
      <c r="DX52" s="470" t="e">
        <f ca="1"/>
        <v>#DIV/0!</v>
      </c>
      <c r="DY52" s="472" t="e">
        <f ca="1"/>
        <v>#DIV/0!</v>
      </c>
      <c r="DZ52" s="462" t="e">
        <f ca="1"/>
        <v>#DIV/0!</v>
      </c>
      <c r="EA52" s="464">
        <f ca="1"/>
        <v>0</v>
      </c>
      <c r="EB52" s="464" t="e">
        <f ca="1"/>
        <v>#DIV/0!</v>
      </c>
      <c r="EC52" s="466" t="e">
        <f ca="1"/>
        <v>#DIV/0!</v>
      </c>
      <c r="ED52" s="157" t="e">
        <f ca="1"/>
        <v>#DIV/0!</v>
      </c>
      <c r="EE52" s="157" t="e">
        <f ca="1"/>
        <v>#DIV/0!</v>
      </c>
      <c r="EF52" s="157">
        <f ca="1"/>
        <v>13488.280756636486</v>
      </c>
      <c r="EG52" s="157" t="e">
        <f ca="1"/>
        <v>#DIV/0!</v>
      </c>
      <c r="EH52" s="157" t="e">
        <f ca="1"/>
        <v>#DIV/0!</v>
      </c>
      <c r="EI52" s="468" t="e">
        <f ca="1"/>
        <v>#DIV/0!</v>
      </c>
      <c r="EJ52" s="470" t="e">
        <f ca="1"/>
        <v>#DIV/0!</v>
      </c>
      <c r="EK52" s="472" t="e">
        <f ca="1"/>
        <v>#DIV/0!</v>
      </c>
      <c r="EL52" s="462" t="e">
        <f ca="1"/>
        <v>#DIV/0!</v>
      </c>
      <c r="EM52" s="464" t="e">
        <f ca="1"/>
        <v>#NUM!</v>
      </c>
      <c r="EN52" s="464" t="e">
        <f ca="1"/>
        <v>#NUM!</v>
      </c>
      <c r="EO52" s="466" t="e">
        <f ca="1"/>
        <v>#NUM!</v>
      </c>
      <c r="EP52" s="157" t="e">
        <f ca="1"/>
        <v>#DIV/0!</v>
      </c>
      <c r="EQ52" s="157" t="e">
        <f ca="1"/>
        <v>#NUM!</v>
      </c>
      <c r="ER52" s="157">
        <f ca="1"/>
        <v>2562.7193059169072</v>
      </c>
      <c r="ES52" s="157" t="e">
        <f ca="1"/>
        <v>#DIV/0!</v>
      </c>
      <c r="ET52" s="157" t="e">
        <f ca="1"/>
        <v>#DIV/0!</v>
      </c>
      <c r="EU52" s="468" t="e">
        <f ca="1"/>
        <v>#DIV/0!</v>
      </c>
      <c r="EV52" s="470" t="e">
        <f ca="1"/>
        <v>#DIV/0!</v>
      </c>
      <c r="EW52" s="472" t="e">
        <f ca="1"/>
        <v>#DIV/0!</v>
      </c>
      <c r="EX52" s="462" t="e">
        <f ca="1"/>
        <v>#DIV/0!</v>
      </c>
      <c r="EY52" s="464" t="e">
        <f ca="1"/>
        <v>#NUM!</v>
      </c>
      <c r="EZ52" s="464" t="e">
        <f ca="1"/>
        <v>#NUM!</v>
      </c>
      <c r="FA52" s="466" t="e">
        <f ca="1"/>
        <v>#NUM!</v>
      </c>
      <c r="FB52" s="157" t="e">
        <f ca="1"/>
        <v>#DIV/0!</v>
      </c>
      <c r="FC52" s="157" t="e">
        <f ca="1"/>
        <v>#NUM!</v>
      </c>
      <c r="FD52" s="157">
        <f ca="1"/>
        <v>5249.4067151157296</v>
      </c>
      <c r="FE52" s="157" t="e">
        <f ca="1"/>
        <v>#DIV/0!</v>
      </c>
      <c r="FF52" s="157" t="e">
        <f ca="1"/>
        <v>#DIV/0!</v>
      </c>
      <c r="FG52" s="468" t="e">
        <f ca="1"/>
        <v>#DIV/0!</v>
      </c>
      <c r="FH52" s="470" t="e">
        <f ca="1"/>
        <v>#DIV/0!</v>
      </c>
      <c r="FI52" s="472" t="e">
        <f ca="1"/>
        <v>#DIV/0!</v>
      </c>
      <c r="FJ52" s="173" t="e">
        <f t="shared" ca="1" si="4"/>
        <v>#DIV/0!</v>
      </c>
      <c r="FK52" s="173" t="e">
        <f t="shared" ca="1" si="4"/>
        <v>#DIV/0!</v>
      </c>
      <c r="FL52" s="462" t="e">
        <f ca="1"/>
        <v>#DIV/0!</v>
      </c>
      <c r="FM52" s="464">
        <f ca="1"/>
        <v>0</v>
      </c>
      <c r="FN52" s="464" t="e">
        <f ca="1"/>
        <v>#DIV/0!</v>
      </c>
      <c r="FO52" s="466" t="e">
        <f ca="1"/>
        <v>#DIV/0!</v>
      </c>
      <c r="FP52" s="157" t="e">
        <f ca="1"/>
        <v>#DIV/0!</v>
      </c>
      <c r="FQ52" s="157" t="e">
        <f ca="1"/>
        <v>#DIV/0!</v>
      </c>
      <c r="FR52" s="157" t="e">
        <f ca="1"/>
        <v>#DIV/0!</v>
      </c>
      <c r="FS52" s="157">
        <f ca="1"/>
        <v>2087.07809233116</v>
      </c>
      <c r="FT52" s="468" t="e">
        <f ca="1"/>
        <v>#DIV/0!</v>
      </c>
      <c r="FU52" s="470" t="e">
        <f ca="1"/>
        <v>#DIV/0!</v>
      </c>
      <c r="FV52" s="470" t="e">
        <f ca="1"/>
        <v>#DIV/0!</v>
      </c>
      <c r="FW52" s="462" t="e">
        <f ca="1"/>
        <v>#DIV/0!</v>
      </c>
      <c r="FX52" s="464" t="e">
        <f ca="1"/>
        <v>#NUM!</v>
      </c>
      <c r="FY52" s="464" t="e">
        <f ca="1"/>
        <v>#NUM!</v>
      </c>
      <c r="FZ52" s="466" t="e">
        <f ca="1"/>
        <v>#NUM!</v>
      </c>
      <c r="GA52" s="157" t="e">
        <f ca="1"/>
        <v>#DIV/0!</v>
      </c>
      <c r="GB52" s="157" t="e">
        <f ca="1"/>
        <v>#NUM!</v>
      </c>
      <c r="GC52" s="157" t="e">
        <f ca="1"/>
        <v>#DIV/0!</v>
      </c>
      <c r="GD52" s="157">
        <f ca="1"/>
        <v>44.228723315434905</v>
      </c>
      <c r="GE52" s="468" t="e">
        <f ca="1"/>
        <v>#DIV/0!</v>
      </c>
      <c r="GF52" s="470" t="e">
        <f ca="1"/>
        <v>#DIV/0!</v>
      </c>
      <c r="GG52" s="470" t="e">
        <f ca="1"/>
        <v>#DIV/0!</v>
      </c>
      <c r="GH52" s="173" t="e">
        <f t="shared" ca="1" si="7"/>
        <v>#DIV/0!</v>
      </c>
      <c r="GI52" s="173" t="e">
        <f t="shared" ca="1" si="7"/>
        <v>#DIV/0!</v>
      </c>
    </row>
    <row r="53" spans="2:191" ht="15">
      <c r="B53" s="169"/>
      <c r="C53" s="87">
        <f>'Oil supply projection'!B53</f>
        <v>2062</v>
      </c>
      <c r="D53" s="460" t="e">
        <f ca="1"/>
        <v>#DIV/0!</v>
      </c>
      <c r="E53" s="460" t="e">
        <f ca="1"/>
        <v>#DIV/0!</v>
      </c>
      <c r="F53" s="462" t="e">
        <f ca="1"/>
        <v>#DIV/0!</v>
      </c>
      <c r="G53" s="464">
        <f ca="1"/>
        <v>0</v>
      </c>
      <c r="H53" s="464" t="e">
        <f ca="1"/>
        <v>#DIV/0!</v>
      </c>
      <c r="I53" s="466" t="e">
        <f ca="1"/>
        <v>#DIV/0!</v>
      </c>
      <c r="J53" s="157" t="e">
        <f ca="1"/>
        <v>#DIV/0!</v>
      </c>
      <c r="K53" s="157" t="e">
        <f ca="1"/>
        <v>#DIV/0!</v>
      </c>
      <c r="L53" s="157">
        <f ca="1"/>
        <v>44.4055115252227</v>
      </c>
      <c r="M53" s="157" t="e">
        <f ca="1"/>
        <v>#DIV/0!</v>
      </c>
      <c r="N53" s="157" t="e">
        <f ca="1"/>
        <v>#DIV/0!</v>
      </c>
      <c r="O53" s="468" t="e">
        <f ca="1"/>
        <v>#DIV/0!</v>
      </c>
      <c r="P53" s="470" t="e">
        <f ca="1"/>
        <v>#DIV/0!</v>
      </c>
      <c r="Q53" s="472" t="e">
        <f ca="1"/>
        <v>#DIV/0!</v>
      </c>
      <c r="R53" s="462" t="e">
        <f ca="1"/>
        <v>#DIV/0!</v>
      </c>
      <c r="S53" s="464">
        <f ca="1"/>
        <v>0</v>
      </c>
      <c r="T53" s="464" t="e">
        <f ca="1"/>
        <v>#DIV/0!</v>
      </c>
      <c r="U53" s="466" t="e">
        <f ca="1"/>
        <v>#DIV/0!</v>
      </c>
      <c r="V53" s="157" t="e">
        <f ca="1"/>
        <v>#DIV/0!</v>
      </c>
      <c r="W53" s="157" t="e">
        <f ca="1"/>
        <v>#DIV/0!</v>
      </c>
      <c r="X53" s="157">
        <f ca="1"/>
        <v>60.559070669106127</v>
      </c>
      <c r="Y53" s="157" t="e">
        <f ca="1"/>
        <v>#DIV/0!</v>
      </c>
      <c r="Z53" s="157" t="e">
        <f ca="1"/>
        <v>#DIV/0!</v>
      </c>
      <c r="AA53" s="468" t="e">
        <f ca="1"/>
        <v>#DIV/0!</v>
      </c>
      <c r="AB53" s="470" t="e">
        <f ca="1"/>
        <v>#DIV/0!</v>
      </c>
      <c r="AC53" s="472" t="e">
        <f ca="1"/>
        <v>#DIV/0!</v>
      </c>
      <c r="AD53" s="462" t="e">
        <f ca="1"/>
        <v>#DIV/0!</v>
      </c>
      <c r="AE53" s="464">
        <f ca="1"/>
        <v>0</v>
      </c>
      <c r="AF53" s="464" t="e">
        <f ca="1"/>
        <v>#DIV/0!</v>
      </c>
      <c r="AG53" s="466" t="e">
        <f ca="1"/>
        <v>#DIV/0!</v>
      </c>
      <c r="AH53" s="157" t="e">
        <f ca="1"/>
        <v>#DIV/0!</v>
      </c>
      <c r="AI53" s="157" t="e">
        <f ca="1"/>
        <v>#DIV/0!</v>
      </c>
      <c r="AJ53" s="157">
        <f ca="1"/>
        <v>792.25771027698875</v>
      </c>
      <c r="AK53" s="157" t="e">
        <f ca="1"/>
        <v>#DIV/0!</v>
      </c>
      <c r="AL53" s="157" t="e">
        <f ca="1"/>
        <v>#DIV/0!</v>
      </c>
      <c r="AM53" s="468" t="e">
        <f ca="1"/>
        <v>#DIV/0!</v>
      </c>
      <c r="AN53" s="470" t="e">
        <f ca="1"/>
        <v>#DIV/0!</v>
      </c>
      <c r="AO53" s="472" t="e">
        <f ca="1"/>
        <v>#DIV/0!</v>
      </c>
      <c r="AP53" s="462" t="e">
        <f ca="1"/>
        <v>#DIV/0!</v>
      </c>
      <c r="AQ53" s="464" t="e">
        <f ca="1"/>
        <v>#NUM!</v>
      </c>
      <c r="AR53" s="464" t="e">
        <f ca="1"/>
        <v>#NUM!</v>
      </c>
      <c r="AS53" s="466" t="e">
        <f ca="1"/>
        <v>#NUM!</v>
      </c>
      <c r="AT53" s="157" t="e">
        <f ca="1"/>
        <v>#DIV/0!</v>
      </c>
      <c r="AU53" s="157" t="e">
        <f ca="1"/>
        <v>#NUM!</v>
      </c>
      <c r="AV53" s="157">
        <f ca="1"/>
        <v>1427.9649301829181</v>
      </c>
      <c r="AW53" s="157" t="e">
        <f ca="1"/>
        <v>#DIV/0!</v>
      </c>
      <c r="AX53" s="157" t="e">
        <f ca="1"/>
        <v>#DIV/0!</v>
      </c>
      <c r="AY53" s="468" t="e">
        <f ca="1"/>
        <v>#DIV/0!</v>
      </c>
      <c r="AZ53" s="470" t="e">
        <f ca="1"/>
        <v>#DIV/0!</v>
      </c>
      <c r="BA53" s="472" t="e">
        <f ca="1"/>
        <v>#DIV/0!</v>
      </c>
      <c r="BB53" s="173" t="e">
        <f t="shared" ca="1" si="5"/>
        <v>#DIV/0!</v>
      </c>
      <c r="BC53" s="173" t="e">
        <f t="shared" ca="1" si="6"/>
        <v>#DIV/0!</v>
      </c>
      <c r="BD53" s="462" t="e">
        <f ca="1"/>
        <v>#DIV/0!</v>
      </c>
      <c r="BE53" s="464">
        <f ca="1"/>
        <v>0</v>
      </c>
      <c r="BF53" s="464" t="e">
        <f ca="1"/>
        <v>#DIV/0!</v>
      </c>
      <c r="BG53" s="466" t="e">
        <f ca="1"/>
        <v>#DIV/0!</v>
      </c>
      <c r="BH53" s="157" t="e">
        <f ca="1"/>
        <v>#DIV/0!</v>
      </c>
      <c r="BI53" s="157" t="e">
        <f ca="1"/>
        <v>#DIV/0!</v>
      </c>
      <c r="BJ53" s="157">
        <f ca="1"/>
        <v>19.630204295696281</v>
      </c>
      <c r="BK53" s="157" t="e">
        <f ca="1"/>
        <v>#DIV/0!</v>
      </c>
      <c r="BL53" s="157" t="e">
        <f ca="1"/>
        <v>#DIV/0!</v>
      </c>
      <c r="BM53" s="468" t="e">
        <f ca="1"/>
        <v>#DIV/0!</v>
      </c>
      <c r="BN53" s="470" t="e">
        <f ca="1"/>
        <v>#DIV/0!</v>
      </c>
      <c r="BO53" s="472" t="e">
        <f ca="1"/>
        <v>#DIV/0!</v>
      </c>
      <c r="BP53" s="462" t="e">
        <f ca="1"/>
        <v>#DIV/0!</v>
      </c>
      <c r="BQ53" s="464">
        <f ca="1"/>
        <v>0</v>
      </c>
      <c r="BR53" s="464" t="e">
        <f ca="1"/>
        <v>#DIV/0!</v>
      </c>
      <c r="BS53" s="466" t="e">
        <f ca="1"/>
        <v>#DIV/0!</v>
      </c>
      <c r="BT53" s="157" t="e">
        <f ca="1"/>
        <v>#DIV/0!</v>
      </c>
      <c r="BU53" s="157" t="e">
        <f ca="1"/>
        <v>#DIV/0!</v>
      </c>
      <c r="BV53" s="157">
        <f ca="1"/>
        <v>14.372836709740412</v>
      </c>
      <c r="BW53" s="157" t="e">
        <f ca="1"/>
        <v>#DIV/0!</v>
      </c>
      <c r="BX53" s="157" t="e">
        <f ca="1"/>
        <v>#DIV/0!</v>
      </c>
      <c r="BY53" s="468" t="e">
        <f ca="1"/>
        <v>#DIV/0!</v>
      </c>
      <c r="BZ53" s="470" t="e">
        <f ca="1"/>
        <v>#DIV/0!</v>
      </c>
      <c r="CA53" s="472" t="e">
        <f ca="1"/>
        <v>#DIV/0!</v>
      </c>
      <c r="CB53" s="462" t="e">
        <f ca="1"/>
        <v>#DIV/0!</v>
      </c>
      <c r="CC53" s="464">
        <f ca="1"/>
        <v>0</v>
      </c>
      <c r="CD53" s="464" t="e">
        <f ca="1"/>
        <v>#DIV/0!</v>
      </c>
      <c r="CE53" s="466" t="e">
        <f ca="1"/>
        <v>#DIV/0!</v>
      </c>
      <c r="CF53" s="157" t="e">
        <f ca="1"/>
        <v>#DIV/0!</v>
      </c>
      <c r="CG53" s="157" t="e">
        <f ca="1"/>
        <v>#DIV/0!</v>
      </c>
      <c r="CH53" s="157">
        <f ca="1"/>
        <v>49.67925142459584</v>
      </c>
      <c r="CI53" s="157" t="e">
        <f ca="1"/>
        <v>#DIV/0!</v>
      </c>
      <c r="CJ53" s="157" t="e">
        <f ca="1"/>
        <v>#DIV/0!</v>
      </c>
      <c r="CK53" s="468" t="e">
        <f ca="1"/>
        <v>#DIV/0!</v>
      </c>
      <c r="CL53" s="470" t="e">
        <f ca="1"/>
        <v>#DIV/0!</v>
      </c>
      <c r="CM53" s="472" t="e">
        <f ca="1"/>
        <v>#DIV/0!</v>
      </c>
      <c r="CN53" s="462" t="e">
        <f ca="1"/>
        <v>#DIV/0!</v>
      </c>
      <c r="CO53" s="464" t="e">
        <f ca="1"/>
        <v>#NUM!</v>
      </c>
      <c r="CP53" s="464" t="e">
        <f ca="1"/>
        <v>#NUM!</v>
      </c>
      <c r="CQ53" s="466" t="e">
        <f ca="1"/>
        <v>#NUM!</v>
      </c>
      <c r="CR53" s="157" t="e">
        <f ca="1"/>
        <v>#DIV/0!</v>
      </c>
      <c r="CS53" s="157" t="e">
        <f ca="1"/>
        <v>#NUM!</v>
      </c>
      <c r="CT53" s="157">
        <f ca="1"/>
        <v>7.3896282271519658</v>
      </c>
      <c r="CU53" s="157" t="e">
        <f ca="1"/>
        <v>#DIV/0!</v>
      </c>
      <c r="CV53" s="157" t="e">
        <f ca="1"/>
        <v>#DIV/0!</v>
      </c>
      <c r="CW53" s="468" t="e">
        <f ca="1"/>
        <v>#DIV/0!</v>
      </c>
      <c r="CX53" s="470" t="e">
        <f ca="1"/>
        <v>#DIV/0!</v>
      </c>
      <c r="CY53" s="472" t="e">
        <f ca="1"/>
        <v>#DIV/0!</v>
      </c>
      <c r="CZ53" s="173" t="e">
        <f t="shared" ca="1" si="3"/>
        <v>#DIV/0!</v>
      </c>
      <c r="DA53" s="173" t="e">
        <f t="shared" ca="1" si="3"/>
        <v>#DIV/0!</v>
      </c>
      <c r="DB53" s="462" t="e">
        <f ca="1"/>
        <v>#DIV/0!</v>
      </c>
      <c r="DC53" s="464">
        <f ca="1"/>
        <v>0</v>
      </c>
      <c r="DD53" s="464" t="e">
        <f ca="1"/>
        <v>#DIV/0!</v>
      </c>
      <c r="DE53" s="466" t="e">
        <f ca="1"/>
        <v>#DIV/0!</v>
      </c>
      <c r="DF53" s="157" t="e">
        <f ca="1"/>
        <v>#DIV/0!</v>
      </c>
      <c r="DG53" s="157" t="e">
        <f ca="1"/>
        <v>#DIV/0!</v>
      </c>
      <c r="DH53" s="157">
        <f ca="1"/>
        <v>21058.992829817813</v>
      </c>
      <c r="DI53" s="157" t="e">
        <f ca="1"/>
        <v>#DIV/0!</v>
      </c>
      <c r="DJ53" s="157" t="e">
        <f ca="1"/>
        <v>#DIV/0!</v>
      </c>
      <c r="DK53" s="468" t="e">
        <f ca="1"/>
        <v>#DIV/0!</v>
      </c>
      <c r="DL53" s="470" t="e">
        <f ca="1"/>
        <v>#DIV/0!</v>
      </c>
      <c r="DM53" s="472" t="e">
        <f ca="1"/>
        <v>#DIV/0!</v>
      </c>
      <c r="DN53" s="462" t="e">
        <f ca="1"/>
        <v>#DIV/0!</v>
      </c>
      <c r="DO53" s="464">
        <f ca="1"/>
        <v>0</v>
      </c>
      <c r="DP53" s="464" t="e">
        <f ca="1"/>
        <v>#DIV/0!</v>
      </c>
      <c r="DQ53" s="466" t="e">
        <f ca="1"/>
        <v>#DIV/0!</v>
      </c>
      <c r="DR53" s="157" t="e">
        <f ca="1"/>
        <v>#DIV/0!</v>
      </c>
      <c r="DS53" s="157" t="e">
        <f ca="1"/>
        <v>#DIV/0!</v>
      </c>
      <c r="DT53" s="157">
        <f ca="1"/>
        <v>17344.002692775957</v>
      </c>
      <c r="DU53" s="157" t="e">
        <f ca="1"/>
        <v>#DIV/0!</v>
      </c>
      <c r="DV53" s="157" t="e">
        <f ca="1"/>
        <v>#DIV/0!</v>
      </c>
      <c r="DW53" s="468" t="e">
        <f ca="1"/>
        <v>#DIV/0!</v>
      </c>
      <c r="DX53" s="470" t="e">
        <f ca="1"/>
        <v>#DIV/0!</v>
      </c>
      <c r="DY53" s="472" t="e">
        <f ca="1"/>
        <v>#DIV/0!</v>
      </c>
      <c r="DZ53" s="462" t="e">
        <f ca="1"/>
        <v>#DIV/0!</v>
      </c>
      <c r="EA53" s="464">
        <f ca="1"/>
        <v>0</v>
      </c>
      <c r="EB53" s="464" t="e">
        <f ca="1"/>
        <v>#DIV/0!</v>
      </c>
      <c r="EC53" s="466" t="e">
        <f ca="1"/>
        <v>#DIV/0!</v>
      </c>
      <c r="ED53" s="157" t="e">
        <f ca="1"/>
        <v>#DIV/0!</v>
      </c>
      <c r="EE53" s="157" t="e">
        <f ca="1"/>
        <v>#DIV/0!</v>
      </c>
      <c r="EF53" s="157">
        <f ca="1"/>
        <v>13627.177820225845</v>
      </c>
      <c r="EG53" s="157" t="e">
        <f ca="1"/>
        <v>#DIV/0!</v>
      </c>
      <c r="EH53" s="157" t="e">
        <f ca="1"/>
        <v>#DIV/0!</v>
      </c>
      <c r="EI53" s="468" t="e">
        <f ca="1"/>
        <v>#DIV/0!</v>
      </c>
      <c r="EJ53" s="470" t="e">
        <f ca="1"/>
        <v>#DIV/0!</v>
      </c>
      <c r="EK53" s="472" t="e">
        <f ca="1"/>
        <v>#DIV/0!</v>
      </c>
      <c r="EL53" s="462" t="e">
        <f ca="1"/>
        <v>#DIV/0!</v>
      </c>
      <c r="EM53" s="464" t="e">
        <f ca="1"/>
        <v>#NUM!</v>
      </c>
      <c r="EN53" s="464" t="e">
        <f ca="1"/>
        <v>#NUM!</v>
      </c>
      <c r="EO53" s="466" t="e">
        <f ca="1"/>
        <v>#NUM!</v>
      </c>
      <c r="EP53" s="157" t="e">
        <f ca="1"/>
        <v>#DIV/0!</v>
      </c>
      <c r="EQ53" s="157" t="e">
        <f ca="1"/>
        <v>#NUM!</v>
      </c>
      <c r="ER53" s="157">
        <f ca="1"/>
        <v>2589.1091915382076</v>
      </c>
      <c r="ES53" s="157" t="e">
        <f ca="1"/>
        <v>#DIV/0!</v>
      </c>
      <c r="ET53" s="157" t="e">
        <f ca="1"/>
        <v>#DIV/0!</v>
      </c>
      <c r="EU53" s="468" t="e">
        <f ca="1"/>
        <v>#DIV/0!</v>
      </c>
      <c r="EV53" s="470" t="e">
        <f ca="1"/>
        <v>#DIV/0!</v>
      </c>
      <c r="EW53" s="472" t="e">
        <f ca="1"/>
        <v>#DIV/0!</v>
      </c>
      <c r="EX53" s="462" t="e">
        <f ca="1"/>
        <v>#DIV/0!</v>
      </c>
      <c r="EY53" s="464" t="e">
        <f ca="1"/>
        <v>#NUM!</v>
      </c>
      <c r="EZ53" s="464" t="e">
        <f ca="1"/>
        <v>#NUM!</v>
      </c>
      <c r="FA53" s="466" t="e">
        <f ca="1"/>
        <v>#NUM!</v>
      </c>
      <c r="FB53" s="157" t="e">
        <f ca="1"/>
        <v>#DIV/0!</v>
      </c>
      <c r="FC53" s="157" t="e">
        <f ca="1"/>
        <v>#NUM!</v>
      </c>
      <c r="FD53" s="157">
        <f ca="1"/>
        <v>5303.4630616191271</v>
      </c>
      <c r="FE53" s="157" t="e">
        <f ca="1"/>
        <v>#DIV/0!</v>
      </c>
      <c r="FF53" s="157" t="e">
        <f ca="1"/>
        <v>#DIV/0!</v>
      </c>
      <c r="FG53" s="468" t="e">
        <f ca="1"/>
        <v>#DIV/0!</v>
      </c>
      <c r="FH53" s="470" t="e">
        <f ca="1"/>
        <v>#DIV/0!</v>
      </c>
      <c r="FI53" s="472" t="e">
        <f ca="1"/>
        <v>#DIV/0!</v>
      </c>
      <c r="FJ53" s="173" t="e">
        <f t="shared" ca="1" si="4"/>
        <v>#DIV/0!</v>
      </c>
      <c r="FK53" s="173" t="e">
        <f t="shared" ca="1" si="4"/>
        <v>#DIV/0!</v>
      </c>
      <c r="FL53" s="462" t="e">
        <f ca="1"/>
        <v>#DIV/0!</v>
      </c>
      <c r="FM53" s="464">
        <f ca="1"/>
        <v>0</v>
      </c>
      <c r="FN53" s="464" t="e">
        <f ca="1"/>
        <v>#DIV/0!</v>
      </c>
      <c r="FO53" s="466" t="e">
        <f ca="1"/>
        <v>#DIV/0!</v>
      </c>
      <c r="FP53" s="157" t="e">
        <f ca="1"/>
        <v>#DIV/0!</v>
      </c>
      <c r="FQ53" s="157" t="e">
        <f ca="1"/>
        <v>#DIV/0!</v>
      </c>
      <c r="FR53" s="157" t="e">
        <f ca="1"/>
        <v>#DIV/0!</v>
      </c>
      <c r="FS53" s="157">
        <f ca="1"/>
        <v>2098.7233327316167</v>
      </c>
      <c r="FT53" s="468" t="e">
        <f ca="1"/>
        <v>#DIV/0!</v>
      </c>
      <c r="FU53" s="470" t="e">
        <f ca="1"/>
        <v>#DIV/0!</v>
      </c>
      <c r="FV53" s="470" t="e">
        <f ca="1"/>
        <v>#DIV/0!</v>
      </c>
      <c r="FW53" s="462" t="e">
        <f ca="1"/>
        <v>#DIV/0!</v>
      </c>
      <c r="FX53" s="464" t="e">
        <f ca="1"/>
        <v>#NUM!</v>
      </c>
      <c r="FY53" s="464" t="e">
        <f ca="1"/>
        <v>#NUM!</v>
      </c>
      <c r="FZ53" s="466" t="e">
        <f ca="1"/>
        <v>#NUM!</v>
      </c>
      <c r="GA53" s="157" t="e">
        <f ca="1"/>
        <v>#DIV/0!</v>
      </c>
      <c r="GB53" s="157" t="e">
        <f ca="1"/>
        <v>#NUM!</v>
      </c>
      <c r="GC53" s="157" t="e">
        <f ca="1"/>
        <v>#DIV/0!</v>
      </c>
      <c r="GD53" s="157">
        <f ca="1"/>
        <v>44.475505703456726</v>
      </c>
      <c r="GE53" s="468" t="e">
        <f ca="1"/>
        <v>#DIV/0!</v>
      </c>
      <c r="GF53" s="470" t="e">
        <f ca="1"/>
        <v>#DIV/0!</v>
      </c>
      <c r="GG53" s="470" t="e">
        <f ca="1"/>
        <v>#DIV/0!</v>
      </c>
      <c r="GH53" s="173" t="e">
        <f t="shared" ca="1" si="7"/>
        <v>#DIV/0!</v>
      </c>
      <c r="GI53" s="173" t="e">
        <f t="shared" ca="1" si="7"/>
        <v>#DIV/0!</v>
      </c>
    </row>
    <row r="54" spans="2:191" ht="15">
      <c r="B54" s="169"/>
      <c r="C54" s="87">
        <f>'Oil supply projection'!B54</f>
        <v>2063</v>
      </c>
      <c r="D54" s="460" t="e">
        <f ca="1"/>
        <v>#DIV/0!</v>
      </c>
      <c r="E54" s="460" t="e">
        <f ca="1"/>
        <v>#DIV/0!</v>
      </c>
      <c r="F54" s="462" t="e">
        <f ca="1"/>
        <v>#DIV/0!</v>
      </c>
      <c r="G54" s="464">
        <f ca="1"/>
        <v>0</v>
      </c>
      <c r="H54" s="464" t="e">
        <f ca="1"/>
        <v>#DIV/0!</v>
      </c>
      <c r="I54" s="466" t="e">
        <f ca="1"/>
        <v>#DIV/0!</v>
      </c>
      <c r="J54" s="157" t="e">
        <f ca="1"/>
        <v>#DIV/0!</v>
      </c>
      <c r="K54" s="157" t="e">
        <f ca="1"/>
        <v>#DIV/0!</v>
      </c>
      <c r="L54" s="157">
        <f ca="1"/>
        <v>44.995988881397167</v>
      </c>
      <c r="M54" s="157" t="e">
        <f ca="1"/>
        <v>#DIV/0!</v>
      </c>
      <c r="N54" s="157" t="e">
        <f ca="1"/>
        <v>#DIV/0!</v>
      </c>
      <c r="O54" s="468" t="e">
        <f ca="1"/>
        <v>#DIV/0!</v>
      </c>
      <c r="P54" s="470" t="e">
        <f ca="1"/>
        <v>#DIV/0!</v>
      </c>
      <c r="Q54" s="472" t="e">
        <f ca="1"/>
        <v>#DIV/0!</v>
      </c>
      <c r="R54" s="462" t="e">
        <f ca="1"/>
        <v>#DIV/0!</v>
      </c>
      <c r="S54" s="464">
        <f ca="1"/>
        <v>0</v>
      </c>
      <c r="T54" s="464" t="e">
        <f ca="1"/>
        <v>#DIV/0!</v>
      </c>
      <c r="U54" s="466" t="e">
        <f ca="1"/>
        <v>#DIV/0!</v>
      </c>
      <c r="V54" s="157" t="e">
        <f ca="1"/>
        <v>#DIV/0!</v>
      </c>
      <c r="W54" s="157" t="e">
        <f ca="1"/>
        <v>#DIV/0!</v>
      </c>
      <c r="X54" s="157">
        <f ca="1"/>
        <v>61.364348183379676</v>
      </c>
      <c r="Y54" s="157" t="e">
        <f ca="1"/>
        <v>#DIV/0!</v>
      </c>
      <c r="Z54" s="157" t="e">
        <f ca="1"/>
        <v>#DIV/0!</v>
      </c>
      <c r="AA54" s="468" t="e">
        <f ca="1"/>
        <v>#DIV/0!</v>
      </c>
      <c r="AB54" s="470" t="e">
        <f ca="1"/>
        <v>#DIV/0!</v>
      </c>
      <c r="AC54" s="472" t="e">
        <f ca="1"/>
        <v>#DIV/0!</v>
      </c>
      <c r="AD54" s="462" t="e">
        <f ca="1"/>
        <v>#DIV/0!</v>
      </c>
      <c r="AE54" s="464">
        <f ca="1"/>
        <v>0</v>
      </c>
      <c r="AF54" s="464" t="e">
        <f ca="1"/>
        <v>#DIV/0!</v>
      </c>
      <c r="AG54" s="466" t="e">
        <f ca="1"/>
        <v>#DIV/0!</v>
      </c>
      <c r="AH54" s="157" t="e">
        <f ca="1"/>
        <v>#DIV/0!</v>
      </c>
      <c r="AI54" s="157" t="e">
        <f ca="1"/>
        <v>#DIV/0!</v>
      </c>
      <c r="AJ54" s="157">
        <f ca="1"/>
        <v>802.79266916170911</v>
      </c>
      <c r="AK54" s="157" t="e">
        <f ca="1"/>
        <v>#DIV/0!</v>
      </c>
      <c r="AL54" s="157" t="e">
        <f ca="1"/>
        <v>#DIV/0!</v>
      </c>
      <c r="AM54" s="468" t="e">
        <f ca="1"/>
        <v>#DIV/0!</v>
      </c>
      <c r="AN54" s="470" t="e">
        <f ca="1"/>
        <v>#DIV/0!</v>
      </c>
      <c r="AO54" s="472" t="e">
        <f ca="1"/>
        <v>#DIV/0!</v>
      </c>
      <c r="AP54" s="462" t="e">
        <f ca="1"/>
        <v>#DIV/0!</v>
      </c>
      <c r="AQ54" s="464" t="e">
        <f ca="1"/>
        <v>#NUM!</v>
      </c>
      <c r="AR54" s="464" t="e">
        <f ca="1"/>
        <v>#NUM!</v>
      </c>
      <c r="AS54" s="466" t="e">
        <f ca="1"/>
        <v>#NUM!</v>
      </c>
      <c r="AT54" s="157" t="e">
        <f ca="1"/>
        <v>#DIV/0!</v>
      </c>
      <c r="AU54" s="157" t="e">
        <f ca="1"/>
        <v>#NUM!</v>
      </c>
      <c r="AV54" s="157">
        <f ca="1"/>
        <v>1446.9531351989856</v>
      </c>
      <c r="AW54" s="157" t="e">
        <f ca="1"/>
        <v>#DIV/0!</v>
      </c>
      <c r="AX54" s="157" t="e">
        <f ca="1"/>
        <v>#DIV/0!</v>
      </c>
      <c r="AY54" s="468" t="e">
        <f ca="1"/>
        <v>#DIV/0!</v>
      </c>
      <c r="AZ54" s="470" t="e">
        <f ca="1"/>
        <v>#DIV/0!</v>
      </c>
      <c r="BA54" s="472" t="e">
        <f ca="1"/>
        <v>#DIV/0!</v>
      </c>
      <c r="BB54" s="173" t="e">
        <f t="shared" ca="1" si="5"/>
        <v>#DIV/0!</v>
      </c>
      <c r="BC54" s="173" t="e">
        <f t="shared" ca="1" si="6"/>
        <v>#DIV/0!</v>
      </c>
      <c r="BD54" s="462" t="e">
        <f ca="1"/>
        <v>#DIV/0!</v>
      </c>
      <c r="BE54" s="464">
        <f ca="1"/>
        <v>0</v>
      </c>
      <c r="BF54" s="464" t="e">
        <f ca="1"/>
        <v>#DIV/0!</v>
      </c>
      <c r="BG54" s="466" t="e">
        <f ca="1"/>
        <v>#DIV/0!</v>
      </c>
      <c r="BH54" s="157" t="e">
        <f ca="1"/>
        <v>#DIV/0!</v>
      </c>
      <c r="BI54" s="157" t="e">
        <f ca="1"/>
        <v>#DIV/0!</v>
      </c>
      <c r="BJ54" s="157">
        <f ca="1"/>
        <v>19.746093584299519</v>
      </c>
      <c r="BK54" s="157" t="e">
        <f ca="1"/>
        <v>#DIV/0!</v>
      </c>
      <c r="BL54" s="157" t="e">
        <f ca="1"/>
        <v>#DIV/0!</v>
      </c>
      <c r="BM54" s="468" t="e">
        <f ca="1"/>
        <v>#DIV/0!</v>
      </c>
      <c r="BN54" s="470" t="e">
        <f ca="1"/>
        <v>#DIV/0!</v>
      </c>
      <c r="BO54" s="472" t="e">
        <f ca="1"/>
        <v>#DIV/0!</v>
      </c>
      <c r="BP54" s="462" t="e">
        <f ca="1"/>
        <v>#DIV/0!</v>
      </c>
      <c r="BQ54" s="464">
        <f ca="1"/>
        <v>0</v>
      </c>
      <c r="BR54" s="464" t="e">
        <f ca="1"/>
        <v>#DIV/0!</v>
      </c>
      <c r="BS54" s="466" t="e">
        <f ca="1"/>
        <v>#DIV/0!</v>
      </c>
      <c r="BT54" s="157" t="e">
        <f ca="1"/>
        <v>#DIV/0!</v>
      </c>
      <c r="BU54" s="157" t="e">
        <f ca="1"/>
        <v>#DIV/0!</v>
      </c>
      <c r="BV54" s="157">
        <f ca="1"/>
        <v>14.457688492045476</v>
      </c>
      <c r="BW54" s="157" t="e">
        <f ca="1"/>
        <v>#DIV/0!</v>
      </c>
      <c r="BX54" s="157" t="e">
        <f ca="1"/>
        <v>#DIV/0!</v>
      </c>
      <c r="BY54" s="468" t="e">
        <f ca="1"/>
        <v>#DIV/0!</v>
      </c>
      <c r="BZ54" s="470" t="e">
        <f ca="1"/>
        <v>#DIV/0!</v>
      </c>
      <c r="CA54" s="472" t="e">
        <f ca="1"/>
        <v>#DIV/0!</v>
      </c>
      <c r="CB54" s="462" t="e">
        <f ca="1"/>
        <v>#DIV/0!</v>
      </c>
      <c r="CC54" s="464">
        <f ca="1"/>
        <v>0</v>
      </c>
      <c r="CD54" s="464" t="e">
        <f ca="1"/>
        <v>#DIV/0!</v>
      </c>
      <c r="CE54" s="466" t="e">
        <f ca="1"/>
        <v>#DIV/0!</v>
      </c>
      <c r="CF54" s="157" t="e">
        <f ca="1"/>
        <v>#DIV/0!</v>
      </c>
      <c r="CG54" s="157" t="e">
        <f ca="1"/>
        <v>#DIV/0!</v>
      </c>
      <c r="CH54" s="157">
        <f ca="1"/>
        <v>49.972538902362949</v>
      </c>
      <c r="CI54" s="157" t="e">
        <f ca="1"/>
        <v>#DIV/0!</v>
      </c>
      <c r="CJ54" s="157" t="e">
        <f ca="1"/>
        <v>#DIV/0!</v>
      </c>
      <c r="CK54" s="468" t="e">
        <f ca="1"/>
        <v>#DIV/0!</v>
      </c>
      <c r="CL54" s="470" t="e">
        <f ca="1"/>
        <v>#DIV/0!</v>
      </c>
      <c r="CM54" s="472" t="e">
        <f ca="1"/>
        <v>#DIV/0!</v>
      </c>
      <c r="CN54" s="462" t="e">
        <f ca="1"/>
        <v>#DIV/0!</v>
      </c>
      <c r="CO54" s="464" t="e">
        <f ca="1"/>
        <v>#NUM!</v>
      </c>
      <c r="CP54" s="464" t="e">
        <f ca="1"/>
        <v>#NUM!</v>
      </c>
      <c r="CQ54" s="466" t="e">
        <f ca="1"/>
        <v>#NUM!</v>
      </c>
      <c r="CR54" s="157" t="e">
        <f ca="1"/>
        <v>#DIV/0!</v>
      </c>
      <c r="CS54" s="157" t="e">
        <f ca="1"/>
        <v>#NUM!</v>
      </c>
      <c r="CT54" s="157">
        <f ca="1"/>
        <v>7.4332537923976014</v>
      </c>
      <c r="CU54" s="157" t="e">
        <f ca="1"/>
        <v>#DIV/0!</v>
      </c>
      <c r="CV54" s="157" t="e">
        <f ca="1"/>
        <v>#DIV/0!</v>
      </c>
      <c r="CW54" s="468" t="e">
        <f ca="1"/>
        <v>#DIV/0!</v>
      </c>
      <c r="CX54" s="470" t="e">
        <f ca="1"/>
        <v>#DIV/0!</v>
      </c>
      <c r="CY54" s="472" t="e">
        <f ca="1"/>
        <v>#DIV/0!</v>
      </c>
      <c r="CZ54" s="173" t="e">
        <f t="shared" ca="1" si="3"/>
        <v>#DIV/0!</v>
      </c>
      <c r="DA54" s="173" t="e">
        <f t="shared" ca="1" si="3"/>
        <v>#DIV/0!</v>
      </c>
      <c r="DB54" s="462" t="e">
        <f ca="1"/>
        <v>#DIV/0!</v>
      </c>
      <c r="DC54" s="464">
        <f ca="1"/>
        <v>0</v>
      </c>
      <c r="DD54" s="464" t="e">
        <f ca="1"/>
        <v>#DIV/0!</v>
      </c>
      <c r="DE54" s="466" t="e">
        <f ca="1"/>
        <v>#DIV/0!</v>
      </c>
      <c r="DF54" s="157" t="e">
        <f ca="1"/>
        <v>#DIV/0!</v>
      </c>
      <c r="DG54" s="157" t="e">
        <f ca="1"/>
        <v>#DIV/0!</v>
      </c>
      <c r="DH54" s="157">
        <f ca="1"/>
        <v>21275.850138691058</v>
      </c>
      <c r="DI54" s="157" t="e">
        <f ca="1"/>
        <v>#DIV/0!</v>
      </c>
      <c r="DJ54" s="157" t="e">
        <f ca="1"/>
        <v>#DIV/0!</v>
      </c>
      <c r="DK54" s="468" t="e">
        <f ca="1"/>
        <v>#DIV/0!</v>
      </c>
      <c r="DL54" s="470" t="e">
        <f ca="1"/>
        <v>#DIV/0!</v>
      </c>
      <c r="DM54" s="472" t="e">
        <f ca="1"/>
        <v>#DIV/0!</v>
      </c>
      <c r="DN54" s="462" t="e">
        <f ca="1"/>
        <v>#DIV/0!</v>
      </c>
      <c r="DO54" s="464">
        <f ca="1"/>
        <v>0</v>
      </c>
      <c r="DP54" s="464" t="e">
        <f ca="1"/>
        <v>#DIV/0!</v>
      </c>
      <c r="DQ54" s="466" t="e">
        <f ca="1"/>
        <v>#DIV/0!</v>
      </c>
      <c r="DR54" s="157" t="e">
        <f ca="1"/>
        <v>#DIV/0!</v>
      </c>
      <c r="DS54" s="157" t="e">
        <f ca="1"/>
        <v>#DIV/0!</v>
      </c>
      <c r="DT54" s="157">
        <f ca="1"/>
        <v>17522.604479643953</v>
      </c>
      <c r="DU54" s="157" t="e">
        <f ca="1"/>
        <v>#DIV/0!</v>
      </c>
      <c r="DV54" s="157" t="e">
        <f ca="1"/>
        <v>#DIV/0!</v>
      </c>
      <c r="DW54" s="468" t="e">
        <f ca="1"/>
        <v>#DIV/0!</v>
      </c>
      <c r="DX54" s="470" t="e">
        <f ca="1"/>
        <v>#DIV/0!</v>
      </c>
      <c r="DY54" s="472" t="e">
        <f ca="1"/>
        <v>#DIV/0!</v>
      </c>
      <c r="DZ54" s="462" t="e">
        <f ca="1"/>
        <v>#DIV/0!</v>
      </c>
      <c r="EA54" s="464">
        <f ca="1"/>
        <v>0</v>
      </c>
      <c r="EB54" s="464" t="e">
        <f ca="1"/>
        <v>#DIV/0!</v>
      </c>
      <c r="EC54" s="466" t="e">
        <f ca="1"/>
        <v>#DIV/0!</v>
      </c>
      <c r="ED54" s="157" t="e">
        <f ca="1"/>
        <v>#DIV/0!</v>
      </c>
      <c r="EE54" s="157" t="e">
        <f ca="1"/>
        <v>#DIV/0!</v>
      </c>
      <c r="EF54" s="157">
        <f ca="1"/>
        <v>13767.505191696675</v>
      </c>
      <c r="EG54" s="157" t="e">
        <f ca="1"/>
        <v>#DIV/0!</v>
      </c>
      <c r="EH54" s="157" t="e">
        <f ca="1"/>
        <v>#DIV/0!</v>
      </c>
      <c r="EI54" s="468" t="e">
        <f ca="1"/>
        <v>#DIV/0!</v>
      </c>
      <c r="EJ54" s="470" t="e">
        <f ca="1"/>
        <v>#DIV/0!</v>
      </c>
      <c r="EK54" s="472" t="e">
        <f ca="1"/>
        <v>#DIV/0!</v>
      </c>
      <c r="EL54" s="462" t="e">
        <f ca="1"/>
        <v>#DIV/0!</v>
      </c>
      <c r="EM54" s="464" t="e">
        <f ca="1"/>
        <v>#NUM!</v>
      </c>
      <c r="EN54" s="464" t="e">
        <f ca="1"/>
        <v>#NUM!</v>
      </c>
      <c r="EO54" s="466" t="e">
        <f ca="1"/>
        <v>#NUM!</v>
      </c>
      <c r="EP54" s="157" t="e">
        <f ca="1"/>
        <v>#DIV/0!</v>
      </c>
      <c r="EQ54" s="157" t="e">
        <f ca="1"/>
        <v>#NUM!</v>
      </c>
      <c r="ER54" s="157">
        <f ca="1"/>
        <v>2615.7708299267715</v>
      </c>
      <c r="ES54" s="157" t="e">
        <f ca="1"/>
        <v>#DIV/0!</v>
      </c>
      <c r="ET54" s="157" t="e">
        <f ca="1"/>
        <v>#DIV/0!</v>
      </c>
      <c r="EU54" s="468" t="e">
        <f ca="1"/>
        <v>#DIV/0!</v>
      </c>
      <c r="EV54" s="470" t="e">
        <f ca="1"/>
        <v>#DIV/0!</v>
      </c>
      <c r="EW54" s="472" t="e">
        <f ca="1"/>
        <v>#DIV/0!</v>
      </c>
      <c r="EX54" s="462" t="e">
        <f ca="1"/>
        <v>#DIV/0!</v>
      </c>
      <c r="EY54" s="464" t="e">
        <f ca="1"/>
        <v>#NUM!</v>
      </c>
      <c r="EZ54" s="464" t="e">
        <f ca="1"/>
        <v>#NUM!</v>
      </c>
      <c r="FA54" s="466" t="e">
        <f ca="1"/>
        <v>#NUM!</v>
      </c>
      <c r="FB54" s="157" t="e">
        <f ca="1"/>
        <v>#DIV/0!</v>
      </c>
      <c r="FC54" s="157" t="e">
        <f ca="1"/>
        <v>#NUM!</v>
      </c>
      <c r="FD54" s="157">
        <f ca="1"/>
        <v>5358.0760593320538</v>
      </c>
      <c r="FE54" s="157" t="e">
        <f ca="1"/>
        <v>#DIV/0!</v>
      </c>
      <c r="FF54" s="157" t="e">
        <f ca="1"/>
        <v>#DIV/0!</v>
      </c>
      <c r="FG54" s="468" t="e">
        <f ca="1"/>
        <v>#DIV/0!</v>
      </c>
      <c r="FH54" s="470" t="e">
        <f ca="1"/>
        <v>#DIV/0!</v>
      </c>
      <c r="FI54" s="472" t="e">
        <f ca="1"/>
        <v>#DIV/0!</v>
      </c>
      <c r="FJ54" s="173" t="e">
        <f t="shared" ca="1" si="4"/>
        <v>#DIV/0!</v>
      </c>
      <c r="FK54" s="173" t="e">
        <f t="shared" ca="1" si="4"/>
        <v>#DIV/0!</v>
      </c>
      <c r="FL54" s="462" t="e">
        <f ca="1"/>
        <v>#DIV/0!</v>
      </c>
      <c r="FM54" s="464">
        <f ca="1"/>
        <v>0</v>
      </c>
      <c r="FN54" s="464" t="e">
        <f ca="1"/>
        <v>#DIV/0!</v>
      </c>
      <c r="FO54" s="466" t="e">
        <f ca="1"/>
        <v>#DIV/0!</v>
      </c>
      <c r="FP54" s="157" t="e">
        <f ca="1"/>
        <v>#DIV/0!</v>
      </c>
      <c r="FQ54" s="157" t="e">
        <f ca="1"/>
        <v>#DIV/0!</v>
      </c>
      <c r="FR54" s="157" t="e">
        <f ca="1"/>
        <v>#DIV/0!</v>
      </c>
      <c r="FS54" s="157">
        <f ca="1"/>
        <v>2110.4335499168337</v>
      </c>
      <c r="FT54" s="468" t="e">
        <f ca="1"/>
        <v>#DIV/0!</v>
      </c>
      <c r="FU54" s="470" t="e">
        <f ca="1"/>
        <v>#DIV/0!</v>
      </c>
      <c r="FV54" s="470" t="e">
        <f ca="1"/>
        <v>#DIV/0!</v>
      </c>
      <c r="FW54" s="462" t="e">
        <f ca="1"/>
        <v>#DIV/0!</v>
      </c>
      <c r="FX54" s="464" t="e">
        <f ca="1"/>
        <v>#NUM!</v>
      </c>
      <c r="FY54" s="464" t="e">
        <f ca="1"/>
        <v>#NUM!</v>
      </c>
      <c r="FZ54" s="466" t="e">
        <f ca="1"/>
        <v>#NUM!</v>
      </c>
      <c r="GA54" s="157" t="e">
        <f ca="1"/>
        <v>#DIV/0!</v>
      </c>
      <c r="GB54" s="157" t="e">
        <f ca="1"/>
        <v>#NUM!</v>
      </c>
      <c r="GC54" s="157" t="e">
        <f ca="1"/>
        <v>#DIV/0!</v>
      </c>
      <c r="GD54" s="157">
        <f ca="1"/>
        <v>44.723665059712602</v>
      </c>
      <c r="GE54" s="468" t="e">
        <f ca="1"/>
        <v>#DIV/0!</v>
      </c>
      <c r="GF54" s="470" t="e">
        <f ca="1"/>
        <v>#DIV/0!</v>
      </c>
      <c r="GG54" s="470" t="e">
        <f ca="1"/>
        <v>#DIV/0!</v>
      </c>
      <c r="GH54" s="173" t="e">
        <f t="shared" ca="1" si="7"/>
        <v>#DIV/0!</v>
      </c>
      <c r="GI54" s="173" t="e">
        <f t="shared" ca="1" si="7"/>
        <v>#DIV/0!</v>
      </c>
    </row>
    <row r="55" spans="2:191" ht="15">
      <c r="B55" s="169"/>
      <c r="C55" s="87">
        <f>'Oil supply projection'!B55</f>
        <v>2064</v>
      </c>
      <c r="D55" s="460" t="e">
        <f ca="1"/>
        <v>#DIV/0!</v>
      </c>
      <c r="E55" s="460" t="e">
        <f ca="1"/>
        <v>#DIV/0!</v>
      </c>
      <c r="F55" s="462" t="e">
        <f ca="1"/>
        <v>#DIV/0!</v>
      </c>
      <c r="G55" s="464">
        <f ca="1"/>
        <v>0</v>
      </c>
      <c r="H55" s="464" t="e">
        <f ca="1"/>
        <v>#DIV/0!</v>
      </c>
      <c r="I55" s="466" t="e">
        <f ca="1"/>
        <v>#DIV/0!</v>
      </c>
      <c r="J55" s="157" t="e">
        <f ca="1"/>
        <v>#DIV/0!</v>
      </c>
      <c r="K55" s="157" t="e">
        <f ca="1"/>
        <v>#DIV/0!</v>
      </c>
      <c r="L55" s="157">
        <f ca="1"/>
        <v>45.59431804461493</v>
      </c>
      <c r="M55" s="157" t="e">
        <f ca="1"/>
        <v>#DIV/0!</v>
      </c>
      <c r="N55" s="157" t="e">
        <f ca="1"/>
        <v>#DIV/0!</v>
      </c>
      <c r="O55" s="468" t="e">
        <f ca="1"/>
        <v>#DIV/0!</v>
      </c>
      <c r="P55" s="470" t="e">
        <f ca="1"/>
        <v>#DIV/0!</v>
      </c>
      <c r="Q55" s="472" t="e">
        <f ca="1"/>
        <v>#DIV/0!</v>
      </c>
      <c r="R55" s="462" t="e">
        <f ca="1"/>
        <v>#DIV/0!</v>
      </c>
      <c r="S55" s="464">
        <f ca="1"/>
        <v>0</v>
      </c>
      <c r="T55" s="464" t="e">
        <f ca="1"/>
        <v>#DIV/0!</v>
      </c>
      <c r="U55" s="466" t="e">
        <f ca="1"/>
        <v>#DIV/0!</v>
      </c>
      <c r="V55" s="157" t="e">
        <f ca="1"/>
        <v>#DIV/0!</v>
      </c>
      <c r="W55" s="157" t="e">
        <f ca="1"/>
        <v>#DIV/0!</v>
      </c>
      <c r="X55" s="157">
        <f ca="1"/>
        <v>62.180333785935119</v>
      </c>
      <c r="Y55" s="157" t="e">
        <f ca="1"/>
        <v>#DIV/0!</v>
      </c>
      <c r="Z55" s="157" t="e">
        <f ca="1"/>
        <v>#DIV/0!</v>
      </c>
      <c r="AA55" s="468" t="e">
        <f ca="1"/>
        <v>#DIV/0!</v>
      </c>
      <c r="AB55" s="470" t="e">
        <f ca="1"/>
        <v>#DIV/0!</v>
      </c>
      <c r="AC55" s="472" t="e">
        <f ca="1"/>
        <v>#DIV/0!</v>
      </c>
      <c r="AD55" s="462" t="e">
        <f ca="1"/>
        <v>#DIV/0!</v>
      </c>
      <c r="AE55" s="464">
        <f ca="1"/>
        <v>0</v>
      </c>
      <c r="AF55" s="464" t="e">
        <f ca="1"/>
        <v>#DIV/0!</v>
      </c>
      <c r="AG55" s="466" t="e">
        <f ca="1"/>
        <v>#DIV/0!</v>
      </c>
      <c r="AH55" s="157" t="e">
        <f ca="1"/>
        <v>#DIV/0!</v>
      </c>
      <c r="AI55" s="157" t="e">
        <f ca="1"/>
        <v>#DIV/0!</v>
      </c>
      <c r="AJ55" s="157">
        <f ca="1"/>
        <v>813.46771549179357</v>
      </c>
      <c r="AK55" s="157" t="e">
        <f ca="1"/>
        <v>#DIV/0!</v>
      </c>
      <c r="AL55" s="157" t="e">
        <f ca="1"/>
        <v>#DIV/0!</v>
      </c>
      <c r="AM55" s="468" t="e">
        <f ca="1"/>
        <v>#DIV/0!</v>
      </c>
      <c r="AN55" s="470" t="e">
        <f ca="1"/>
        <v>#DIV/0!</v>
      </c>
      <c r="AO55" s="472" t="e">
        <f ca="1"/>
        <v>#DIV/0!</v>
      </c>
      <c r="AP55" s="462" t="e">
        <f ca="1"/>
        <v>#DIV/0!</v>
      </c>
      <c r="AQ55" s="464" t="e">
        <f ca="1"/>
        <v>#NUM!</v>
      </c>
      <c r="AR55" s="464" t="e">
        <f ca="1"/>
        <v>#NUM!</v>
      </c>
      <c r="AS55" s="466" t="e">
        <f ca="1"/>
        <v>#NUM!</v>
      </c>
      <c r="AT55" s="157" t="e">
        <f ca="1"/>
        <v>#DIV/0!</v>
      </c>
      <c r="AU55" s="157" t="e">
        <f ca="1"/>
        <v>#NUM!</v>
      </c>
      <c r="AV55" s="157">
        <f ca="1"/>
        <v>1466.193833761716</v>
      </c>
      <c r="AW55" s="157" t="e">
        <f ca="1"/>
        <v>#DIV/0!</v>
      </c>
      <c r="AX55" s="157" t="e">
        <f ca="1"/>
        <v>#DIV/0!</v>
      </c>
      <c r="AY55" s="468" t="e">
        <f ca="1"/>
        <v>#DIV/0!</v>
      </c>
      <c r="AZ55" s="470" t="e">
        <f ca="1"/>
        <v>#DIV/0!</v>
      </c>
      <c r="BA55" s="472" t="e">
        <f ca="1"/>
        <v>#DIV/0!</v>
      </c>
      <c r="BB55" s="173" t="e">
        <f t="shared" ca="1" si="5"/>
        <v>#DIV/0!</v>
      </c>
      <c r="BC55" s="173" t="e">
        <f t="shared" ca="1" si="6"/>
        <v>#DIV/0!</v>
      </c>
      <c r="BD55" s="462" t="e">
        <f ca="1"/>
        <v>#DIV/0!</v>
      </c>
      <c r="BE55" s="464">
        <f ca="1"/>
        <v>0</v>
      </c>
      <c r="BF55" s="464" t="e">
        <f ca="1"/>
        <v>#DIV/0!</v>
      </c>
      <c r="BG55" s="466" t="e">
        <f ca="1"/>
        <v>#DIV/0!</v>
      </c>
      <c r="BH55" s="157" t="e">
        <f ca="1"/>
        <v>#DIV/0!</v>
      </c>
      <c r="BI55" s="157" t="e">
        <f ca="1"/>
        <v>#DIV/0!</v>
      </c>
      <c r="BJ55" s="157">
        <f ca="1"/>
        <v>19.862667039354143</v>
      </c>
      <c r="BK55" s="157" t="e">
        <f ca="1"/>
        <v>#DIV/0!</v>
      </c>
      <c r="BL55" s="157" t="e">
        <f ca="1"/>
        <v>#DIV/0!</v>
      </c>
      <c r="BM55" s="468" t="e">
        <f ca="1"/>
        <v>#DIV/0!</v>
      </c>
      <c r="BN55" s="470" t="e">
        <f ca="1"/>
        <v>#DIV/0!</v>
      </c>
      <c r="BO55" s="472" t="e">
        <f ca="1"/>
        <v>#DIV/0!</v>
      </c>
      <c r="BP55" s="462" t="e">
        <f ca="1"/>
        <v>#DIV/0!</v>
      </c>
      <c r="BQ55" s="464">
        <f ca="1"/>
        <v>0</v>
      </c>
      <c r="BR55" s="464" t="e">
        <f ca="1"/>
        <v>#DIV/0!</v>
      </c>
      <c r="BS55" s="466" t="e">
        <f ca="1"/>
        <v>#DIV/0!</v>
      </c>
      <c r="BT55" s="157" t="e">
        <f ca="1"/>
        <v>#DIV/0!</v>
      </c>
      <c r="BU55" s="157" t="e">
        <f ca="1"/>
        <v>#DIV/0!</v>
      </c>
      <c r="BV55" s="157">
        <f ca="1"/>
        <v>14.543041207124338</v>
      </c>
      <c r="BW55" s="157" t="e">
        <f ca="1"/>
        <v>#DIV/0!</v>
      </c>
      <c r="BX55" s="157" t="e">
        <f ca="1"/>
        <v>#DIV/0!</v>
      </c>
      <c r="BY55" s="468" t="e">
        <f ca="1"/>
        <v>#DIV/0!</v>
      </c>
      <c r="BZ55" s="470" t="e">
        <f ca="1"/>
        <v>#DIV/0!</v>
      </c>
      <c r="CA55" s="472" t="e">
        <f ca="1"/>
        <v>#DIV/0!</v>
      </c>
      <c r="CB55" s="462" t="e">
        <f ca="1"/>
        <v>#DIV/0!</v>
      </c>
      <c r="CC55" s="464">
        <f ca="1"/>
        <v>0</v>
      </c>
      <c r="CD55" s="464" t="e">
        <f ca="1"/>
        <v>#DIV/0!</v>
      </c>
      <c r="CE55" s="466" t="e">
        <f ca="1"/>
        <v>#DIV/0!</v>
      </c>
      <c r="CF55" s="157" t="e">
        <f ca="1"/>
        <v>#DIV/0!</v>
      </c>
      <c r="CG55" s="157" t="e">
        <f ca="1"/>
        <v>#DIV/0!</v>
      </c>
      <c r="CH55" s="157">
        <f ca="1"/>
        <v>50.267557838277042</v>
      </c>
      <c r="CI55" s="157" t="e">
        <f ca="1"/>
        <v>#DIV/0!</v>
      </c>
      <c r="CJ55" s="157" t="e">
        <f ca="1"/>
        <v>#DIV/0!</v>
      </c>
      <c r="CK55" s="468" t="e">
        <f ca="1"/>
        <v>#DIV/0!</v>
      </c>
      <c r="CL55" s="470" t="e">
        <f ca="1"/>
        <v>#DIV/0!</v>
      </c>
      <c r="CM55" s="472" t="e">
        <f ca="1"/>
        <v>#DIV/0!</v>
      </c>
      <c r="CN55" s="462" t="e">
        <f ca="1"/>
        <v>#DIV/0!</v>
      </c>
      <c r="CO55" s="464" t="e">
        <f ca="1"/>
        <v>#NUM!</v>
      </c>
      <c r="CP55" s="464" t="e">
        <f ca="1"/>
        <v>#NUM!</v>
      </c>
      <c r="CQ55" s="466" t="e">
        <f ca="1"/>
        <v>#NUM!</v>
      </c>
      <c r="CR55" s="157" t="e">
        <f ca="1"/>
        <v>#DIV/0!</v>
      </c>
      <c r="CS55" s="157" t="e">
        <f ca="1"/>
        <v>#NUM!</v>
      </c>
      <c r="CT55" s="157">
        <f ca="1"/>
        <v>7.4771369064514452</v>
      </c>
      <c r="CU55" s="157" t="e">
        <f ca="1"/>
        <v>#DIV/0!</v>
      </c>
      <c r="CV55" s="157" t="e">
        <f ca="1"/>
        <v>#DIV/0!</v>
      </c>
      <c r="CW55" s="468" t="e">
        <f ca="1"/>
        <v>#DIV/0!</v>
      </c>
      <c r="CX55" s="470" t="e">
        <f ca="1"/>
        <v>#DIV/0!</v>
      </c>
      <c r="CY55" s="472" t="e">
        <f ca="1"/>
        <v>#DIV/0!</v>
      </c>
      <c r="CZ55" s="173" t="e">
        <f t="shared" ca="1" si="3"/>
        <v>#DIV/0!</v>
      </c>
      <c r="DA55" s="173" t="e">
        <f t="shared" ca="1" si="3"/>
        <v>#DIV/0!</v>
      </c>
      <c r="DB55" s="462" t="e">
        <f ca="1"/>
        <v>#DIV/0!</v>
      </c>
      <c r="DC55" s="464">
        <f ca="1"/>
        <v>0</v>
      </c>
      <c r="DD55" s="464" t="e">
        <f ca="1"/>
        <v>#DIV/0!</v>
      </c>
      <c r="DE55" s="466" t="e">
        <f ca="1"/>
        <v>#DIV/0!</v>
      </c>
      <c r="DF55" s="157" t="e">
        <f ca="1"/>
        <v>#DIV/0!</v>
      </c>
      <c r="DG55" s="157" t="e">
        <f ca="1"/>
        <v>#DIV/0!</v>
      </c>
      <c r="DH55" s="157">
        <f ca="1"/>
        <v>21494.940559698007</v>
      </c>
      <c r="DI55" s="157" t="e">
        <f ca="1"/>
        <v>#DIV/0!</v>
      </c>
      <c r="DJ55" s="157" t="e">
        <f ca="1"/>
        <v>#DIV/0!</v>
      </c>
      <c r="DK55" s="468" t="e">
        <f ca="1"/>
        <v>#DIV/0!</v>
      </c>
      <c r="DL55" s="470" t="e">
        <f ca="1"/>
        <v>#DIV/0!</v>
      </c>
      <c r="DM55" s="472" t="e">
        <f ca="1"/>
        <v>#DIV/0!</v>
      </c>
      <c r="DN55" s="462" t="e">
        <f ca="1"/>
        <v>#DIV/0!</v>
      </c>
      <c r="DO55" s="464">
        <f ca="1"/>
        <v>0</v>
      </c>
      <c r="DP55" s="464" t="e">
        <f ca="1"/>
        <v>#DIV/0!</v>
      </c>
      <c r="DQ55" s="466" t="e">
        <f ca="1"/>
        <v>#DIV/0!</v>
      </c>
      <c r="DR55" s="157" t="e">
        <f ca="1"/>
        <v>#DIV/0!</v>
      </c>
      <c r="DS55" s="157" t="e">
        <f ca="1"/>
        <v>#DIV/0!</v>
      </c>
      <c r="DT55" s="157">
        <f ca="1"/>
        <v>17703.04543817477</v>
      </c>
      <c r="DU55" s="157" t="e">
        <f ca="1"/>
        <v>#DIV/0!</v>
      </c>
      <c r="DV55" s="157" t="e">
        <f ca="1"/>
        <v>#DIV/0!</v>
      </c>
      <c r="DW55" s="468" t="e">
        <f ca="1"/>
        <v>#DIV/0!</v>
      </c>
      <c r="DX55" s="470" t="e">
        <f ca="1"/>
        <v>#DIV/0!</v>
      </c>
      <c r="DY55" s="472" t="e">
        <f ca="1"/>
        <v>#DIV/0!</v>
      </c>
      <c r="DZ55" s="462" t="e">
        <f ca="1"/>
        <v>#DIV/0!</v>
      </c>
      <c r="EA55" s="464">
        <f ca="1"/>
        <v>0</v>
      </c>
      <c r="EB55" s="464" t="e">
        <f ca="1"/>
        <v>#DIV/0!</v>
      </c>
      <c r="EC55" s="466" t="e">
        <f ca="1"/>
        <v>#DIV/0!</v>
      </c>
      <c r="ED55" s="157" t="e">
        <f ca="1"/>
        <v>#DIV/0!</v>
      </c>
      <c r="EE55" s="157" t="e">
        <f ca="1"/>
        <v>#DIV/0!</v>
      </c>
      <c r="EF55" s="157">
        <f ca="1"/>
        <v>13909.277599802655</v>
      </c>
      <c r="EG55" s="157" t="e">
        <f ca="1"/>
        <v>#DIV/0!</v>
      </c>
      <c r="EH55" s="157" t="e">
        <f ca="1"/>
        <v>#DIV/0!</v>
      </c>
      <c r="EI55" s="468" t="e">
        <f ca="1"/>
        <v>#DIV/0!</v>
      </c>
      <c r="EJ55" s="470" t="e">
        <f ca="1"/>
        <v>#DIV/0!</v>
      </c>
      <c r="EK55" s="472" t="e">
        <f ca="1"/>
        <v>#DIV/0!</v>
      </c>
      <c r="EL55" s="462" t="e">
        <f ca="1"/>
        <v>#DIV/0!</v>
      </c>
      <c r="EM55" s="464" t="e">
        <f ca="1"/>
        <v>#NUM!</v>
      </c>
      <c r="EN55" s="464" t="e">
        <f ca="1"/>
        <v>#NUM!</v>
      </c>
      <c r="EO55" s="466" t="e">
        <f ca="1"/>
        <v>#NUM!</v>
      </c>
      <c r="EP55" s="157" t="e">
        <f ca="1"/>
        <v>#DIV/0!</v>
      </c>
      <c r="EQ55" s="157" t="e">
        <f ca="1"/>
        <v>#NUM!</v>
      </c>
      <c r="ER55" s="157">
        <f ca="1"/>
        <v>2642.7070194867911</v>
      </c>
      <c r="ES55" s="157" t="e">
        <f ca="1"/>
        <v>#DIV/0!</v>
      </c>
      <c r="ET55" s="157" t="e">
        <f ca="1"/>
        <v>#DIV/0!</v>
      </c>
      <c r="EU55" s="468" t="e">
        <f ca="1"/>
        <v>#DIV/0!</v>
      </c>
      <c r="EV55" s="470" t="e">
        <f ca="1"/>
        <v>#DIV/0!</v>
      </c>
      <c r="EW55" s="472" t="e">
        <f ca="1"/>
        <v>#DIV/0!</v>
      </c>
      <c r="EX55" s="462" t="e">
        <f ca="1"/>
        <v>#DIV/0!</v>
      </c>
      <c r="EY55" s="464" t="e">
        <f ca="1"/>
        <v>#NUM!</v>
      </c>
      <c r="EZ55" s="464" t="e">
        <f ca="1"/>
        <v>#NUM!</v>
      </c>
      <c r="FA55" s="466" t="e">
        <f ca="1"/>
        <v>#NUM!</v>
      </c>
      <c r="FB55" s="157" t="e">
        <f ca="1"/>
        <v>#DIV/0!</v>
      </c>
      <c r="FC55" s="157" t="e">
        <f ca="1"/>
        <v>#NUM!</v>
      </c>
      <c r="FD55" s="157">
        <f ca="1"/>
        <v>5413.251440431939</v>
      </c>
      <c r="FE55" s="157" t="e">
        <f ca="1"/>
        <v>#DIV/0!</v>
      </c>
      <c r="FF55" s="157" t="e">
        <f ca="1"/>
        <v>#DIV/0!</v>
      </c>
      <c r="FG55" s="468" t="e">
        <f ca="1"/>
        <v>#DIV/0!</v>
      </c>
      <c r="FH55" s="470" t="e">
        <f ca="1"/>
        <v>#DIV/0!</v>
      </c>
      <c r="FI55" s="472" t="e">
        <f ca="1"/>
        <v>#DIV/0!</v>
      </c>
      <c r="FJ55" s="173" t="e">
        <f t="shared" ca="1" si="4"/>
        <v>#DIV/0!</v>
      </c>
      <c r="FK55" s="173" t="e">
        <f t="shared" ca="1" si="4"/>
        <v>#DIV/0!</v>
      </c>
      <c r="FL55" s="462" t="e">
        <f ca="1"/>
        <v>#DIV/0!</v>
      </c>
      <c r="FM55" s="464">
        <f ca="1"/>
        <v>0</v>
      </c>
      <c r="FN55" s="464" t="e">
        <f ca="1"/>
        <v>#DIV/0!</v>
      </c>
      <c r="FO55" s="466" t="e">
        <f ca="1"/>
        <v>#DIV/0!</v>
      </c>
      <c r="FP55" s="157" t="e">
        <f ca="1"/>
        <v>#DIV/0!</v>
      </c>
      <c r="FQ55" s="157" t="e">
        <f ca="1"/>
        <v>#DIV/0!</v>
      </c>
      <c r="FR55" s="157" t="e">
        <f ca="1"/>
        <v>#DIV/0!</v>
      </c>
      <c r="FS55" s="157">
        <f ca="1"/>
        <v>2122.2091064368678</v>
      </c>
      <c r="FT55" s="468" t="e">
        <f ca="1"/>
        <v>#DIV/0!</v>
      </c>
      <c r="FU55" s="470" t="e">
        <f ca="1"/>
        <v>#DIV/0!</v>
      </c>
      <c r="FV55" s="470" t="e">
        <f ca="1"/>
        <v>#DIV/0!</v>
      </c>
      <c r="FW55" s="462" t="e">
        <f ca="1"/>
        <v>#DIV/0!</v>
      </c>
      <c r="FX55" s="464" t="e">
        <f ca="1"/>
        <v>#NUM!</v>
      </c>
      <c r="FY55" s="464" t="e">
        <f ca="1"/>
        <v>#NUM!</v>
      </c>
      <c r="FZ55" s="466" t="e">
        <f ca="1"/>
        <v>#NUM!</v>
      </c>
      <c r="GA55" s="157" t="e">
        <f ca="1"/>
        <v>#DIV/0!</v>
      </c>
      <c r="GB55" s="157" t="e">
        <f ca="1"/>
        <v>#NUM!</v>
      </c>
      <c r="GC55" s="157" t="e">
        <f ca="1"/>
        <v>#DIV/0!</v>
      </c>
      <c r="GD55" s="157">
        <f ca="1"/>
        <v>44.973209067252881</v>
      </c>
      <c r="GE55" s="468" t="e">
        <f ca="1"/>
        <v>#DIV/0!</v>
      </c>
      <c r="GF55" s="470" t="e">
        <f ca="1"/>
        <v>#DIV/0!</v>
      </c>
      <c r="GG55" s="470" t="e">
        <f ca="1"/>
        <v>#DIV/0!</v>
      </c>
      <c r="GH55" s="173" t="e">
        <f t="shared" ca="1" si="7"/>
        <v>#DIV/0!</v>
      </c>
      <c r="GI55" s="173" t="e">
        <f t="shared" ca="1" si="7"/>
        <v>#DIV/0!</v>
      </c>
    </row>
    <row r="56" spans="2:191" ht="15">
      <c r="B56" s="169"/>
      <c r="C56" s="87">
        <f>'Oil supply projection'!B56</f>
        <v>2065</v>
      </c>
      <c r="D56" s="460" t="e">
        <f ca="1"/>
        <v>#DIV/0!</v>
      </c>
      <c r="E56" s="460" t="e">
        <f ca="1"/>
        <v>#DIV/0!</v>
      </c>
      <c r="F56" s="462" t="e">
        <f ca="1"/>
        <v>#DIV/0!</v>
      </c>
      <c r="G56" s="464">
        <f ca="1"/>
        <v>0</v>
      </c>
      <c r="H56" s="464" t="e">
        <f ca="1"/>
        <v>#DIV/0!</v>
      </c>
      <c r="I56" s="466" t="e">
        <f ca="1"/>
        <v>#DIV/0!</v>
      </c>
      <c r="J56" s="157" t="e">
        <f ca="1"/>
        <v>#DIV/0!</v>
      </c>
      <c r="K56" s="157" t="e">
        <f ca="1"/>
        <v>#DIV/0!</v>
      </c>
      <c r="L56" s="157">
        <f ca="1"/>
        <v>46.200603423407827</v>
      </c>
      <c r="M56" s="157" t="e">
        <f ca="1"/>
        <v>#DIV/0!</v>
      </c>
      <c r="N56" s="157" t="e">
        <f ca="1"/>
        <v>#DIV/0!</v>
      </c>
      <c r="O56" s="468" t="e">
        <f ca="1"/>
        <v>#DIV/0!</v>
      </c>
      <c r="P56" s="470" t="e">
        <f ca="1"/>
        <v>#DIV/0!</v>
      </c>
      <c r="Q56" s="472" t="e">
        <f ca="1"/>
        <v>#DIV/0!</v>
      </c>
      <c r="R56" s="462" t="e">
        <f ca="1"/>
        <v>#DIV/0!</v>
      </c>
      <c r="S56" s="464">
        <f ca="1"/>
        <v>0</v>
      </c>
      <c r="T56" s="464" t="e">
        <f ca="1"/>
        <v>#DIV/0!</v>
      </c>
      <c r="U56" s="466" t="e">
        <f ca="1"/>
        <v>#DIV/0!</v>
      </c>
      <c r="V56" s="157" t="e">
        <f ca="1"/>
        <v>#DIV/0!</v>
      </c>
      <c r="W56" s="157" t="e">
        <f ca="1"/>
        <v>#DIV/0!</v>
      </c>
      <c r="X56" s="157">
        <f ca="1"/>
        <v>63.007169866386761</v>
      </c>
      <c r="Y56" s="157" t="e">
        <f ca="1"/>
        <v>#DIV/0!</v>
      </c>
      <c r="Z56" s="157" t="e">
        <f ca="1"/>
        <v>#DIV/0!</v>
      </c>
      <c r="AA56" s="468" t="e">
        <f ca="1"/>
        <v>#DIV/0!</v>
      </c>
      <c r="AB56" s="470" t="e">
        <f ca="1"/>
        <v>#DIV/0!</v>
      </c>
      <c r="AC56" s="472" t="e">
        <f ca="1"/>
        <v>#DIV/0!</v>
      </c>
      <c r="AD56" s="462" t="e">
        <f ca="1"/>
        <v>#DIV/0!</v>
      </c>
      <c r="AE56" s="464">
        <f ca="1"/>
        <v>0</v>
      </c>
      <c r="AF56" s="464" t="e">
        <f ca="1"/>
        <v>#DIV/0!</v>
      </c>
      <c r="AG56" s="466" t="e">
        <f ca="1"/>
        <v>#DIV/0!</v>
      </c>
      <c r="AH56" s="157" t="e">
        <f ca="1"/>
        <v>#DIV/0!</v>
      </c>
      <c r="AI56" s="157" t="e">
        <f ca="1"/>
        <v>#DIV/0!</v>
      </c>
      <c r="AJ56" s="157">
        <f ca="1"/>
        <v>824.28471206448353</v>
      </c>
      <c r="AK56" s="157" t="e">
        <f ca="1"/>
        <v>#DIV/0!</v>
      </c>
      <c r="AL56" s="157" t="e">
        <f ca="1"/>
        <v>#DIV/0!</v>
      </c>
      <c r="AM56" s="468" t="e">
        <f ca="1"/>
        <v>#DIV/0!</v>
      </c>
      <c r="AN56" s="470" t="e">
        <f ca="1"/>
        <v>#DIV/0!</v>
      </c>
      <c r="AO56" s="472" t="e">
        <f ca="1"/>
        <v>#DIV/0!</v>
      </c>
      <c r="AP56" s="462" t="e">
        <f ca="1"/>
        <v>#DIV/0!</v>
      </c>
      <c r="AQ56" s="464" t="e">
        <f ca="1"/>
        <v>#NUM!</v>
      </c>
      <c r="AR56" s="464" t="e">
        <f ca="1"/>
        <v>#NUM!</v>
      </c>
      <c r="AS56" s="466" t="e">
        <f ca="1"/>
        <v>#NUM!</v>
      </c>
      <c r="AT56" s="157" t="e">
        <f ca="1"/>
        <v>#DIV/0!</v>
      </c>
      <c r="AU56" s="157" t="e">
        <f ca="1"/>
        <v>#NUM!</v>
      </c>
      <c r="AV56" s="157">
        <f ca="1"/>
        <v>1485.6903833759945</v>
      </c>
      <c r="AW56" s="157" t="e">
        <f ca="1"/>
        <v>#DIV/0!</v>
      </c>
      <c r="AX56" s="157" t="e">
        <f ca="1"/>
        <v>#DIV/0!</v>
      </c>
      <c r="AY56" s="468" t="e">
        <f ca="1"/>
        <v>#DIV/0!</v>
      </c>
      <c r="AZ56" s="470" t="e">
        <f ca="1"/>
        <v>#DIV/0!</v>
      </c>
      <c r="BA56" s="472" t="e">
        <f ca="1"/>
        <v>#DIV/0!</v>
      </c>
      <c r="BB56" s="173" t="e">
        <f t="shared" ca="1" si="5"/>
        <v>#DIV/0!</v>
      </c>
      <c r="BC56" s="173" t="e">
        <f t="shared" ca="1" si="6"/>
        <v>#DIV/0!</v>
      </c>
      <c r="BD56" s="462" t="e">
        <f ca="1"/>
        <v>#DIV/0!</v>
      </c>
      <c r="BE56" s="464">
        <f ca="1"/>
        <v>0</v>
      </c>
      <c r="BF56" s="464" t="e">
        <f ca="1"/>
        <v>#DIV/0!</v>
      </c>
      <c r="BG56" s="466" t="e">
        <f ca="1"/>
        <v>#DIV/0!</v>
      </c>
      <c r="BH56" s="157" t="e">
        <f ca="1"/>
        <v>#DIV/0!</v>
      </c>
      <c r="BI56" s="157" t="e">
        <f ca="1"/>
        <v>#DIV/0!</v>
      </c>
      <c r="BJ56" s="157">
        <f ca="1"/>
        <v>19.979928699919661</v>
      </c>
      <c r="BK56" s="157" t="e">
        <f ca="1"/>
        <v>#DIV/0!</v>
      </c>
      <c r="BL56" s="157" t="e">
        <f ca="1"/>
        <v>#DIV/0!</v>
      </c>
      <c r="BM56" s="468" t="e">
        <f ca="1"/>
        <v>#DIV/0!</v>
      </c>
      <c r="BN56" s="470" t="e">
        <f ca="1"/>
        <v>#DIV/0!</v>
      </c>
      <c r="BO56" s="472" t="e">
        <f ca="1"/>
        <v>#DIV/0!</v>
      </c>
      <c r="BP56" s="462" t="e">
        <f ca="1"/>
        <v>#DIV/0!</v>
      </c>
      <c r="BQ56" s="464">
        <f ca="1"/>
        <v>0</v>
      </c>
      <c r="BR56" s="464" t="e">
        <f ca="1"/>
        <v>#DIV/0!</v>
      </c>
      <c r="BS56" s="466" t="e">
        <f ca="1"/>
        <v>#DIV/0!</v>
      </c>
      <c r="BT56" s="157" t="e">
        <f ca="1"/>
        <v>#DIV/0!</v>
      </c>
      <c r="BU56" s="157" t="e">
        <f ca="1"/>
        <v>#DIV/0!</v>
      </c>
      <c r="BV56" s="157">
        <f ca="1"/>
        <v>14.628897812294294</v>
      </c>
      <c r="BW56" s="157" t="e">
        <f ca="1"/>
        <v>#DIV/0!</v>
      </c>
      <c r="BX56" s="157" t="e">
        <f ca="1"/>
        <v>#DIV/0!</v>
      </c>
      <c r="BY56" s="468" t="e">
        <f ca="1"/>
        <v>#DIV/0!</v>
      </c>
      <c r="BZ56" s="470" t="e">
        <f ca="1"/>
        <v>#DIV/0!</v>
      </c>
      <c r="CA56" s="472" t="e">
        <f ca="1"/>
        <v>#DIV/0!</v>
      </c>
      <c r="CB56" s="462" t="e">
        <f ca="1"/>
        <v>#DIV/0!</v>
      </c>
      <c r="CC56" s="464">
        <f ca="1"/>
        <v>0</v>
      </c>
      <c r="CD56" s="464" t="e">
        <f ca="1"/>
        <v>#DIV/0!</v>
      </c>
      <c r="CE56" s="466" t="e">
        <f ca="1"/>
        <v>#DIV/0!</v>
      </c>
      <c r="CF56" s="157" t="e">
        <f ca="1"/>
        <v>#DIV/0!</v>
      </c>
      <c r="CG56" s="157" t="e">
        <f ca="1"/>
        <v>#DIV/0!</v>
      </c>
      <c r="CH56" s="157">
        <f ca="1"/>
        <v>50.564318454210991</v>
      </c>
      <c r="CI56" s="157" t="e">
        <f ca="1"/>
        <v>#DIV/0!</v>
      </c>
      <c r="CJ56" s="157" t="e">
        <f ca="1"/>
        <v>#DIV/0!</v>
      </c>
      <c r="CK56" s="468" t="e">
        <f ca="1"/>
        <v>#DIV/0!</v>
      </c>
      <c r="CL56" s="470" t="e">
        <f ca="1"/>
        <v>#DIV/0!</v>
      </c>
      <c r="CM56" s="472" t="e">
        <f ca="1"/>
        <v>#DIV/0!</v>
      </c>
      <c r="CN56" s="462" t="e">
        <f ca="1"/>
        <v>#DIV/0!</v>
      </c>
      <c r="CO56" s="464" t="e">
        <f ca="1"/>
        <v>#NUM!</v>
      </c>
      <c r="CP56" s="464" t="e">
        <f ca="1"/>
        <v>#NUM!</v>
      </c>
      <c r="CQ56" s="466" t="e">
        <f ca="1"/>
        <v>#NUM!</v>
      </c>
      <c r="CR56" s="157" t="e">
        <f ca="1"/>
        <v>#DIV/0!</v>
      </c>
      <c r="CS56" s="157" t="e">
        <f ca="1"/>
        <v>#NUM!</v>
      </c>
      <c r="CT56" s="157">
        <f ca="1"/>
        <v>7.5212790897840778</v>
      </c>
      <c r="CU56" s="157" t="e">
        <f ca="1"/>
        <v>#DIV/0!</v>
      </c>
      <c r="CV56" s="157" t="e">
        <f ca="1"/>
        <v>#DIV/0!</v>
      </c>
      <c r="CW56" s="468" t="e">
        <f ca="1"/>
        <v>#DIV/0!</v>
      </c>
      <c r="CX56" s="470" t="e">
        <f ca="1"/>
        <v>#DIV/0!</v>
      </c>
      <c r="CY56" s="472" t="e">
        <f ca="1"/>
        <v>#DIV/0!</v>
      </c>
      <c r="CZ56" s="173" t="e">
        <f t="shared" ca="1" si="3"/>
        <v>#DIV/0!</v>
      </c>
      <c r="DA56" s="173" t="e">
        <f t="shared" ca="1" si="3"/>
        <v>#DIV/0!</v>
      </c>
      <c r="DB56" s="462" t="e">
        <f ca="1"/>
        <v>#DIV/0!</v>
      </c>
      <c r="DC56" s="464">
        <f ca="1"/>
        <v>0</v>
      </c>
      <c r="DD56" s="464" t="e">
        <f ca="1"/>
        <v>#DIV/0!</v>
      </c>
      <c r="DE56" s="466" t="e">
        <f ca="1"/>
        <v>#DIV/0!</v>
      </c>
      <c r="DF56" s="157" t="e">
        <f ca="1"/>
        <v>#DIV/0!</v>
      </c>
      <c r="DG56" s="157" t="e">
        <f ca="1"/>
        <v>#DIV/0!</v>
      </c>
      <c r="DH56" s="157">
        <f ca="1"/>
        <v>21716.28708855795</v>
      </c>
      <c r="DI56" s="157" t="e">
        <f ca="1"/>
        <v>#DIV/0!</v>
      </c>
      <c r="DJ56" s="157" t="e">
        <f ca="1"/>
        <v>#DIV/0!</v>
      </c>
      <c r="DK56" s="468" t="e">
        <f ca="1"/>
        <v>#DIV/0!</v>
      </c>
      <c r="DL56" s="470" t="e">
        <f ca="1"/>
        <v>#DIV/0!</v>
      </c>
      <c r="DM56" s="472" t="e">
        <f ca="1"/>
        <v>#DIV/0!</v>
      </c>
      <c r="DN56" s="462" t="e">
        <f ca="1"/>
        <v>#DIV/0!</v>
      </c>
      <c r="DO56" s="464">
        <f ca="1"/>
        <v>0</v>
      </c>
      <c r="DP56" s="464" t="e">
        <f ca="1"/>
        <v>#DIV/0!</v>
      </c>
      <c r="DQ56" s="466" t="e">
        <f ca="1"/>
        <v>#DIV/0!</v>
      </c>
      <c r="DR56" s="157" t="e">
        <f ca="1"/>
        <v>#DIV/0!</v>
      </c>
      <c r="DS56" s="157" t="e">
        <f ca="1"/>
        <v>#DIV/0!</v>
      </c>
      <c r="DT56" s="157">
        <f ca="1"/>
        <v>17885.344507442114</v>
      </c>
      <c r="DU56" s="157" t="e">
        <f ca="1"/>
        <v>#DIV/0!</v>
      </c>
      <c r="DV56" s="157" t="e">
        <f ca="1"/>
        <v>#DIV/0!</v>
      </c>
      <c r="DW56" s="468" t="e">
        <f ca="1"/>
        <v>#DIV/0!</v>
      </c>
      <c r="DX56" s="470" t="e">
        <f ca="1"/>
        <v>#DIV/0!</v>
      </c>
      <c r="DY56" s="472" t="e">
        <f ca="1"/>
        <v>#DIV/0!</v>
      </c>
      <c r="DZ56" s="462" t="e">
        <f ca="1"/>
        <v>#DIV/0!</v>
      </c>
      <c r="EA56" s="464">
        <f ca="1"/>
        <v>0</v>
      </c>
      <c r="EB56" s="464" t="e">
        <f ca="1"/>
        <v>#DIV/0!</v>
      </c>
      <c r="EC56" s="466" t="e">
        <f ca="1"/>
        <v>#DIV/0!</v>
      </c>
      <c r="ED56" s="157" t="e">
        <f ca="1"/>
        <v>#DIV/0!</v>
      </c>
      <c r="EE56" s="157" t="e">
        <f ca="1"/>
        <v>#DIV/0!</v>
      </c>
      <c r="EF56" s="157">
        <f ca="1"/>
        <v>14052.50992496843</v>
      </c>
      <c r="EG56" s="157" t="e">
        <f ca="1"/>
        <v>#DIV/0!</v>
      </c>
      <c r="EH56" s="157" t="e">
        <f ca="1"/>
        <v>#DIV/0!</v>
      </c>
      <c r="EI56" s="468" t="e">
        <f ca="1"/>
        <v>#DIV/0!</v>
      </c>
      <c r="EJ56" s="470" t="e">
        <f ca="1"/>
        <v>#DIV/0!</v>
      </c>
      <c r="EK56" s="472" t="e">
        <f ca="1"/>
        <v>#DIV/0!</v>
      </c>
      <c r="EL56" s="462" t="e">
        <f ca="1"/>
        <v>#DIV/0!</v>
      </c>
      <c r="EM56" s="464" t="e">
        <f ca="1"/>
        <v>#NUM!</v>
      </c>
      <c r="EN56" s="464" t="e">
        <f ca="1"/>
        <v>#NUM!</v>
      </c>
      <c r="EO56" s="466" t="e">
        <f ca="1"/>
        <v>#NUM!</v>
      </c>
      <c r="EP56" s="157" t="e">
        <f ca="1"/>
        <v>#DIV/0!</v>
      </c>
      <c r="EQ56" s="157" t="e">
        <f ca="1"/>
        <v>#NUM!</v>
      </c>
      <c r="ER56" s="157">
        <f ca="1"/>
        <v>2669.9205874393338</v>
      </c>
      <c r="ES56" s="157" t="e">
        <f ca="1"/>
        <v>#DIV/0!</v>
      </c>
      <c r="ET56" s="157" t="e">
        <f ca="1"/>
        <v>#DIV/0!</v>
      </c>
      <c r="EU56" s="468" t="e">
        <f ca="1"/>
        <v>#DIV/0!</v>
      </c>
      <c r="EV56" s="470" t="e">
        <f ca="1"/>
        <v>#DIV/0!</v>
      </c>
      <c r="EW56" s="472" t="e">
        <f ca="1"/>
        <v>#DIV/0!</v>
      </c>
      <c r="EX56" s="462" t="e">
        <f ca="1"/>
        <v>#DIV/0!</v>
      </c>
      <c r="EY56" s="464" t="e">
        <f ca="1"/>
        <v>#NUM!</v>
      </c>
      <c r="EZ56" s="464" t="e">
        <f ca="1"/>
        <v>#NUM!</v>
      </c>
      <c r="FA56" s="466" t="e">
        <f ca="1"/>
        <v>#NUM!</v>
      </c>
      <c r="FB56" s="157" t="e">
        <f ca="1"/>
        <v>#DIV/0!</v>
      </c>
      <c r="FC56" s="157" t="e">
        <f ca="1"/>
        <v>#NUM!</v>
      </c>
      <c r="FD56" s="157">
        <f ca="1"/>
        <v>5468.9949961239363</v>
      </c>
      <c r="FE56" s="157" t="e">
        <f ca="1"/>
        <v>#DIV/0!</v>
      </c>
      <c r="FF56" s="157" t="e">
        <f ca="1"/>
        <v>#DIV/0!</v>
      </c>
      <c r="FG56" s="468" t="e">
        <f ca="1"/>
        <v>#DIV/0!</v>
      </c>
      <c r="FH56" s="470" t="e">
        <f ca="1"/>
        <v>#DIV/0!</v>
      </c>
      <c r="FI56" s="472" t="e">
        <f ca="1"/>
        <v>#DIV/0!</v>
      </c>
      <c r="FJ56" s="173" t="e">
        <f t="shared" ca="1" si="4"/>
        <v>#DIV/0!</v>
      </c>
      <c r="FK56" s="173" t="e">
        <f t="shared" ca="1" si="4"/>
        <v>#DIV/0!</v>
      </c>
      <c r="FL56" s="462" t="e">
        <f ca="1"/>
        <v>#DIV/0!</v>
      </c>
      <c r="FM56" s="464">
        <f ca="1"/>
        <v>0</v>
      </c>
      <c r="FN56" s="464" t="e">
        <f ca="1"/>
        <v>#DIV/0!</v>
      </c>
      <c r="FO56" s="466" t="e">
        <f ca="1"/>
        <v>#DIV/0!</v>
      </c>
      <c r="FP56" s="157" t="e">
        <f ca="1"/>
        <v>#DIV/0!</v>
      </c>
      <c r="FQ56" s="157" t="e">
        <f ca="1"/>
        <v>#DIV/0!</v>
      </c>
      <c r="FR56" s="157" t="e">
        <f ca="1"/>
        <v>#DIV/0!</v>
      </c>
      <c r="FS56" s="157">
        <f ca="1"/>
        <v>2134.0503668646897</v>
      </c>
      <c r="FT56" s="468" t="e">
        <f ca="1"/>
        <v>#DIV/0!</v>
      </c>
      <c r="FU56" s="470" t="e">
        <f ca="1"/>
        <v>#DIV/0!</v>
      </c>
      <c r="FV56" s="470" t="e">
        <f ca="1"/>
        <v>#DIV/0!</v>
      </c>
      <c r="FW56" s="462" t="e">
        <f ca="1"/>
        <v>#DIV/0!</v>
      </c>
      <c r="FX56" s="464" t="e">
        <f ca="1"/>
        <v>#NUM!</v>
      </c>
      <c r="FY56" s="464" t="e">
        <f ca="1"/>
        <v>#NUM!</v>
      </c>
      <c r="FZ56" s="466" t="e">
        <f ca="1"/>
        <v>#NUM!</v>
      </c>
      <c r="GA56" s="157" t="e">
        <f ca="1"/>
        <v>#DIV/0!</v>
      </c>
      <c r="GB56" s="157" t="e">
        <f ca="1"/>
        <v>#NUM!</v>
      </c>
      <c r="GC56" s="157" t="e">
        <f ca="1"/>
        <v>#DIV/0!</v>
      </c>
      <c r="GD56" s="157">
        <f ca="1"/>
        <v>45.224145451996954</v>
      </c>
      <c r="GE56" s="468" t="e">
        <f ca="1"/>
        <v>#DIV/0!</v>
      </c>
      <c r="GF56" s="470" t="e">
        <f ca="1"/>
        <v>#DIV/0!</v>
      </c>
      <c r="GG56" s="470" t="e">
        <f ca="1"/>
        <v>#DIV/0!</v>
      </c>
      <c r="GH56" s="173" t="e">
        <f t="shared" ca="1" si="7"/>
        <v>#DIV/0!</v>
      </c>
      <c r="GI56" s="173" t="e">
        <f t="shared" ca="1" si="7"/>
        <v>#DIV/0!</v>
      </c>
    </row>
    <row r="57" spans="2:191" ht="15">
      <c r="B57" s="169"/>
      <c r="C57" s="87">
        <f>'Oil supply projection'!B57</f>
        <v>2066</v>
      </c>
      <c r="D57" s="460" t="e">
        <f ca="1"/>
        <v>#DIV/0!</v>
      </c>
      <c r="E57" s="460" t="e">
        <f ca="1"/>
        <v>#DIV/0!</v>
      </c>
      <c r="F57" s="462" t="e">
        <f ca="1"/>
        <v>#DIV/0!</v>
      </c>
      <c r="G57" s="464">
        <f ca="1"/>
        <v>0</v>
      </c>
      <c r="H57" s="464" t="e">
        <f ca="1"/>
        <v>#DIV/0!</v>
      </c>
      <c r="I57" s="466" t="e">
        <f ca="1"/>
        <v>#DIV/0!</v>
      </c>
      <c r="J57" s="157" t="e">
        <f ca="1"/>
        <v>#DIV/0!</v>
      </c>
      <c r="K57" s="157" t="e">
        <f ca="1"/>
        <v>#DIV/0!</v>
      </c>
      <c r="L57" s="157">
        <f ca="1"/>
        <v>46.814950814668556</v>
      </c>
      <c r="M57" s="157" t="e">
        <f ca="1"/>
        <v>#DIV/0!</v>
      </c>
      <c r="N57" s="157" t="e">
        <f ca="1"/>
        <v>#DIV/0!</v>
      </c>
      <c r="O57" s="468" t="e">
        <f ca="1"/>
        <v>#DIV/0!</v>
      </c>
      <c r="P57" s="470" t="e">
        <f ca="1"/>
        <v>#DIV/0!</v>
      </c>
      <c r="Q57" s="472" t="e">
        <f ca="1"/>
        <v>#DIV/0!</v>
      </c>
      <c r="R57" s="462" t="e">
        <f ca="1"/>
        <v>#DIV/0!</v>
      </c>
      <c r="S57" s="464">
        <f ca="1"/>
        <v>0</v>
      </c>
      <c r="T57" s="464" t="e">
        <f ca="1"/>
        <v>#DIV/0!</v>
      </c>
      <c r="U57" s="466" t="e">
        <f ca="1"/>
        <v>#DIV/0!</v>
      </c>
      <c r="V57" s="157" t="e">
        <f ca="1"/>
        <v>#DIV/0!</v>
      </c>
      <c r="W57" s="157" t="e">
        <f ca="1"/>
        <v>#DIV/0!</v>
      </c>
      <c r="X57" s="157">
        <f ca="1"/>
        <v>63.845000707758949</v>
      </c>
      <c r="Y57" s="157" t="e">
        <f ca="1"/>
        <v>#DIV/0!</v>
      </c>
      <c r="Z57" s="157" t="e">
        <f ca="1"/>
        <v>#DIV/0!</v>
      </c>
      <c r="AA57" s="468" t="e">
        <f ca="1"/>
        <v>#DIV/0!</v>
      </c>
      <c r="AB57" s="470" t="e">
        <f ca="1"/>
        <v>#DIV/0!</v>
      </c>
      <c r="AC57" s="472" t="e">
        <f ca="1"/>
        <v>#DIV/0!</v>
      </c>
      <c r="AD57" s="462" t="e">
        <f ca="1"/>
        <v>#DIV/0!</v>
      </c>
      <c r="AE57" s="464">
        <f ca="1"/>
        <v>0</v>
      </c>
      <c r="AF57" s="464" t="e">
        <f ca="1"/>
        <v>#DIV/0!</v>
      </c>
      <c r="AG57" s="466" t="e">
        <f ca="1"/>
        <v>#DIV/0!</v>
      </c>
      <c r="AH57" s="157" t="e">
        <f ca="1"/>
        <v>#DIV/0!</v>
      </c>
      <c r="AI57" s="157" t="e">
        <f ca="1"/>
        <v>#DIV/0!</v>
      </c>
      <c r="AJ57" s="157">
        <f ca="1"/>
        <v>835.24554644735974</v>
      </c>
      <c r="AK57" s="157" t="e">
        <f ca="1"/>
        <v>#DIV/0!</v>
      </c>
      <c r="AL57" s="157" t="e">
        <f ca="1"/>
        <v>#DIV/0!</v>
      </c>
      <c r="AM57" s="468" t="e">
        <f ca="1"/>
        <v>#DIV/0!</v>
      </c>
      <c r="AN57" s="470" t="e">
        <f ca="1"/>
        <v>#DIV/0!</v>
      </c>
      <c r="AO57" s="472" t="e">
        <f ca="1"/>
        <v>#DIV/0!</v>
      </c>
      <c r="AP57" s="462" t="e">
        <f ca="1"/>
        <v>#DIV/0!</v>
      </c>
      <c r="AQ57" s="464" t="e">
        <f ca="1"/>
        <v>#NUM!</v>
      </c>
      <c r="AR57" s="464" t="e">
        <f ca="1"/>
        <v>#NUM!</v>
      </c>
      <c r="AS57" s="466" t="e">
        <f ca="1"/>
        <v>#NUM!</v>
      </c>
      <c r="AT57" s="157" t="e">
        <f ca="1"/>
        <v>#DIV/0!</v>
      </c>
      <c r="AU57" s="157" t="e">
        <f ca="1"/>
        <v>#NUM!</v>
      </c>
      <c r="AV57" s="157">
        <f ca="1"/>
        <v>1505.4461861927552</v>
      </c>
      <c r="AW57" s="157" t="e">
        <f ca="1"/>
        <v>#DIV/0!</v>
      </c>
      <c r="AX57" s="157" t="e">
        <f ca="1"/>
        <v>#DIV/0!</v>
      </c>
      <c r="AY57" s="468" t="e">
        <f ca="1"/>
        <v>#DIV/0!</v>
      </c>
      <c r="AZ57" s="470" t="e">
        <f ca="1"/>
        <v>#DIV/0!</v>
      </c>
      <c r="BA57" s="472" t="e">
        <f ca="1"/>
        <v>#DIV/0!</v>
      </c>
      <c r="BB57" s="173" t="e">
        <f t="shared" ca="1" si="5"/>
        <v>#DIV/0!</v>
      </c>
      <c r="BC57" s="173" t="e">
        <f t="shared" ca="1" si="6"/>
        <v>#DIV/0!</v>
      </c>
      <c r="BD57" s="462" t="e">
        <f ca="1"/>
        <v>#DIV/0!</v>
      </c>
      <c r="BE57" s="464">
        <f ca="1"/>
        <v>0</v>
      </c>
      <c r="BF57" s="464" t="e">
        <f ca="1"/>
        <v>#DIV/0!</v>
      </c>
      <c r="BG57" s="466" t="e">
        <f ca="1"/>
        <v>#DIV/0!</v>
      </c>
      <c r="BH57" s="157" t="e">
        <f ca="1"/>
        <v>#DIV/0!</v>
      </c>
      <c r="BI57" s="157" t="e">
        <f ca="1"/>
        <v>#DIV/0!</v>
      </c>
      <c r="BJ57" s="157">
        <f ca="1"/>
        <v>20.097882628900667</v>
      </c>
      <c r="BK57" s="157" t="e">
        <f ca="1"/>
        <v>#DIV/0!</v>
      </c>
      <c r="BL57" s="157" t="e">
        <f ca="1"/>
        <v>#DIV/0!</v>
      </c>
      <c r="BM57" s="468" t="e">
        <f ca="1"/>
        <v>#DIV/0!</v>
      </c>
      <c r="BN57" s="470" t="e">
        <f ca="1"/>
        <v>#DIV/0!</v>
      </c>
      <c r="BO57" s="472" t="e">
        <f ca="1"/>
        <v>#DIV/0!</v>
      </c>
      <c r="BP57" s="462" t="e">
        <f ca="1"/>
        <v>#DIV/0!</v>
      </c>
      <c r="BQ57" s="464">
        <f ca="1"/>
        <v>0</v>
      </c>
      <c r="BR57" s="464" t="e">
        <f ca="1"/>
        <v>#DIV/0!</v>
      </c>
      <c r="BS57" s="466" t="e">
        <f ca="1"/>
        <v>#DIV/0!</v>
      </c>
      <c r="BT57" s="157" t="e">
        <f ca="1"/>
        <v>#DIV/0!</v>
      </c>
      <c r="BU57" s="157" t="e">
        <f ca="1"/>
        <v>#DIV/0!</v>
      </c>
      <c r="BV57" s="157">
        <f ca="1"/>
        <v>14.715261282331538</v>
      </c>
      <c r="BW57" s="157" t="e">
        <f ca="1"/>
        <v>#DIV/0!</v>
      </c>
      <c r="BX57" s="157" t="e">
        <f ca="1"/>
        <v>#DIV/0!</v>
      </c>
      <c r="BY57" s="468" t="e">
        <f ca="1"/>
        <v>#DIV/0!</v>
      </c>
      <c r="BZ57" s="470" t="e">
        <f ca="1"/>
        <v>#DIV/0!</v>
      </c>
      <c r="CA57" s="472" t="e">
        <f ca="1"/>
        <v>#DIV/0!</v>
      </c>
      <c r="CB57" s="462" t="e">
        <f ca="1"/>
        <v>#DIV/0!</v>
      </c>
      <c r="CC57" s="464">
        <f ca="1"/>
        <v>0</v>
      </c>
      <c r="CD57" s="464" t="e">
        <f ca="1"/>
        <v>#DIV/0!</v>
      </c>
      <c r="CE57" s="466" t="e">
        <f ca="1"/>
        <v>#DIV/0!</v>
      </c>
      <c r="CF57" s="157" t="e">
        <f ca="1"/>
        <v>#DIV/0!</v>
      </c>
      <c r="CG57" s="157" t="e">
        <f ca="1"/>
        <v>#DIV/0!</v>
      </c>
      <c r="CH57" s="157">
        <f ca="1"/>
        <v>50.862831032383745</v>
      </c>
      <c r="CI57" s="157" t="e">
        <f ca="1"/>
        <v>#DIV/0!</v>
      </c>
      <c r="CJ57" s="157" t="e">
        <f ca="1"/>
        <v>#DIV/0!</v>
      </c>
      <c r="CK57" s="468" t="e">
        <f ca="1"/>
        <v>#DIV/0!</v>
      </c>
      <c r="CL57" s="470" t="e">
        <f ca="1"/>
        <v>#DIV/0!</v>
      </c>
      <c r="CM57" s="472" t="e">
        <f ca="1"/>
        <v>#DIV/0!</v>
      </c>
      <c r="CN57" s="462" t="e">
        <f ca="1"/>
        <v>#DIV/0!</v>
      </c>
      <c r="CO57" s="464" t="e">
        <f ca="1"/>
        <v>#NUM!</v>
      </c>
      <c r="CP57" s="464" t="e">
        <f ca="1"/>
        <v>#NUM!</v>
      </c>
      <c r="CQ57" s="466" t="e">
        <f ca="1"/>
        <v>#NUM!</v>
      </c>
      <c r="CR57" s="157" t="e">
        <f ca="1"/>
        <v>#DIV/0!</v>
      </c>
      <c r="CS57" s="157" t="e">
        <f ca="1"/>
        <v>#NUM!</v>
      </c>
      <c r="CT57" s="157">
        <f ca="1"/>
        <v>7.5656818718423677</v>
      </c>
      <c r="CU57" s="157" t="e">
        <f ca="1"/>
        <v>#DIV/0!</v>
      </c>
      <c r="CV57" s="157" t="e">
        <f ca="1"/>
        <v>#DIV/0!</v>
      </c>
      <c r="CW57" s="468" t="e">
        <f ca="1"/>
        <v>#DIV/0!</v>
      </c>
      <c r="CX57" s="470" t="e">
        <f ca="1"/>
        <v>#DIV/0!</v>
      </c>
      <c r="CY57" s="472" t="e">
        <f ca="1"/>
        <v>#DIV/0!</v>
      </c>
      <c r="CZ57" s="173" t="e">
        <f t="shared" ca="1" si="3"/>
        <v>#DIV/0!</v>
      </c>
      <c r="DA57" s="173" t="e">
        <f t="shared" ca="1" si="3"/>
        <v>#DIV/0!</v>
      </c>
      <c r="DB57" s="462" t="e">
        <f ca="1"/>
        <v>#DIV/0!</v>
      </c>
      <c r="DC57" s="464">
        <f ca="1"/>
        <v>0</v>
      </c>
      <c r="DD57" s="464" t="e">
        <f ca="1"/>
        <v>#DIV/0!</v>
      </c>
      <c r="DE57" s="466" t="e">
        <f ca="1"/>
        <v>#DIV/0!</v>
      </c>
      <c r="DF57" s="157" t="e">
        <f ca="1"/>
        <v>#DIV/0!</v>
      </c>
      <c r="DG57" s="157" t="e">
        <f ca="1"/>
        <v>#DIV/0!</v>
      </c>
      <c r="DH57" s="157">
        <f ca="1"/>
        <v>21939.912957791141</v>
      </c>
      <c r="DI57" s="157" t="e">
        <f ca="1"/>
        <v>#DIV/0!</v>
      </c>
      <c r="DJ57" s="157" t="e">
        <f ca="1"/>
        <v>#DIV/0!</v>
      </c>
      <c r="DK57" s="468" t="e">
        <f ca="1"/>
        <v>#DIV/0!</v>
      </c>
      <c r="DL57" s="470" t="e">
        <f ca="1"/>
        <v>#DIV/0!</v>
      </c>
      <c r="DM57" s="472" t="e">
        <f ca="1"/>
        <v>#DIV/0!</v>
      </c>
      <c r="DN57" s="462" t="e">
        <f ca="1"/>
        <v>#DIV/0!</v>
      </c>
      <c r="DO57" s="464">
        <f ca="1"/>
        <v>0</v>
      </c>
      <c r="DP57" s="464" t="e">
        <f ca="1"/>
        <v>#DIV/0!</v>
      </c>
      <c r="DQ57" s="466" t="e">
        <f ca="1"/>
        <v>#DIV/0!</v>
      </c>
      <c r="DR57" s="157" t="e">
        <f ca="1"/>
        <v>#DIV/0!</v>
      </c>
      <c r="DS57" s="157" t="e">
        <f ca="1"/>
        <v>#DIV/0!</v>
      </c>
      <c r="DT57" s="157">
        <f ca="1"/>
        <v>18069.520821546896</v>
      </c>
      <c r="DU57" s="157" t="e">
        <f ca="1"/>
        <v>#DIV/0!</v>
      </c>
      <c r="DV57" s="157" t="e">
        <f ca="1"/>
        <v>#DIV/0!</v>
      </c>
      <c r="DW57" s="468" t="e">
        <f ca="1"/>
        <v>#DIV/0!</v>
      </c>
      <c r="DX57" s="470" t="e">
        <f ca="1"/>
        <v>#DIV/0!</v>
      </c>
      <c r="DY57" s="472" t="e">
        <f ca="1"/>
        <v>#DIV/0!</v>
      </c>
      <c r="DZ57" s="462" t="e">
        <f ca="1"/>
        <v>#DIV/0!</v>
      </c>
      <c r="EA57" s="464">
        <f ca="1"/>
        <v>0</v>
      </c>
      <c r="EB57" s="464" t="e">
        <f ca="1"/>
        <v>#DIV/0!</v>
      </c>
      <c r="EC57" s="466" t="e">
        <f ca="1"/>
        <v>#DIV/0!</v>
      </c>
      <c r="ED57" s="157" t="e">
        <f ca="1"/>
        <v>#DIV/0!</v>
      </c>
      <c r="EE57" s="157" t="e">
        <f ca="1"/>
        <v>#DIV/0!</v>
      </c>
      <c r="EF57" s="157">
        <f ca="1"/>
        <v>14197.217200851463</v>
      </c>
      <c r="EG57" s="157" t="e">
        <f ca="1"/>
        <v>#DIV/0!</v>
      </c>
      <c r="EH57" s="157" t="e">
        <f ca="1"/>
        <v>#DIV/0!</v>
      </c>
      <c r="EI57" s="468" t="e">
        <f ca="1"/>
        <v>#DIV/0!</v>
      </c>
      <c r="EJ57" s="470" t="e">
        <f ca="1"/>
        <v>#DIV/0!</v>
      </c>
      <c r="EK57" s="472" t="e">
        <f ca="1"/>
        <v>#DIV/0!</v>
      </c>
      <c r="EL57" s="462" t="e">
        <f ca="1"/>
        <v>#DIV/0!</v>
      </c>
      <c r="EM57" s="464" t="e">
        <f ca="1"/>
        <v>#NUM!</v>
      </c>
      <c r="EN57" s="464" t="e">
        <f ca="1"/>
        <v>#NUM!</v>
      </c>
      <c r="EO57" s="466" t="e">
        <f ca="1"/>
        <v>#NUM!</v>
      </c>
      <c r="EP57" s="157" t="e">
        <f ca="1"/>
        <v>#DIV/0!</v>
      </c>
      <c r="EQ57" s="157" t="e">
        <f ca="1"/>
        <v>#NUM!</v>
      </c>
      <c r="ER57" s="157">
        <f ca="1"/>
        <v>2697.4143901190882</v>
      </c>
      <c r="ES57" s="157" t="e">
        <f ca="1"/>
        <v>#DIV/0!</v>
      </c>
      <c r="ET57" s="157" t="e">
        <f ca="1"/>
        <v>#DIV/0!</v>
      </c>
      <c r="EU57" s="468" t="e">
        <f ca="1"/>
        <v>#DIV/0!</v>
      </c>
      <c r="EV57" s="470" t="e">
        <f ca="1"/>
        <v>#DIV/0!</v>
      </c>
      <c r="EW57" s="472" t="e">
        <f ca="1"/>
        <v>#DIV/0!</v>
      </c>
      <c r="EX57" s="462" t="e">
        <f ca="1"/>
        <v>#DIV/0!</v>
      </c>
      <c r="EY57" s="464" t="e">
        <f ca="1"/>
        <v>#NUM!</v>
      </c>
      <c r="EZ57" s="464" t="e">
        <f ca="1"/>
        <v>#NUM!</v>
      </c>
      <c r="FA57" s="466" t="e">
        <f ca="1"/>
        <v>#NUM!</v>
      </c>
      <c r="FB57" s="157" t="e">
        <f ca="1"/>
        <v>#DIV/0!</v>
      </c>
      <c r="FC57" s="157" t="e">
        <f ca="1"/>
        <v>#NUM!</v>
      </c>
      <c r="FD57" s="157">
        <f ca="1"/>
        <v>5525.3125772487765</v>
      </c>
      <c r="FE57" s="157" t="e">
        <f ca="1"/>
        <v>#DIV/0!</v>
      </c>
      <c r="FF57" s="157" t="e">
        <f ca="1"/>
        <v>#DIV/0!</v>
      </c>
      <c r="FG57" s="468" t="e">
        <f ca="1"/>
        <v>#DIV/0!</v>
      </c>
      <c r="FH57" s="470" t="e">
        <f ca="1"/>
        <v>#DIV/0!</v>
      </c>
      <c r="FI57" s="472" t="e">
        <f ca="1"/>
        <v>#DIV/0!</v>
      </c>
      <c r="FJ57" s="173" t="e">
        <f t="shared" ca="1" si="4"/>
        <v>#DIV/0!</v>
      </c>
      <c r="FK57" s="173" t="e">
        <f t="shared" ca="1" si="4"/>
        <v>#DIV/0!</v>
      </c>
      <c r="FL57" s="462" t="e">
        <f ca="1"/>
        <v>#DIV/0!</v>
      </c>
      <c r="FM57" s="464">
        <f ca="1"/>
        <v>0</v>
      </c>
      <c r="FN57" s="464" t="e">
        <f ca="1"/>
        <v>#DIV/0!</v>
      </c>
      <c r="FO57" s="466" t="e">
        <f ca="1"/>
        <v>#DIV/0!</v>
      </c>
      <c r="FP57" s="157" t="e">
        <f ca="1"/>
        <v>#DIV/0!</v>
      </c>
      <c r="FQ57" s="157" t="e">
        <f ca="1"/>
        <v>#DIV/0!</v>
      </c>
      <c r="FR57" s="157" t="e">
        <f ca="1"/>
        <v>#DIV/0!</v>
      </c>
      <c r="FS57" s="157">
        <f ca="1"/>
        <v>2145.9576978074738</v>
      </c>
      <c r="FT57" s="468" t="e">
        <f ca="1"/>
        <v>#DIV/0!</v>
      </c>
      <c r="FU57" s="470" t="e">
        <f ca="1"/>
        <v>#DIV/0!</v>
      </c>
      <c r="FV57" s="470" t="e">
        <f ca="1"/>
        <v>#DIV/0!</v>
      </c>
      <c r="FW57" s="462" t="e">
        <f ca="1"/>
        <v>#DIV/0!</v>
      </c>
      <c r="FX57" s="464" t="e">
        <f ca="1"/>
        <v>#NUM!</v>
      </c>
      <c r="FY57" s="464" t="e">
        <f ca="1"/>
        <v>#NUM!</v>
      </c>
      <c r="FZ57" s="466" t="e">
        <f ca="1"/>
        <v>#NUM!</v>
      </c>
      <c r="GA57" s="157" t="e">
        <f ca="1"/>
        <v>#DIV/0!</v>
      </c>
      <c r="GB57" s="157" t="e">
        <f ca="1"/>
        <v>#NUM!</v>
      </c>
      <c r="GC57" s="157" t="e">
        <f ca="1"/>
        <v>#DIV/0!</v>
      </c>
      <c r="GD57" s="157">
        <f ca="1"/>
        <v>45.476481982972409</v>
      </c>
      <c r="GE57" s="468" t="e">
        <f ca="1"/>
        <v>#DIV/0!</v>
      </c>
      <c r="GF57" s="470" t="e">
        <f ca="1"/>
        <v>#DIV/0!</v>
      </c>
      <c r="GG57" s="470" t="e">
        <f ca="1"/>
        <v>#DIV/0!</v>
      </c>
      <c r="GH57" s="173" t="e">
        <f t="shared" ca="1" si="7"/>
        <v>#DIV/0!</v>
      </c>
      <c r="GI57" s="173" t="e">
        <f t="shared" ca="1" si="7"/>
        <v>#DIV/0!</v>
      </c>
    </row>
    <row r="58" spans="2:191" ht="15">
      <c r="B58" s="169"/>
      <c r="C58" s="87">
        <f>'Oil supply projection'!B58</f>
        <v>2067</v>
      </c>
      <c r="D58" s="460" t="e">
        <f ca="1"/>
        <v>#DIV/0!</v>
      </c>
      <c r="E58" s="460" t="e">
        <f ca="1"/>
        <v>#DIV/0!</v>
      </c>
      <c r="F58" s="462" t="e">
        <f ca="1"/>
        <v>#DIV/0!</v>
      </c>
      <c r="G58" s="464">
        <f ca="1"/>
        <v>0</v>
      </c>
      <c r="H58" s="464" t="e">
        <f ca="1"/>
        <v>#DIV/0!</v>
      </c>
      <c r="I58" s="466" t="e">
        <f ca="1"/>
        <v>#DIV/0!</v>
      </c>
      <c r="J58" s="157" t="e">
        <f ca="1"/>
        <v>#DIV/0!</v>
      </c>
      <c r="K58" s="157" t="e">
        <f ca="1"/>
        <v>#DIV/0!</v>
      </c>
      <c r="L58" s="157">
        <f ca="1"/>
        <v>47.437467422112249</v>
      </c>
      <c r="M58" s="157" t="e">
        <f ca="1"/>
        <v>#DIV/0!</v>
      </c>
      <c r="N58" s="157" t="e">
        <f ca="1"/>
        <v>#DIV/0!</v>
      </c>
      <c r="O58" s="468" t="e">
        <f ca="1"/>
        <v>#DIV/0!</v>
      </c>
      <c r="P58" s="470" t="e">
        <f ca="1"/>
        <v>#DIV/0!</v>
      </c>
      <c r="Q58" s="472" t="e">
        <f ca="1"/>
        <v>#DIV/0!</v>
      </c>
      <c r="R58" s="462" t="e">
        <f ca="1"/>
        <v>#DIV/0!</v>
      </c>
      <c r="S58" s="464">
        <f ca="1"/>
        <v>0</v>
      </c>
      <c r="T58" s="464" t="e">
        <f ca="1"/>
        <v>#DIV/0!</v>
      </c>
      <c r="U58" s="466" t="e">
        <f ca="1"/>
        <v>#DIV/0!</v>
      </c>
      <c r="V58" s="157" t="e">
        <f ca="1"/>
        <v>#DIV/0!</v>
      </c>
      <c r="W58" s="157" t="e">
        <f ca="1"/>
        <v>#DIV/0!</v>
      </c>
      <c r="X58" s="157">
        <f ca="1"/>
        <v>64.693972511663532</v>
      </c>
      <c r="Y58" s="157" t="e">
        <f ca="1"/>
        <v>#DIV/0!</v>
      </c>
      <c r="Z58" s="157" t="e">
        <f ca="1"/>
        <v>#DIV/0!</v>
      </c>
      <c r="AA58" s="468" t="e">
        <f ca="1"/>
        <v>#DIV/0!</v>
      </c>
      <c r="AB58" s="470" t="e">
        <f ca="1"/>
        <v>#DIV/0!</v>
      </c>
      <c r="AC58" s="472" t="e">
        <f ca="1"/>
        <v>#DIV/0!</v>
      </c>
      <c r="AD58" s="462" t="e">
        <f ca="1"/>
        <v>#DIV/0!</v>
      </c>
      <c r="AE58" s="464">
        <f ca="1"/>
        <v>0</v>
      </c>
      <c r="AF58" s="464" t="e">
        <f ca="1"/>
        <v>#DIV/0!</v>
      </c>
      <c r="AG58" s="466" t="e">
        <f ca="1"/>
        <v>#DIV/0!</v>
      </c>
      <c r="AH58" s="157" t="e">
        <f ca="1"/>
        <v>#DIV/0!</v>
      </c>
      <c r="AI58" s="157" t="e">
        <f ca="1"/>
        <v>#DIV/0!</v>
      </c>
      <c r="AJ58" s="157">
        <f ca="1"/>
        <v>846.35213130772331</v>
      </c>
      <c r="AK58" s="157" t="e">
        <f ca="1"/>
        <v>#DIV/0!</v>
      </c>
      <c r="AL58" s="157" t="e">
        <f ca="1"/>
        <v>#DIV/0!</v>
      </c>
      <c r="AM58" s="468" t="e">
        <f ca="1"/>
        <v>#DIV/0!</v>
      </c>
      <c r="AN58" s="470" t="e">
        <f ca="1"/>
        <v>#DIV/0!</v>
      </c>
      <c r="AO58" s="472" t="e">
        <f ca="1"/>
        <v>#DIV/0!</v>
      </c>
      <c r="AP58" s="462" t="e">
        <f ca="1"/>
        <v>#DIV/0!</v>
      </c>
      <c r="AQ58" s="464" t="e">
        <f ca="1"/>
        <v>#NUM!</v>
      </c>
      <c r="AR58" s="464" t="e">
        <f ca="1"/>
        <v>#NUM!</v>
      </c>
      <c r="AS58" s="466" t="e">
        <f ca="1"/>
        <v>#NUM!</v>
      </c>
      <c r="AT58" s="157" t="e">
        <f ca="1"/>
        <v>#DIV/0!</v>
      </c>
      <c r="AU58" s="157" t="e">
        <f ca="1"/>
        <v>#NUM!</v>
      </c>
      <c r="AV58" s="157">
        <f ca="1"/>
        <v>1525.4646896026554</v>
      </c>
      <c r="AW58" s="157" t="e">
        <f ca="1"/>
        <v>#DIV/0!</v>
      </c>
      <c r="AX58" s="157" t="e">
        <f ca="1"/>
        <v>#DIV/0!</v>
      </c>
      <c r="AY58" s="468" t="e">
        <f ca="1"/>
        <v>#DIV/0!</v>
      </c>
      <c r="AZ58" s="470" t="e">
        <f ca="1"/>
        <v>#DIV/0!</v>
      </c>
      <c r="BA58" s="472" t="e">
        <f ca="1"/>
        <v>#DIV/0!</v>
      </c>
      <c r="BB58" s="173" t="e">
        <f t="shared" ca="1" si="5"/>
        <v>#DIV/0!</v>
      </c>
      <c r="BC58" s="173" t="e">
        <f t="shared" ca="1" si="6"/>
        <v>#DIV/0!</v>
      </c>
      <c r="BD58" s="462" t="e">
        <f ca="1"/>
        <v>#DIV/0!</v>
      </c>
      <c r="BE58" s="464">
        <f ca="1"/>
        <v>0</v>
      </c>
      <c r="BF58" s="464" t="e">
        <f ca="1"/>
        <v>#DIV/0!</v>
      </c>
      <c r="BG58" s="466" t="e">
        <f ca="1"/>
        <v>#DIV/0!</v>
      </c>
      <c r="BH58" s="157" t="e">
        <f ca="1"/>
        <v>#DIV/0!</v>
      </c>
      <c r="BI58" s="157" t="e">
        <f ca="1"/>
        <v>#DIV/0!</v>
      </c>
      <c r="BJ58" s="157">
        <f ca="1"/>
        <v>20.216532913187585</v>
      </c>
      <c r="BK58" s="157" t="e">
        <f ca="1"/>
        <v>#DIV/0!</v>
      </c>
      <c r="BL58" s="157" t="e">
        <f ca="1"/>
        <v>#DIV/0!</v>
      </c>
      <c r="BM58" s="468" t="e">
        <f ca="1"/>
        <v>#DIV/0!</v>
      </c>
      <c r="BN58" s="470" t="e">
        <f ca="1"/>
        <v>#DIV/0!</v>
      </c>
      <c r="BO58" s="472" t="e">
        <f ca="1"/>
        <v>#DIV/0!</v>
      </c>
      <c r="BP58" s="462" t="e">
        <f ca="1"/>
        <v>#DIV/0!</v>
      </c>
      <c r="BQ58" s="464">
        <f ca="1"/>
        <v>0</v>
      </c>
      <c r="BR58" s="464" t="e">
        <f ca="1"/>
        <v>#DIV/0!</v>
      </c>
      <c r="BS58" s="466" t="e">
        <f ca="1"/>
        <v>#DIV/0!</v>
      </c>
      <c r="BT58" s="157" t="e">
        <f ca="1"/>
        <v>#DIV/0!</v>
      </c>
      <c r="BU58" s="157" t="e">
        <f ca="1"/>
        <v>#DIV/0!</v>
      </c>
      <c r="BV58" s="157">
        <f ca="1"/>
        <v>14.802134609574193</v>
      </c>
      <c r="BW58" s="157" t="e">
        <f ca="1"/>
        <v>#DIV/0!</v>
      </c>
      <c r="BX58" s="157" t="e">
        <f ca="1"/>
        <v>#DIV/0!</v>
      </c>
      <c r="BY58" s="468" t="e">
        <f ca="1"/>
        <v>#DIV/0!</v>
      </c>
      <c r="BZ58" s="470" t="e">
        <f ca="1"/>
        <v>#DIV/0!</v>
      </c>
      <c r="CA58" s="472" t="e">
        <f ca="1"/>
        <v>#DIV/0!</v>
      </c>
      <c r="CB58" s="462" t="e">
        <f ca="1"/>
        <v>#DIV/0!</v>
      </c>
      <c r="CC58" s="464">
        <f ca="1"/>
        <v>0</v>
      </c>
      <c r="CD58" s="464" t="e">
        <f ca="1"/>
        <v>#DIV/0!</v>
      </c>
      <c r="CE58" s="466" t="e">
        <f ca="1"/>
        <v>#DIV/0!</v>
      </c>
      <c r="CF58" s="157" t="e">
        <f ca="1"/>
        <v>#DIV/0!</v>
      </c>
      <c r="CG58" s="157" t="e">
        <f ca="1"/>
        <v>#DIV/0!</v>
      </c>
      <c r="CH58" s="157">
        <f ca="1"/>
        <v>51.163105915716571</v>
      </c>
      <c r="CI58" s="157" t="e">
        <f ca="1"/>
        <v>#DIV/0!</v>
      </c>
      <c r="CJ58" s="157" t="e">
        <f ca="1"/>
        <v>#DIV/0!</v>
      </c>
      <c r="CK58" s="468" t="e">
        <f ca="1"/>
        <v>#DIV/0!</v>
      </c>
      <c r="CL58" s="470" t="e">
        <f ca="1"/>
        <v>#DIV/0!</v>
      </c>
      <c r="CM58" s="472" t="e">
        <f ca="1"/>
        <v>#DIV/0!</v>
      </c>
      <c r="CN58" s="462" t="e">
        <f ca="1"/>
        <v>#DIV/0!</v>
      </c>
      <c r="CO58" s="464" t="e">
        <f ca="1"/>
        <v>#NUM!</v>
      </c>
      <c r="CP58" s="464" t="e">
        <f ca="1"/>
        <v>#NUM!</v>
      </c>
      <c r="CQ58" s="466" t="e">
        <f ca="1"/>
        <v>#NUM!</v>
      </c>
      <c r="CR58" s="157" t="e">
        <f ca="1"/>
        <v>#DIV/0!</v>
      </c>
      <c r="CS58" s="157" t="e">
        <f ca="1"/>
        <v>#NUM!</v>
      </c>
      <c r="CT58" s="157">
        <f ca="1"/>
        <v>7.6103467911024518</v>
      </c>
      <c r="CU58" s="157" t="e">
        <f ca="1"/>
        <v>#DIV/0!</v>
      </c>
      <c r="CV58" s="157" t="e">
        <f ca="1"/>
        <v>#DIV/0!</v>
      </c>
      <c r="CW58" s="468" t="e">
        <f ca="1"/>
        <v>#DIV/0!</v>
      </c>
      <c r="CX58" s="470" t="e">
        <f ca="1"/>
        <v>#DIV/0!</v>
      </c>
      <c r="CY58" s="472" t="e">
        <f ca="1"/>
        <v>#DIV/0!</v>
      </c>
      <c r="CZ58" s="173" t="e">
        <f t="shared" ca="1" si="3"/>
        <v>#DIV/0!</v>
      </c>
      <c r="DA58" s="173" t="e">
        <f t="shared" ca="1" si="3"/>
        <v>#DIV/0!</v>
      </c>
      <c r="DB58" s="462" t="e">
        <f ca="1"/>
        <v>#DIV/0!</v>
      </c>
      <c r="DC58" s="464">
        <f ca="1"/>
        <v>0</v>
      </c>
      <c r="DD58" s="464" t="e">
        <f ca="1"/>
        <v>#DIV/0!</v>
      </c>
      <c r="DE58" s="466" t="e">
        <f ca="1"/>
        <v>#DIV/0!</v>
      </c>
      <c r="DF58" s="157" t="e">
        <f ca="1"/>
        <v>#DIV/0!</v>
      </c>
      <c r="DG58" s="157" t="e">
        <f ca="1"/>
        <v>#DIV/0!</v>
      </c>
      <c r="DH58" s="157">
        <f ca="1"/>
        <v>22165.841639157286</v>
      </c>
      <c r="DI58" s="157" t="e">
        <f ca="1"/>
        <v>#DIV/0!</v>
      </c>
      <c r="DJ58" s="157" t="e">
        <f ca="1"/>
        <v>#DIV/0!</v>
      </c>
      <c r="DK58" s="468" t="e">
        <f ca="1"/>
        <v>#DIV/0!</v>
      </c>
      <c r="DL58" s="470" t="e">
        <f ca="1"/>
        <v>#DIV/0!</v>
      </c>
      <c r="DM58" s="472" t="e">
        <f ca="1"/>
        <v>#DIV/0!</v>
      </c>
      <c r="DN58" s="462" t="e">
        <f ca="1"/>
        <v>#DIV/0!</v>
      </c>
      <c r="DO58" s="464">
        <f ca="1"/>
        <v>0</v>
      </c>
      <c r="DP58" s="464" t="e">
        <f ca="1"/>
        <v>#DIV/0!</v>
      </c>
      <c r="DQ58" s="466" t="e">
        <f ca="1"/>
        <v>#DIV/0!</v>
      </c>
      <c r="DR58" s="157" t="e">
        <f ca="1"/>
        <v>#DIV/0!</v>
      </c>
      <c r="DS58" s="157" t="e">
        <f ca="1"/>
        <v>#DIV/0!</v>
      </c>
      <c r="DT58" s="157">
        <f ca="1"/>
        <v>18255.593711625548</v>
      </c>
      <c r="DU58" s="157" t="e">
        <f ca="1"/>
        <v>#DIV/0!</v>
      </c>
      <c r="DV58" s="157" t="e">
        <f ca="1"/>
        <v>#DIV/0!</v>
      </c>
      <c r="DW58" s="468" t="e">
        <f ca="1"/>
        <v>#DIV/0!</v>
      </c>
      <c r="DX58" s="470" t="e">
        <f ca="1"/>
        <v>#DIV/0!</v>
      </c>
      <c r="DY58" s="472" t="e">
        <f ca="1"/>
        <v>#DIV/0!</v>
      </c>
      <c r="DZ58" s="462" t="e">
        <f ca="1"/>
        <v>#DIV/0!</v>
      </c>
      <c r="EA58" s="464">
        <f ca="1"/>
        <v>0</v>
      </c>
      <c r="EB58" s="464" t="e">
        <f ca="1"/>
        <v>#DIV/0!</v>
      </c>
      <c r="EC58" s="466" t="e">
        <f ca="1"/>
        <v>#DIV/0!</v>
      </c>
      <c r="ED58" s="157" t="e">
        <f ca="1"/>
        <v>#DIV/0!</v>
      </c>
      <c r="EE58" s="157" t="e">
        <f ca="1"/>
        <v>#DIV/0!</v>
      </c>
      <c r="EF58" s="157">
        <f ca="1"/>
        <v>14343.414615919974</v>
      </c>
      <c r="EG58" s="157" t="e">
        <f ca="1"/>
        <v>#DIV/0!</v>
      </c>
      <c r="EH58" s="157" t="e">
        <f ca="1"/>
        <v>#DIV/0!</v>
      </c>
      <c r="EI58" s="468" t="e">
        <f ca="1"/>
        <v>#DIV/0!</v>
      </c>
      <c r="EJ58" s="470" t="e">
        <f ca="1"/>
        <v>#DIV/0!</v>
      </c>
      <c r="EK58" s="472" t="e">
        <f ca="1"/>
        <v>#DIV/0!</v>
      </c>
      <c r="EL58" s="462" t="e">
        <f ca="1"/>
        <v>#DIV/0!</v>
      </c>
      <c r="EM58" s="464" t="e">
        <f ca="1"/>
        <v>#NUM!</v>
      </c>
      <c r="EN58" s="464" t="e">
        <f ca="1"/>
        <v>#NUM!</v>
      </c>
      <c r="EO58" s="466" t="e">
        <f ca="1"/>
        <v>#NUM!</v>
      </c>
      <c r="EP58" s="157" t="e">
        <f ca="1"/>
        <v>#DIV/0!</v>
      </c>
      <c r="EQ58" s="157" t="e">
        <f ca="1"/>
        <v>#NUM!</v>
      </c>
      <c r="ER58" s="157">
        <f ca="1"/>
        <v>2725.1913132741665</v>
      </c>
      <c r="ES58" s="157" t="e">
        <f ca="1"/>
        <v>#DIV/0!</v>
      </c>
      <c r="ET58" s="157" t="e">
        <f ca="1"/>
        <v>#DIV/0!</v>
      </c>
      <c r="EU58" s="468" t="e">
        <f ca="1"/>
        <v>#DIV/0!</v>
      </c>
      <c r="EV58" s="470" t="e">
        <f ca="1"/>
        <v>#DIV/0!</v>
      </c>
      <c r="EW58" s="472" t="e">
        <f ca="1"/>
        <v>#DIV/0!</v>
      </c>
      <c r="EX58" s="462" t="e">
        <f ca="1"/>
        <v>#DIV/0!</v>
      </c>
      <c r="EY58" s="464" t="e">
        <f ca="1"/>
        <v>#NUM!</v>
      </c>
      <c r="EZ58" s="464" t="e">
        <f ca="1"/>
        <v>#NUM!</v>
      </c>
      <c r="FA58" s="466" t="e">
        <f ca="1"/>
        <v>#NUM!</v>
      </c>
      <c r="FB58" s="157" t="e">
        <f ca="1"/>
        <v>#DIV/0!</v>
      </c>
      <c r="FC58" s="157" t="e">
        <f ca="1"/>
        <v>#NUM!</v>
      </c>
      <c r="FD58" s="157">
        <f ca="1"/>
        <v>5582.2100948968719</v>
      </c>
      <c r="FE58" s="157" t="e">
        <f ca="1"/>
        <v>#DIV/0!</v>
      </c>
      <c r="FF58" s="157" t="e">
        <f ca="1"/>
        <v>#DIV/0!</v>
      </c>
      <c r="FG58" s="468" t="e">
        <f ca="1"/>
        <v>#DIV/0!</v>
      </c>
      <c r="FH58" s="470" t="e">
        <f ca="1"/>
        <v>#DIV/0!</v>
      </c>
      <c r="FI58" s="472" t="e">
        <f ca="1"/>
        <v>#DIV/0!</v>
      </c>
      <c r="FJ58" s="173" t="e">
        <f t="shared" ca="1" si="4"/>
        <v>#DIV/0!</v>
      </c>
      <c r="FK58" s="173" t="e">
        <f t="shared" ca="1" si="4"/>
        <v>#DIV/0!</v>
      </c>
      <c r="FL58" s="462" t="e">
        <f ca="1"/>
        <v>#DIV/0!</v>
      </c>
      <c r="FM58" s="464">
        <f ca="1"/>
        <v>0</v>
      </c>
      <c r="FN58" s="464" t="e">
        <f ca="1"/>
        <v>#DIV/0!</v>
      </c>
      <c r="FO58" s="466" t="e">
        <f ca="1"/>
        <v>#DIV/0!</v>
      </c>
      <c r="FP58" s="157" t="e">
        <f ca="1"/>
        <v>#DIV/0!</v>
      </c>
      <c r="FQ58" s="157" t="e">
        <f ca="1"/>
        <v>#DIV/0!</v>
      </c>
      <c r="FR58" s="157" t="e">
        <f ca="1"/>
        <v>#DIV/0!</v>
      </c>
      <c r="FS58" s="157">
        <f ca="1"/>
        <v>2157.931467917947</v>
      </c>
      <c r="FT58" s="468" t="e">
        <f ca="1"/>
        <v>#DIV/0!</v>
      </c>
      <c r="FU58" s="470" t="e">
        <f ca="1"/>
        <v>#DIV/0!</v>
      </c>
      <c r="FV58" s="470" t="e">
        <f ca="1"/>
        <v>#DIV/0!</v>
      </c>
      <c r="FW58" s="462" t="e">
        <f ca="1"/>
        <v>#DIV/0!</v>
      </c>
      <c r="FX58" s="464" t="e">
        <f ca="1"/>
        <v>#NUM!</v>
      </c>
      <c r="FY58" s="464" t="e">
        <f ca="1"/>
        <v>#NUM!</v>
      </c>
      <c r="FZ58" s="466" t="e">
        <f ca="1"/>
        <v>#NUM!</v>
      </c>
      <c r="GA58" s="157" t="e">
        <f ca="1"/>
        <v>#DIV/0!</v>
      </c>
      <c r="GB58" s="157" t="e">
        <f ca="1"/>
        <v>#NUM!</v>
      </c>
      <c r="GC58" s="157" t="e">
        <f ca="1"/>
        <v>#DIV/0!</v>
      </c>
      <c r="GD58" s="157">
        <f ca="1"/>
        <v>45.73022647255555</v>
      </c>
      <c r="GE58" s="468" t="e">
        <f ca="1"/>
        <v>#DIV/0!</v>
      </c>
      <c r="GF58" s="470" t="e">
        <f ca="1"/>
        <v>#DIV/0!</v>
      </c>
      <c r="GG58" s="470" t="e">
        <f ca="1"/>
        <v>#DIV/0!</v>
      </c>
      <c r="GH58" s="173" t="e">
        <f t="shared" ca="1" si="7"/>
        <v>#DIV/0!</v>
      </c>
      <c r="GI58" s="173" t="e">
        <f t="shared" ca="1" si="7"/>
        <v>#DIV/0!</v>
      </c>
    </row>
    <row r="59" spans="2:191" ht="15">
      <c r="B59" s="169"/>
      <c r="C59" s="87">
        <f>'Oil supply projection'!B59</f>
        <v>2068</v>
      </c>
      <c r="D59" s="460" t="e">
        <f ca="1"/>
        <v>#DIV/0!</v>
      </c>
      <c r="E59" s="460" t="e">
        <f ca="1"/>
        <v>#DIV/0!</v>
      </c>
      <c r="F59" s="462" t="e">
        <f ca="1"/>
        <v>#DIV/0!</v>
      </c>
      <c r="G59" s="464">
        <f ca="1"/>
        <v>0</v>
      </c>
      <c r="H59" s="464" t="e">
        <f ca="1"/>
        <v>#DIV/0!</v>
      </c>
      <c r="I59" s="466" t="e">
        <f ca="1"/>
        <v>#DIV/0!</v>
      </c>
      <c r="J59" s="157" t="e">
        <f ca="1"/>
        <v>#DIV/0!</v>
      </c>
      <c r="K59" s="157" t="e">
        <f ca="1"/>
        <v>#DIV/0!</v>
      </c>
      <c r="L59" s="157">
        <f ca="1"/>
        <v>48.068261874983506</v>
      </c>
      <c r="M59" s="157" t="e">
        <f ca="1"/>
        <v>#DIV/0!</v>
      </c>
      <c r="N59" s="157" t="e">
        <f ca="1"/>
        <v>#DIV/0!</v>
      </c>
      <c r="O59" s="468" t="e">
        <f ca="1"/>
        <v>#DIV/0!</v>
      </c>
      <c r="P59" s="470" t="e">
        <f ca="1"/>
        <v>#DIV/0!</v>
      </c>
      <c r="Q59" s="472" t="e">
        <f ca="1"/>
        <v>#DIV/0!</v>
      </c>
      <c r="R59" s="462" t="e">
        <f ca="1"/>
        <v>#DIV/0!</v>
      </c>
      <c r="S59" s="464">
        <f ca="1"/>
        <v>0</v>
      </c>
      <c r="T59" s="464" t="e">
        <f ca="1"/>
        <v>#DIV/0!</v>
      </c>
      <c r="U59" s="466" t="e">
        <f ca="1"/>
        <v>#DIV/0!</v>
      </c>
      <c r="V59" s="157" t="e">
        <f ca="1"/>
        <v>#DIV/0!</v>
      </c>
      <c r="W59" s="157" t="e">
        <f ca="1"/>
        <v>#DIV/0!</v>
      </c>
      <c r="X59" s="157">
        <f ca="1"/>
        <v>65.554233423812079</v>
      </c>
      <c r="Y59" s="157" t="e">
        <f ca="1"/>
        <v>#DIV/0!</v>
      </c>
      <c r="Z59" s="157" t="e">
        <f ca="1"/>
        <v>#DIV/0!</v>
      </c>
      <c r="AA59" s="468" t="e">
        <f ca="1"/>
        <v>#DIV/0!</v>
      </c>
      <c r="AB59" s="470" t="e">
        <f ca="1"/>
        <v>#DIV/0!</v>
      </c>
      <c r="AC59" s="472" t="e">
        <f ca="1"/>
        <v>#DIV/0!</v>
      </c>
      <c r="AD59" s="462" t="e">
        <f ca="1"/>
        <v>#DIV/0!</v>
      </c>
      <c r="AE59" s="464">
        <f ca="1"/>
        <v>0</v>
      </c>
      <c r="AF59" s="464" t="e">
        <f ca="1"/>
        <v>#DIV/0!</v>
      </c>
      <c r="AG59" s="466" t="e">
        <f ca="1"/>
        <v>#DIV/0!</v>
      </c>
      <c r="AH59" s="157" t="e">
        <f ca="1"/>
        <v>#DIV/0!</v>
      </c>
      <c r="AI59" s="157" t="e">
        <f ca="1"/>
        <v>#DIV/0!</v>
      </c>
      <c r="AJ59" s="157">
        <f ca="1"/>
        <v>857.60640474635591</v>
      </c>
      <c r="AK59" s="157" t="e">
        <f ca="1"/>
        <v>#DIV/0!</v>
      </c>
      <c r="AL59" s="157" t="e">
        <f ca="1"/>
        <v>#DIV/0!</v>
      </c>
      <c r="AM59" s="468" t="e">
        <f ca="1"/>
        <v>#DIV/0!</v>
      </c>
      <c r="AN59" s="470" t="e">
        <f ca="1"/>
        <v>#DIV/0!</v>
      </c>
      <c r="AO59" s="472" t="e">
        <f ca="1"/>
        <v>#DIV/0!</v>
      </c>
      <c r="AP59" s="462" t="e">
        <f ca="1"/>
        <v>#DIV/0!</v>
      </c>
      <c r="AQ59" s="464" t="e">
        <f ca="1"/>
        <v>#NUM!</v>
      </c>
      <c r="AR59" s="464" t="e">
        <f ca="1"/>
        <v>#NUM!</v>
      </c>
      <c r="AS59" s="466" t="e">
        <f ca="1"/>
        <v>#NUM!</v>
      </c>
      <c r="AT59" s="157" t="e">
        <f ca="1"/>
        <v>#DIV/0!</v>
      </c>
      <c r="AU59" s="157" t="e">
        <f ca="1"/>
        <v>#NUM!</v>
      </c>
      <c r="AV59" s="157">
        <f ca="1"/>
        <v>1545.7493868376473</v>
      </c>
      <c r="AW59" s="157" t="e">
        <f ca="1"/>
        <v>#DIV/0!</v>
      </c>
      <c r="AX59" s="157" t="e">
        <f ca="1"/>
        <v>#DIV/0!</v>
      </c>
      <c r="AY59" s="468" t="e">
        <f ca="1"/>
        <v>#DIV/0!</v>
      </c>
      <c r="AZ59" s="470" t="e">
        <f ca="1"/>
        <v>#DIV/0!</v>
      </c>
      <c r="BA59" s="472" t="e">
        <f ca="1"/>
        <v>#DIV/0!</v>
      </c>
      <c r="BB59" s="173" t="e">
        <f t="shared" ca="1" si="5"/>
        <v>#DIV/0!</v>
      </c>
      <c r="BC59" s="173" t="e">
        <f t="shared" ca="1" si="6"/>
        <v>#DIV/0!</v>
      </c>
      <c r="BD59" s="462" t="e">
        <f ca="1"/>
        <v>#DIV/0!</v>
      </c>
      <c r="BE59" s="464">
        <f ca="1"/>
        <v>0</v>
      </c>
      <c r="BF59" s="464" t="e">
        <f ca="1"/>
        <v>#DIV/0!</v>
      </c>
      <c r="BG59" s="466" t="e">
        <f ca="1"/>
        <v>#DIV/0!</v>
      </c>
      <c r="BH59" s="157" t="e">
        <f ca="1"/>
        <v>#DIV/0!</v>
      </c>
      <c r="BI59" s="157" t="e">
        <f ca="1"/>
        <v>#DIV/0!</v>
      </c>
      <c r="BJ59" s="157">
        <f ca="1"/>
        <v>20.335883663798313</v>
      </c>
      <c r="BK59" s="157" t="e">
        <f ca="1"/>
        <v>#DIV/0!</v>
      </c>
      <c r="BL59" s="157" t="e">
        <f ca="1"/>
        <v>#DIV/0!</v>
      </c>
      <c r="BM59" s="468" t="e">
        <f ca="1"/>
        <v>#DIV/0!</v>
      </c>
      <c r="BN59" s="470" t="e">
        <f ca="1"/>
        <v>#DIV/0!</v>
      </c>
      <c r="BO59" s="472" t="e">
        <f ca="1"/>
        <v>#DIV/0!</v>
      </c>
      <c r="BP59" s="462" t="e">
        <f ca="1"/>
        <v>#DIV/0!</v>
      </c>
      <c r="BQ59" s="464">
        <f ca="1"/>
        <v>0</v>
      </c>
      <c r="BR59" s="464" t="e">
        <f ca="1"/>
        <v>#DIV/0!</v>
      </c>
      <c r="BS59" s="466" t="e">
        <f ca="1"/>
        <v>#DIV/0!</v>
      </c>
      <c r="BT59" s="157" t="e">
        <f ca="1"/>
        <v>#DIV/0!</v>
      </c>
      <c r="BU59" s="157" t="e">
        <f ca="1"/>
        <v>#DIV/0!</v>
      </c>
      <c r="BV59" s="157">
        <f ca="1"/>
        <v>14.889520804026025</v>
      </c>
      <c r="BW59" s="157" t="e">
        <f ca="1"/>
        <v>#DIV/0!</v>
      </c>
      <c r="BX59" s="157" t="e">
        <f ca="1"/>
        <v>#DIV/0!</v>
      </c>
      <c r="BY59" s="468" t="e">
        <f ca="1"/>
        <v>#DIV/0!</v>
      </c>
      <c r="BZ59" s="470" t="e">
        <f ca="1"/>
        <v>#DIV/0!</v>
      </c>
      <c r="CA59" s="472" t="e">
        <f ca="1"/>
        <v>#DIV/0!</v>
      </c>
      <c r="CB59" s="462" t="e">
        <f ca="1"/>
        <v>#DIV/0!</v>
      </c>
      <c r="CC59" s="464">
        <f ca="1"/>
        <v>0</v>
      </c>
      <c r="CD59" s="464" t="e">
        <f ca="1"/>
        <v>#DIV/0!</v>
      </c>
      <c r="CE59" s="466" t="e">
        <f ca="1"/>
        <v>#DIV/0!</v>
      </c>
      <c r="CF59" s="157" t="e">
        <f ca="1"/>
        <v>#DIV/0!</v>
      </c>
      <c r="CG59" s="157" t="e">
        <f ca="1"/>
        <v>#DIV/0!</v>
      </c>
      <c r="CH59" s="157">
        <f ca="1"/>
        <v>51.465153508191428</v>
      </c>
      <c r="CI59" s="157" t="e">
        <f ca="1"/>
        <v>#DIV/0!</v>
      </c>
      <c r="CJ59" s="157" t="e">
        <f ca="1"/>
        <v>#DIV/0!</v>
      </c>
      <c r="CK59" s="468" t="e">
        <f ca="1"/>
        <v>#DIV/0!</v>
      </c>
      <c r="CL59" s="470" t="e">
        <f ca="1"/>
        <v>#DIV/0!</v>
      </c>
      <c r="CM59" s="472" t="e">
        <f ca="1"/>
        <v>#DIV/0!</v>
      </c>
      <c r="CN59" s="462" t="e">
        <f ca="1"/>
        <v>#DIV/0!</v>
      </c>
      <c r="CO59" s="464" t="e">
        <f ca="1"/>
        <v>#NUM!</v>
      </c>
      <c r="CP59" s="464" t="e">
        <f ca="1"/>
        <v>#NUM!</v>
      </c>
      <c r="CQ59" s="466" t="e">
        <f ca="1"/>
        <v>#NUM!</v>
      </c>
      <c r="CR59" s="157" t="e">
        <f ca="1"/>
        <v>#DIV/0!</v>
      </c>
      <c r="CS59" s="157" t="e">
        <f ca="1"/>
        <v>#NUM!</v>
      </c>
      <c r="CT59" s="157">
        <f ca="1"/>
        <v>7.6552753951230521</v>
      </c>
      <c r="CU59" s="157" t="e">
        <f ca="1"/>
        <v>#DIV/0!</v>
      </c>
      <c r="CV59" s="157" t="e">
        <f ca="1"/>
        <v>#DIV/0!</v>
      </c>
      <c r="CW59" s="468" t="e">
        <f ca="1"/>
        <v>#DIV/0!</v>
      </c>
      <c r="CX59" s="470" t="e">
        <f ca="1"/>
        <v>#DIV/0!</v>
      </c>
      <c r="CY59" s="472" t="e">
        <f ca="1"/>
        <v>#DIV/0!</v>
      </c>
      <c r="CZ59" s="173" t="e">
        <f t="shared" ca="1" si="3"/>
        <v>#DIV/0!</v>
      </c>
      <c r="DA59" s="173" t="e">
        <f t="shared" ca="1" si="3"/>
        <v>#DIV/0!</v>
      </c>
      <c r="DB59" s="462" t="e">
        <f ca="1"/>
        <v>#DIV/0!</v>
      </c>
      <c r="DC59" s="464">
        <f ca="1"/>
        <v>0</v>
      </c>
      <c r="DD59" s="464" t="e">
        <f ca="1"/>
        <v>#DIV/0!</v>
      </c>
      <c r="DE59" s="466" t="e">
        <f ca="1"/>
        <v>#DIV/0!</v>
      </c>
      <c r="DF59" s="157" t="e">
        <f ca="1"/>
        <v>#DIV/0!</v>
      </c>
      <c r="DG59" s="157" t="e">
        <f ca="1"/>
        <v>#DIV/0!</v>
      </c>
      <c r="DH59" s="157">
        <f ca="1"/>
        <v>22394.096846119144</v>
      </c>
      <c r="DI59" s="157" t="e">
        <f ca="1"/>
        <v>#DIV/0!</v>
      </c>
      <c r="DJ59" s="157" t="e">
        <f ca="1"/>
        <v>#DIV/0!</v>
      </c>
      <c r="DK59" s="468" t="e">
        <f ca="1"/>
        <v>#DIV/0!</v>
      </c>
      <c r="DL59" s="470" t="e">
        <f ca="1"/>
        <v>#DIV/0!</v>
      </c>
      <c r="DM59" s="472" t="e">
        <f ca="1"/>
        <v>#DIV/0!</v>
      </c>
      <c r="DN59" s="462" t="e">
        <f ca="1"/>
        <v>#DIV/0!</v>
      </c>
      <c r="DO59" s="464">
        <f ca="1"/>
        <v>0</v>
      </c>
      <c r="DP59" s="464" t="e">
        <f ca="1"/>
        <v>#DIV/0!</v>
      </c>
      <c r="DQ59" s="466" t="e">
        <f ca="1"/>
        <v>#DIV/0!</v>
      </c>
      <c r="DR59" s="157" t="e">
        <f ca="1"/>
        <v>#DIV/0!</v>
      </c>
      <c r="DS59" s="157" t="e">
        <f ca="1"/>
        <v>#DIV/0!</v>
      </c>
      <c r="DT59" s="157">
        <f ca="1"/>
        <v>18443.582707879024</v>
      </c>
      <c r="DU59" s="157" t="e">
        <f ca="1"/>
        <v>#DIV/0!</v>
      </c>
      <c r="DV59" s="157" t="e">
        <f ca="1"/>
        <v>#DIV/0!</v>
      </c>
      <c r="DW59" s="468" t="e">
        <f ca="1"/>
        <v>#DIV/0!</v>
      </c>
      <c r="DX59" s="470" t="e">
        <f ca="1"/>
        <v>#DIV/0!</v>
      </c>
      <c r="DY59" s="472" t="e">
        <f ca="1"/>
        <v>#DIV/0!</v>
      </c>
      <c r="DZ59" s="462" t="e">
        <f ca="1"/>
        <v>#DIV/0!</v>
      </c>
      <c r="EA59" s="464">
        <f ca="1"/>
        <v>0</v>
      </c>
      <c r="EB59" s="464" t="e">
        <f ca="1"/>
        <v>#DIV/0!</v>
      </c>
      <c r="EC59" s="466" t="e">
        <f ca="1"/>
        <v>#DIV/0!</v>
      </c>
      <c r="ED59" s="157" t="e">
        <f ca="1"/>
        <v>#DIV/0!</v>
      </c>
      <c r="EE59" s="157" t="e">
        <f ca="1"/>
        <v>#DIV/0!</v>
      </c>
      <c r="EF59" s="157">
        <f ca="1"/>
        <v>14491.11751504711</v>
      </c>
      <c r="EG59" s="157" t="e">
        <f ca="1"/>
        <v>#DIV/0!</v>
      </c>
      <c r="EH59" s="157" t="e">
        <f ca="1"/>
        <v>#DIV/0!</v>
      </c>
      <c r="EI59" s="468" t="e">
        <f ca="1"/>
        <v>#DIV/0!</v>
      </c>
      <c r="EJ59" s="470" t="e">
        <f ca="1"/>
        <v>#DIV/0!</v>
      </c>
      <c r="EK59" s="472" t="e">
        <f ca="1"/>
        <v>#DIV/0!</v>
      </c>
      <c r="EL59" s="462" t="e">
        <f ca="1"/>
        <v>#DIV/0!</v>
      </c>
      <c r="EM59" s="464" t="e">
        <f ca="1"/>
        <v>#NUM!</v>
      </c>
      <c r="EN59" s="464" t="e">
        <f ca="1"/>
        <v>#NUM!</v>
      </c>
      <c r="EO59" s="466" t="e">
        <f ca="1"/>
        <v>#NUM!</v>
      </c>
      <c r="EP59" s="157" t="e">
        <f ca="1"/>
        <v>#DIV/0!</v>
      </c>
      <c r="EQ59" s="157" t="e">
        <f ca="1"/>
        <v>#NUM!</v>
      </c>
      <c r="ER59" s="157">
        <f ca="1"/>
        <v>2753.2542723689917</v>
      </c>
      <c r="ES59" s="157" t="e">
        <f ca="1"/>
        <v>#DIV/0!</v>
      </c>
      <c r="ET59" s="157" t="e">
        <f ca="1"/>
        <v>#DIV/0!</v>
      </c>
      <c r="EU59" s="468" t="e">
        <f ca="1"/>
        <v>#DIV/0!</v>
      </c>
      <c r="EV59" s="470" t="e">
        <f ca="1"/>
        <v>#DIV/0!</v>
      </c>
      <c r="EW59" s="472" t="e">
        <f ca="1"/>
        <v>#DIV/0!</v>
      </c>
      <c r="EX59" s="462" t="e">
        <f ca="1"/>
        <v>#DIV/0!</v>
      </c>
      <c r="EY59" s="464" t="e">
        <f ca="1"/>
        <v>#NUM!</v>
      </c>
      <c r="EZ59" s="464" t="e">
        <f ca="1"/>
        <v>#NUM!</v>
      </c>
      <c r="FA59" s="466" t="e">
        <f ca="1"/>
        <v>#NUM!</v>
      </c>
      <c r="FB59" s="157" t="e">
        <f ca="1"/>
        <v>#DIV/0!</v>
      </c>
      <c r="FC59" s="157" t="e">
        <f ca="1"/>
        <v>#NUM!</v>
      </c>
      <c r="FD59" s="157">
        <f ca="1"/>
        <v>5639.6935210287429</v>
      </c>
      <c r="FE59" s="157" t="e">
        <f ca="1"/>
        <v>#DIV/0!</v>
      </c>
      <c r="FF59" s="157" t="e">
        <f ca="1"/>
        <v>#DIV/0!</v>
      </c>
      <c r="FG59" s="468" t="e">
        <f ca="1"/>
        <v>#DIV/0!</v>
      </c>
      <c r="FH59" s="470" t="e">
        <f ca="1"/>
        <v>#DIV/0!</v>
      </c>
      <c r="FI59" s="472" t="e">
        <f ca="1"/>
        <v>#DIV/0!</v>
      </c>
      <c r="FJ59" s="173" t="e">
        <f t="shared" ca="1" si="4"/>
        <v>#DIV/0!</v>
      </c>
      <c r="FK59" s="173" t="e">
        <f t="shared" ca="1" si="4"/>
        <v>#DIV/0!</v>
      </c>
      <c r="FL59" s="462" t="e">
        <f ca="1"/>
        <v>#DIV/0!</v>
      </c>
      <c r="FM59" s="464">
        <f ca="1"/>
        <v>0</v>
      </c>
      <c r="FN59" s="464" t="e">
        <f ca="1"/>
        <v>#DIV/0!</v>
      </c>
      <c r="FO59" s="466" t="e">
        <f ca="1"/>
        <v>#DIV/0!</v>
      </c>
      <c r="FP59" s="157" t="e">
        <f ca="1"/>
        <v>#DIV/0!</v>
      </c>
      <c r="FQ59" s="157" t="e">
        <f ca="1"/>
        <v>#DIV/0!</v>
      </c>
      <c r="FR59" s="157" t="e">
        <f ca="1"/>
        <v>#DIV/0!</v>
      </c>
      <c r="FS59" s="157">
        <f ca="1"/>
        <v>2169.9720479058024</v>
      </c>
      <c r="FT59" s="468" t="e">
        <f ca="1"/>
        <v>#DIV/0!</v>
      </c>
      <c r="FU59" s="470" t="e">
        <f ca="1"/>
        <v>#DIV/0!</v>
      </c>
      <c r="FV59" s="470" t="e">
        <f ca="1"/>
        <v>#DIV/0!</v>
      </c>
      <c r="FW59" s="462" t="e">
        <f ca="1"/>
        <v>#DIV/0!</v>
      </c>
      <c r="FX59" s="464" t="e">
        <f ca="1"/>
        <v>#NUM!</v>
      </c>
      <c r="FY59" s="464" t="e">
        <f ca="1"/>
        <v>#NUM!</v>
      </c>
      <c r="FZ59" s="466" t="e">
        <f ca="1"/>
        <v>#NUM!</v>
      </c>
      <c r="GA59" s="157" t="e">
        <f ca="1"/>
        <v>#DIV/0!</v>
      </c>
      <c r="GB59" s="157" t="e">
        <f ca="1"/>
        <v>#NUM!</v>
      </c>
      <c r="GC59" s="157" t="e">
        <f ca="1"/>
        <v>#DIV/0!</v>
      </c>
      <c r="GD59" s="157">
        <f ca="1"/>
        <v>45.985386776713312</v>
      </c>
      <c r="GE59" s="468" t="e">
        <f ca="1"/>
        <v>#DIV/0!</v>
      </c>
      <c r="GF59" s="470" t="e">
        <f ca="1"/>
        <v>#DIV/0!</v>
      </c>
      <c r="GG59" s="470" t="e">
        <f ca="1"/>
        <v>#DIV/0!</v>
      </c>
      <c r="GH59" s="173" t="e">
        <f t="shared" ca="1" si="7"/>
        <v>#DIV/0!</v>
      </c>
      <c r="GI59" s="173" t="e">
        <f t="shared" ca="1" si="7"/>
        <v>#DIV/0!</v>
      </c>
    </row>
    <row r="60" spans="2:191" ht="15">
      <c r="B60" s="169"/>
      <c r="C60" s="87">
        <f>'Oil supply projection'!B60</f>
        <v>2069</v>
      </c>
      <c r="D60" s="460" t="e">
        <f ca="1"/>
        <v>#DIV/0!</v>
      </c>
      <c r="E60" s="460" t="e">
        <f ca="1"/>
        <v>#DIV/0!</v>
      </c>
      <c r="F60" s="462" t="e">
        <f ca="1"/>
        <v>#DIV/0!</v>
      </c>
      <c r="G60" s="464">
        <f ca="1"/>
        <v>0</v>
      </c>
      <c r="H60" s="464" t="e">
        <f ca="1"/>
        <v>#DIV/0!</v>
      </c>
      <c r="I60" s="466" t="e">
        <f ca="1"/>
        <v>#DIV/0!</v>
      </c>
      <c r="J60" s="157" t="e">
        <f ca="1"/>
        <v>#DIV/0!</v>
      </c>
      <c r="K60" s="157" t="e">
        <f ca="1"/>
        <v>#DIV/0!</v>
      </c>
      <c r="L60" s="157">
        <f ca="1"/>
        <v>48.707444247012269</v>
      </c>
      <c r="M60" s="157" t="e">
        <f ca="1"/>
        <v>#DIV/0!</v>
      </c>
      <c r="N60" s="157" t="e">
        <f ca="1"/>
        <v>#DIV/0!</v>
      </c>
      <c r="O60" s="468" t="e">
        <f ca="1"/>
        <v>#DIV/0!</v>
      </c>
      <c r="P60" s="470" t="e">
        <f ca="1"/>
        <v>#DIV/0!</v>
      </c>
      <c r="Q60" s="472" t="e">
        <f ca="1"/>
        <v>#DIV/0!</v>
      </c>
      <c r="R60" s="462" t="e">
        <f ca="1"/>
        <v>#DIV/0!</v>
      </c>
      <c r="S60" s="464">
        <f ca="1"/>
        <v>0</v>
      </c>
      <c r="T60" s="464" t="e">
        <f ca="1"/>
        <v>#DIV/0!</v>
      </c>
      <c r="U60" s="466" t="e">
        <f ca="1"/>
        <v>#DIV/0!</v>
      </c>
      <c r="V60" s="157" t="e">
        <f ca="1"/>
        <v>#DIV/0!</v>
      </c>
      <c r="W60" s="157" t="e">
        <f ca="1"/>
        <v>#DIV/0!</v>
      </c>
      <c r="X60" s="157">
        <f ca="1"/>
        <v>66.425933559867261</v>
      </c>
      <c r="Y60" s="157" t="e">
        <f ca="1"/>
        <v>#DIV/0!</v>
      </c>
      <c r="Z60" s="157" t="e">
        <f ca="1"/>
        <v>#DIV/0!</v>
      </c>
      <c r="AA60" s="468" t="e">
        <f ca="1"/>
        <v>#DIV/0!</v>
      </c>
      <c r="AB60" s="470" t="e">
        <f ca="1"/>
        <v>#DIV/0!</v>
      </c>
      <c r="AC60" s="472" t="e">
        <f ca="1"/>
        <v>#DIV/0!</v>
      </c>
      <c r="AD60" s="462" t="e">
        <f ca="1"/>
        <v>#DIV/0!</v>
      </c>
      <c r="AE60" s="464">
        <f ca="1"/>
        <v>0</v>
      </c>
      <c r="AF60" s="464" t="e">
        <f ca="1"/>
        <v>#DIV/0!</v>
      </c>
      <c r="AG60" s="466" t="e">
        <f ca="1"/>
        <v>#DIV/0!</v>
      </c>
      <c r="AH60" s="157" t="e">
        <f ca="1"/>
        <v>#DIV/0!</v>
      </c>
      <c r="AI60" s="157" t="e">
        <f ca="1"/>
        <v>#DIV/0!</v>
      </c>
      <c r="AJ60" s="157">
        <f ca="1"/>
        <v>869.01033063571947</v>
      </c>
      <c r="AK60" s="157" t="e">
        <f ca="1"/>
        <v>#DIV/0!</v>
      </c>
      <c r="AL60" s="157" t="e">
        <f ca="1"/>
        <v>#DIV/0!</v>
      </c>
      <c r="AM60" s="468" t="e">
        <f ca="1"/>
        <v>#DIV/0!</v>
      </c>
      <c r="AN60" s="470" t="e">
        <f ca="1"/>
        <v>#DIV/0!</v>
      </c>
      <c r="AO60" s="472" t="e">
        <f ca="1"/>
        <v>#DIV/0!</v>
      </c>
      <c r="AP60" s="462" t="e">
        <f ca="1"/>
        <v>#DIV/0!</v>
      </c>
      <c r="AQ60" s="464" t="e">
        <f ca="1"/>
        <v>#NUM!</v>
      </c>
      <c r="AR60" s="464" t="e">
        <f ca="1"/>
        <v>#NUM!</v>
      </c>
      <c r="AS60" s="466" t="e">
        <f ca="1"/>
        <v>#NUM!</v>
      </c>
      <c r="AT60" s="157" t="e">
        <f ca="1"/>
        <v>#DIV/0!</v>
      </c>
      <c r="AU60" s="157" t="e">
        <f ca="1"/>
        <v>#NUM!</v>
      </c>
      <c r="AV60" s="157">
        <f ca="1"/>
        <v>1566.3038175805466</v>
      </c>
      <c r="AW60" s="157" t="e">
        <f ca="1"/>
        <v>#DIV/0!</v>
      </c>
      <c r="AX60" s="157" t="e">
        <f ca="1"/>
        <v>#DIV/0!</v>
      </c>
      <c r="AY60" s="468" t="e">
        <f ca="1"/>
        <v>#DIV/0!</v>
      </c>
      <c r="AZ60" s="470" t="e">
        <f ca="1"/>
        <v>#DIV/0!</v>
      </c>
      <c r="BA60" s="472" t="e">
        <f ca="1"/>
        <v>#DIV/0!</v>
      </c>
      <c r="BB60" s="173" t="e">
        <f t="shared" ca="1" si="5"/>
        <v>#DIV/0!</v>
      </c>
      <c r="BC60" s="173" t="e">
        <f t="shared" ca="1" si="6"/>
        <v>#DIV/0!</v>
      </c>
      <c r="BD60" s="462" t="e">
        <f ca="1"/>
        <v>#DIV/0!</v>
      </c>
      <c r="BE60" s="464">
        <f ca="1"/>
        <v>0</v>
      </c>
      <c r="BF60" s="464" t="e">
        <f ca="1"/>
        <v>#DIV/0!</v>
      </c>
      <c r="BG60" s="466" t="e">
        <f ca="1"/>
        <v>#DIV/0!</v>
      </c>
      <c r="BH60" s="157" t="e">
        <f ca="1"/>
        <v>#DIV/0!</v>
      </c>
      <c r="BI60" s="157" t="e">
        <f ca="1"/>
        <v>#DIV/0!</v>
      </c>
      <c r="BJ60" s="157">
        <f ca="1"/>
        <v>20.455939016020626</v>
      </c>
      <c r="BK60" s="157" t="e">
        <f ca="1"/>
        <v>#DIV/0!</v>
      </c>
      <c r="BL60" s="157" t="e">
        <f ca="1"/>
        <v>#DIV/0!</v>
      </c>
      <c r="BM60" s="468" t="e">
        <f ca="1"/>
        <v>#DIV/0!</v>
      </c>
      <c r="BN60" s="470" t="e">
        <f ca="1"/>
        <v>#DIV/0!</v>
      </c>
      <c r="BO60" s="472" t="e">
        <f ca="1"/>
        <v>#DIV/0!</v>
      </c>
      <c r="BP60" s="462" t="e">
        <f ca="1"/>
        <v>#DIV/0!</v>
      </c>
      <c r="BQ60" s="464">
        <f ca="1"/>
        <v>0</v>
      </c>
      <c r="BR60" s="464" t="e">
        <f ca="1"/>
        <v>#DIV/0!</v>
      </c>
      <c r="BS60" s="466" t="e">
        <f ca="1"/>
        <v>#DIV/0!</v>
      </c>
      <c r="BT60" s="157" t="e">
        <f ca="1"/>
        <v>#DIV/0!</v>
      </c>
      <c r="BU60" s="157" t="e">
        <f ca="1"/>
        <v>#DIV/0!</v>
      </c>
      <c r="BV60" s="157">
        <f ca="1"/>
        <v>14.977422893460723</v>
      </c>
      <c r="BW60" s="157" t="e">
        <f ca="1"/>
        <v>#DIV/0!</v>
      </c>
      <c r="BX60" s="157" t="e">
        <f ca="1"/>
        <v>#DIV/0!</v>
      </c>
      <c r="BY60" s="468" t="e">
        <f ca="1"/>
        <v>#DIV/0!</v>
      </c>
      <c r="BZ60" s="470" t="e">
        <f ca="1"/>
        <v>#DIV/0!</v>
      </c>
      <c r="CA60" s="472" t="e">
        <f ca="1"/>
        <v>#DIV/0!</v>
      </c>
      <c r="CB60" s="462" t="e">
        <f ca="1"/>
        <v>#DIV/0!</v>
      </c>
      <c r="CC60" s="464">
        <f ca="1"/>
        <v>0</v>
      </c>
      <c r="CD60" s="464" t="e">
        <f ca="1"/>
        <v>#DIV/0!</v>
      </c>
      <c r="CE60" s="466" t="e">
        <f ca="1"/>
        <v>#DIV/0!</v>
      </c>
      <c r="CF60" s="157" t="e">
        <f ca="1"/>
        <v>#DIV/0!</v>
      </c>
      <c r="CG60" s="157" t="e">
        <f ca="1"/>
        <v>#DIV/0!</v>
      </c>
      <c r="CH60" s="157">
        <f ca="1"/>
        <v>51.768984275211437</v>
      </c>
      <c r="CI60" s="157" t="e">
        <f ca="1"/>
        <v>#DIV/0!</v>
      </c>
      <c r="CJ60" s="157" t="e">
        <f ca="1"/>
        <v>#DIV/0!</v>
      </c>
      <c r="CK60" s="468" t="e">
        <f ca="1"/>
        <v>#DIV/0!</v>
      </c>
      <c r="CL60" s="470" t="e">
        <f ca="1"/>
        <v>#DIV/0!</v>
      </c>
      <c r="CM60" s="472" t="e">
        <f ca="1"/>
        <v>#DIV/0!</v>
      </c>
      <c r="CN60" s="462" t="e">
        <f ca="1"/>
        <v>#DIV/0!</v>
      </c>
      <c r="CO60" s="464" t="e">
        <f ca="1"/>
        <v>#NUM!</v>
      </c>
      <c r="CP60" s="464" t="e">
        <f ca="1"/>
        <v>#NUM!</v>
      </c>
      <c r="CQ60" s="466" t="e">
        <f ca="1"/>
        <v>#NUM!</v>
      </c>
      <c r="CR60" s="157" t="e">
        <f ca="1"/>
        <v>#DIV/0!</v>
      </c>
      <c r="CS60" s="157" t="e">
        <f ca="1"/>
        <v>#NUM!</v>
      </c>
      <c r="CT60" s="157">
        <f ca="1"/>
        <v>7.7004692405990864</v>
      </c>
      <c r="CU60" s="157" t="e">
        <f ca="1"/>
        <v>#DIV/0!</v>
      </c>
      <c r="CV60" s="157" t="e">
        <f ca="1"/>
        <v>#DIV/0!</v>
      </c>
      <c r="CW60" s="468" t="e">
        <f ca="1"/>
        <v>#DIV/0!</v>
      </c>
      <c r="CX60" s="470" t="e">
        <f ca="1"/>
        <v>#DIV/0!</v>
      </c>
      <c r="CY60" s="472" t="e">
        <f ca="1"/>
        <v>#DIV/0!</v>
      </c>
      <c r="CZ60" s="173" t="e">
        <f t="shared" ca="1" si="3"/>
        <v>#DIV/0!</v>
      </c>
      <c r="DA60" s="173" t="e">
        <f t="shared" ca="1" si="3"/>
        <v>#DIV/0!</v>
      </c>
      <c r="DB60" s="462" t="e">
        <f ca="1"/>
        <v>#DIV/0!</v>
      </c>
      <c r="DC60" s="464">
        <f ca="1"/>
        <v>0</v>
      </c>
      <c r="DD60" s="464" t="e">
        <f ca="1"/>
        <v>#DIV/0!</v>
      </c>
      <c r="DE60" s="466" t="e">
        <f ca="1"/>
        <v>#DIV/0!</v>
      </c>
      <c r="DF60" s="157" t="e">
        <f ca="1"/>
        <v>#DIV/0!</v>
      </c>
      <c r="DG60" s="157" t="e">
        <f ca="1"/>
        <v>#DIV/0!</v>
      </c>
      <c r="DH60" s="157">
        <f ca="1"/>
        <v>22624.702536331461</v>
      </c>
      <c r="DI60" s="157" t="e">
        <f ca="1"/>
        <v>#DIV/0!</v>
      </c>
      <c r="DJ60" s="157" t="e">
        <f ca="1"/>
        <v>#DIV/0!</v>
      </c>
      <c r="DK60" s="468" t="e">
        <f ca="1"/>
        <v>#DIV/0!</v>
      </c>
      <c r="DL60" s="470" t="e">
        <f ca="1"/>
        <v>#DIV/0!</v>
      </c>
      <c r="DM60" s="472" t="e">
        <f ca="1"/>
        <v>#DIV/0!</v>
      </c>
      <c r="DN60" s="462" t="e">
        <f ca="1"/>
        <v>#DIV/0!</v>
      </c>
      <c r="DO60" s="464">
        <f ca="1"/>
        <v>0</v>
      </c>
      <c r="DP60" s="464" t="e">
        <f ca="1"/>
        <v>#DIV/0!</v>
      </c>
      <c r="DQ60" s="466" t="e">
        <f ca="1"/>
        <v>#DIV/0!</v>
      </c>
      <c r="DR60" s="157" t="e">
        <f ca="1"/>
        <v>#DIV/0!</v>
      </c>
      <c r="DS60" s="157" t="e">
        <f ca="1"/>
        <v>#DIV/0!</v>
      </c>
      <c r="DT60" s="157">
        <f ca="1"/>
        <v>18633.507541622675</v>
      </c>
      <c r="DU60" s="157" t="e">
        <f ca="1"/>
        <v>#DIV/0!</v>
      </c>
      <c r="DV60" s="157" t="e">
        <f ca="1"/>
        <v>#DIV/0!</v>
      </c>
      <c r="DW60" s="468" t="e">
        <f ca="1"/>
        <v>#DIV/0!</v>
      </c>
      <c r="DX60" s="470" t="e">
        <f ca="1"/>
        <v>#DIV/0!</v>
      </c>
      <c r="DY60" s="472" t="e">
        <f ca="1"/>
        <v>#DIV/0!</v>
      </c>
      <c r="DZ60" s="462" t="e">
        <f ca="1"/>
        <v>#DIV/0!</v>
      </c>
      <c r="EA60" s="464">
        <f ca="1"/>
        <v>0</v>
      </c>
      <c r="EB60" s="464" t="e">
        <f ca="1"/>
        <v>#DIV/0!</v>
      </c>
      <c r="EC60" s="466" t="e">
        <f ca="1"/>
        <v>#DIV/0!</v>
      </c>
      <c r="ED60" s="157" t="e">
        <f ca="1"/>
        <v>#DIV/0!</v>
      </c>
      <c r="EE60" s="157" t="e">
        <f ca="1"/>
        <v>#DIV/0!</v>
      </c>
      <c r="EF60" s="157">
        <f ca="1"/>
        <v>14640.341401121548</v>
      </c>
      <c r="EG60" s="157" t="e">
        <f ca="1"/>
        <v>#DIV/0!</v>
      </c>
      <c r="EH60" s="157" t="e">
        <f ca="1"/>
        <v>#DIV/0!</v>
      </c>
      <c r="EI60" s="468" t="e">
        <f ca="1"/>
        <v>#DIV/0!</v>
      </c>
      <c r="EJ60" s="470" t="e">
        <f ca="1"/>
        <v>#DIV/0!</v>
      </c>
      <c r="EK60" s="472" t="e">
        <f ca="1"/>
        <v>#DIV/0!</v>
      </c>
      <c r="EL60" s="462" t="e">
        <f ca="1"/>
        <v>#DIV/0!</v>
      </c>
      <c r="EM60" s="464" t="e">
        <f ca="1"/>
        <v>#NUM!</v>
      </c>
      <c r="EN60" s="464" t="e">
        <f ca="1"/>
        <v>#NUM!</v>
      </c>
      <c r="EO60" s="466" t="e">
        <f ca="1"/>
        <v>#NUM!</v>
      </c>
      <c r="EP60" s="157" t="e">
        <f ca="1"/>
        <v>#DIV/0!</v>
      </c>
      <c r="EQ60" s="157" t="e">
        <f ca="1"/>
        <v>#NUM!</v>
      </c>
      <c r="ER60" s="157">
        <f ca="1"/>
        <v>2781.6062128903036</v>
      </c>
      <c r="ES60" s="157" t="e">
        <f ca="1"/>
        <v>#DIV/0!</v>
      </c>
      <c r="ET60" s="157" t="e">
        <f ca="1"/>
        <v>#DIV/0!</v>
      </c>
      <c r="EU60" s="468" t="e">
        <f ca="1"/>
        <v>#DIV/0!</v>
      </c>
      <c r="EV60" s="470" t="e">
        <f ca="1"/>
        <v>#DIV/0!</v>
      </c>
      <c r="EW60" s="472" t="e">
        <f ca="1"/>
        <v>#DIV/0!</v>
      </c>
      <c r="EX60" s="462" t="e">
        <f ca="1"/>
        <v>#DIV/0!</v>
      </c>
      <c r="EY60" s="464" t="e">
        <f ca="1"/>
        <v>#NUM!</v>
      </c>
      <c r="EZ60" s="464" t="e">
        <f ca="1"/>
        <v>#NUM!</v>
      </c>
      <c r="FA60" s="466" t="e">
        <f ca="1"/>
        <v>#NUM!</v>
      </c>
      <c r="FB60" s="157" t="e">
        <f ca="1"/>
        <v>#DIV/0!</v>
      </c>
      <c r="FC60" s="157" t="e">
        <f ca="1"/>
        <v>#NUM!</v>
      </c>
      <c r="FD60" s="157">
        <f ca="1"/>
        <v>5697.7688891018315</v>
      </c>
      <c r="FE60" s="157" t="e">
        <f ca="1"/>
        <v>#DIV/0!</v>
      </c>
      <c r="FF60" s="157" t="e">
        <f ca="1"/>
        <v>#DIV/0!</v>
      </c>
      <c r="FG60" s="468" t="e">
        <f ca="1"/>
        <v>#DIV/0!</v>
      </c>
      <c r="FH60" s="470" t="e">
        <f ca="1"/>
        <v>#DIV/0!</v>
      </c>
      <c r="FI60" s="472" t="e">
        <f ca="1"/>
        <v>#DIV/0!</v>
      </c>
      <c r="FJ60" s="173" t="e">
        <f t="shared" ca="1" si="4"/>
        <v>#DIV/0!</v>
      </c>
      <c r="FK60" s="173" t="e">
        <f t="shared" ca="1" si="4"/>
        <v>#DIV/0!</v>
      </c>
      <c r="FL60" s="462" t="e">
        <f ca="1"/>
        <v>#DIV/0!</v>
      </c>
      <c r="FM60" s="464">
        <f ca="1"/>
        <v>0</v>
      </c>
      <c r="FN60" s="464" t="e">
        <f ca="1"/>
        <v>#DIV/0!</v>
      </c>
      <c r="FO60" s="466" t="e">
        <f ca="1"/>
        <v>#DIV/0!</v>
      </c>
      <c r="FP60" s="157" t="e">
        <f ca="1"/>
        <v>#DIV/0!</v>
      </c>
      <c r="FQ60" s="157" t="e">
        <f ca="1"/>
        <v>#DIV/0!</v>
      </c>
      <c r="FR60" s="157" t="e">
        <f ca="1"/>
        <v>#DIV/0!</v>
      </c>
      <c r="FS60" s="157">
        <f ca="1"/>
        <v>2182.0798105491776</v>
      </c>
      <c r="FT60" s="468" t="e">
        <f ca="1"/>
        <v>#DIV/0!</v>
      </c>
      <c r="FU60" s="470" t="e">
        <f ca="1"/>
        <v>#DIV/0!</v>
      </c>
      <c r="FV60" s="470" t="e">
        <f ca="1"/>
        <v>#DIV/0!</v>
      </c>
      <c r="FW60" s="462" t="e">
        <f ca="1"/>
        <v>#DIV/0!</v>
      </c>
      <c r="FX60" s="464" t="e">
        <f ca="1"/>
        <v>#NUM!</v>
      </c>
      <c r="FY60" s="464" t="e">
        <f ca="1"/>
        <v>#NUM!</v>
      </c>
      <c r="FZ60" s="466" t="e">
        <f ca="1"/>
        <v>#NUM!</v>
      </c>
      <c r="GA60" s="157" t="e">
        <f ca="1"/>
        <v>#DIV/0!</v>
      </c>
      <c r="GB60" s="157" t="e">
        <f ca="1"/>
        <v>#NUM!</v>
      </c>
      <c r="GC60" s="157" t="e">
        <f ca="1"/>
        <v>#DIV/0!</v>
      </c>
      <c r="GD60" s="157">
        <f ca="1"/>
        <v>46.241970795246452</v>
      </c>
      <c r="GE60" s="468" t="e">
        <f ca="1"/>
        <v>#DIV/0!</v>
      </c>
      <c r="GF60" s="470" t="e">
        <f ca="1"/>
        <v>#DIV/0!</v>
      </c>
      <c r="GG60" s="470" t="e">
        <f ca="1"/>
        <v>#DIV/0!</v>
      </c>
      <c r="GH60" s="173" t="e">
        <f t="shared" ca="1" si="7"/>
        <v>#DIV/0!</v>
      </c>
      <c r="GI60" s="173" t="e">
        <f t="shared" ca="1" si="7"/>
        <v>#DIV/0!</v>
      </c>
    </row>
    <row r="61" spans="2:191" ht="15">
      <c r="B61" s="169"/>
      <c r="C61" s="87">
        <f>'Oil supply projection'!B61</f>
        <v>2070</v>
      </c>
      <c r="D61" s="460" t="e">
        <f ca="1"/>
        <v>#DIV/0!</v>
      </c>
      <c r="E61" s="460" t="e">
        <f ca="1"/>
        <v>#DIV/0!</v>
      </c>
      <c r="F61" s="462" t="e">
        <f ca="1"/>
        <v>#DIV/0!</v>
      </c>
      <c r="G61" s="464">
        <f ca="1"/>
        <v>0</v>
      </c>
      <c r="H61" s="464" t="e">
        <f ca="1"/>
        <v>#DIV/0!</v>
      </c>
      <c r="I61" s="466" t="e">
        <f ca="1"/>
        <v>#DIV/0!</v>
      </c>
      <c r="J61" s="157" t="e">
        <f ca="1"/>
        <v>#DIV/0!</v>
      </c>
      <c r="K61" s="157" t="e">
        <f ca="1"/>
        <v>#DIV/0!</v>
      </c>
      <c r="L61" s="157">
        <f ca="1"/>
        <v>49.355126075621648</v>
      </c>
      <c r="M61" s="157" t="e">
        <f ca="1"/>
        <v>#DIV/0!</v>
      </c>
      <c r="N61" s="157" t="e">
        <f ca="1"/>
        <v>#DIV/0!</v>
      </c>
      <c r="O61" s="468" t="e">
        <f ca="1"/>
        <v>#DIV/0!</v>
      </c>
      <c r="P61" s="470" t="e">
        <f ca="1"/>
        <v>#DIV/0!</v>
      </c>
      <c r="Q61" s="472" t="e">
        <f ca="1"/>
        <v>#DIV/0!</v>
      </c>
      <c r="R61" s="462" t="e">
        <f ca="1"/>
        <v>#DIV/0!</v>
      </c>
      <c r="S61" s="464">
        <f ca="1"/>
        <v>0</v>
      </c>
      <c r="T61" s="464" t="e">
        <f ca="1"/>
        <v>#DIV/0!</v>
      </c>
      <c r="U61" s="466" t="e">
        <f ca="1"/>
        <v>#DIV/0!</v>
      </c>
      <c r="V61" s="157" t="e">
        <f ca="1"/>
        <v>#DIV/0!</v>
      </c>
      <c r="W61" s="157" t="e">
        <f ca="1"/>
        <v>#DIV/0!</v>
      </c>
      <c r="X61" s="157">
        <f ca="1"/>
        <v>67.309225031638107</v>
      </c>
      <c r="Y61" s="157" t="e">
        <f ca="1"/>
        <v>#DIV/0!</v>
      </c>
      <c r="Z61" s="157" t="e">
        <f ca="1"/>
        <v>#DIV/0!</v>
      </c>
      <c r="AA61" s="468" t="e">
        <f ca="1"/>
        <v>#DIV/0!</v>
      </c>
      <c r="AB61" s="470" t="e">
        <f ca="1"/>
        <v>#DIV/0!</v>
      </c>
      <c r="AC61" s="472" t="e">
        <f ca="1"/>
        <v>#DIV/0!</v>
      </c>
      <c r="AD61" s="462" t="e">
        <f ca="1"/>
        <v>#DIV/0!</v>
      </c>
      <c r="AE61" s="464">
        <f ca="1"/>
        <v>0</v>
      </c>
      <c r="AF61" s="464" t="e">
        <f ca="1"/>
        <v>#DIV/0!</v>
      </c>
      <c r="AG61" s="466" t="e">
        <f ca="1"/>
        <v>#DIV/0!</v>
      </c>
      <c r="AH61" s="157" t="e">
        <f ca="1"/>
        <v>#DIV/0!</v>
      </c>
      <c r="AI61" s="157" t="e">
        <f ca="1"/>
        <v>#DIV/0!</v>
      </c>
      <c r="AJ61" s="157">
        <f ca="1"/>
        <v>880.56589896265154</v>
      </c>
      <c r="AK61" s="157" t="e">
        <f ca="1"/>
        <v>#DIV/0!</v>
      </c>
      <c r="AL61" s="157" t="e">
        <f ca="1"/>
        <v>#DIV/0!</v>
      </c>
      <c r="AM61" s="468" t="e">
        <f ca="1"/>
        <v>#DIV/0!</v>
      </c>
      <c r="AN61" s="470" t="e">
        <f ca="1"/>
        <v>#DIV/0!</v>
      </c>
      <c r="AO61" s="472" t="e">
        <f ca="1"/>
        <v>#DIV/0!</v>
      </c>
      <c r="AP61" s="462" t="e">
        <f ca="1"/>
        <v>#DIV/0!</v>
      </c>
      <c r="AQ61" s="464" t="e">
        <f ca="1"/>
        <v>#NUM!</v>
      </c>
      <c r="AR61" s="464" t="e">
        <f ca="1"/>
        <v>#NUM!</v>
      </c>
      <c r="AS61" s="466" t="e">
        <f ca="1"/>
        <v>#NUM!</v>
      </c>
      <c r="AT61" s="157" t="e">
        <f ca="1"/>
        <v>#DIV/0!</v>
      </c>
      <c r="AU61" s="157" t="e">
        <f ca="1"/>
        <v>#NUM!</v>
      </c>
      <c r="AV61" s="157">
        <f ca="1"/>
        <v>1587.1315685827076</v>
      </c>
      <c r="AW61" s="157" t="e">
        <f ca="1"/>
        <v>#DIV/0!</v>
      </c>
      <c r="AX61" s="157" t="e">
        <f ca="1"/>
        <v>#DIV/0!</v>
      </c>
      <c r="AY61" s="468" t="e">
        <f ca="1"/>
        <v>#DIV/0!</v>
      </c>
      <c r="AZ61" s="470" t="e">
        <f ca="1"/>
        <v>#DIV/0!</v>
      </c>
      <c r="BA61" s="472" t="e">
        <f ca="1"/>
        <v>#DIV/0!</v>
      </c>
      <c r="BB61" s="173" t="e">
        <f t="shared" ca="1" si="5"/>
        <v>#DIV/0!</v>
      </c>
      <c r="BC61" s="173" t="e">
        <f t="shared" ca="1" si="6"/>
        <v>#DIV/0!</v>
      </c>
      <c r="BD61" s="462" t="e">
        <f ca="1"/>
        <v>#DIV/0!</v>
      </c>
      <c r="BE61" s="464">
        <f ca="1"/>
        <v>0</v>
      </c>
      <c r="BF61" s="464" t="e">
        <f ca="1"/>
        <v>#DIV/0!</v>
      </c>
      <c r="BG61" s="466" t="e">
        <f ca="1"/>
        <v>#DIV/0!</v>
      </c>
      <c r="BH61" s="157" t="e">
        <f ca="1"/>
        <v>#DIV/0!</v>
      </c>
      <c r="BI61" s="157" t="e">
        <f ca="1"/>
        <v>#DIV/0!</v>
      </c>
      <c r="BJ61" s="157">
        <f ca="1"/>
        <v>20.576703129555483</v>
      </c>
      <c r="BK61" s="157" t="e">
        <f ca="1"/>
        <v>#DIV/0!</v>
      </c>
      <c r="BL61" s="157" t="e">
        <f ca="1"/>
        <v>#DIV/0!</v>
      </c>
      <c r="BM61" s="468" t="e">
        <f ca="1"/>
        <v>#DIV/0!</v>
      </c>
      <c r="BN61" s="470" t="e">
        <f ca="1"/>
        <v>#DIV/0!</v>
      </c>
      <c r="BO61" s="472" t="e">
        <f ca="1"/>
        <v>#DIV/0!</v>
      </c>
      <c r="BP61" s="462" t="e">
        <f ca="1"/>
        <v>#DIV/0!</v>
      </c>
      <c r="BQ61" s="464">
        <f ca="1"/>
        <v>0</v>
      </c>
      <c r="BR61" s="464" t="e">
        <f ca="1"/>
        <v>#DIV/0!</v>
      </c>
      <c r="BS61" s="466" t="e">
        <f ca="1"/>
        <v>#DIV/0!</v>
      </c>
      <c r="BT61" s="157" t="e">
        <f ca="1"/>
        <v>#DIV/0!</v>
      </c>
      <c r="BU61" s="157" t="e">
        <f ca="1"/>
        <v>#DIV/0!</v>
      </c>
      <c r="BV61" s="157">
        <f ca="1"/>
        <v>15.065843923526803</v>
      </c>
      <c r="BW61" s="157" t="e">
        <f ca="1"/>
        <v>#DIV/0!</v>
      </c>
      <c r="BX61" s="157" t="e">
        <f ca="1"/>
        <v>#DIV/0!</v>
      </c>
      <c r="BY61" s="468" t="e">
        <f ca="1"/>
        <v>#DIV/0!</v>
      </c>
      <c r="BZ61" s="470" t="e">
        <f ca="1"/>
        <v>#DIV/0!</v>
      </c>
      <c r="CA61" s="472" t="e">
        <f ca="1"/>
        <v>#DIV/0!</v>
      </c>
      <c r="CB61" s="462" t="e">
        <f ca="1"/>
        <v>#DIV/0!</v>
      </c>
      <c r="CC61" s="464">
        <f ca="1"/>
        <v>0</v>
      </c>
      <c r="CD61" s="464" t="e">
        <f ca="1"/>
        <v>#DIV/0!</v>
      </c>
      <c r="CE61" s="466" t="e">
        <f ca="1"/>
        <v>#DIV/0!</v>
      </c>
      <c r="CF61" s="157" t="e">
        <f ca="1"/>
        <v>#DIV/0!</v>
      </c>
      <c r="CG61" s="157" t="e">
        <f ca="1"/>
        <v>#DIV/0!</v>
      </c>
      <c r="CH61" s="157">
        <f ca="1"/>
        <v>52.074608743963488</v>
      </c>
      <c r="CI61" s="157" t="e">
        <f ca="1"/>
        <v>#DIV/0!</v>
      </c>
      <c r="CJ61" s="157" t="e">
        <f ca="1"/>
        <v>#DIV/0!</v>
      </c>
      <c r="CK61" s="468" t="e">
        <f ca="1"/>
        <v>#DIV/0!</v>
      </c>
      <c r="CL61" s="470" t="e">
        <f ca="1"/>
        <v>#DIV/0!</v>
      </c>
      <c r="CM61" s="472" t="e">
        <f ca="1"/>
        <v>#DIV/0!</v>
      </c>
      <c r="CN61" s="462" t="e">
        <f ca="1"/>
        <v>#DIV/0!</v>
      </c>
      <c r="CO61" s="464" t="e">
        <f ca="1"/>
        <v>#NUM!</v>
      </c>
      <c r="CP61" s="464" t="e">
        <f ca="1"/>
        <v>#NUM!</v>
      </c>
      <c r="CQ61" s="466" t="e">
        <f ca="1"/>
        <v>#NUM!</v>
      </c>
      <c r="CR61" s="157" t="e">
        <f ca="1"/>
        <v>#DIV/0!</v>
      </c>
      <c r="CS61" s="157" t="e">
        <f ca="1"/>
        <v>#NUM!</v>
      </c>
      <c r="CT61" s="157">
        <f ca="1"/>
        <v>7.7459298934156138</v>
      </c>
      <c r="CU61" s="157" t="e">
        <f ca="1"/>
        <v>#DIV/0!</v>
      </c>
      <c r="CV61" s="157" t="e">
        <f ca="1"/>
        <v>#DIV/0!</v>
      </c>
      <c r="CW61" s="468" t="e">
        <f ca="1"/>
        <v>#DIV/0!</v>
      </c>
      <c r="CX61" s="470" t="e">
        <f ca="1"/>
        <v>#DIV/0!</v>
      </c>
      <c r="CY61" s="472" t="e">
        <f ca="1"/>
        <v>#DIV/0!</v>
      </c>
      <c r="CZ61" s="173" t="e">
        <f t="shared" ca="1" si="3"/>
        <v>#DIV/0!</v>
      </c>
      <c r="DA61" s="173" t="e">
        <f t="shared" ca="1" si="3"/>
        <v>#DIV/0!</v>
      </c>
      <c r="DB61" s="462" t="e">
        <f ca="1"/>
        <v>#DIV/0!</v>
      </c>
      <c r="DC61" s="464">
        <f ca="1"/>
        <v>0</v>
      </c>
      <c r="DD61" s="464" t="e">
        <f ca="1"/>
        <v>#DIV/0!</v>
      </c>
      <c r="DE61" s="466" t="e">
        <f ca="1"/>
        <v>#DIV/0!</v>
      </c>
      <c r="DF61" s="157" t="e">
        <f ca="1"/>
        <v>#DIV/0!</v>
      </c>
      <c r="DG61" s="157" t="e">
        <f ca="1"/>
        <v>#DIV/0!</v>
      </c>
      <c r="DH61" s="157">
        <f ca="1"/>
        <v>22857.68291415559</v>
      </c>
      <c r="DI61" s="157" t="e">
        <f ca="1"/>
        <v>#DIV/0!</v>
      </c>
      <c r="DJ61" s="157" t="e">
        <f ca="1"/>
        <v>#DIV/0!</v>
      </c>
      <c r="DK61" s="468" t="e">
        <f ca="1"/>
        <v>#DIV/0!</v>
      </c>
      <c r="DL61" s="470" t="e">
        <f ca="1"/>
        <v>#DIV/0!</v>
      </c>
      <c r="DM61" s="472" t="e">
        <f ca="1"/>
        <v>#DIV/0!</v>
      </c>
      <c r="DN61" s="462" t="e">
        <f ca="1"/>
        <v>#DIV/0!</v>
      </c>
      <c r="DO61" s="464">
        <f ca="1"/>
        <v>0</v>
      </c>
      <c r="DP61" s="464" t="e">
        <f ca="1"/>
        <v>#DIV/0!</v>
      </c>
      <c r="DQ61" s="466" t="e">
        <f ca="1"/>
        <v>#DIV/0!</v>
      </c>
      <c r="DR61" s="157" t="e">
        <f ca="1"/>
        <v>#DIV/0!</v>
      </c>
      <c r="DS61" s="157" t="e">
        <f ca="1"/>
        <v>#DIV/0!</v>
      </c>
      <c r="DT61" s="157">
        <f ca="1"/>
        <v>18825.388147357255</v>
      </c>
      <c r="DU61" s="157" t="e">
        <f ca="1"/>
        <v>#DIV/0!</v>
      </c>
      <c r="DV61" s="157" t="e">
        <f ca="1"/>
        <v>#DIV/0!</v>
      </c>
      <c r="DW61" s="468" t="e">
        <f ca="1"/>
        <v>#DIV/0!</v>
      </c>
      <c r="DX61" s="470" t="e">
        <f ca="1"/>
        <v>#DIV/0!</v>
      </c>
      <c r="DY61" s="472" t="e">
        <f ca="1"/>
        <v>#DIV/0!</v>
      </c>
      <c r="DZ61" s="462" t="e">
        <f ca="1"/>
        <v>#DIV/0!</v>
      </c>
      <c r="EA61" s="464">
        <f ca="1"/>
        <v>0</v>
      </c>
      <c r="EB61" s="464" t="e">
        <f ca="1"/>
        <v>#DIV/0!</v>
      </c>
      <c r="EC61" s="466" t="e">
        <f ca="1"/>
        <v>#DIV/0!</v>
      </c>
      <c r="ED61" s="157" t="e">
        <f ca="1"/>
        <v>#DIV/0!</v>
      </c>
      <c r="EE61" s="157" t="e">
        <f ca="1"/>
        <v>#DIV/0!</v>
      </c>
      <c r="EF61" s="157">
        <f ca="1"/>
        <v>14791.101936674677</v>
      </c>
      <c r="EG61" s="157" t="e">
        <f ca="1"/>
        <v>#DIV/0!</v>
      </c>
      <c r="EH61" s="157" t="e">
        <f ca="1"/>
        <v>#DIV/0!</v>
      </c>
      <c r="EI61" s="468" t="e">
        <f ca="1"/>
        <v>#DIV/0!</v>
      </c>
      <c r="EJ61" s="470" t="e">
        <f ca="1"/>
        <v>#DIV/0!</v>
      </c>
      <c r="EK61" s="472" t="e">
        <f ca="1"/>
        <v>#DIV/0!</v>
      </c>
      <c r="EL61" s="462" t="e">
        <f ca="1"/>
        <v>#DIV/0!</v>
      </c>
      <c r="EM61" s="464" t="e">
        <f ca="1"/>
        <v>#NUM!</v>
      </c>
      <c r="EN61" s="464" t="e">
        <f ca="1"/>
        <v>#NUM!</v>
      </c>
      <c r="EO61" s="466" t="e">
        <f ca="1"/>
        <v>#NUM!</v>
      </c>
      <c r="EP61" s="157" t="e">
        <f ca="1"/>
        <v>#DIV/0!</v>
      </c>
      <c r="EQ61" s="157" t="e">
        <f ca="1"/>
        <v>#NUM!</v>
      </c>
      <c r="ER61" s="157">
        <f ca="1"/>
        <v>2810.2501106563163</v>
      </c>
      <c r="ES61" s="157" t="e">
        <f ca="1"/>
        <v>#DIV/0!</v>
      </c>
      <c r="ET61" s="157" t="e">
        <f ca="1"/>
        <v>#DIV/0!</v>
      </c>
      <c r="EU61" s="468" t="e">
        <f ca="1"/>
        <v>#DIV/0!</v>
      </c>
      <c r="EV61" s="470" t="e">
        <f ca="1"/>
        <v>#DIV/0!</v>
      </c>
      <c r="EW61" s="472" t="e">
        <f ca="1"/>
        <v>#DIV/0!</v>
      </c>
      <c r="EX61" s="462" t="e">
        <f ca="1"/>
        <v>#DIV/0!</v>
      </c>
      <c r="EY61" s="464" t="e">
        <f ca="1"/>
        <v>#NUM!</v>
      </c>
      <c r="EZ61" s="464" t="e">
        <f ca="1"/>
        <v>#NUM!</v>
      </c>
      <c r="FA61" s="466" t="e">
        <f ca="1"/>
        <v>#NUM!</v>
      </c>
      <c r="FB61" s="157" t="e">
        <f ca="1"/>
        <v>#DIV/0!</v>
      </c>
      <c r="FC61" s="157" t="e">
        <f ca="1"/>
        <v>#NUM!</v>
      </c>
      <c r="FD61" s="157">
        <f ca="1"/>
        <v>5756.4422947037747</v>
      </c>
      <c r="FE61" s="157" t="e">
        <f ca="1"/>
        <v>#DIV/0!</v>
      </c>
      <c r="FF61" s="157" t="e">
        <f ca="1"/>
        <v>#DIV/0!</v>
      </c>
      <c r="FG61" s="468" t="e">
        <f ca="1"/>
        <v>#DIV/0!</v>
      </c>
      <c r="FH61" s="470" t="e">
        <f ca="1"/>
        <v>#DIV/0!</v>
      </c>
      <c r="FI61" s="472" t="e">
        <f ca="1"/>
        <v>#DIV/0!</v>
      </c>
      <c r="FJ61" s="173" t="e">
        <f t="shared" ca="1" si="4"/>
        <v>#DIV/0!</v>
      </c>
      <c r="FK61" s="173" t="e">
        <f t="shared" ca="1" si="4"/>
        <v>#DIV/0!</v>
      </c>
      <c r="FL61" s="462" t="e">
        <f ca="1"/>
        <v>#DIV/0!</v>
      </c>
      <c r="FM61" s="464">
        <f ca="1"/>
        <v>0</v>
      </c>
      <c r="FN61" s="464" t="e">
        <f ca="1"/>
        <v>#DIV/0!</v>
      </c>
      <c r="FO61" s="466" t="e">
        <f ca="1"/>
        <v>#DIV/0!</v>
      </c>
      <c r="FP61" s="157" t="e">
        <f ca="1"/>
        <v>#DIV/0!</v>
      </c>
      <c r="FQ61" s="157" t="e">
        <f ca="1"/>
        <v>#DIV/0!</v>
      </c>
      <c r="FR61" s="157" t="e">
        <f ca="1"/>
        <v>#DIV/0!</v>
      </c>
      <c r="FS61" s="157">
        <f ca="1"/>
        <v>2194.255130706194</v>
      </c>
      <c r="FT61" s="468" t="e">
        <f ca="1"/>
        <v>#DIV/0!</v>
      </c>
      <c r="FU61" s="470" t="e">
        <f ca="1"/>
        <v>#DIV/0!</v>
      </c>
      <c r="FV61" s="470" t="e">
        <f ca="1"/>
        <v>#DIV/0!</v>
      </c>
      <c r="FW61" s="462" t="e">
        <f ca="1"/>
        <v>#DIV/0!</v>
      </c>
      <c r="FX61" s="464" t="e">
        <f ca="1"/>
        <v>#NUM!</v>
      </c>
      <c r="FY61" s="464" t="e">
        <f ca="1"/>
        <v>#NUM!</v>
      </c>
      <c r="FZ61" s="466" t="e">
        <f ca="1"/>
        <v>#NUM!</v>
      </c>
      <c r="GA61" s="157" t="e">
        <f ca="1"/>
        <v>#DIV/0!</v>
      </c>
      <c r="GB61" s="157" t="e">
        <f ca="1"/>
        <v>#NUM!</v>
      </c>
      <c r="GC61" s="157" t="e">
        <f ca="1"/>
        <v>#DIV/0!</v>
      </c>
      <c r="GD61" s="157">
        <f ca="1"/>
        <v>46.499986472034109</v>
      </c>
      <c r="GE61" s="468" t="e">
        <f ca="1"/>
        <v>#DIV/0!</v>
      </c>
      <c r="GF61" s="470" t="e">
        <f ca="1"/>
        <v>#DIV/0!</v>
      </c>
      <c r="GG61" s="470" t="e">
        <f ca="1"/>
        <v>#DIV/0!</v>
      </c>
      <c r="GH61" s="173" t="e">
        <f t="shared" ca="1" si="7"/>
        <v>#DIV/0!</v>
      </c>
      <c r="GI61" s="173" t="e">
        <f t="shared" ca="1" si="7"/>
        <v>#DIV/0!</v>
      </c>
    </row>
    <row r="62" spans="2:191" ht="15">
      <c r="B62" s="169"/>
      <c r="C62" s="87">
        <f>'Oil supply projection'!B62</f>
        <v>2071</v>
      </c>
      <c r="D62" s="460" t="e">
        <f ca="1"/>
        <v>#DIV/0!</v>
      </c>
      <c r="E62" s="460" t="e">
        <f ca="1"/>
        <v>#DIV/0!</v>
      </c>
      <c r="F62" s="462" t="e">
        <f ca="1"/>
        <v>#DIV/0!</v>
      </c>
      <c r="G62" s="464">
        <f ca="1"/>
        <v>0</v>
      </c>
      <c r="H62" s="464" t="e">
        <f ca="1"/>
        <v>#DIV/0!</v>
      </c>
      <c r="I62" s="466" t="e">
        <f ca="1"/>
        <v>#DIV/0!</v>
      </c>
      <c r="J62" s="157" t="e">
        <f ca="1"/>
        <v>#DIV/0!</v>
      </c>
      <c r="K62" s="157" t="e">
        <f ca="1"/>
        <v>#DIV/0!</v>
      </c>
      <c r="L62" s="157">
        <f ca="1"/>
        <v>50.011420381391261</v>
      </c>
      <c r="M62" s="157" t="e">
        <f ca="1"/>
        <v>#DIV/0!</v>
      </c>
      <c r="N62" s="157" t="e">
        <f ca="1"/>
        <v>#DIV/0!</v>
      </c>
      <c r="O62" s="468" t="e">
        <f ca="1"/>
        <v>#DIV/0!</v>
      </c>
      <c r="P62" s="470" t="e">
        <f ca="1"/>
        <v>#DIV/0!</v>
      </c>
      <c r="Q62" s="472" t="e">
        <f ca="1"/>
        <v>#DIV/0!</v>
      </c>
      <c r="R62" s="462" t="e">
        <f ca="1"/>
        <v>#DIV/0!</v>
      </c>
      <c r="S62" s="464">
        <f ca="1"/>
        <v>0</v>
      </c>
      <c r="T62" s="464" t="e">
        <f ca="1"/>
        <v>#DIV/0!</v>
      </c>
      <c r="U62" s="466" t="e">
        <f ca="1"/>
        <v>#DIV/0!</v>
      </c>
      <c r="V62" s="157" t="e">
        <f ca="1"/>
        <v>#DIV/0!</v>
      </c>
      <c r="W62" s="157" t="e">
        <f ca="1"/>
        <v>#DIV/0!</v>
      </c>
      <c r="X62" s="157">
        <f ca="1"/>
        <v>68.204261973623531</v>
      </c>
      <c r="Y62" s="157" t="e">
        <f ca="1"/>
        <v>#DIV/0!</v>
      </c>
      <c r="Z62" s="157" t="e">
        <f ca="1"/>
        <v>#DIV/0!</v>
      </c>
      <c r="AA62" s="468" t="e">
        <f ca="1"/>
        <v>#DIV/0!</v>
      </c>
      <c r="AB62" s="470" t="e">
        <f ca="1"/>
        <v>#DIV/0!</v>
      </c>
      <c r="AC62" s="472" t="e">
        <f ca="1"/>
        <v>#DIV/0!</v>
      </c>
      <c r="AD62" s="462" t="e">
        <f ca="1"/>
        <v>#DIV/0!</v>
      </c>
      <c r="AE62" s="464">
        <f ca="1"/>
        <v>0</v>
      </c>
      <c r="AF62" s="464" t="e">
        <f ca="1"/>
        <v>#DIV/0!</v>
      </c>
      <c r="AG62" s="466" t="e">
        <f ca="1"/>
        <v>#DIV/0!</v>
      </c>
      <c r="AH62" s="157" t="e">
        <f ca="1"/>
        <v>#DIV/0!</v>
      </c>
      <c r="AI62" s="157" t="e">
        <f ca="1"/>
        <v>#DIV/0!</v>
      </c>
      <c r="AJ62" s="157">
        <f ca="1"/>
        <v>892.27512617561865</v>
      </c>
      <c r="AK62" s="157" t="e">
        <f ca="1"/>
        <v>#DIV/0!</v>
      </c>
      <c r="AL62" s="157" t="e">
        <f ca="1"/>
        <v>#DIV/0!</v>
      </c>
      <c r="AM62" s="468" t="e">
        <f ca="1"/>
        <v>#DIV/0!</v>
      </c>
      <c r="AN62" s="470" t="e">
        <f ca="1"/>
        <v>#DIV/0!</v>
      </c>
      <c r="AO62" s="472" t="e">
        <f ca="1"/>
        <v>#DIV/0!</v>
      </c>
      <c r="AP62" s="462" t="e">
        <f ca="1"/>
        <v>#DIV/0!</v>
      </c>
      <c r="AQ62" s="464" t="e">
        <f ca="1"/>
        <v>#NUM!</v>
      </c>
      <c r="AR62" s="464" t="e">
        <f ca="1"/>
        <v>#NUM!</v>
      </c>
      <c r="AS62" s="466" t="e">
        <f ca="1"/>
        <v>#NUM!</v>
      </c>
      <c r="AT62" s="157" t="e">
        <f ca="1"/>
        <v>#DIV/0!</v>
      </c>
      <c r="AU62" s="157" t="e">
        <f ca="1"/>
        <v>#NUM!</v>
      </c>
      <c r="AV62" s="157">
        <f ca="1"/>
        <v>1608.2362742899134</v>
      </c>
      <c r="AW62" s="157" t="e">
        <f ca="1"/>
        <v>#DIV/0!</v>
      </c>
      <c r="AX62" s="157" t="e">
        <f ca="1"/>
        <v>#DIV/0!</v>
      </c>
      <c r="AY62" s="468" t="e">
        <f ca="1"/>
        <v>#DIV/0!</v>
      </c>
      <c r="AZ62" s="470" t="e">
        <f ca="1"/>
        <v>#DIV/0!</v>
      </c>
      <c r="BA62" s="472" t="e">
        <f ca="1"/>
        <v>#DIV/0!</v>
      </c>
      <c r="BB62" s="173" t="e">
        <f t="shared" ref="BB62:BB84" ca="1" si="8">AZ62+AN62+AB62+P62</f>
        <v>#DIV/0!</v>
      </c>
      <c r="BC62" s="173" t="e">
        <f t="shared" ref="BC62:BC84" ca="1" si="9">BA62+AO62+AC62+Q62</f>
        <v>#DIV/0!</v>
      </c>
      <c r="BD62" s="462" t="e">
        <f ca="1"/>
        <v>#DIV/0!</v>
      </c>
      <c r="BE62" s="464">
        <f ca="1"/>
        <v>0</v>
      </c>
      <c r="BF62" s="464" t="e">
        <f ca="1"/>
        <v>#DIV/0!</v>
      </c>
      <c r="BG62" s="466" t="e">
        <f ca="1"/>
        <v>#DIV/0!</v>
      </c>
      <c r="BH62" s="157" t="e">
        <f ca="1"/>
        <v>#DIV/0!</v>
      </c>
      <c r="BI62" s="157" t="e">
        <f ca="1"/>
        <v>#DIV/0!</v>
      </c>
      <c r="BJ62" s="157">
        <f ca="1"/>
        <v>20.69818018866113</v>
      </c>
      <c r="BK62" s="157" t="e">
        <f ca="1"/>
        <v>#DIV/0!</v>
      </c>
      <c r="BL62" s="157" t="e">
        <f ca="1"/>
        <v>#DIV/0!</v>
      </c>
      <c r="BM62" s="468" t="e">
        <f ca="1"/>
        <v>#DIV/0!</v>
      </c>
      <c r="BN62" s="470" t="e">
        <f ca="1"/>
        <v>#DIV/0!</v>
      </c>
      <c r="BO62" s="472" t="e">
        <f ca="1"/>
        <v>#DIV/0!</v>
      </c>
      <c r="BP62" s="462" t="e">
        <f ca="1"/>
        <v>#DIV/0!</v>
      </c>
      <c r="BQ62" s="464">
        <f ca="1"/>
        <v>0</v>
      </c>
      <c r="BR62" s="464" t="e">
        <f ca="1"/>
        <v>#DIV/0!</v>
      </c>
      <c r="BS62" s="466" t="e">
        <f ca="1"/>
        <v>#DIV/0!</v>
      </c>
      <c r="BT62" s="157" t="e">
        <f ca="1"/>
        <v>#DIV/0!</v>
      </c>
      <c r="BU62" s="157" t="e">
        <f ca="1"/>
        <v>#DIV/0!</v>
      </c>
      <c r="BV62" s="157">
        <f ca="1"/>
        <v>15.154786957853132</v>
      </c>
      <c r="BW62" s="157" t="e">
        <f ca="1"/>
        <v>#DIV/0!</v>
      </c>
      <c r="BX62" s="157" t="e">
        <f ca="1"/>
        <v>#DIV/0!</v>
      </c>
      <c r="BY62" s="468" t="e">
        <f ca="1"/>
        <v>#DIV/0!</v>
      </c>
      <c r="BZ62" s="470" t="e">
        <f ca="1"/>
        <v>#DIV/0!</v>
      </c>
      <c r="CA62" s="472" t="e">
        <f ca="1"/>
        <v>#DIV/0!</v>
      </c>
      <c r="CB62" s="462" t="e">
        <f ca="1"/>
        <v>#DIV/0!</v>
      </c>
      <c r="CC62" s="464">
        <f ca="1"/>
        <v>0</v>
      </c>
      <c r="CD62" s="464" t="e">
        <f ca="1"/>
        <v>#DIV/0!</v>
      </c>
      <c r="CE62" s="466" t="e">
        <f ca="1"/>
        <v>#DIV/0!</v>
      </c>
      <c r="CF62" s="157" t="e">
        <f ca="1"/>
        <v>#DIV/0!</v>
      </c>
      <c r="CG62" s="157" t="e">
        <f ca="1"/>
        <v>#DIV/0!</v>
      </c>
      <c r="CH62" s="157">
        <f ca="1"/>
        <v>52.382037503783017</v>
      </c>
      <c r="CI62" s="157" t="e">
        <f ca="1"/>
        <v>#DIV/0!</v>
      </c>
      <c r="CJ62" s="157" t="e">
        <f ca="1"/>
        <v>#DIV/0!</v>
      </c>
      <c r="CK62" s="468" t="e">
        <f ca="1"/>
        <v>#DIV/0!</v>
      </c>
      <c r="CL62" s="470" t="e">
        <f ca="1"/>
        <v>#DIV/0!</v>
      </c>
      <c r="CM62" s="472" t="e">
        <f ca="1"/>
        <v>#DIV/0!</v>
      </c>
      <c r="CN62" s="462" t="e">
        <f ca="1"/>
        <v>#DIV/0!</v>
      </c>
      <c r="CO62" s="464" t="e">
        <f ca="1"/>
        <v>#NUM!</v>
      </c>
      <c r="CP62" s="464" t="e">
        <f ca="1"/>
        <v>#NUM!</v>
      </c>
      <c r="CQ62" s="466" t="e">
        <f ca="1"/>
        <v>#NUM!</v>
      </c>
      <c r="CR62" s="157" t="e">
        <f ca="1"/>
        <v>#DIV/0!</v>
      </c>
      <c r="CS62" s="157" t="e">
        <f ca="1"/>
        <v>#NUM!</v>
      </c>
      <c r="CT62" s="157">
        <f ca="1"/>
        <v>7.7916589287020832</v>
      </c>
      <c r="CU62" s="157" t="e">
        <f ca="1"/>
        <v>#DIV/0!</v>
      </c>
      <c r="CV62" s="157" t="e">
        <f ca="1"/>
        <v>#DIV/0!</v>
      </c>
      <c r="CW62" s="468" t="e">
        <f ca="1"/>
        <v>#DIV/0!</v>
      </c>
      <c r="CX62" s="470" t="e">
        <f ca="1"/>
        <v>#DIV/0!</v>
      </c>
      <c r="CY62" s="472" t="e">
        <f ca="1"/>
        <v>#DIV/0!</v>
      </c>
      <c r="CZ62" s="173" t="e">
        <f t="shared" ref="CZ62:CZ83" ca="1" si="10">CX62+CL62+BZ62+BN62</f>
        <v>#DIV/0!</v>
      </c>
      <c r="DA62" s="173" t="e">
        <f t="shared" ref="DA62:DA83" ca="1" si="11">CY62+CM62+CA62+BO62</f>
        <v>#DIV/0!</v>
      </c>
      <c r="DB62" s="462" t="e">
        <f ca="1"/>
        <v>#DIV/0!</v>
      </c>
      <c r="DC62" s="464">
        <f ca="1"/>
        <v>0</v>
      </c>
      <c r="DD62" s="464" t="e">
        <f ca="1"/>
        <v>#DIV/0!</v>
      </c>
      <c r="DE62" s="466" t="e">
        <f ca="1"/>
        <v>#DIV/0!</v>
      </c>
      <c r="DF62" s="157" t="e">
        <f ca="1"/>
        <v>#DIV/0!</v>
      </c>
      <c r="DG62" s="157" t="e">
        <f ca="1"/>
        <v>#DIV/0!</v>
      </c>
      <c r="DH62" s="157">
        <f ca="1"/>
        <v>23093.062433199986</v>
      </c>
      <c r="DI62" s="157" t="e">
        <f ca="1"/>
        <v>#DIV/0!</v>
      </c>
      <c r="DJ62" s="157" t="e">
        <f ca="1"/>
        <v>#DIV/0!</v>
      </c>
      <c r="DK62" s="468" t="e">
        <f ca="1"/>
        <v>#DIV/0!</v>
      </c>
      <c r="DL62" s="470" t="e">
        <f ca="1"/>
        <v>#DIV/0!</v>
      </c>
      <c r="DM62" s="472" t="e">
        <f ca="1"/>
        <v>#DIV/0!</v>
      </c>
      <c r="DN62" s="462" t="e">
        <f ca="1"/>
        <v>#DIV/0!</v>
      </c>
      <c r="DO62" s="464">
        <f ca="1"/>
        <v>0</v>
      </c>
      <c r="DP62" s="464" t="e">
        <f ca="1"/>
        <v>#DIV/0!</v>
      </c>
      <c r="DQ62" s="466" t="e">
        <f ca="1"/>
        <v>#DIV/0!</v>
      </c>
      <c r="DR62" s="157" t="e">
        <f ca="1"/>
        <v>#DIV/0!</v>
      </c>
      <c r="DS62" s="157" t="e">
        <f ca="1"/>
        <v>#DIV/0!</v>
      </c>
      <c r="DT62" s="157">
        <f ca="1"/>
        <v>19019.24466486126</v>
      </c>
      <c r="DU62" s="157" t="e">
        <f ca="1"/>
        <v>#DIV/0!</v>
      </c>
      <c r="DV62" s="157" t="e">
        <f ca="1"/>
        <v>#DIV/0!</v>
      </c>
      <c r="DW62" s="468" t="e">
        <f ca="1"/>
        <v>#DIV/0!</v>
      </c>
      <c r="DX62" s="470" t="e">
        <f ca="1"/>
        <v>#DIV/0!</v>
      </c>
      <c r="DY62" s="472" t="e">
        <f ca="1"/>
        <v>#DIV/0!</v>
      </c>
      <c r="DZ62" s="462" t="e">
        <f ca="1"/>
        <v>#DIV/0!</v>
      </c>
      <c r="EA62" s="464">
        <f ca="1"/>
        <v>0</v>
      </c>
      <c r="EB62" s="464" t="e">
        <f ca="1"/>
        <v>#DIV/0!</v>
      </c>
      <c r="EC62" s="466" t="e">
        <f ca="1"/>
        <v>#DIV/0!</v>
      </c>
      <c r="ED62" s="157" t="e">
        <f ca="1"/>
        <v>#DIV/0!</v>
      </c>
      <c r="EE62" s="157" t="e">
        <f ca="1"/>
        <v>#DIV/0!</v>
      </c>
      <c r="EF62" s="157">
        <f ca="1"/>
        <v>14943.414945524541</v>
      </c>
      <c r="EG62" s="157" t="e">
        <f ca="1"/>
        <v>#DIV/0!</v>
      </c>
      <c r="EH62" s="157" t="e">
        <f ca="1"/>
        <v>#DIV/0!</v>
      </c>
      <c r="EI62" s="468" t="e">
        <f ca="1"/>
        <v>#DIV/0!</v>
      </c>
      <c r="EJ62" s="470" t="e">
        <f ca="1"/>
        <v>#DIV/0!</v>
      </c>
      <c r="EK62" s="472" t="e">
        <f ca="1"/>
        <v>#DIV/0!</v>
      </c>
      <c r="EL62" s="462" t="e">
        <f ca="1"/>
        <v>#DIV/0!</v>
      </c>
      <c r="EM62" s="464" t="e">
        <f ca="1"/>
        <v>#NUM!</v>
      </c>
      <c r="EN62" s="464" t="e">
        <f ca="1"/>
        <v>#NUM!</v>
      </c>
      <c r="EO62" s="466" t="e">
        <f ca="1"/>
        <v>#NUM!</v>
      </c>
      <c r="EP62" s="157" t="e">
        <f ca="1"/>
        <v>#DIV/0!</v>
      </c>
      <c r="EQ62" s="157" t="e">
        <f ca="1"/>
        <v>#NUM!</v>
      </c>
      <c r="ER62" s="157">
        <f ca="1"/>
        <v>2839.188972129064</v>
      </c>
      <c r="ES62" s="157" t="e">
        <f ca="1"/>
        <v>#DIV/0!</v>
      </c>
      <c r="ET62" s="157" t="e">
        <f ca="1"/>
        <v>#DIV/0!</v>
      </c>
      <c r="EU62" s="468" t="e">
        <f ca="1"/>
        <v>#DIV/0!</v>
      </c>
      <c r="EV62" s="470" t="e">
        <f ca="1"/>
        <v>#DIV/0!</v>
      </c>
      <c r="EW62" s="472" t="e">
        <f ca="1"/>
        <v>#DIV/0!</v>
      </c>
      <c r="EX62" s="462" t="e">
        <f ca="1"/>
        <v>#DIV/0!</v>
      </c>
      <c r="EY62" s="464" t="e">
        <f ca="1"/>
        <v>#NUM!</v>
      </c>
      <c r="EZ62" s="464" t="e">
        <f ca="1"/>
        <v>#NUM!</v>
      </c>
      <c r="FA62" s="466" t="e">
        <f ca="1"/>
        <v>#NUM!</v>
      </c>
      <c r="FB62" s="157" t="e">
        <f ca="1"/>
        <v>#DIV/0!</v>
      </c>
      <c r="FC62" s="157" t="e">
        <f ca="1"/>
        <v>#NUM!</v>
      </c>
      <c r="FD62" s="157">
        <f ca="1"/>
        <v>5815.7198961922049</v>
      </c>
      <c r="FE62" s="157" t="e">
        <f ca="1"/>
        <v>#DIV/0!</v>
      </c>
      <c r="FF62" s="157" t="e">
        <f ca="1"/>
        <v>#DIV/0!</v>
      </c>
      <c r="FG62" s="468" t="e">
        <f ca="1"/>
        <v>#DIV/0!</v>
      </c>
      <c r="FH62" s="470" t="e">
        <f ca="1"/>
        <v>#DIV/0!</v>
      </c>
      <c r="FI62" s="472" t="e">
        <f ca="1"/>
        <v>#DIV/0!</v>
      </c>
      <c r="FJ62" s="173" t="e">
        <f t="shared" ca="1" si="4"/>
        <v>#DIV/0!</v>
      </c>
      <c r="FK62" s="173" t="e">
        <f t="shared" ca="1" si="4"/>
        <v>#DIV/0!</v>
      </c>
      <c r="FL62" s="462" t="e">
        <f ca="1"/>
        <v>#DIV/0!</v>
      </c>
      <c r="FM62" s="464">
        <f ca="1"/>
        <v>0</v>
      </c>
      <c r="FN62" s="464" t="e">
        <f ca="1"/>
        <v>#DIV/0!</v>
      </c>
      <c r="FO62" s="466" t="e">
        <f ca="1"/>
        <v>#DIV/0!</v>
      </c>
      <c r="FP62" s="157" t="e">
        <f ca="1"/>
        <v>#DIV/0!</v>
      </c>
      <c r="FQ62" s="157" t="e">
        <f ca="1"/>
        <v>#DIV/0!</v>
      </c>
      <c r="FR62" s="157" t="e">
        <f ca="1"/>
        <v>#DIV/0!</v>
      </c>
      <c r="FS62" s="157">
        <f ca="1"/>
        <v>2206.4983853265649</v>
      </c>
      <c r="FT62" s="468" t="e">
        <f ca="1"/>
        <v>#DIV/0!</v>
      </c>
      <c r="FU62" s="470" t="e">
        <f ca="1"/>
        <v>#DIV/0!</v>
      </c>
      <c r="FV62" s="470" t="e">
        <f ca="1"/>
        <v>#DIV/0!</v>
      </c>
      <c r="FW62" s="462" t="e">
        <f ca="1"/>
        <v>#DIV/0!</v>
      </c>
      <c r="FX62" s="464" t="e">
        <f ca="1"/>
        <v>#NUM!</v>
      </c>
      <c r="FY62" s="464" t="e">
        <f ca="1"/>
        <v>#NUM!</v>
      </c>
      <c r="FZ62" s="466" t="e">
        <f ca="1"/>
        <v>#NUM!</v>
      </c>
      <c r="GA62" s="157" t="e">
        <f ca="1"/>
        <v>#DIV/0!</v>
      </c>
      <c r="GB62" s="157" t="e">
        <f ca="1"/>
        <v>#NUM!</v>
      </c>
      <c r="GC62" s="157" t="e">
        <f ca="1"/>
        <v>#DIV/0!</v>
      </c>
      <c r="GD62" s="157">
        <f ca="1"/>
        <v>46.759441795279812</v>
      </c>
      <c r="GE62" s="468" t="e">
        <f ca="1"/>
        <v>#DIV/0!</v>
      </c>
      <c r="GF62" s="470" t="e">
        <f ca="1"/>
        <v>#DIV/0!</v>
      </c>
      <c r="GG62" s="470" t="e">
        <f ca="1"/>
        <v>#DIV/0!</v>
      </c>
      <c r="GH62" s="173" t="e">
        <f t="shared" ca="1" si="7"/>
        <v>#DIV/0!</v>
      </c>
      <c r="GI62" s="173" t="e">
        <f t="shared" ca="1" si="7"/>
        <v>#DIV/0!</v>
      </c>
    </row>
    <row r="63" spans="2:191" ht="15">
      <c r="B63" s="169"/>
      <c r="C63" s="87">
        <f>'Oil supply projection'!B63</f>
        <v>2072</v>
      </c>
      <c r="D63" s="460" t="e">
        <f ca="1"/>
        <v>#DIV/0!</v>
      </c>
      <c r="E63" s="460" t="e">
        <f ca="1"/>
        <v>#DIV/0!</v>
      </c>
      <c r="F63" s="462" t="e">
        <f ca="1"/>
        <v>#DIV/0!</v>
      </c>
      <c r="G63" s="464">
        <f ca="1"/>
        <v>0</v>
      </c>
      <c r="H63" s="464" t="e">
        <f ca="1"/>
        <v>#DIV/0!</v>
      </c>
      <c r="I63" s="466" t="e">
        <f ca="1"/>
        <v>#DIV/0!</v>
      </c>
      <c r="J63" s="157" t="e">
        <f ca="1"/>
        <v>#DIV/0!</v>
      </c>
      <c r="K63" s="157" t="e">
        <f ca="1"/>
        <v>#DIV/0!</v>
      </c>
      <c r="L63" s="157">
        <f ca="1"/>
        <v>50.676441687779324</v>
      </c>
      <c r="M63" s="157" t="e">
        <f ca="1"/>
        <v>#DIV/0!</v>
      </c>
      <c r="N63" s="157" t="e">
        <f ca="1"/>
        <v>#DIV/0!</v>
      </c>
      <c r="O63" s="468" t="e">
        <f ca="1"/>
        <v>#DIV/0!</v>
      </c>
      <c r="P63" s="470" t="e">
        <f ca="1"/>
        <v>#DIV/0!</v>
      </c>
      <c r="Q63" s="472" t="e">
        <f ca="1"/>
        <v>#DIV/0!</v>
      </c>
      <c r="R63" s="462" t="e">
        <f ca="1"/>
        <v>#DIV/0!</v>
      </c>
      <c r="S63" s="464">
        <f ca="1"/>
        <v>0</v>
      </c>
      <c r="T63" s="464" t="e">
        <f ca="1"/>
        <v>#DIV/0!</v>
      </c>
      <c r="U63" s="466" t="e">
        <f ca="1"/>
        <v>#DIV/0!</v>
      </c>
      <c r="V63" s="157" t="e">
        <f ca="1"/>
        <v>#DIV/0!</v>
      </c>
      <c r="W63" s="157" t="e">
        <f ca="1"/>
        <v>#DIV/0!</v>
      </c>
      <c r="X63" s="157">
        <f ca="1"/>
        <v>69.111200569908831</v>
      </c>
      <c r="Y63" s="157" t="e">
        <f ca="1"/>
        <v>#DIV/0!</v>
      </c>
      <c r="Z63" s="157" t="e">
        <f ca="1"/>
        <v>#DIV/0!</v>
      </c>
      <c r="AA63" s="468" t="e">
        <f ca="1"/>
        <v>#DIV/0!</v>
      </c>
      <c r="AB63" s="470" t="e">
        <f ca="1"/>
        <v>#DIV/0!</v>
      </c>
      <c r="AC63" s="472" t="e">
        <f ca="1"/>
        <v>#DIV/0!</v>
      </c>
      <c r="AD63" s="462" t="e">
        <f ca="1"/>
        <v>#DIV/0!</v>
      </c>
      <c r="AE63" s="464">
        <f ca="1"/>
        <v>0</v>
      </c>
      <c r="AF63" s="464" t="e">
        <f ca="1"/>
        <v>#DIV/0!</v>
      </c>
      <c r="AG63" s="466" t="e">
        <f ca="1"/>
        <v>#DIV/0!</v>
      </c>
      <c r="AH63" s="157" t="e">
        <f ca="1"/>
        <v>#DIV/0!</v>
      </c>
      <c r="AI63" s="157" t="e">
        <f ca="1"/>
        <v>#DIV/0!</v>
      </c>
      <c r="AJ63" s="157">
        <f ca="1"/>
        <v>904.14005553658671</v>
      </c>
      <c r="AK63" s="157" t="e">
        <f ca="1"/>
        <v>#DIV/0!</v>
      </c>
      <c r="AL63" s="157" t="e">
        <f ca="1"/>
        <v>#DIV/0!</v>
      </c>
      <c r="AM63" s="468" t="e">
        <f ca="1"/>
        <v>#DIV/0!</v>
      </c>
      <c r="AN63" s="470" t="e">
        <f ca="1"/>
        <v>#DIV/0!</v>
      </c>
      <c r="AO63" s="472" t="e">
        <f ca="1"/>
        <v>#DIV/0!</v>
      </c>
      <c r="AP63" s="462" t="e">
        <f ca="1"/>
        <v>#DIV/0!</v>
      </c>
      <c r="AQ63" s="464" t="e">
        <f ca="1"/>
        <v>#NUM!</v>
      </c>
      <c r="AR63" s="464" t="e">
        <f ca="1"/>
        <v>#NUM!</v>
      </c>
      <c r="AS63" s="466" t="e">
        <f ca="1"/>
        <v>#NUM!</v>
      </c>
      <c r="AT63" s="157" t="e">
        <f ca="1"/>
        <v>#DIV/0!</v>
      </c>
      <c r="AU63" s="157" t="e">
        <f ca="1"/>
        <v>#NUM!</v>
      </c>
      <c r="AV63" s="157">
        <f ca="1"/>
        <v>1629.6216174765848</v>
      </c>
      <c r="AW63" s="157" t="e">
        <f ca="1"/>
        <v>#DIV/0!</v>
      </c>
      <c r="AX63" s="157" t="e">
        <f ca="1"/>
        <v>#DIV/0!</v>
      </c>
      <c r="AY63" s="468" t="e">
        <f ca="1"/>
        <v>#DIV/0!</v>
      </c>
      <c r="AZ63" s="470" t="e">
        <f ca="1"/>
        <v>#DIV/0!</v>
      </c>
      <c r="BA63" s="472" t="e">
        <f ca="1"/>
        <v>#DIV/0!</v>
      </c>
      <c r="BB63" s="173" t="e">
        <f t="shared" ca="1" si="8"/>
        <v>#DIV/0!</v>
      </c>
      <c r="BC63" s="173" t="e">
        <f t="shared" ca="1" si="9"/>
        <v>#DIV/0!</v>
      </c>
      <c r="BD63" s="462" t="e">
        <f ca="1"/>
        <v>#DIV/0!</v>
      </c>
      <c r="BE63" s="464">
        <f ca="1"/>
        <v>0</v>
      </c>
      <c r="BF63" s="464" t="e">
        <f ca="1"/>
        <v>#DIV/0!</v>
      </c>
      <c r="BG63" s="466" t="e">
        <f ca="1"/>
        <v>#DIV/0!</v>
      </c>
      <c r="BH63" s="157" t="e">
        <f ca="1"/>
        <v>#DIV/0!</v>
      </c>
      <c r="BI63" s="157" t="e">
        <f ca="1"/>
        <v>#DIV/0!</v>
      </c>
      <c r="BJ63" s="157">
        <f ca="1"/>
        <v>20.8203744022981</v>
      </c>
      <c r="BK63" s="157" t="e">
        <f ca="1"/>
        <v>#DIV/0!</v>
      </c>
      <c r="BL63" s="157" t="e">
        <f ca="1"/>
        <v>#DIV/0!</v>
      </c>
      <c r="BM63" s="468" t="e">
        <f ca="1"/>
        <v>#DIV/0!</v>
      </c>
      <c r="BN63" s="470" t="e">
        <f ca="1"/>
        <v>#DIV/0!</v>
      </c>
      <c r="BO63" s="472" t="e">
        <f ca="1"/>
        <v>#DIV/0!</v>
      </c>
      <c r="BP63" s="462" t="e">
        <f ca="1"/>
        <v>#DIV/0!</v>
      </c>
      <c r="BQ63" s="464">
        <f ca="1"/>
        <v>0</v>
      </c>
      <c r="BR63" s="464" t="e">
        <f ca="1"/>
        <v>#DIV/0!</v>
      </c>
      <c r="BS63" s="466" t="e">
        <f ca="1"/>
        <v>#DIV/0!</v>
      </c>
      <c r="BT63" s="157" t="e">
        <f ca="1"/>
        <v>#DIV/0!</v>
      </c>
      <c r="BU63" s="157" t="e">
        <f ca="1"/>
        <v>#DIV/0!</v>
      </c>
      <c r="BV63" s="157">
        <f ca="1"/>
        <v>15.244255078155083</v>
      </c>
      <c r="BW63" s="157" t="e">
        <f ca="1"/>
        <v>#DIV/0!</v>
      </c>
      <c r="BX63" s="157" t="e">
        <f ca="1"/>
        <v>#DIV/0!</v>
      </c>
      <c r="BY63" s="468" t="e">
        <f ca="1"/>
        <v>#DIV/0!</v>
      </c>
      <c r="BZ63" s="470" t="e">
        <f ca="1"/>
        <v>#DIV/0!</v>
      </c>
      <c r="CA63" s="472" t="e">
        <f ca="1"/>
        <v>#DIV/0!</v>
      </c>
      <c r="CB63" s="462" t="e">
        <f ca="1"/>
        <v>#DIV/0!</v>
      </c>
      <c r="CC63" s="464">
        <f ca="1"/>
        <v>0</v>
      </c>
      <c r="CD63" s="464" t="e">
        <f ca="1"/>
        <v>#DIV/0!</v>
      </c>
      <c r="CE63" s="466" t="e">
        <f ca="1"/>
        <v>#DIV/0!</v>
      </c>
      <c r="CF63" s="157" t="e">
        <f ca="1"/>
        <v>#DIV/0!</v>
      </c>
      <c r="CG63" s="157" t="e">
        <f ca="1"/>
        <v>#DIV/0!</v>
      </c>
      <c r="CH63" s="157">
        <f ca="1"/>
        <v>52.691281206520877</v>
      </c>
      <c r="CI63" s="157" t="e">
        <f ca="1"/>
        <v>#DIV/0!</v>
      </c>
      <c r="CJ63" s="157" t="e">
        <f ca="1"/>
        <v>#DIV/0!</v>
      </c>
      <c r="CK63" s="468" t="e">
        <f ca="1"/>
        <v>#DIV/0!</v>
      </c>
      <c r="CL63" s="470" t="e">
        <f ca="1"/>
        <v>#DIV/0!</v>
      </c>
      <c r="CM63" s="472" t="e">
        <f ca="1"/>
        <v>#DIV/0!</v>
      </c>
      <c r="CN63" s="462" t="e">
        <f ca="1"/>
        <v>#DIV/0!</v>
      </c>
      <c r="CO63" s="464" t="e">
        <f ca="1"/>
        <v>#NUM!</v>
      </c>
      <c r="CP63" s="464" t="e">
        <f ca="1"/>
        <v>#NUM!</v>
      </c>
      <c r="CQ63" s="466" t="e">
        <f ca="1"/>
        <v>#NUM!</v>
      </c>
      <c r="CR63" s="157" t="e">
        <f ca="1"/>
        <v>#DIV/0!</v>
      </c>
      <c r="CS63" s="157" t="e">
        <f ca="1"/>
        <v>#NUM!</v>
      </c>
      <c r="CT63" s="157">
        <f ca="1"/>
        <v>7.8376579308869117</v>
      </c>
      <c r="CU63" s="157" t="e">
        <f ca="1"/>
        <v>#DIV/0!</v>
      </c>
      <c r="CV63" s="157" t="e">
        <f ca="1"/>
        <v>#DIV/0!</v>
      </c>
      <c r="CW63" s="468" t="e">
        <f ca="1"/>
        <v>#DIV/0!</v>
      </c>
      <c r="CX63" s="470" t="e">
        <f ca="1"/>
        <v>#DIV/0!</v>
      </c>
      <c r="CY63" s="472" t="e">
        <f ca="1"/>
        <v>#DIV/0!</v>
      </c>
      <c r="CZ63" s="173" t="e">
        <f t="shared" ca="1" si="10"/>
        <v>#DIV/0!</v>
      </c>
      <c r="DA63" s="173" t="e">
        <f t="shared" ca="1" si="11"/>
        <v>#DIV/0!</v>
      </c>
      <c r="DB63" s="462" t="e">
        <f ca="1"/>
        <v>#DIV/0!</v>
      </c>
      <c r="DC63" s="464">
        <f ca="1"/>
        <v>0</v>
      </c>
      <c r="DD63" s="464" t="e">
        <f ca="1"/>
        <v>#DIV/0!</v>
      </c>
      <c r="DE63" s="466" t="e">
        <f ca="1"/>
        <v>#DIV/0!</v>
      </c>
      <c r="DF63" s="157" t="e">
        <f ca="1"/>
        <v>#DIV/0!</v>
      </c>
      <c r="DG63" s="157" t="e">
        <f ca="1"/>
        <v>#DIV/0!</v>
      </c>
      <c r="DH63" s="157">
        <f ca="1"/>
        <v>23330.865798886822</v>
      </c>
      <c r="DI63" s="157" t="e">
        <f ca="1"/>
        <v>#DIV/0!</v>
      </c>
      <c r="DJ63" s="157" t="e">
        <f ca="1"/>
        <v>#DIV/0!</v>
      </c>
      <c r="DK63" s="468" t="e">
        <f ca="1"/>
        <v>#DIV/0!</v>
      </c>
      <c r="DL63" s="470" t="e">
        <f ca="1"/>
        <v>#DIV/0!</v>
      </c>
      <c r="DM63" s="472" t="e">
        <f ca="1"/>
        <v>#DIV/0!</v>
      </c>
      <c r="DN63" s="462" t="e">
        <f ca="1"/>
        <v>#DIV/0!</v>
      </c>
      <c r="DO63" s="464">
        <f ca="1"/>
        <v>0</v>
      </c>
      <c r="DP63" s="464" t="e">
        <f ca="1"/>
        <v>#DIV/0!</v>
      </c>
      <c r="DQ63" s="466" t="e">
        <f ca="1"/>
        <v>#DIV/0!</v>
      </c>
      <c r="DR63" s="157" t="e">
        <f ca="1"/>
        <v>#DIV/0!</v>
      </c>
      <c r="DS63" s="157" t="e">
        <f ca="1"/>
        <v>#DIV/0!</v>
      </c>
      <c r="DT63" s="157">
        <f ca="1"/>
        <v>19215.097441304766</v>
      </c>
      <c r="DU63" s="157" t="e">
        <f ca="1"/>
        <v>#DIV/0!</v>
      </c>
      <c r="DV63" s="157" t="e">
        <f ca="1"/>
        <v>#DIV/0!</v>
      </c>
      <c r="DW63" s="468" t="e">
        <f ca="1"/>
        <v>#DIV/0!</v>
      </c>
      <c r="DX63" s="470" t="e">
        <f ca="1"/>
        <v>#DIV/0!</v>
      </c>
      <c r="DY63" s="472" t="e">
        <f ca="1"/>
        <v>#DIV/0!</v>
      </c>
      <c r="DZ63" s="462" t="e">
        <f ca="1"/>
        <v>#DIV/0!</v>
      </c>
      <c r="EA63" s="464">
        <f ca="1"/>
        <v>0</v>
      </c>
      <c r="EB63" s="464" t="e">
        <f ca="1"/>
        <v>#DIV/0!</v>
      </c>
      <c r="EC63" s="466" t="e">
        <f ca="1"/>
        <v>#DIV/0!</v>
      </c>
      <c r="ED63" s="157" t="e">
        <f ca="1"/>
        <v>#DIV/0!</v>
      </c>
      <c r="EE63" s="157" t="e">
        <f ca="1"/>
        <v>#DIV/0!</v>
      </c>
      <c r="EF63" s="157">
        <f ca="1"/>
        <v>15097.296414436685</v>
      </c>
      <c r="EG63" s="157" t="e">
        <f ca="1"/>
        <v>#DIV/0!</v>
      </c>
      <c r="EH63" s="157" t="e">
        <f ca="1"/>
        <v>#DIV/0!</v>
      </c>
      <c r="EI63" s="468" t="e">
        <f ca="1"/>
        <v>#DIV/0!</v>
      </c>
      <c r="EJ63" s="470" t="e">
        <f ca="1"/>
        <v>#DIV/0!</v>
      </c>
      <c r="EK63" s="472" t="e">
        <f ca="1"/>
        <v>#DIV/0!</v>
      </c>
      <c r="EL63" s="462" t="e">
        <f ca="1"/>
        <v>#DIV/0!</v>
      </c>
      <c r="EM63" s="464" t="e">
        <f ca="1"/>
        <v>#NUM!</v>
      </c>
      <c r="EN63" s="464" t="e">
        <f ca="1"/>
        <v>#NUM!</v>
      </c>
      <c r="EO63" s="466" t="e">
        <f ca="1"/>
        <v>#NUM!</v>
      </c>
      <c r="EP63" s="157" t="e">
        <f ca="1"/>
        <v>#DIV/0!</v>
      </c>
      <c r="EQ63" s="157" t="e">
        <f ca="1"/>
        <v>#NUM!</v>
      </c>
      <c r="ER63" s="157">
        <f ca="1"/>
        <v>2868.4258347299547</v>
      </c>
      <c r="ES63" s="157" t="e">
        <f ca="1"/>
        <v>#DIV/0!</v>
      </c>
      <c r="ET63" s="157" t="e">
        <f ca="1"/>
        <v>#DIV/0!</v>
      </c>
      <c r="EU63" s="468" t="e">
        <f ca="1"/>
        <v>#DIV/0!</v>
      </c>
      <c r="EV63" s="470" t="e">
        <f ca="1"/>
        <v>#DIV/0!</v>
      </c>
      <c r="EW63" s="472" t="e">
        <f ca="1"/>
        <v>#DIV/0!</v>
      </c>
      <c r="EX63" s="462" t="e">
        <f ca="1"/>
        <v>#DIV/0!</v>
      </c>
      <c r="EY63" s="464" t="e">
        <f ca="1"/>
        <v>#NUM!</v>
      </c>
      <c r="EZ63" s="464" t="e">
        <f ca="1"/>
        <v>#NUM!</v>
      </c>
      <c r="FA63" s="466" t="e">
        <f ca="1"/>
        <v>#NUM!</v>
      </c>
      <c r="FB63" s="157" t="e">
        <f ca="1"/>
        <v>#DIV/0!</v>
      </c>
      <c r="FC63" s="157" t="e">
        <f ca="1"/>
        <v>#NUM!</v>
      </c>
      <c r="FD63" s="157">
        <f ca="1"/>
        <v>5875.6079153411129</v>
      </c>
      <c r="FE63" s="157" t="e">
        <f ca="1"/>
        <v>#DIV/0!</v>
      </c>
      <c r="FF63" s="157" t="e">
        <f ca="1"/>
        <v>#DIV/0!</v>
      </c>
      <c r="FG63" s="468" t="e">
        <f ca="1"/>
        <v>#DIV/0!</v>
      </c>
      <c r="FH63" s="470" t="e">
        <f ca="1"/>
        <v>#DIV/0!</v>
      </c>
      <c r="FI63" s="472" t="e">
        <f ca="1"/>
        <v>#DIV/0!</v>
      </c>
      <c r="FJ63" s="173" t="e">
        <f t="shared" ref="FJ63:FJ83" ca="1" si="12">FH63+EV63+EJ63+DX63+DL63</f>
        <v>#DIV/0!</v>
      </c>
      <c r="FK63" s="173" t="e">
        <f t="shared" ref="FK63:FK83" ca="1" si="13">FI63+EW63+EK63+DY63+DM63</f>
        <v>#DIV/0!</v>
      </c>
      <c r="FL63" s="462" t="e">
        <f ca="1"/>
        <v>#DIV/0!</v>
      </c>
      <c r="FM63" s="464">
        <f ca="1"/>
        <v>0</v>
      </c>
      <c r="FN63" s="464" t="e">
        <f ca="1"/>
        <v>#DIV/0!</v>
      </c>
      <c r="FO63" s="466" t="e">
        <f ca="1"/>
        <v>#DIV/0!</v>
      </c>
      <c r="FP63" s="157" t="e">
        <f ca="1"/>
        <v>#DIV/0!</v>
      </c>
      <c r="FQ63" s="157" t="e">
        <f ca="1"/>
        <v>#DIV/0!</v>
      </c>
      <c r="FR63" s="157" t="e">
        <f ca="1"/>
        <v>#DIV/0!</v>
      </c>
      <c r="FS63" s="157">
        <f ca="1"/>
        <v>2218.8099534632643</v>
      </c>
      <c r="FT63" s="468" t="e">
        <f ca="1"/>
        <v>#DIV/0!</v>
      </c>
      <c r="FU63" s="470" t="e">
        <f ca="1"/>
        <v>#DIV/0!</v>
      </c>
      <c r="FV63" s="470" t="e">
        <f ca="1"/>
        <v>#DIV/0!</v>
      </c>
      <c r="FW63" s="462" t="e">
        <f ca="1"/>
        <v>#DIV/0!</v>
      </c>
      <c r="FX63" s="464" t="e">
        <f ca="1"/>
        <v>#NUM!</v>
      </c>
      <c r="FY63" s="464" t="e">
        <f ca="1"/>
        <v>#NUM!</v>
      </c>
      <c r="FZ63" s="466" t="e">
        <f ca="1"/>
        <v>#NUM!</v>
      </c>
      <c r="GA63" s="157" t="e">
        <f ca="1"/>
        <v>#DIV/0!</v>
      </c>
      <c r="GB63" s="157" t="e">
        <f ca="1"/>
        <v>#NUM!</v>
      </c>
      <c r="GC63" s="157" t="e">
        <f ca="1"/>
        <v>#DIV/0!</v>
      </c>
      <c r="GD63" s="157">
        <f ca="1"/>
        <v>47.020344797758739</v>
      </c>
      <c r="GE63" s="468" t="e">
        <f ca="1"/>
        <v>#DIV/0!</v>
      </c>
      <c r="GF63" s="470" t="e">
        <f ca="1"/>
        <v>#DIV/0!</v>
      </c>
      <c r="GG63" s="470" t="e">
        <f ca="1"/>
        <v>#DIV/0!</v>
      </c>
      <c r="GH63" s="173" t="e">
        <f t="shared" ref="GH63:GH83" ca="1" si="14">GF63+FU63</f>
        <v>#DIV/0!</v>
      </c>
      <c r="GI63" s="173" t="e">
        <f t="shared" ref="GI63:GI83" ca="1" si="15">GG63+FV63</f>
        <v>#DIV/0!</v>
      </c>
    </row>
    <row r="64" spans="2:191" ht="15">
      <c r="B64" s="169"/>
      <c r="C64" s="87">
        <f>'Oil supply projection'!B64</f>
        <v>2073</v>
      </c>
      <c r="D64" s="460" t="e">
        <f ca="1"/>
        <v>#DIV/0!</v>
      </c>
      <c r="E64" s="460" t="e">
        <f ca="1"/>
        <v>#DIV/0!</v>
      </c>
      <c r="F64" s="462" t="e">
        <f ca="1"/>
        <v>#DIV/0!</v>
      </c>
      <c r="G64" s="464">
        <f ca="1"/>
        <v>0</v>
      </c>
      <c r="H64" s="464" t="e">
        <f ca="1"/>
        <v>#DIV/0!</v>
      </c>
      <c r="I64" s="466" t="e">
        <f ca="1"/>
        <v>#DIV/0!</v>
      </c>
      <c r="J64" s="157" t="e">
        <f ca="1"/>
        <v>#DIV/0!</v>
      </c>
      <c r="K64" s="157" t="e">
        <f ca="1"/>
        <v>#DIV/0!</v>
      </c>
      <c r="L64" s="157">
        <f ca="1"/>
        <v>51.350306041107011</v>
      </c>
      <c r="M64" s="157" t="e">
        <f ca="1"/>
        <v>#DIV/0!</v>
      </c>
      <c r="N64" s="157" t="e">
        <f ca="1"/>
        <v>#DIV/0!</v>
      </c>
      <c r="O64" s="468" t="e">
        <f ca="1"/>
        <v>#DIV/0!</v>
      </c>
      <c r="P64" s="470" t="e">
        <f ca="1"/>
        <v>#DIV/0!</v>
      </c>
      <c r="Q64" s="472" t="e">
        <f ca="1"/>
        <v>#DIV/0!</v>
      </c>
      <c r="R64" s="462" t="e">
        <f ca="1"/>
        <v>#DIV/0!</v>
      </c>
      <c r="S64" s="464">
        <f ca="1"/>
        <v>0</v>
      </c>
      <c r="T64" s="464" t="e">
        <f ca="1"/>
        <v>#DIV/0!</v>
      </c>
      <c r="U64" s="466" t="e">
        <f ca="1"/>
        <v>#DIV/0!</v>
      </c>
      <c r="V64" s="157" t="e">
        <f ca="1"/>
        <v>#DIV/0!</v>
      </c>
      <c r="W64" s="157" t="e">
        <f ca="1"/>
        <v>#DIV/0!</v>
      </c>
      <c r="X64" s="157">
        <f ca="1"/>
        <v>70.030199081419809</v>
      </c>
      <c r="Y64" s="157" t="e">
        <f ca="1"/>
        <v>#DIV/0!</v>
      </c>
      <c r="Z64" s="157" t="e">
        <f ca="1"/>
        <v>#DIV/0!</v>
      </c>
      <c r="AA64" s="468" t="e">
        <f ca="1"/>
        <v>#DIV/0!</v>
      </c>
      <c r="AB64" s="470" t="e">
        <f ca="1"/>
        <v>#DIV/0!</v>
      </c>
      <c r="AC64" s="472" t="e">
        <f ca="1"/>
        <v>#DIV/0!</v>
      </c>
      <c r="AD64" s="462" t="e">
        <f ca="1"/>
        <v>#DIV/0!</v>
      </c>
      <c r="AE64" s="464">
        <f ca="1"/>
        <v>0</v>
      </c>
      <c r="AF64" s="464" t="e">
        <f ca="1"/>
        <v>#DIV/0!</v>
      </c>
      <c r="AG64" s="466" t="e">
        <f ca="1"/>
        <v>#DIV/0!</v>
      </c>
      <c r="AH64" s="157" t="e">
        <f ca="1"/>
        <v>#DIV/0!</v>
      </c>
      <c r="AI64" s="157" t="e">
        <f ca="1"/>
        <v>#DIV/0!</v>
      </c>
      <c r="AJ64" s="157">
        <f ca="1"/>
        <v>916.16275747757061</v>
      </c>
      <c r="AK64" s="157" t="e">
        <f ca="1"/>
        <v>#DIV/0!</v>
      </c>
      <c r="AL64" s="157" t="e">
        <f ca="1"/>
        <v>#DIV/0!</v>
      </c>
      <c r="AM64" s="468" t="e">
        <f ca="1"/>
        <v>#DIV/0!</v>
      </c>
      <c r="AN64" s="470" t="e">
        <f ca="1"/>
        <v>#DIV/0!</v>
      </c>
      <c r="AO64" s="472" t="e">
        <f ca="1"/>
        <v>#DIV/0!</v>
      </c>
      <c r="AP64" s="462" t="e">
        <f ca="1"/>
        <v>#DIV/0!</v>
      </c>
      <c r="AQ64" s="464" t="e">
        <f ca="1"/>
        <v>#NUM!</v>
      </c>
      <c r="AR64" s="464" t="e">
        <f ca="1"/>
        <v>#NUM!</v>
      </c>
      <c r="AS64" s="466" t="e">
        <f ca="1"/>
        <v>#NUM!</v>
      </c>
      <c r="AT64" s="157" t="e">
        <f ca="1"/>
        <v>#DIV/0!</v>
      </c>
      <c r="AU64" s="157" t="e">
        <f ca="1"/>
        <v>#NUM!</v>
      </c>
      <c r="AV64" s="157">
        <f ca="1"/>
        <v>1651.2913298884273</v>
      </c>
      <c r="AW64" s="157" t="e">
        <f ca="1"/>
        <v>#DIV/0!</v>
      </c>
      <c r="AX64" s="157" t="e">
        <f ca="1"/>
        <v>#DIV/0!</v>
      </c>
      <c r="AY64" s="468" t="e">
        <f ca="1"/>
        <v>#DIV/0!</v>
      </c>
      <c r="AZ64" s="470" t="e">
        <f ca="1"/>
        <v>#DIV/0!</v>
      </c>
      <c r="BA64" s="472" t="e">
        <f ca="1"/>
        <v>#DIV/0!</v>
      </c>
      <c r="BB64" s="173" t="e">
        <f ca="1">AZ64+AN64+AB64+P64</f>
        <v>#DIV/0!</v>
      </c>
      <c r="BC64" s="173" t="e">
        <f ca="1">BA64+AO64+AC64+Q64</f>
        <v>#DIV/0!</v>
      </c>
      <c r="BD64" s="462" t="e">
        <f ca="1"/>
        <v>#DIV/0!</v>
      </c>
      <c r="BE64" s="464">
        <f ca="1"/>
        <v>0</v>
      </c>
      <c r="BF64" s="464" t="e">
        <f ca="1"/>
        <v>#DIV/0!</v>
      </c>
      <c r="BG64" s="466" t="e">
        <f ca="1"/>
        <v>#DIV/0!</v>
      </c>
      <c r="BH64" s="157" t="e">
        <f ca="1"/>
        <v>#DIV/0!</v>
      </c>
      <c r="BI64" s="157" t="e">
        <f ca="1"/>
        <v>#DIV/0!</v>
      </c>
      <c r="BJ64" s="157">
        <f ca="1"/>
        <v>20.943290004275013</v>
      </c>
      <c r="BK64" s="157" t="e">
        <f ca="1"/>
        <v>#DIV/0!</v>
      </c>
      <c r="BL64" s="157" t="e">
        <f ca="1"/>
        <v>#DIV/0!</v>
      </c>
      <c r="BM64" s="468" t="e">
        <f ca="1"/>
        <v>#DIV/0!</v>
      </c>
      <c r="BN64" s="470" t="e">
        <f ca="1"/>
        <v>#DIV/0!</v>
      </c>
      <c r="BO64" s="472" t="e">
        <f ca="1"/>
        <v>#DIV/0!</v>
      </c>
      <c r="BP64" s="462" t="e">
        <f ca="1"/>
        <v>#DIV/0!</v>
      </c>
      <c r="BQ64" s="464">
        <f ca="1"/>
        <v>0</v>
      </c>
      <c r="BR64" s="464" t="e">
        <f ca="1"/>
        <v>#DIV/0!</v>
      </c>
      <c r="BS64" s="466" t="e">
        <f ca="1"/>
        <v>#DIV/0!</v>
      </c>
      <c r="BT64" s="157" t="e">
        <f ca="1"/>
        <v>#DIV/0!</v>
      </c>
      <c r="BU64" s="157" t="e">
        <f ca="1"/>
        <v>#DIV/0!</v>
      </c>
      <c r="BV64" s="157">
        <f ca="1"/>
        <v>15.334251384341311</v>
      </c>
      <c r="BW64" s="157" t="e">
        <f ca="1"/>
        <v>#DIV/0!</v>
      </c>
      <c r="BX64" s="157" t="e">
        <f ca="1"/>
        <v>#DIV/0!</v>
      </c>
      <c r="BY64" s="468" t="e">
        <f ca="1"/>
        <v>#DIV/0!</v>
      </c>
      <c r="BZ64" s="470" t="e">
        <f ca="1"/>
        <v>#DIV/0!</v>
      </c>
      <c r="CA64" s="472" t="e">
        <f ca="1"/>
        <v>#DIV/0!</v>
      </c>
      <c r="CB64" s="462" t="e">
        <f ca="1"/>
        <v>#DIV/0!</v>
      </c>
      <c r="CC64" s="464">
        <f ca="1"/>
        <v>0</v>
      </c>
      <c r="CD64" s="464" t="e">
        <f ca="1"/>
        <v>#DIV/0!</v>
      </c>
      <c r="CE64" s="466" t="e">
        <f ca="1"/>
        <v>#DIV/0!</v>
      </c>
      <c r="CF64" s="157" t="e">
        <f ca="1"/>
        <v>#DIV/0!</v>
      </c>
      <c r="CG64" s="157" t="e">
        <f ca="1"/>
        <v>#DIV/0!</v>
      </c>
      <c r="CH64" s="157">
        <f ca="1"/>
        <v>53.002350566912391</v>
      </c>
      <c r="CI64" s="157" t="e">
        <f ca="1"/>
        <v>#DIV/0!</v>
      </c>
      <c r="CJ64" s="157" t="e">
        <f ca="1"/>
        <v>#DIV/0!</v>
      </c>
      <c r="CK64" s="468" t="e">
        <f ca="1"/>
        <v>#DIV/0!</v>
      </c>
      <c r="CL64" s="470" t="e">
        <f ca="1"/>
        <v>#DIV/0!</v>
      </c>
      <c r="CM64" s="472" t="e">
        <f ca="1"/>
        <v>#DIV/0!</v>
      </c>
      <c r="CN64" s="462" t="e">
        <f ca="1"/>
        <v>#DIV/0!</v>
      </c>
      <c r="CO64" s="464" t="e">
        <f ca="1"/>
        <v>#NUM!</v>
      </c>
      <c r="CP64" s="464" t="e">
        <f ca="1"/>
        <v>#NUM!</v>
      </c>
      <c r="CQ64" s="466" t="e">
        <f ca="1"/>
        <v>#NUM!</v>
      </c>
      <c r="CR64" s="157" t="e">
        <f ca="1"/>
        <v>#DIV/0!</v>
      </c>
      <c r="CS64" s="157" t="e">
        <f ca="1"/>
        <v>#NUM!</v>
      </c>
      <c r="CT64" s="157">
        <f ca="1"/>
        <v>7.8839284937523804</v>
      </c>
      <c r="CU64" s="157" t="e">
        <f ca="1"/>
        <v>#DIV/0!</v>
      </c>
      <c r="CV64" s="157" t="e">
        <f ca="1"/>
        <v>#DIV/0!</v>
      </c>
      <c r="CW64" s="468" t="e">
        <f ca="1"/>
        <v>#DIV/0!</v>
      </c>
      <c r="CX64" s="470" t="e">
        <f ca="1"/>
        <v>#DIV/0!</v>
      </c>
      <c r="CY64" s="472" t="e">
        <f ca="1"/>
        <v>#DIV/0!</v>
      </c>
      <c r="CZ64" s="173" t="e">
        <f ca="1">CX64+CL64+BZ64+BN64</f>
        <v>#DIV/0!</v>
      </c>
      <c r="DA64" s="173" t="e">
        <f ca="1">CY64+CM64+CA64+BO64</f>
        <v>#DIV/0!</v>
      </c>
      <c r="DB64" s="462" t="e">
        <f ca="1"/>
        <v>#DIV/0!</v>
      </c>
      <c r="DC64" s="464">
        <f ca="1"/>
        <v>0</v>
      </c>
      <c r="DD64" s="464" t="e">
        <f ca="1"/>
        <v>#DIV/0!</v>
      </c>
      <c r="DE64" s="466" t="e">
        <f ca="1"/>
        <v>#DIV/0!</v>
      </c>
      <c r="DF64" s="157" t="e">
        <f ca="1"/>
        <v>#DIV/0!</v>
      </c>
      <c r="DG64" s="157" t="e">
        <f ca="1"/>
        <v>#DIV/0!</v>
      </c>
      <c r="DH64" s="157">
        <f ca="1"/>
        <v>23571.117971045114</v>
      </c>
      <c r="DI64" s="157" t="e">
        <f ca="1"/>
        <v>#DIV/0!</v>
      </c>
      <c r="DJ64" s="157" t="e">
        <f ca="1"/>
        <v>#DIV/0!</v>
      </c>
      <c r="DK64" s="468" t="e">
        <f ca="1"/>
        <v>#DIV/0!</v>
      </c>
      <c r="DL64" s="470" t="e">
        <f ca="1"/>
        <v>#DIV/0!</v>
      </c>
      <c r="DM64" s="472" t="e">
        <f ca="1"/>
        <v>#DIV/0!</v>
      </c>
      <c r="DN64" s="462" t="e">
        <f ca="1"/>
        <v>#DIV/0!</v>
      </c>
      <c r="DO64" s="464">
        <f ca="1"/>
        <v>0</v>
      </c>
      <c r="DP64" s="464" t="e">
        <f ca="1"/>
        <v>#DIV/0!</v>
      </c>
      <c r="DQ64" s="466" t="e">
        <f ca="1"/>
        <v>#DIV/0!</v>
      </c>
      <c r="DR64" s="157" t="e">
        <f ca="1"/>
        <v>#DIV/0!</v>
      </c>
      <c r="DS64" s="157" t="e">
        <f ca="1"/>
        <v>#DIV/0!</v>
      </c>
      <c r="DT64" s="157">
        <f ca="1"/>
        <v>19412.967033385099</v>
      </c>
      <c r="DU64" s="157" t="e">
        <f ca="1"/>
        <v>#DIV/0!</v>
      </c>
      <c r="DV64" s="157" t="e">
        <f ca="1"/>
        <v>#DIV/0!</v>
      </c>
      <c r="DW64" s="468" t="e">
        <f ca="1"/>
        <v>#DIV/0!</v>
      </c>
      <c r="DX64" s="470" t="e">
        <f ca="1"/>
        <v>#DIV/0!</v>
      </c>
      <c r="DY64" s="472" t="e">
        <f ca="1"/>
        <v>#DIV/0!</v>
      </c>
      <c r="DZ64" s="462" t="e">
        <f ca="1"/>
        <v>#DIV/0!</v>
      </c>
      <c r="EA64" s="464">
        <f ca="1"/>
        <v>0</v>
      </c>
      <c r="EB64" s="464" t="e">
        <f ca="1"/>
        <v>#DIV/0!</v>
      </c>
      <c r="EC64" s="466" t="e">
        <f ca="1"/>
        <v>#DIV/0!</v>
      </c>
      <c r="ED64" s="157" t="e">
        <f ca="1"/>
        <v>#DIV/0!</v>
      </c>
      <c r="EE64" s="157" t="e">
        <f ca="1"/>
        <v>#DIV/0!</v>
      </c>
      <c r="EF64" s="157">
        <f ca="1"/>
        <v>15252.762494802166</v>
      </c>
      <c r="EG64" s="157" t="e">
        <f ca="1"/>
        <v>#DIV/0!</v>
      </c>
      <c r="EH64" s="157" t="e">
        <f ca="1"/>
        <v>#DIV/0!</v>
      </c>
      <c r="EI64" s="468" t="e">
        <f ca="1"/>
        <v>#DIV/0!</v>
      </c>
      <c r="EJ64" s="470" t="e">
        <f ca="1"/>
        <v>#DIV/0!</v>
      </c>
      <c r="EK64" s="472" t="e">
        <f ca="1"/>
        <v>#DIV/0!</v>
      </c>
      <c r="EL64" s="462" t="e">
        <f ca="1"/>
        <v>#DIV/0!</v>
      </c>
      <c r="EM64" s="464" t="e">
        <f ca="1"/>
        <v>#NUM!</v>
      </c>
      <c r="EN64" s="464" t="e">
        <f ca="1"/>
        <v>#NUM!</v>
      </c>
      <c r="EO64" s="466" t="e">
        <f ca="1"/>
        <v>#NUM!</v>
      </c>
      <c r="EP64" s="157" t="e">
        <f ca="1"/>
        <v>#DIV/0!</v>
      </c>
      <c r="EQ64" s="157" t="e">
        <f ca="1"/>
        <v>#NUM!</v>
      </c>
      <c r="ER64" s="157">
        <f ca="1"/>
        <v>2897.9637671585792</v>
      </c>
      <c r="ES64" s="157" t="e">
        <f ca="1"/>
        <v>#DIV/0!</v>
      </c>
      <c r="ET64" s="157" t="e">
        <f ca="1"/>
        <v>#DIV/0!</v>
      </c>
      <c r="EU64" s="468" t="e">
        <f ca="1"/>
        <v>#DIV/0!</v>
      </c>
      <c r="EV64" s="470" t="e">
        <f ca="1"/>
        <v>#DIV/0!</v>
      </c>
      <c r="EW64" s="472" t="e">
        <f ca="1"/>
        <v>#DIV/0!</v>
      </c>
      <c r="EX64" s="462" t="e">
        <f ca="1"/>
        <v>#DIV/0!</v>
      </c>
      <c r="EY64" s="464" t="e">
        <f ca="1"/>
        <v>#NUM!</v>
      </c>
      <c r="EZ64" s="464" t="e">
        <f ca="1"/>
        <v>#NUM!</v>
      </c>
      <c r="FA64" s="466" t="e">
        <f ca="1"/>
        <v>#NUM!</v>
      </c>
      <c r="FB64" s="157" t="e">
        <f ca="1"/>
        <v>#DIV/0!</v>
      </c>
      <c r="FC64" s="157" t="e">
        <f ca="1"/>
        <v>#NUM!</v>
      </c>
      <c r="FD64" s="157">
        <f ca="1"/>
        <v>5936.1126379939042</v>
      </c>
      <c r="FE64" s="157" t="e">
        <f ca="1"/>
        <v>#DIV/0!</v>
      </c>
      <c r="FF64" s="157" t="e">
        <f ca="1"/>
        <v>#DIV/0!</v>
      </c>
      <c r="FG64" s="468" t="e">
        <f ca="1"/>
        <v>#DIV/0!</v>
      </c>
      <c r="FH64" s="470" t="e">
        <f ca="1"/>
        <v>#DIV/0!</v>
      </c>
      <c r="FI64" s="472" t="e">
        <f ca="1"/>
        <v>#DIV/0!</v>
      </c>
      <c r="FJ64" s="173" t="e">
        <f ca="1">FH64+EV64+EJ64+DX64+DL64</f>
        <v>#DIV/0!</v>
      </c>
      <c r="FK64" s="173" t="e">
        <f ca="1">FI64+EW64+EK64+DY64+DM64</f>
        <v>#DIV/0!</v>
      </c>
      <c r="FL64" s="462" t="e">
        <f ca="1"/>
        <v>#DIV/0!</v>
      </c>
      <c r="FM64" s="464">
        <f ca="1"/>
        <v>0</v>
      </c>
      <c r="FN64" s="464" t="e">
        <f ca="1"/>
        <v>#DIV/0!</v>
      </c>
      <c r="FO64" s="466" t="e">
        <f ca="1"/>
        <v>#DIV/0!</v>
      </c>
      <c r="FP64" s="157" t="e">
        <f ca="1"/>
        <v>#DIV/0!</v>
      </c>
      <c r="FQ64" s="157" t="e">
        <f ca="1"/>
        <v>#DIV/0!</v>
      </c>
      <c r="FR64" s="157" t="e">
        <f ca="1"/>
        <v>#DIV/0!</v>
      </c>
      <c r="FS64" s="157">
        <f ca="1"/>
        <v>2231.1902162842612</v>
      </c>
      <c r="FT64" s="468" t="e">
        <f ca="1"/>
        <v>#DIV/0!</v>
      </c>
      <c r="FU64" s="470" t="e">
        <f ca="1"/>
        <v>#DIV/0!</v>
      </c>
      <c r="FV64" s="470" t="e">
        <f ca="1"/>
        <v>#DIV/0!</v>
      </c>
      <c r="FW64" s="462" t="e">
        <f ca="1"/>
        <v>#DIV/0!</v>
      </c>
      <c r="FX64" s="464" t="e">
        <f ca="1"/>
        <v>#NUM!</v>
      </c>
      <c r="FY64" s="464" t="e">
        <f ca="1"/>
        <v>#NUM!</v>
      </c>
      <c r="FZ64" s="466" t="e">
        <f ca="1"/>
        <v>#NUM!</v>
      </c>
      <c r="GA64" s="157" t="e">
        <f ca="1"/>
        <v>#DIV/0!</v>
      </c>
      <c r="GB64" s="157" t="e">
        <f ca="1"/>
        <v>#NUM!</v>
      </c>
      <c r="GC64" s="157" t="e">
        <f ca="1"/>
        <v>#DIV/0!</v>
      </c>
      <c r="GD64" s="157">
        <f ca="1"/>
        <v>47.282703557066419</v>
      </c>
      <c r="GE64" s="468" t="e">
        <f ca="1"/>
        <v>#DIV/0!</v>
      </c>
      <c r="GF64" s="470" t="e">
        <f ca="1"/>
        <v>#DIV/0!</v>
      </c>
      <c r="GG64" s="470" t="e">
        <f ca="1"/>
        <v>#DIV/0!</v>
      </c>
      <c r="GH64" s="173" t="e">
        <f ca="1">GF64+FU64</f>
        <v>#DIV/0!</v>
      </c>
      <c r="GI64" s="173" t="e">
        <f ca="1">GG64+FV64</f>
        <v>#DIV/0!</v>
      </c>
    </row>
    <row r="65" spans="2:191" ht="15">
      <c r="B65" s="169"/>
      <c r="C65" s="87">
        <f>'Oil supply projection'!B65</f>
        <v>2074</v>
      </c>
      <c r="D65" s="460" t="e">
        <f ca="1"/>
        <v>#DIV/0!</v>
      </c>
      <c r="E65" s="460" t="e">
        <f ca="1"/>
        <v>#DIV/0!</v>
      </c>
      <c r="F65" s="462" t="e">
        <f ca="1"/>
        <v>#DIV/0!</v>
      </c>
      <c r="G65" s="464">
        <f ca="1"/>
        <v>0</v>
      </c>
      <c r="H65" s="464" t="e">
        <f ca="1"/>
        <v>#DIV/0!</v>
      </c>
      <c r="I65" s="466" t="e">
        <f ca="1"/>
        <v>#DIV/0!</v>
      </c>
      <c r="J65" s="157" t="e">
        <f ca="1"/>
        <v>#DIV/0!</v>
      </c>
      <c r="K65" s="157" t="e">
        <f ca="1"/>
        <v>#DIV/0!</v>
      </c>
      <c r="L65" s="157">
        <f ca="1"/>
        <v>52.033131030808569</v>
      </c>
      <c r="M65" s="157" t="e">
        <f ca="1"/>
        <v>#DIV/0!</v>
      </c>
      <c r="N65" s="157" t="e">
        <f ca="1"/>
        <v>#DIV/0!</v>
      </c>
      <c r="O65" s="468" t="e">
        <f ca="1"/>
        <v>#DIV/0!</v>
      </c>
      <c r="P65" s="470" t="e">
        <f ca="1"/>
        <v>#DIV/0!</v>
      </c>
      <c r="Q65" s="472" t="e">
        <f ca="1"/>
        <v>#DIV/0!</v>
      </c>
      <c r="R65" s="462" t="e">
        <f ca="1"/>
        <v>#DIV/0!</v>
      </c>
      <c r="S65" s="464">
        <f ca="1"/>
        <v>0</v>
      </c>
      <c r="T65" s="464" t="e">
        <f ca="1"/>
        <v>#DIV/0!</v>
      </c>
      <c r="U65" s="466" t="e">
        <f ca="1"/>
        <v>#DIV/0!</v>
      </c>
      <c r="V65" s="157" t="e">
        <f ca="1"/>
        <v>#DIV/0!</v>
      </c>
      <c r="W65" s="157" t="e">
        <f ca="1"/>
        <v>#DIV/0!</v>
      </c>
      <c r="X65" s="157">
        <f ca="1"/>
        <v>70.961417873539361</v>
      </c>
      <c r="Y65" s="157" t="e">
        <f ca="1"/>
        <v>#DIV/0!</v>
      </c>
      <c r="Z65" s="157" t="e">
        <f ca="1"/>
        <v>#DIV/0!</v>
      </c>
      <c r="AA65" s="468" t="e">
        <f ca="1"/>
        <v>#DIV/0!</v>
      </c>
      <c r="AB65" s="470" t="e">
        <f ca="1"/>
        <v>#DIV/0!</v>
      </c>
      <c r="AC65" s="472" t="e">
        <f ca="1"/>
        <v>#DIV/0!</v>
      </c>
      <c r="AD65" s="462" t="e">
        <f ca="1"/>
        <v>#DIV/0!</v>
      </c>
      <c r="AE65" s="464">
        <f ca="1"/>
        <v>0</v>
      </c>
      <c r="AF65" s="464" t="e">
        <f ca="1"/>
        <v>#DIV/0!</v>
      </c>
      <c r="AG65" s="466" t="e">
        <f ca="1"/>
        <v>#DIV/0!</v>
      </c>
      <c r="AH65" s="157" t="e">
        <f ca="1"/>
        <v>#DIV/0!</v>
      </c>
      <c r="AI65" s="157" t="e">
        <f ca="1"/>
        <v>#DIV/0!</v>
      </c>
      <c r="AJ65" s="157">
        <f ca="1"/>
        <v>928.34532996192513</v>
      </c>
      <c r="AK65" s="157" t="e">
        <f ca="1"/>
        <v>#DIV/0!</v>
      </c>
      <c r="AL65" s="157" t="e">
        <f ca="1"/>
        <v>#DIV/0!</v>
      </c>
      <c r="AM65" s="468" t="e">
        <f ca="1"/>
        <v>#DIV/0!</v>
      </c>
      <c r="AN65" s="470" t="e">
        <f ca="1"/>
        <v>#DIV/0!</v>
      </c>
      <c r="AO65" s="472" t="e">
        <f ca="1"/>
        <v>#DIV/0!</v>
      </c>
      <c r="AP65" s="462" t="e">
        <f ca="1"/>
        <v>#DIV/0!</v>
      </c>
      <c r="AQ65" s="464" t="e">
        <f ca="1"/>
        <v>#NUM!</v>
      </c>
      <c r="AR65" s="464" t="e">
        <f ca="1"/>
        <v>#NUM!</v>
      </c>
      <c r="AS65" s="466" t="e">
        <f ca="1"/>
        <v>#NUM!</v>
      </c>
      <c r="AT65" s="157" t="e">
        <f ca="1"/>
        <v>#DIV/0!</v>
      </c>
      <c r="AU65" s="157" t="e">
        <f ca="1"/>
        <v>#NUM!</v>
      </c>
      <c r="AV65" s="157">
        <f ca="1"/>
        <v>1673.2491928936199</v>
      </c>
      <c r="AW65" s="157" t="e">
        <f ca="1"/>
        <v>#DIV/0!</v>
      </c>
      <c r="AX65" s="157" t="e">
        <f ca="1"/>
        <v>#DIV/0!</v>
      </c>
      <c r="AY65" s="468" t="e">
        <f ca="1"/>
        <v>#DIV/0!</v>
      </c>
      <c r="AZ65" s="470" t="e">
        <f ca="1"/>
        <v>#DIV/0!</v>
      </c>
      <c r="BA65" s="472" t="e">
        <f ca="1"/>
        <v>#DIV/0!</v>
      </c>
      <c r="BB65" s="173" t="e">
        <f t="shared" ca="1" si="8"/>
        <v>#DIV/0!</v>
      </c>
      <c r="BC65" s="173" t="e">
        <f t="shared" ca="1" si="9"/>
        <v>#DIV/0!</v>
      </c>
      <c r="BD65" s="462" t="e">
        <f ca="1"/>
        <v>#DIV/0!</v>
      </c>
      <c r="BE65" s="464">
        <f ca="1"/>
        <v>0</v>
      </c>
      <c r="BF65" s="464" t="e">
        <f ca="1"/>
        <v>#DIV/0!</v>
      </c>
      <c r="BG65" s="466" t="e">
        <f ca="1"/>
        <v>#DIV/0!</v>
      </c>
      <c r="BH65" s="157" t="e">
        <f ca="1"/>
        <v>#DIV/0!</v>
      </c>
      <c r="BI65" s="157" t="e">
        <f ca="1"/>
        <v>#DIV/0!</v>
      </c>
      <c r="BJ65" s="157">
        <f ca="1"/>
        <v>21.066931253395325</v>
      </c>
      <c r="BK65" s="157" t="e">
        <f ca="1"/>
        <v>#DIV/0!</v>
      </c>
      <c r="BL65" s="157" t="e">
        <f ca="1"/>
        <v>#DIV/0!</v>
      </c>
      <c r="BM65" s="468" t="e">
        <f ca="1"/>
        <v>#DIV/0!</v>
      </c>
      <c r="BN65" s="470" t="e">
        <f ca="1"/>
        <v>#DIV/0!</v>
      </c>
      <c r="BO65" s="472" t="e">
        <f ca="1"/>
        <v>#DIV/0!</v>
      </c>
      <c r="BP65" s="462" t="e">
        <f ca="1"/>
        <v>#DIV/0!</v>
      </c>
      <c r="BQ65" s="464">
        <f ca="1"/>
        <v>0</v>
      </c>
      <c r="BR65" s="464" t="e">
        <f ca="1"/>
        <v>#DIV/0!</v>
      </c>
      <c r="BS65" s="466" t="e">
        <f ca="1"/>
        <v>#DIV/0!</v>
      </c>
      <c r="BT65" s="157" t="e">
        <f ca="1"/>
        <v>#DIV/0!</v>
      </c>
      <c r="BU65" s="157" t="e">
        <f ca="1"/>
        <v>#DIV/0!</v>
      </c>
      <c r="BV65" s="157">
        <f ca="1"/>
        <v>15.424778994621157</v>
      </c>
      <c r="BW65" s="157" t="e">
        <f ca="1"/>
        <v>#DIV/0!</v>
      </c>
      <c r="BX65" s="157" t="e">
        <f ca="1"/>
        <v>#DIV/0!</v>
      </c>
      <c r="BY65" s="468" t="e">
        <f ca="1"/>
        <v>#DIV/0!</v>
      </c>
      <c r="BZ65" s="470" t="e">
        <f ca="1"/>
        <v>#DIV/0!</v>
      </c>
      <c r="CA65" s="472" t="e">
        <f ca="1"/>
        <v>#DIV/0!</v>
      </c>
      <c r="CB65" s="462" t="e">
        <f ca="1"/>
        <v>#DIV/0!</v>
      </c>
      <c r="CC65" s="464">
        <f ca="1"/>
        <v>0</v>
      </c>
      <c r="CD65" s="464" t="e">
        <f ca="1"/>
        <v>#DIV/0!</v>
      </c>
      <c r="CE65" s="466" t="e">
        <f ca="1"/>
        <v>#DIV/0!</v>
      </c>
      <c r="CF65" s="157" t="e">
        <f ca="1"/>
        <v>#DIV/0!</v>
      </c>
      <c r="CG65" s="157" t="e">
        <f ca="1"/>
        <v>#DIV/0!</v>
      </c>
      <c r="CH65" s="157">
        <f ca="1"/>
        <v>53.315256362948638</v>
      </c>
      <c r="CI65" s="157" t="e">
        <f ca="1"/>
        <v>#DIV/0!</v>
      </c>
      <c r="CJ65" s="157" t="e">
        <f ca="1"/>
        <v>#DIV/0!</v>
      </c>
      <c r="CK65" s="468" t="e">
        <f ca="1"/>
        <v>#DIV/0!</v>
      </c>
      <c r="CL65" s="470" t="e">
        <f ca="1"/>
        <v>#DIV/0!</v>
      </c>
      <c r="CM65" s="472" t="e">
        <f ca="1"/>
        <v>#DIV/0!</v>
      </c>
      <c r="CN65" s="462" t="e">
        <f ca="1"/>
        <v>#DIV/0!</v>
      </c>
      <c r="CO65" s="464" t="e">
        <f ca="1"/>
        <v>#NUM!</v>
      </c>
      <c r="CP65" s="464" t="e">
        <f ca="1"/>
        <v>#NUM!</v>
      </c>
      <c r="CQ65" s="466" t="e">
        <f ca="1"/>
        <v>#NUM!</v>
      </c>
      <c r="CR65" s="157" t="e">
        <f ca="1"/>
        <v>#DIV/0!</v>
      </c>
      <c r="CS65" s="157" t="e">
        <f ca="1"/>
        <v>#NUM!</v>
      </c>
      <c r="CT65" s="157">
        <f ca="1"/>
        <v>7.9304722204898592</v>
      </c>
      <c r="CU65" s="157" t="e">
        <f ca="1"/>
        <v>#DIV/0!</v>
      </c>
      <c r="CV65" s="157" t="e">
        <f ca="1"/>
        <v>#DIV/0!</v>
      </c>
      <c r="CW65" s="468" t="e">
        <f ca="1"/>
        <v>#DIV/0!</v>
      </c>
      <c r="CX65" s="470" t="e">
        <f ca="1"/>
        <v>#DIV/0!</v>
      </c>
      <c r="CY65" s="472" t="e">
        <f ca="1"/>
        <v>#DIV/0!</v>
      </c>
      <c r="CZ65" s="173" t="e">
        <f t="shared" ca="1" si="10"/>
        <v>#DIV/0!</v>
      </c>
      <c r="DA65" s="173" t="e">
        <f t="shared" ca="1" si="11"/>
        <v>#DIV/0!</v>
      </c>
      <c r="DB65" s="462" t="e">
        <f ca="1"/>
        <v>#DIV/0!</v>
      </c>
      <c r="DC65" s="464">
        <f ca="1"/>
        <v>0</v>
      </c>
      <c r="DD65" s="464" t="e">
        <f ca="1"/>
        <v>#DIV/0!</v>
      </c>
      <c r="DE65" s="466" t="e">
        <f ca="1"/>
        <v>#DIV/0!</v>
      </c>
      <c r="DF65" s="157" t="e">
        <f ca="1"/>
        <v>#DIV/0!</v>
      </c>
      <c r="DG65" s="157" t="e">
        <f ca="1"/>
        <v>#DIV/0!</v>
      </c>
      <c r="DH65" s="157">
        <f ca="1"/>
        <v>23813.844166530453</v>
      </c>
      <c r="DI65" s="157" t="e">
        <f ca="1"/>
        <v>#DIV/0!</v>
      </c>
      <c r="DJ65" s="157" t="e">
        <f ca="1"/>
        <v>#DIV/0!</v>
      </c>
      <c r="DK65" s="468" t="e">
        <f ca="1"/>
        <v>#DIV/0!</v>
      </c>
      <c r="DL65" s="470" t="e">
        <f ca="1"/>
        <v>#DIV/0!</v>
      </c>
      <c r="DM65" s="472" t="e">
        <f ca="1"/>
        <v>#DIV/0!</v>
      </c>
      <c r="DN65" s="462" t="e">
        <f ca="1"/>
        <v>#DIV/0!</v>
      </c>
      <c r="DO65" s="464">
        <f ca="1"/>
        <v>0</v>
      </c>
      <c r="DP65" s="464" t="e">
        <f ca="1"/>
        <v>#DIV/0!</v>
      </c>
      <c r="DQ65" s="466" t="e">
        <f ca="1"/>
        <v>#DIV/0!</v>
      </c>
      <c r="DR65" s="157" t="e">
        <f ca="1"/>
        <v>#DIV/0!</v>
      </c>
      <c r="DS65" s="157" t="e">
        <f ca="1"/>
        <v>#DIV/0!</v>
      </c>
      <c r="DT65" s="157">
        <f ca="1"/>
        <v>19612.874209484431</v>
      </c>
      <c r="DU65" s="157" t="e">
        <f ca="1"/>
        <v>#DIV/0!</v>
      </c>
      <c r="DV65" s="157" t="e">
        <f ca="1"/>
        <v>#DIV/0!</v>
      </c>
      <c r="DW65" s="468" t="e">
        <f ca="1"/>
        <v>#DIV/0!</v>
      </c>
      <c r="DX65" s="470" t="e">
        <f ca="1"/>
        <v>#DIV/0!</v>
      </c>
      <c r="DY65" s="472" t="e">
        <f ca="1"/>
        <v>#DIV/0!</v>
      </c>
      <c r="DZ65" s="462" t="e">
        <f ca="1"/>
        <v>#DIV/0!</v>
      </c>
      <c r="EA65" s="464">
        <f ca="1"/>
        <v>0</v>
      </c>
      <c r="EB65" s="464" t="e">
        <f ca="1"/>
        <v>#DIV/0!</v>
      </c>
      <c r="EC65" s="466" t="e">
        <f ca="1"/>
        <v>#DIV/0!</v>
      </c>
      <c r="ED65" s="157" t="e">
        <f ca="1"/>
        <v>#DIV/0!</v>
      </c>
      <c r="EE65" s="157" t="e">
        <f ca="1"/>
        <v>#DIV/0!</v>
      </c>
      <c r="EF65" s="157">
        <f ca="1"/>
        <v>15409.829504332754</v>
      </c>
      <c r="EG65" s="157" t="e">
        <f ca="1"/>
        <v>#DIV/0!</v>
      </c>
      <c r="EH65" s="157" t="e">
        <f ca="1"/>
        <v>#DIV/0!</v>
      </c>
      <c r="EI65" s="468" t="e">
        <f ca="1"/>
        <v>#DIV/0!</v>
      </c>
      <c r="EJ65" s="470" t="e">
        <f ca="1"/>
        <v>#DIV/0!</v>
      </c>
      <c r="EK65" s="472" t="e">
        <f ca="1"/>
        <v>#DIV/0!</v>
      </c>
      <c r="EL65" s="462" t="e">
        <f ca="1"/>
        <v>#DIV/0!</v>
      </c>
      <c r="EM65" s="464" t="e">
        <f ca="1"/>
        <v>#NUM!</v>
      </c>
      <c r="EN65" s="464" t="e">
        <f ca="1"/>
        <v>#NUM!</v>
      </c>
      <c r="EO65" s="466" t="e">
        <f ca="1"/>
        <v>#NUM!</v>
      </c>
      <c r="EP65" s="157" t="e">
        <f ca="1"/>
        <v>#DIV/0!</v>
      </c>
      <c r="EQ65" s="157" t="e">
        <f ca="1"/>
        <v>#NUM!</v>
      </c>
      <c r="ER65" s="157">
        <f ca="1"/>
        <v>2927.8058697148017</v>
      </c>
      <c r="ES65" s="157" t="e">
        <f ca="1"/>
        <v>#DIV/0!</v>
      </c>
      <c r="ET65" s="157" t="e">
        <f ca="1"/>
        <v>#DIV/0!</v>
      </c>
      <c r="EU65" s="468" t="e">
        <f ca="1"/>
        <v>#DIV/0!</v>
      </c>
      <c r="EV65" s="470" t="e">
        <f ca="1"/>
        <v>#DIV/0!</v>
      </c>
      <c r="EW65" s="472" t="e">
        <f ca="1"/>
        <v>#DIV/0!</v>
      </c>
      <c r="EX65" s="462" t="e">
        <f ca="1"/>
        <v>#DIV/0!</v>
      </c>
      <c r="EY65" s="464" t="e">
        <f ca="1"/>
        <v>#NUM!</v>
      </c>
      <c r="EZ65" s="464" t="e">
        <f ca="1"/>
        <v>#NUM!</v>
      </c>
      <c r="FA65" s="466" t="e">
        <f ca="1"/>
        <v>#NUM!</v>
      </c>
      <c r="FB65" s="157" t="e">
        <f ca="1"/>
        <v>#DIV/0!</v>
      </c>
      <c r="FC65" s="157" t="e">
        <f ca="1"/>
        <v>#NUM!</v>
      </c>
      <c r="FD65" s="157">
        <f ca="1"/>
        <v>5997.2404147231482</v>
      </c>
      <c r="FE65" s="157" t="e">
        <f ca="1"/>
        <v>#DIV/0!</v>
      </c>
      <c r="FF65" s="157" t="e">
        <f ca="1"/>
        <v>#DIV/0!</v>
      </c>
      <c r="FG65" s="468" t="e">
        <f ca="1"/>
        <v>#DIV/0!</v>
      </c>
      <c r="FH65" s="470" t="e">
        <f ca="1"/>
        <v>#DIV/0!</v>
      </c>
      <c r="FI65" s="472" t="e">
        <f ca="1"/>
        <v>#DIV/0!</v>
      </c>
      <c r="FJ65" s="173" t="e">
        <f t="shared" ca="1" si="12"/>
        <v>#DIV/0!</v>
      </c>
      <c r="FK65" s="173" t="e">
        <f t="shared" ca="1" si="13"/>
        <v>#DIV/0!</v>
      </c>
      <c r="FL65" s="462" t="e">
        <f ca="1"/>
        <v>#DIV/0!</v>
      </c>
      <c r="FM65" s="464">
        <f ca="1"/>
        <v>0</v>
      </c>
      <c r="FN65" s="464" t="e">
        <f ca="1"/>
        <v>#DIV/0!</v>
      </c>
      <c r="FO65" s="466" t="e">
        <f ca="1"/>
        <v>#DIV/0!</v>
      </c>
      <c r="FP65" s="157" t="e">
        <f ca="1"/>
        <v>#DIV/0!</v>
      </c>
      <c r="FQ65" s="157" t="e">
        <f ca="1"/>
        <v>#DIV/0!</v>
      </c>
      <c r="FR65" s="157" t="e">
        <f ca="1"/>
        <v>#DIV/0!</v>
      </c>
      <c r="FS65" s="157">
        <f ca="1"/>
        <v>2243.6395570843247</v>
      </c>
      <c r="FT65" s="468" t="e">
        <f ca="1"/>
        <v>#DIV/0!</v>
      </c>
      <c r="FU65" s="470" t="e">
        <f ca="1"/>
        <v>#DIV/0!</v>
      </c>
      <c r="FV65" s="470" t="e">
        <f ca="1"/>
        <v>#DIV/0!</v>
      </c>
      <c r="FW65" s="462" t="e">
        <f ca="1"/>
        <v>#DIV/0!</v>
      </c>
      <c r="FX65" s="464" t="e">
        <f ca="1"/>
        <v>#NUM!</v>
      </c>
      <c r="FY65" s="464" t="e">
        <f ca="1"/>
        <v>#NUM!</v>
      </c>
      <c r="FZ65" s="466" t="e">
        <f ca="1"/>
        <v>#NUM!</v>
      </c>
      <c r="GA65" s="157" t="e">
        <f ca="1"/>
        <v>#DIV/0!</v>
      </c>
      <c r="GB65" s="157" t="e">
        <f ca="1"/>
        <v>#NUM!</v>
      </c>
      <c r="GC65" s="157" t="e">
        <f ca="1"/>
        <v>#DIV/0!</v>
      </c>
      <c r="GD65" s="157">
        <f ca="1"/>
        <v>47.546526195868857</v>
      </c>
      <c r="GE65" s="468" t="e">
        <f ca="1"/>
        <v>#DIV/0!</v>
      </c>
      <c r="GF65" s="470" t="e">
        <f ca="1"/>
        <v>#DIV/0!</v>
      </c>
      <c r="GG65" s="470" t="e">
        <f ca="1"/>
        <v>#DIV/0!</v>
      </c>
      <c r="GH65" s="173" t="e">
        <f t="shared" ca="1" si="14"/>
        <v>#DIV/0!</v>
      </c>
      <c r="GI65" s="173" t="e">
        <f t="shared" ca="1" si="15"/>
        <v>#DIV/0!</v>
      </c>
    </row>
    <row r="66" spans="2:191" ht="15">
      <c r="B66" s="169"/>
      <c r="C66" s="87">
        <f>'Oil supply projection'!B66</f>
        <v>2075</v>
      </c>
      <c r="D66" s="460" t="e">
        <f ca="1"/>
        <v>#DIV/0!</v>
      </c>
      <c r="E66" s="460" t="e">
        <f ca="1"/>
        <v>#DIV/0!</v>
      </c>
      <c r="F66" s="462" t="e">
        <f ca="1"/>
        <v>#DIV/0!</v>
      </c>
      <c r="G66" s="464">
        <f ca="1"/>
        <v>0</v>
      </c>
      <c r="H66" s="464" t="e">
        <f ca="1"/>
        <v>#DIV/0!</v>
      </c>
      <c r="I66" s="466" t="e">
        <f ca="1"/>
        <v>#DIV/0!</v>
      </c>
      <c r="J66" s="157" t="e">
        <f ca="1"/>
        <v>#DIV/0!</v>
      </c>
      <c r="K66" s="157" t="e">
        <f ca="1"/>
        <v>#DIV/0!</v>
      </c>
      <c r="L66" s="157">
        <f ca="1"/>
        <v>52.725035809950676</v>
      </c>
      <c r="M66" s="157" t="e">
        <f ca="1"/>
        <v>#DIV/0!</v>
      </c>
      <c r="N66" s="157" t="e">
        <f ca="1"/>
        <v>#DIV/0!</v>
      </c>
      <c r="O66" s="468" t="e">
        <f ca="1"/>
        <v>#DIV/0!</v>
      </c>
      <c r="P66" s="470" t="e">
        <f ca="1"/>
        <v>#DIV/0!</v>
      </c>
      <c r="Q66" s="472" t="e">
        <f ca="1"/>
        <v>#DIV/0!</v>
      </c>
      <c r="R66" s="462" t="e">
        <f ca="1"/>
        <v>#DIV/0!</v>
      </c>
      <c r="S66" s="464">
        <f ca="1"/>
        <v>0</v>
      </c>
      <c r="T66" s="464" t="e">
        <f ca="1"/>
        <v>#DIV/0!</v>
      </c>
      <c r="U66" s="466" t="e">
        <f ca="1"/>
        <v>#DIV/0!</v>
      </c>
      <c r="V66" s="157" t="e">
        <f ca="1"/>
        <v>#DIV/0!</v>
      </c>
      <c r="W66" s="157" t="e">
        <f ca="1"/>
        <v>#DIV/0!</v>
      </c>
      <c r="X66" s="157">
        <f ca="1"/>
        <v>71.905019444091224</v>
      </c>
      <c r="Y66" s="157" t="e">
        <f ca="1"/>
        <v>#DIV/0!</v>
      </c>
      <c r="Z66" s="157" t="e">
        <f ca="1"/>
        <v>#DIV/0!</v>
      </c>
      <c r="AA66" s="468" t="e">
        <f ca="1"/>
        <v>#DIV/0!</v>
      </c>
      <c r="AB66" s="470" t="e">
        <f ca="1"/>
        <v>#DIV/0!</v>
      </c>
      <c r="AC66" s="472" t="e">
        <f ca="1"/>
        <v>#DIV/0!</v>
      </c>
      <c r="AD66" s="462" t="e">
        <f ca="1"/>
        <v>#DIV/0!</v>
      </c>
      <c r="AE66" s="464">
        <f ca="1"/>
        <v>0</v>
      </c>
      <c r="AF66" s="464" t="e">
        <f ca="1"/>
        <v>#DIV/0!</v>
      </c>
      <c r="AG66" s="466" t="e">
        <f ca="1"/>
        <v>#DIV/0!</v>
      </c>
      <c r="AH66" s="157" t="e">
        <f ca="1"/>
        <v>#DIV/0!</v>
      </c>
      <c r="AI66" s="157" t="e">
        <f ca="1"/>
        <v>#DIV/0!</v>
      </c>
      <c r="AJ66" s="157">
        <f ca="1"/>
        <v>940.68989885043959</v>
      </c>
      <c r="AK66" s="157" t="e">
        <f ca="1"/>
        <v>#DIV/0!</v>
      </c>
      <c r="AL66" s="157" t="e">
        <f ca="1"/>
        <v>#DIV/0!</v>
      </c>
      <c r="AM66" s="468" t="e">
        <f ca="1"/>
        <v>#DIV/0!</v>
      </c>
      <c r="AN66" s="470" t="e">
        <f ca="1"/>
        <v>#DIV/0!</v>
      </c>
      <c r="AO66" s="472" t="e">
        <f ca="1"/>
        <v>#DIV/0!</v>
      </c>
      <c r="AP66" s="462" t="e">
        <f ca="1"/>
        <v>#DIV/0!</v>
      </c>
      <c r="AQ66" s="464" t="e">
        <f ca="1"/>
        <v>#NUM!</v>
      </c>
      <c r="AR66" s="464" t="e">
        <f ca="1"/>
        <v>#NUM!</v>
      </c>
      <c r="AS66" s="466" t="e">
        <f ca="1"/>
        <v>#NUM!</v>
      </c>
      <c r="AT66" s="157" t="e">
        <f ca="1"/>
        <v>#DIV/0!</v>
      </c>
      <c r="AU66" s="157" t="e">
        <f ca="1"/>
        <v>#NUM!</v>
      </c>
      <c r="AV66" s="157">
        <f ca="1"/>
        <v>1695.4990381426651</v>
      </c>
      <c r="AW66" s="157" t="e">
        <f ca="1"/>
        <v>#DIV/0!</v>
      </c>
      <c r="AX66" s="157" t="e">
        <f ca="1"/>
        <v>#DIV/0!</v>
      </c>
      <c r="AY66" s="468" t="e">
        <f ca="1"/>
        <v>#DIV/0!</v>
      </c>
      <c r="AZ66" s="470" t="e">
        <f ca="1"/>
        <v>#DIV/0!</v>
      </c>
      <c r="BA66" s="472" t="e">
        <f ca="1"/>
        <v>#DIV/0!</v>
      </c>
      <c r="BB66" s="173" t="e">
        <f t="shared" ca="1" si="8"/>
        <v>#DIV/0!</v>
      </c>
      <c r="BC66" s="173" t="e">
        <f t="shared" ca="1" si="9"/>
        <v>#DIV/0!</v>
      </c>
      <c r="BD66" s="462" t="e">
        <f ca="1"/>
        <v>#DIV/0!</v>
      </c>
      <c r="BE66" s="464">
        <f ca="1"/>
        <v>0</v>
      </c>
      <c r="BF66" s="464" t="e">
        <f ca="1"/>
        <v>#DIV/0!</v>
      </c>
      <c r="BG66" s="466" t="e">
        <f ca="1"/>
        <v>#DIV/0!</v>
      </c>
      <c r="BH66" s="157" t="e">
        <f ca="1"/>
        <v>#DIV/0!</v>
      </c>
      <c r="BI66" s="157" t="e">
        <f ca="1"/>
        <v>#DIV/0!</v>
      </c>
      <c r="BJ66" s="157">
        <f ca="1"/>
        <v>21.191302433604822</v>
      </c>
      <c r="BK66" s="157" t="e">
        <f ca="1"/>
        <v>#DIV/0!</v>
      </c>
      <c r="BL66" s="157" t="e">
        <f ca="1"/>
        <v>#DIV/0!</v>
      </c>
      <c r="BM66" s="468" t="e">
        <f ca="1"/>
        <v>#DIV/0!</v>
      </c>
      <c r="BN66" s="470" t="e">
        <f ca="1"/>
        <v>#DIV/0!</v>
      </c>
      <c r="BO66" s="472" t="e">
        <f ca="1"/>
        <v>#DIV/0!</v>
      </c>
      <c r="BP66" s="462" t="e">
        <f ca="1"/>
        <v>#DIV/0!</v>
      </c>
      <c r="BQ66" s="464">
        <f ca="1"/>
        <v>0</v>
      </c>
      <c r="BR66" s="464" t="e">
        <f ca="1"/>
        <v>#DIV/0!</v>
      </c>
      <c r="BS66" s="466" t="e">
        <f ca="1"/>
        <v>#DIV/0!</v>
      </c>
      <c r="BT66" s="157" t="e">
        <f ca="1"/>
        <v>#DIV/0!</v>
      </c>
      <c r="BU66" s="157" t="e">
        <f ca="1"/>
        <v>#DIV/0!</v>
      </c>
      <c r="BV66" s="157">
        <f ca="1"/>
        <v>15.515841045612687</v>
      </c>
      <c r="BW66" s="157" t="e">
        <f ca="1"/>
        <v>#DIV/0!</v>
      </c>
      <c r="BX66" s="157" t="e">
        <f ca="1"/>
        <v>#DIV/0!</v>
      </c>
      <c r="BY66" s="468" t="e">
        <f ca="1"/>
        <v>#DIV/0!</v>
      </c>
      <c r="BZ66" s="470" t="e">
        <f ca="1"/>
        <v>#DIV/0!</v>
      </c>
      <c r="CA66" s="472" t="e">
        <f ca="1"/>
        <v>#DIV/0!</v>
      </c>
      <c r="CB66" s="462" t="e">
        <f ca="1"/>
        <v>#DIV/0!</v>
      </c>
      <c r="CC66" s="464">
        <f ca="1"/>
        <v>0</v>
      </c>
      <c r="CD66" s="464" t="e">
        <f ca="1"/>
        <v>#DIV/0!</v>
      </c>
      <c r="CE66" s="466" t="e">
        <f ca="1"/>
        <v>#DIV/0!</v>
      </c>
      <c r="CF66" s="157" t="e">
        <f ca="1"/>
        <v>#DIV/0!</v>
      </c>
      <c r="CG66" s="157" t="e">
        <f ca="1"/>
        <v>#DIV/0!</v>
      </c>
      <c r="CH66" s="157">
        <f ca="1"/>
        <v>53.630009436249871</v>
      </c>
      <c r="CI66" s="157" t="e">
        <f ca="1"/>
        <v>#DIV/0!</v>
      </c>
      <c r="CJ66" s="157" t="e">
        <f ca="1"/>
        <v>#DIV/0!</v>
      </c>
      <c r="CK66" s="468" t="e">
        <f ca="1"/>
        <v>#DIV/0!</v>
      </c>
      <c r="CL66" s="470" t="e">
        <f ca="1"/>
        <v>#DIV/0!</v>
      </c>
      <c r="CM66" s="472" t="e">
        <f ca="1"/>
        <v>#DIV/0!</v>
      </c>
      <c r="CN66" s="462" t="e">
        <f ca="1"/>
        <v>#DIV/0!</v>
      </c>
      <c r="CO66" s="464" t="e">
        <f ca="1"/>
        <v>#NUM!</v>
      </c>
      <c r="CP66" s="464" t="e">
        <f ca="1"/>
        <v>#NUM!</v>
      </c>
      <c r="CQ66" s="466" t="e">
        <f ca="1"/>
        <v>#NUM!</v>
      </c>
      <c r="CR66" s="157" t="e">
        <f ca="1"/>
        <v>#DIV/0!</v>
      </c>
      <c r="CS66" s="157" t="e">
        <f ca="1"/>
        <v>#NUM!</v>
      </c>
      <c r="CT66" s="157">
        <f ca="1"/>
        <v>7.9772907237553508</v>
      </c>
      <c r="CU66" s="157" t="e">
        <f ca="1"/>
        <v>#DIV/0!</v>
      </c>
      <c r="CV66" s="157" t="e">
        <f ca="1"/>
        <v>#DIV/0!</v>
      </c>
      <c r="CW66" s="468" t="e">
        <f ca="1"/>
        <v>#DIV/0!</v>
      </c>
      <c r="CX66" s="470" t="e">
        <f ca="1"/>
        <v>#DIV/0!</v>
      </c>
      <c r="CY66" s="472" t="e">
        <f ca="1"/>
        <v>#DIV/0!</v>
      </c>
      <c r="CZ66" s="173" t="e">
        <f t="shared" ca="1" si="10"/>
        <v>#DIV/0!</v>
      </c>
      <c r="DA66" s="173" t="e">
        <f t="shared" ca="1" si="11"/>
        <v>#DIV/0!</v>
      </c>
      <c r="DB66" s="462" t="e">
        <f ca="1"/>
        <v>#DIV/0!</v>
      </c>
      <c r="DC66" s="464">
        <f ca="1"/>
        <v>0</v>
      </c>
      <c r="DD66" s="464" t="e">
        <f ca="1"/>
        <v>#DIV/0!</v>
      </c>
      <c r="DE66" s="466" t="e">
        <f ca="1"/>
        <v>#DIV/0!</v>
      </c>
      <c r="DF66" s="157" t="e">
        <f ca="1"/>
        <v>#DIV/0!</v>
      </c>
      <c r="DG66" s="157" t="e">
        <f ca="1"/>
        <v>#DIV/0!</v>
      </c>
      <c r="DH66" s="157">
        <f ca="1"/>
        <v>24059.069861871802</v>
      </c>
      <c r="DI66" s="157" t="e">
        <f ca="1"/>
        <v>#DIV/0!</v>
      </c>
      <c r="DJ66" s="157" t="e">
        <f ca="1"/>
        <v>#DIV/0!</v>
      </c>
      <c r="DK66" s="468" t="e">
        <f ca="1"/>
        <v>#DIV/0!</v>
      </c>
      <c r="DL66" s="470" t="e">
        <f ca="1"/>
        <v>#DIV/0!</v>
      </c>
      <c r="DM66" s="472" t="e">
        <f ca="1"/>
        <v>#DIV/0!</v>
      </c>
      <c r="DN66" s="462" t="e">
        <f ca="1"/>
        <v>#DIV/0!</v>
      </c>
      <c r="DO66" s="464">
        <f ca="1"/>
        <v>0</v>
      </c>
      <c r="DP66" s="464" t="e">
        <f ca="1"/>
        <v>#DIV/0!</v>
      </c>
      <c r="DQ66" s="466" t="e">
        <f ca="1"/>
        <v>#DIV/0!</v>
      </c>
      <c r="DR66" s="157" t="e">
        <f ca="1"/>
        <v>#DIV/0!</v>
      </c>
      <c r="DS66" s="157" t="e">
        <f ca="1"/>
        <v>#DIV/0!</v>
      </c>
      <c r="DT66" s="157">
        <f ca="1"/>
        <v>19814.839951849663</v>
      </c>
      <c r="DU66" s="157" t="e">
        <f ca="1"/>
        <v>#DIV/0!</v>
      </c>
      <c r="DV66" s="157" t="e">
        <f ca="1"/>
        <v>#DIV/0!</v>
      </c>
      <c r="DW66" s="468" t="e">
        <f ca="1"/>
        <v>#DIV/0!</v>
      </c>
      <c r="DX66" s="470" t="e">
        <f ca="1"/>
        <v>#DIV/0!</v>
      </c>
      <c r="DY66" s="472" t="e">
        <f ca="1"/>
        <v>#DIV/0!</v>
      </c>
      <c r="DZ66" s="462" t="e">
        <f ca="1"/>
        <v>#DIV/0!</v>
      </c>
      <c r="EA66" s="464">
        <f ca="1"/>
        <v>0</v>
      </c>
      <c r="EB66" s="464" t="e">
        <f ca="1"/>
        <v>#DIV/0!</v>
      </c>
      <c r="EC66" s="466" t="e">
        <f ca="1"/>
        <v>#DIV/0!</v>
      </c>
      <c r="ED66" s="157" t="e">
        <f ca="1"/>
        <v>#DIV/0!</v>
      </c>
      <c r="EE66" s="157" t="e">
        <f ca="1"/>
        <v>#DIV/0!</v>
      </c>
      <c r="EF66" s="157">
        <f ca="1"/>
        <v>15568.513928773675</v>
      </c>
      <c r="EG66" s="157" t="e">
        <f ca="1"/>
        <v>#DIV/0!</v>
      </c>
      <c r="EH66" s="157" t="e">
        <f ca="1"/>
        <v>#DIV/0!</v>
      </c>
      <c r="EI66" s="468" t="e">
        <f ca="1"/>
        <v>#DIV/0!</v>
      </c>
      <c r="EJ66" s="470" t="e">
        <f ca="1"/>
        <v>#DIV/0!</v>
      </c>
      <c r="EK66" s="472" t="e">
        <f ca="1"/>
        <v>#DIV/0!</v>
      </c>
      <c r="EL66" s="462" t="e">
        <f ca="1"/>
        <v>#DIV/0!</v>
      </c>
      <c r="EM66" s="464" t="e">
        <f ca="1"/>
        <v>#NUM!</v>
      </c>
      <c r="EN66" s="464" t="e">
        <f ca="1"/>
        <v>#NUM!</v>
      </c>
      <c r="EO66" s="466" t="e">
        <f ca="1"/>
        <v>#NUM!</v>
      </c>
      <c r="EP66" s="157" t="e">
        <f ca="1"/>
        <v>#DIV/0!</v>
      </c>
      <c r="EQ66" s="157" t="e">
        <f ca="1"/>
        <v>#NUM!</v>
      </c>
      <c r="ER66" s="157">
        <f ca="1"/>
        <v>2957.9552746241693</v>
      </c>
      <c r="ES66" s="157" t="e">
        <f ca="1"/>
        <v>#DIV/0!</v>
      </c>
      <c r="ET66" s="157" t="e">
        <f ca="1"/>
        <v>#DIV/0!</v>
      </c>
      <c r="EU66" s="468" t="e">
        <f ca="1"/>
        <v>#DIV/0!</v>
      </c>
      <c r="EV66" s="470" t="e">
        <f ca="1"/>
        <v>#DIV/0!</v>
      </c>
      <c r="EW66" s="472" t="e">
        <f ca="1"/>
        <v>#DIV/0!</v>
      </c>
      <c r="EX66" s="462" t="e">
        <f ca="1"/>
        <v>#DIV/0!</v>
      </c>
      <c r="EY66" s="464" t="e">
        <f ca="1"/>
        <v>#NUM!</v>
      </c>
      <c r="EZ66" s="464" t="e">
        <f ca="1"/>
        <v>#NUM!</v>
      </c>
      <c r="FA66" s="466" t="e">
        <f ca="1"/>
        <v>#NUM!</v>
      </c>
      <c r="FB66" s="157" t="e">
        <f ca="1"/>
        <v>#DIV/0!</v>
      </c>
      <c r="FC66" s="157" t="e">
        <f ca="1"/>
        <v>#NUM!</v>
      </c>
      <c r="FD66" s="157">
        <f ca="1"/>
        <v>6058.9976614971365</v>
      </c>
      <c r="FE66" s="157" t="e">
        <f ca="1"/>
        <v>#DIV/0!</v>
      </c>
      <c r="FF66" s="157" t="e">
        <f ca="1"/>
        <v>#DIV/0!</v>
      </c>
      <c r="FG66" s="468" t="e">
        <f ca="1"/>
        <v>#DIV/0!</v>
      </c>
      <c r="FH66" s="470" t="e">
        <f ca="1"/>
        <v>#DIV/0!</v>
      </c>
      <c r="FI66" s="472" t="e">
        <f ca="1"/>
        <v>#DIV/0!</v>
      </c>
      <c r="FJ66" s="173" t="e">
        <f t="shared" ca="1" si="12"/>
        <v>#DIV/0!</v>
      </c>
      <c r="FK66" s="173" t="e">
        <f t="shared" ca="1" si="13"/>
        <v>#DIV/0!</v>
      </c>
      <c r="FL66" s="462" t="e">
        <f ca="1"/>
        <v>#DIV/0!</v>
      </c>
      <c r="FM66" s="464">
        <f ca="1"/>
        <v>0</v>
      </c>
      <c r="FN66" s="464" t="e">
        <f ca="1"/>
        <v>#DIV/0!</v>
      </c>
      <c r="FO66" s="466" t="e">
        <f ca="1"/>
        <v>#DIV/0!</v>
      </c>
      <c r="FP66" s="157" t="e">
        <f ca="1"/>
        <v>#DIV/0!</v>
      </c>
      <c r="FQ66" s="157" t="e">
        <f ca="1"/>
        <v>#DIV/0!</v>
      </c>
      <c r="FR66" s="157" t="e">
        <f ca="1"/>
        <v>#DIV/0!</v>
      </c>
      <c r="FS66" s="157">
        <f ca="1"/>
        <v>2256.1583612968866</v>
      </c>
      <c r="FT66" s="468" t="e">
        <f ca="1"/>
        <v>#DIV/0!</v>
      </c>
      <c r="FU66" s="470" t="e">
        <f ca="1"/>
        <v>#DIV/0!</v>
      </c>
      <c r="FV66" s="470" t="e">
        <f ca="1"/>
        <v>#DIV/0!</v>
      </c>
      <c r="FW66" s="462" t="e">
        <f ca="1"/>
        <v>#DIV/0!</v>
      </c>
      <c r="FX66" s="464" t="e">
        <f ca="1"/>
        <v>#NUM!</v>
      </c>
      <c r="FY66" s="464" t="e">
        <f ca="1"/>
        <v>#NUM!</v>
      </c>
      <c r="FZ66" s="466" t="e">
        <f ca="1"/>
        <v>#NUM!</v>
      </c>
      <c r="GA66" s="157" t="e">
        <f ca="1"/>
        <v>#DIV/0!</v>
      </c>
      <c r="GB66" s="157" t="e">
        <f ca="1"/>
        <v>#NUM!</v>
      </c>
      <c r="GC66" s="157" t="e">
        <f ca="1"/>
        <v>#DIV/0!</v>
      </c>
      <c r="GD66" s="157">
        <f ca="1"/>
        <v>47.811820882153945</v>
      </c>
      <c r="GE66" s="468" t="e">
        <f ca="1"/>
        <v>#DIV/0!</v>
      </c>
      <c r="GF66" s="470" t="e">
        <f ca="1"/>
        <v>#DIV/0!</v>
      </c>
      <c r="GG66" s="470" t="e">
        <f ca="1"/>
        <v>#DIV/0!</v>
      </c>
      <c r="GH66" s="173" t="e">
        <f t="shared" ca="1" si="14"/>
        <v>#DIV/0!</v>
      </c>
      <c r="GI66" s="173" t="e">
        <f t="shared" ca="1" si="15"/>
        <v>#DIV/0!</v>
      </c>
    </row>
    <row r="67" spans="2:191" ht="15">
      <c r="B67" s="169"/>
      <c r="C67" s="87">
        <f>'Oil supply projection'!B67</f>
        <v>2076</v>
      </c>
      <c r="D67" s="460" t="e">
        <f ca="1"/>
        <v>#DIV/0!</v>
      </c>
      <c r="E67" s="460" t="e">
        <f ca="1"/>
        <v>#DIV/0!</v>
      </c>
      <c r="F67" s="462" t="e">
        <f ca="1"/>
        <v>#DIV/0!</v>
      </c>
      <c r="G67" s="464">
        <f ca="1"/>
        <v>0</v>
      </c>
      <c r="H67" s="464" t="e">
        <f ca="1"/>
        <v>#DIV/0!</v>
      </c>
      <c r="I67" s="466" t="e">
        <f ca="1"/>
        <v>#DIV/0!</v>
      </c>
      <c r="J67" s="157" t="e">
        <f ca="1"/>
        <v>#DIV/0!</v>
      </c>
      <c r="K67" s="157" t="e">
        <f ca="1"/>
        <v>#DIV/0!</v>
      </c>
      <c r="L67" s="157">
        <f ca="1"/>
        <v>53.426141116024674</v>
      </c>
      <c r="M67" s="157" t="e">
        <f ca="1"/>
        <v>#DIV/0!</v>
      </c>
      <c r="N67" s="157" t="e">
        <f ca="1"/>
        <v>#DIV/0!</v>
      </c>
      <c r="O67" s="468" t="e">
        <f ca="1"/>
        <v>#DIV/0!</v>
      </c>
      <c r="P67" s="470" t="e">
        <f ca="1"/>
        <v>#DIV/0!</v>
      </c>
      <c r="Q67" s="472" t="e">
        <f ca="1"/>
        <v>#DIV/0!</v>
      </c>
      <c r="R67" s="462" t="e">
        <f ca="1"/>
        <v>#DIV/0!</v>
      </c>
      <c r="S67" s="464">
        <f ca="1"/>
        <v>0</v>
      </c>
      <c r="T67" s="464" t="e">
        <f ca="1"/>
        <v>#DIV/0!</v>
      </c>
      <c r="U67" s="466" t="e">
        <f ca="1"/>
        <v>#DIV/0!</v>
      </c>
      <c r="V67" s="157" t="e">
        <f ca="1"/>
        <v>#DIV/0!</v>
      </c>
      <c r="W67" s="157" t="e">
        <f ca="1"/>
        <v>#DIV/0!</v>
      </c>
      <c r="X67" s="157">
        <f ca="1"/>
        <v>72.861168451695931</v>
      </c>
      <c r="Y67" s="157" t="e">
        <f ca="1"/>
        <v>#DIV/0!</v>
      </c>
      <c r="Z67" s="157" t="e">
        <f ca="1"/>
        <v>#DIV/0!</v>
      </c>
      <c r="AA67" s="468" t="e">
        <f ca="1"/>
        <v>#DIV/0!</v>
      </c>
      <c r="AB67" s="470" t="e">
        <f ca="1"/>
        <v>#DIV/0!</v>
      </c>
      <c r="AC67" s="472" t="e">
        <f ca="1"/>
        <v>#DIV/0!</v>
      </c>
      <c r="AD67" s="462" t="e">
        <f ca="1"/>
        <v>#DIV/0!</v>
      </c>
      <c r="AE67" s="464">
        <f ca="1"/>
        <v>0</v>
      </c>
      <c r="AF67" s="464" t="e">
        <f ca="1"/>
        <v>#DIV/0!</v>
      </c>
      <c r="AG67" s="466" t="e">
        <f ca="1"/>
        <v>#DIV/0!</v>
      </c>
      <c r="AH67" s="157" t="e">
        <f ca="1"/>
        <v>#DIV/0!</v>
      </c>
      <c r="AI67" s="157" t="e">
        <f ca="1"/>
        <v>#DIV/0!</v>
      </c>
      <c r="AJ67" s="157">
        <f ca="1"/>
        <v>953.19861827230079</v>
      </c>
      <c r="AK67" s="157" t="e">
        <f ca="1"/>
        <v>#DIV/0!</v>
      </c>
      <c r="AL67" s="157" t="e">
        <f ca="1"/>
        <v>#DIV/0!</v>
      </c>
      <c r="AM67" s="468" t="e">
        <f ca="1"/>
        <v>#DIV/0!</v>
      </c>
      <c r="AN67" s="470" t="e">
        <f ca="1"/>
        <v>#DIV/0!</v>
      </c>
      <c r="AO67" s="472" t="e">
        <f ca="1"/>
        <v>#DIV/0!</v>
      </c>
      <c r="AP67" s="462" t="e">
        <f ca="1"/>
        <v>#DIV/0!</v>
      </c>
      <c r="AQ67" s="464" t="e">
        <f ca="1"/>
        <v>#NUM!</v>
      </c>
      <c r="AR67" s="464" t="e">
        <f ca="1"/>
        <v>#NUM!</v>
      </c>
      <c r="AS67" s="466" t="e">
        <f ca="1"/>
        <v>#NUM!</v>
      </c>
      <c r="AT67" s="157" t="e">
        <f ca="1"/>
        <v>#DIV/0!</v>
      </c>
      <c r="AU67" s="157" t="e">
        <f ca="1"/>
        <v>#NUM!</v>
      </c>
      <c r="AV67" s="157">
        <f ca="1"/>
        <v>1718.0447482370114</v>
      </c>
      <c r="AW67" s="157" t="e">
        <f ca="1"/>
        <v>#DIV/0!</v>
      </c>
      <c r="AX67" s="157" t="e">
        <f ca="1"/>
        <v>#DIV/0!</v>
      </c>
      <c r="AY67" s="468" t="e">
        <f ca="1"/>
        <v>#DIV/0!</v>
      </c>
      <c r="AZ67" s="470" t="e">
        <f ca="1"/>
        <v>#DIV/0!</v>
      </c>
      <c r="BA67" s="472" t="e">
        <f ca="1"/>
        <v>#DIV/0!</v>
      </c>
      <c r="BB67" s="173" t="e">
        <f t="shared" ca="1" si="8"/>
        <v>#DIV/0!</v>
      </c>
      <c r="BC67" s="173" t="e">
        <f t="shared" ca="1" si="9"/>
        <v>#DIV/0!</v>
      </c>
      <c r="BD67" s="462" t="e">
        <f ca="1"/>
        <v>#DIV/0!</v>
      </c>
      <c r="BE67" s="464">
        <f ca="1"/>
        <v>0</v>
      </c>
      <c r="BF67" s="464" t="e">
        <f ca="1"/>
        <v>#DIV/0!</v>
      </c>
      <c r="BG67" s="466" t="e">
        <f ca="1"/>
        <v>#DIV/0!</v>
      </c>
      <c r="BH67" s="157" t="e">
        <f ca="1"/>
        <v>#DIV/0!</v>
      </c>
      <c r="BI67" s="157" t="e">
        <f ca="1"/>
        <v>#DIV/0!</v>
      </c>
      <c r="BJ67" s="157">
        <f ca="1"/>
        <v>21.316407854140099</v>
      </c>
      <c r="BK67" s="157" t="e">
        <f ca="1"/>
        <v>#DIV/0!</v>
      </c>
      <c r="BL67" s="157" t="e">
        <f ca="1"/>
        <v>#DIV/0!</v>
      </c>
      <c r="BM67" s="468" t="e">
        <f ca="1"/>
        <v>#DIV/0!</v>
      </c>
      <c r="BN67" s="470" t="e">
        <f ca="1"/>
        <v>#DIV/0!</v>
      </c>
      <c r="BO67" s="472" t="e">
        <f ca="1"/>
        <v>#DIV/0!</v>
      </c>
      <c r="BP67" s="462" t="e">
        <f ca="1"/>
        <v>#DIV/0!</v>
      </c>
      <c r="BQ67" s="464">
        <f ca="1"/>
        <v>0</v>
      </c>
      <c r="BR67" s="464" t="e">
        <f ca="1"/>
        <v>#DIV/0!</v>
      </c>
      <c r="BS67" s="466" t="e">
        <f ca="1"/>
        <v>#DIV/0!</v>
      </c>
      <c r="BT67" s="157" t="e">
        <f ca="1"/>
        <v>#DIV/0!</v>
      </c>
      <c r="BU67" s="157" t="e">
        <f ca="1"/>
        <v>#DIV/0!</v>
      </c>
      <c r="BV67" s="157">
        <f ca="1"/>
        <v>15.607440692451371</v>
      </c>
      <c r="BW67" s="157" t="e">
        <f ca="1"/>
        <v>#DIV/0!</v>
      </c>
      <c r="BX67" s="157" t="e">
        <f ca="1"/>
        <v>#DIV/0!</v>
      </c>
      <c r="BY67" s="468" t="e">
        <f ca="1"/>
        <v>#DIV/0!</v>
      </c>
      <c r="BZ67" s="470" t="e">
        <f ca="1"/>
        <v>#DIV/0!</v>
      </c>
      <c r="CA67" s="472" t="e">
        <f ca="1"/>
        <v>#DIV/0!</v>
      </c>
      <c r="CB67" s="462" t="e">
        <f ca="1"/>
        <v>#DIV/0!</v>
      </c>
      <c r="CC67" s="464">
        <f ca="1"/>
        <v>0</v>
      </c>
      <c r="CD67" s="464" t="e">
        <f ca="1"/>
        <v>#DIV/0!</v>
      </c>
      <c r="CE67" s="466" t="e">
        <f ca="1"/>
        <v>#DIV/0!</v>
      </c>
      <c r="CF67" s="157" t="e">
        <f ca="1"/>
        <v>#DIV/0!</v>
      </c>
      <c r="CG67" s="157" t="e">
        <f ca="1"/>
        <v>#DIV/0!</v>
      </c>
      <c r="CH67" s="157">
        <f ca="1"/>
        <v>53.946620692441151</v>
      </c>
      <c r="CI67" s="157" t="e">
        <f ca="1"/>
        <v>#DIV/0!</v>
      </c>
      <c r="CJ67" s="157" t="e">
        <f ca="1"/>
        <v>#DIV/0!</v>
      </c>
      <c r="CK67" s="468" t="e">
        <f ca="1"/>
        <v>#DIV/0!</v>
      </c>
      <c r="CL67" s="470" t="e">
        <f ca="1"/>
        <v>#DIV/0!</v>
      </c>
      <c r="CM67" s="472" t="e">
        <f ca="1"/>
        <v>#DIV/0!</v>
      </c>
      <c r="CN67" s="462" t="e">
        <f ca="1"/>
        <v>#DIV/0!</v>
      </c>
      <c r="CO67" s="464" t="e">
        <f ca="1"/>
        <v>#NUM!</v>
      </c>
      <c r="CP67" s="464" t="e">
        <f ca="1"/>
        <v>#NUM!</v>
      </c>
      <c r="CQ67" s="466" t="e">
        <f ca="1"/>
        <v>#NUM!</v>
      </c>
      <c r="CR67" s="157" t="e">
        <f ca="1"/>
        <v>#DIV/0!</v>
      </c>
      <c r="CS67" s="157" t="e">
        <f ca="1"/>
        <v>#NUM!</v>
      </c>
      <c r="CT67" s="157">
        <f ca="1"/>
        <v>8.0243856257253672</v>
      </c>
      <c r="CU67" s="157" t="e">
        <f ca="1"/>
        <v>#DIV/0!</v>
      </c>
      <c r="CV67" s="157" t="e">
        <f ca="1"/>
        <v>#DIV/0!</v>
      </c>
      <c r="CW67" s="468" t="e">
        <f ca="1"/>
        <v>#DIV/0!</v>
      </c>
      <c r="CX67" s="470" t="e">
        <f ca="1"/>
        <v>#DIV/0!</v>
      </c>
      <c r="CY67" s="472" t="e">
        <f ca="1"/>
        <v>#DIV/0!</v>
      </c>
      <c r="CZ67" s="173" t="e">
        <f t="shared" ca="1" si="10"/>
        <v>#DIV/0!</v>
      </c>
      <c r="DA67" s="173" t="e">
        <f t="shared" ca="1" si="11"/>
        <v>#DIV/0!</v>
      </c>
      <c r="DB67" s="462" t="e">
        <f ca="1"/>
        <v>#DIV/0!</v>
      </c>
      <c r="DC67" s="464">
        <f ca="1"/>
        <v>0</v>
      </c>
      <c r="DD67" s="464" t="e">
        <f ca="1"/>
        <v>#DIV/0!</v>
      </c>
      <c r="DE67" s="466" t="e">
        <f ca="1"/>
        <v>#DIV/0!</v>
      </c>
      <c r="DF67" s="157" t="e">
        <f ca="1"/>
        <v>#DIV/0!</v>
      </c>
      <c r="DG67" s="157" t="e">
        <f ca="1"/>
        <v>#DIV/0!</v>
      </c>
      <c r="DH67" s="157">
        <f ca="1"/>
        <v>24306.820795945518</v>
      </c>
      <c r="DI67" s="157" t="e">
        <f ca="1"/>
        <v>#DIV/0!</v>
      </c>
      <c r="DJ67" s="157" t="e">
        <f ca="1"/>
        <v>#DIV/0!</v>
      </c>
      <c r="DK67" s="468" t="e">
        <f ca="1"/>
        <v>#DIV/0!</v>
      </c>
      <c r="DL67" s="470" t="e">
        <f ca="1"/>
        <v>#DIV/0!</v>
      </c>
      <c r="DM67" s="472" t="e">
        <f ca="1"/>
        <v>#DIV/0!</v>
      </c>
      <c r="DN67" s="462" t="e">
        <f ca="1"/>
        <v>#DIV/0!</v>
      </c>
      <c r="DO67" s="464">
        <f ca="1"/>
        <v>0</v>
      </c>
      <c r="DP67" s="464" t="e">
        <f ca="1"/>
        <v>#DIV/0!</v>
      </c>
      <c r="DQ67" s="466" t="e">
        <f ca="1"/>
        <v>#DIV/0!</v>
      </c>
      <c r="DR67" s="157" t="e">
        <f ca="1"/>
        <v>#DIV/0!</v>
      </c>
      <c r="DS67" s="157" t="e">
        <f ca="1"/>
        <v>#DIV/0!</v>
      </c>
      <c r="DT67" s="157">
        <f ca="1"/>
        <v>20018.88545879471</v>
      </c>
      <c r="DU67" s="157" t="e">
        <f ca="1"/>
        <v>#DIV/0!</v>
      </c>
      <c r="DV67" s="157" t="e">
        <f ca="1"/>
        <v>#DIV/0!</v>
      </c>
      <c r="DW67" s="468" t="e">
        <f ca="1"/>
        <v>#DIV/0!</v>
      </c>
      <c r="DX67" s="470" t="e">
        <f ca="1"/>
        <v>#DIV/0!</v>
      </c>
      <c r="DY67" s="472" t="e">
        <f ca="1"/>
        <v>#DIV/0!</v>
      </c>
      <c r="DZ67" s="462" t="e">
        <f ca="1"/>
        <v>#DIV/0!</v>
      </c>
      <c r="EA67" s="464">
        <f ca="1"/>
        <v>0</v>
      </c>
      <c r="EB67" s="464" t="e">
        <f ca="1"/>
        <v>#DIV/0!</v>
      </c>
      <c r="EC67" s="466" t="e">
        <f ca="1"/>
        <v>#DIV/0!</v>
      </c>
      <c r="ED67" s="157" t="e">
        <f ca="1"/>
        <v>#DIV/0!</v>
      </c>
      <c r="EE67" s="157" t="e">
        <f ca="1"/>
        <v>#DIV/0!</v>
      </c>
      <c r="EF67" s="157">
        <f ca="1"/>
        <v>15728.832423633943</v>
      </c>
      <c r="EG67" s="157" t="e">
        <f ca="1"/>
        <v>#DIV/0!</v>
      </c>
      <c r="EH67" s="157" t="e">
        <f ca="1"/>
        <v>#DIV/0!</v>
      </c>
      <c r="EI67" s="468" t="e">
        <f ca="1"/>
        <v>#DIV/0!</v>
      </c>
      <c r="EJ67" s="470" t="e">
        <f ca="1"/>
        <v>#DIV/0!</v>
      </c>
      <c r="EK67" s="472" t="e">
        <f ca="1"/>
        <v>#DIV/0!</v>
      </c>
      <c r="EL67" s="462" t="e">
        <f ca="1"/>
        <v>#DIV/0!</v>
      </c>
      <c r="EM67" s="464" t="e">
        <f ca="1"/>
        <v>#NUM!</v>
      </c>
      <c r="EN67" s="464" t="e">
        <f ca="1"/>
        <v>#NUM!</v>
      </c>
      <c r="EO67" s="466" t="e">
        <f ca="1"/>
        <v>#NUM!</v>
      </c>
      <c r="EP67" s="157" t="e">
        <f ca="1"/>
        <v>#DIV/0!</v>
      </c>
      <c r="EQ67" s="157" t="e">
        <f ca="1"/>
        <v>#NUM!</v>
      </c>
      <c r="ER67" s="157">
        <f ca="1"/>
        <v>2988.4151463666672</v>
      </c>
      <c r="ES67" s="157" t="e">
        <f ca="1"/>
        <v>#DIV/0!</v>
      </c>
      <c r="ET67" s="157" t="e">
        <f ca="1"/>
        <v>#DIV/0!</v>
      </c>
      <c r="EU67" s="468" t="e">
        <f ca="1"/>
        <v>#DIV/0!</v>
      </c>
      <c r="EV67" s="470" t="e">
        <f ca="1"/>
        <v>#DIV/0!</v>
      </c>
      <c r="EW67" s="472" t="e">
        <f ca="1"/>
        <v>#DIV/0!</v>
      </c>
      <c r="EX67" s="462" t="e">
        <f ca="1"/>
        <v>#DIV/0!</v>
      </c>
      <c r="EY67" s="464" t="e">
        <f ca="1"/>
        <v>#NUM!</v>
      </c>
      <c r="EZ67" s="464" t="e">
        <f ca="1"/>
        <v>#NUM!</v>
      </c>
      <c r="FA67" s="466" t="e">
        <f ca="1"/>
        <v>#NUM!</v>
      </c>
      <c r="FB67" s="157" t="e">
        <f ca="1"/>
        <v>#DIV/0!</v>
      </c>
      <c r="FC67" s="157" t="e">
        <f ca="1"/>
        <v>#NUM!</v>
      </c>
      <c r="FD67" s="157">
        <f ca="1"/>
        <v>6121.3908603533118</v>
      </c>
      <c r="FE67" s="157" t="e">
        <f ca="1"/>
        <v>#DIV/0!</v>
      </c>
      <c r="FF67" s="157" t="e">
        <f ca="1"/>
        <v>#DIV/0!</v>
      </c>
      <c r="FG67" s="468" t="e">
        <f ca="1"/>
        <v>#DIV/0!</v>
      </c>
      <c r="FH67" s="470" t="e">
        <f ca="1"/>
        <v>#DIV/0!</v>
      </c>
      <c r="FI67" s="472" t="e">
        <f ca="1"/>
        <v>#DIV/0!</v>
      </c>
      <c r="FJ67" s="173" t="e">
        <f t="shared" ca="1" si="12"/>
        <v>#DIV/0!</v>
      </c>
      <c r="FK67" s="173" t="e">
        <f t="shared" ca="1" si="13"/>
        <v>#DIV/0!</v>
      </c>
      <c r="FL67" s="462" t="e">
        <f ca="1"/>
        <v>#DIV/0!</v>
      </c>
      <c r="FM67" s="464">
        <f ca="1"/>
        <v>0</v>
      </c>
      <c r="FN67" s="464" t="e">
        <f ca="1"/>
        <v>#DIV/0!</v>
      </c>
      <c r="FO67" s="466" t="e">
        <f ca="1"/>
        <v>#DIV/0!</v>
      </c>
      <c r="FP67" s="157" t="e">
        <f ca="1"/>
        <v>#DIV/0!</v>
      </c>
      <c r="FQ67" s="157" t="e">
        <f ca="1"/>
        <v>#DIV/0!</v>
      </c>
      <c r="FR67" s="157" t="e">
        <f ca="1"/>
        <v>#DIV/0!</v>
      </c>
      <c r="FS67" s="157">
        <f ca="1"/>
        <v>2268.7470165059767</v>
      </c>
      <c r="FT67" s="468" t="e">
        <f ca="1"/>
        <v>#DIV/0!</v>
      </c>
      <c r="FU67" s="470" t="e">
        <f ca="1"/>
        <v>#DIV/0!</v>
      </c>
      <c r="FV67" s="470" t="e">
        <f ca="1"/>
        <v>#DIV/0!</v>
      </c>
      <c r="FW67" s="462" t="e">
        <f ca="1"/>
        <v>#DIV/0!</v>
      </c>
      <c r="FX67" s="464" t="e">
        <f ca="1"/>
        <v>#NUM!</v>
      </c>
      <c r="FY67" s="464" t="e">
        <f ca="1"/>
        <v>#NUM!</v>
      </c>
      <c r="FZ67" s="466" t="e">
        <f ca="1"/>
        <v>#NUM!</v>
      </c>
      <c r="GA67" s="157" t="e">
        <f ca="1"/>
        <v>#DIV/0!</v>
      </c>
      <c r="GB67" s="157" t="e">
        <f ca="1"/>
        <v>#NUM!</v>
      </c>
      <c r="GC67" s="157" t="e">
        <f ca="1"/>
        <v>#DIV/0!</v>
      </c>
      <c r="GD67" s="157">
        <f ca="1"/>
        <v>48.078595829484428</v>
      </c>
      <c r="GE67" s="468" t="e">
        <f ca="1"/>
        <v>#DIV/0!</v>
      </c>
      <c r="GF67" s="470" t="e">
        <f ca="1"/>
        <v>#DIV/0!</v>
      </c>
      <c r="GG67" s="470" t="e">
        <f ca="1"/>
        <v>#DIV/0!</v>
      </c>
      <c r="GH67" s="173" t="e">
        <f t="shared" ca="1" si="14"/>
        <v>#DIV/0!</v>
      </c>
      <c r="GI67" s="173" t="e">
        <f t="shared" ca="1" si="15"/>
        <v>#DIV/0!</v>
      </c>
    </row>
    <row r="68" spans="2:191" ht="15">
      <c r="B68" s="169"/>
      <c r="C68" s="87">
        <f>'Oil supply projection'!B68</f>
        <v>2077</v>
      </c>
      <c r="D68" s="460" t="e">
        <f ca="1"/>
        <v>#DIV/0!</v>
      </c>
      <c r="E68" s="460" t="e">
        <f ca="1"/>
        <v>#DIV/0!</v>
      </c>
      <c r="F68" s="462" t="e">
        <f ca="1"/>
        <v>#DIV/0!</v>
      </c>
      <c r="G68" s="464">
        <f ca="1"/>
        <v>0</v>
      </c>
      <c r="H68" s="464" t="e">
        <f ca="1"/>
        <v>#DIV/0!</v>
      </c>
      <c r="I68" s="466" t="e">
        <f ca="1"/>
        <v>#DIV/0!</v>
      </c>
      <c r="J68" s="157" t="e">
        <f ca="1"/>
        <v>#DIV/0!</v>
      </c>
      <c r="K68" s="157" t="e">
        <f ca="1"/>
        <v>#DIV/0!</v>
      </c>
      <c r="L68" s="157">
        <f ca="1"/>
        <v>54.136569292015302</v>
      </c>
      <c r="M68" s="157" t="e">
        <f ca="1"/>
        <v>#DIV/0!</v>
      </c>
      <c r="N68" s="157" t="e">
        <f ca="1"/>
        <v>#DIV/0!</v>
      </c>
      <c r="O68" s="468" t="e">
        <f ca="1"/>
        <v>#DIV/0!</v>
      </c>
      <c r="P68" s="470" t="e">
        <f ca="1"/>
        <v>#DIV/0!</v>
      </c>
      <c r="Q68" s="472" t="e">
        <f ca="1"/>
        <v>#DIV/0!</v>
      </c>
      <c r="R68" s="462" t="e">
        <f ca="1"/>
        <v>#DIV/0!</v>
      </c>
      <c r="S68" s="464">
        <f ca="1"/>
        <v>0</v>
      </c>
      <c r="T68" s="464" t="e">
        <f ca="1"/>
        <v>#DIV/0!</v>
      </c>
      <c r="U68" s="466" t="e">
        <f ca="1"/>
        <v>#DIV/0!</v>
      </c>
      <c r="V68" s="157" t="e">
        <f ca="1"/>
        <v>#DIV/0!</v>
      </c>
      <c r="W68" s="157" t="e">
        <f ca="1"/>
        <v>#DIV/0!</v>
      </c>
      <c r="X68" s="157">
        <f ca="1"/>
        <v>73.830031744503685</v>
      </c>
      <c r="Y68" s="157" t="e">
        <f ca="1"/>
        <v>#DIV/0!</v>
      </c>
      <c r="Z68" s="157" t="e">
        <f ca="1"/>
        <v>#DIV/0!</v>
      </c>
      <c r="AA68" s="468" t="e">
        <f ca="1"/>
        <v>#DIV/0!</v>
      </c>
      <c r="AB68" s="470" t="e">
        <f ca="1"/>
        <v>#DIV/0!</v>
      </c>
      <c r="AC68" s="472" t="e">
        <f ca="1"/>
        <v>#DIV/0!</v>
      </c>
      <c r="AD68" s="462" t="e">
        <f ca="1"/>
        <v>#DIV/0!</v>
      </c>
      <c r="AE68" s="464">
        <f ca="1"/>
        <v>0</v>
      </c>
      <c r="AF68" s="464" t="e">
        <f ca="1"/>
        <v>#DIV/0!</v>
      </c>
      <c r="AG68" s="466" t="e">
        <f ca="1"/>
        <v>#DIV/0!</v>
      </c>
      <c r="AH68" s="157" t="e">
        <f ca="1"/>
        <v>#DIV/0!</v>
      </c>
      <c r="AI68" s="157" t="e">
        <f ca="1"/>
        <v>#DIV/0!</v>
      </c>
      <c r="AJ68" s="157">
        <f ca="1"/>
        <v>965.87367100098925</v>
      </c>
      <c r="AK68" s="157" t="e">
        <f ca="1"/>
        <v>#DIV/0!</v>
      </c>
      <c r="AL68" s="157" t="e">
        <f ca="1"/>
        <v>#DIV/0!</v>
      </c>
      <c r="AM68" s="468" t="e">
        <f ca="1"/>
        <v>#DIV/0!</v>
      </c>
      <c r="AN68" s="470" t="e">
        <f ca="1"/>
        <v>#DIV/0!</v>
      </c>
      <c r="AO68" s="472" t="e">
        <f ca="1"/>
        <v>#DIV/0!</v>
      </c>
      <c r="AP68" s="462" t="e">
        <f ca="1"/>
        <v>#DIV/0!</v>
      </c>
      <c r="AQ68" s="464" t="e">
        <f ca="1"/>
        <v>#NUM!</v>
      </c>
      <c r="AR68" s="464" t="e">
        <f ca="1"/>
        <v>#NUM!</v>
      </c>
      <c r="AS68" s="466" t="e">
        <f ca="1"/>
        <v>#NUM!</v>
      </c>
      <c r="AT68" s="157" t="e">
        <f ca="1"/>
        <v>#DIV/0!</v>
      </c>
      <c r="AU68" s="157" t="e">
        <f ca="1"/>
        <v>#NUM!</v>
      </c>
      <c r="AV68" s="157">
        <f ca="1"/>
        <v>1740.8902574065703</v>
      </c>
      <c r="AW68" s="157" t="e">
        <f ca="1"/>
        <v>#DIV/0!</v>
      </c>
      <c r="AX68" s="157" t="e">
        <f ca="1"/>
        <v>#DIV/0!</v>
      </c>
      <c r="AY68" s="468" t="e">
        <f ca="1"/>
        <v>#DIV/0!</v>
      </c>
      <c r="AZ68" s="470" t="e">
        <f ca="1"/>
        <v>#DIV/0!</v>
      </c>
      <c r="BA68" s="472" t="e">
        <f ca="1"/>
        <v>#DIV/0!</v>
      </c>
      <c r="BB68" s="173" t="e">
        <f t="shared" ca="1" si="8"/>
        <v>#DIV/0!</v>
      </c>
      <c r="BC68" s="173" t="e">
        <f t="shared" ca="1" si="9"/>
        <v>#DIV/0!</v>
      </c>
      <c r="BD68" s="462" t="e">
        <f ca="1"/>
        <v>#DIV/0!</v>
      </c>
      <c r="BE68" s="464">
        <f ca="1"/>
        <v>0</v>
      </c>
      <c r="BF68" s="464" t="e">
        <f ca="1"/>
        <v>#DIV/0!</v>
      </c>
      <c r="BG68" s="466" t="e">
        <f ca="1"/>
        <v>#DIV/0!</v>
      </c>
      <c r="BH68" s="157" t="e">
        <f ca="1"/>
        <v>#DIV/0!</v>
      </c>
      <c r="BI68" s="157" t="e">
        <f ca="1"/>
        <v>#DIV/0!</v>
      </c>
      <c r="BJ68" s="157">
        <f ca="1"/>
        <v>21.442251849677852</v>
      </c>
      <c r="BK68" s="157" t="e">
        <f ca="1"/>
        <v>#DIV/0!</v>
      </c>
      <c r="BL68" s="157" t="e">
        <f ca="1"/>
        <v>#DIV/0!</v>
      </c>
      <c r="BM68" s="468" t="e">
        <f ca="1"/>
        <v>#DIV/0!</v>
      </c>
      <c r="BN68" s="470" t="e">
        <f ca="1"/>
        <v>#DIV/0!</v>
      </c>
      <c r="BO68" s="472" t="e">
        <f ca="1"/>
        <v>#DIV/0!</v>
      </c>
      <c r="BP68" s="462" t="e">
        <f ca="1"/>
        <v>#DIV/0!</v>
      </c>
      <c r="BQ68" s="464">
        <f ca="1"/>
        <v>0</v>
      </c>
      <c r="BR68" s="464" t="e">
        <f ca="1"/>
        <v>#DIV/0!</v>
      </c>
      <c r="BS68" s="466" t="e">
        <f ca="1"/>
        <v>#DIV/0!</v>
      </c>
      <c r="BT68" s="157" t="e">
        <f ca="1"/>
        <v>#DIV/0!</v>
      </c>
      <c r="BU68" s="157" t="e">
        <f ca="1"/>
        <v>#DIV/0!</v>
      </c>
      <c r="BV68" s="157">
        <f ca="1"/>
        <v>15.699581108899402</v>
      </c>
      <c r="BW68" s="157" t="e">
        <f ca="1"/>
        <v>#DIV/0!</v>
      </c>
      <c r="BX68" s="157" t="e">
        <f ca="1"/>
        <v>#DIV/0!</v>
      </c>
      <c r="BY68" s="468" t="e">
        <f ca="1"/>
        <v>#DIV/0!</v>
      </c>
      <c r="BZ68" s="470" t="e">
        <f ca="1"/>
        <v>#DIV/0!</v>
      </c>
      <c r="CA68" s="472" t="e">
        <f ca="1"/>
        <v>#DIV/0!</v>
      </c>
      <c r="CB68" s="462" t="e">
        <f ca="1"/>
        <v>#DIV/0!</v>
      </c>
      <c r="CC68" s="464">
        <f ca="1"/>
        <v>0</v>
      </c>
      <c r="CD68" s="464" t="e">
        <f ca="1"/>
        <v>#DIV/0!</v>
      </c>
      <c r="CE68" s="466" t="e">
        <f ca="1"/>
        <v>#DIV/0!</v>
      </c>
      <c r="CF68" s="157" t="e">
        <f ca="1"/>
        <v>#DIV/0!</v>
      </c>
      <c r="CG68" s="157" t="e">
        <f ca="1"/>
        <v>#DIV/0!</v>
      </c>
      <c r="CH68" s="157">
        <f ca="1"/>
        <v>54.265101101530242</v>
      </c>
      <c r="CI68" s="157" t="e">
        <f ca="1"/>
        <v>#DIV/0!</v>
      </c>
      <c r="CJ68" s="157" t="e">
        <f ca="1"/>
        <v>#DIV/0!</v>
      </c>
      <c r="CK68" s="468" t="e">
        <f ca="1"/>
        <v>#DIV/0!</v>
      </c>
      <c r="CL68" s="470" t="e">
        <f ca="1"/>
        <v>#DIV/0!</v>
      </c>
      <c r="CM68" s="472" t="e">
        <f ca="1"/>
        <v>#DIV/0!</v>
      </c>
      <c r="CN68" s="462" t="e">
        <f ca="1"/>
        <v>#DIV/0!</v>
      </c>
      <c r="CO68" s="464" t="e">
        <f ca="1"/>
        <v>#NUM!</v>
      </c>
      <c r="CP68" s="464" t="e">
        <f ca="1"/>
        <v>#NUM!</v>
      </c>
      <c r="CQ68" s="466" t="e">
        <f ca="1"/>
        <v>#NUM!</v>
      </c>
      <c r="CR68" s="157" t="e">
        <f ca="1"/>
        <v>#DIV/0!</v>
      </c>
      <c r="CS68" s="157" t="e">
        <f ca="1"/>
        <v>#NUM!</v>
      </c>
      <c r="CT68" s="157">
        <f ca="1"/>
        <v>8.0717585581531388</v>
      </c>
      <c r="CU68" s="157" t="e">
        <f ca="1"/>
        <v>#DIV/0!</v>
      </c>
      <c r="CV68" s="157" t="e">
        <f ca="1"/>
        <v>#DIV/0!</v>
      </c>
      <c r="CW68" s="468" t="e">
        <f ca="1"/>
        <v>#DIV/0!</v>
      </c>
      <c r="CX68" s="470" t="e">
        <f ca="1"/>
        <v>#DIV/0!</v>
      </c>
      <c r="CY68" s="472" t="e">
        <f ca="1"/>
        <v>#DIV/0!</v>
      </c>
      <c r="CZ68" s="173" t="e">
        <f t="shared" ca="1" si="10"/>
        <v>#DIV/0!</v>
      </c>
      <c r="DA68" s="173" t="e">
        <f t="shared" ca="1" si="11"/>
        <v>#DIV/0!</v>
      </c>
      <c r="DB68" s="462" t="e">
        <f ca="1"/>
        <v>#DIV/0!</v>
      </c>
      <c r="DC68" s="464">
        <f ca="1"/>
        <v>0</v>
      </c>
      <c r="DD68" s="464" t="e">
        <f ca="1"/>
        <v>#DIV/0!</v>
      </c>
      <c r="DE68" s="466" t="e">
        <f ca="1"/>
        <v>#DIV/0!</v>
      </c>
      <c r="DF68" s="157" t="e">
        <f ca="1"/>
        <v>#DIV/0!</v>
      </c>
      <c r="DG68" s="157" t="e">
        <f ca="1"/>
        <v>#DIV/0!</v>
      </c>
      <c r="DH68" s="157">
        <f ca="1"/>
        <v>24557.122972676862</v>
      </c>
      <c r="DI68" s="157" t="e">
        <f ca="1"/>
        <v>#DIV/0!</v>
      </c>
      <c r="DJ68" s="157" t="e">
        <f ca="1"/>
        <v>#DIV/0!</v>
      </c>
      <c r="DK68" s="468" t="e">
        <f ca="1"/>
        <v>#DIV/0!</v>
      </c>
      <c r="DL68" s="470" t="e">
        <f ca="1"/>
        <v>#DIV/0!</v>
      </c>
      <c r="DM68" s="472" t="e">
        <f ca="1"/>
        <v>#DIV/0!</v>
      </c>
      <c r="DN68" s="462" t="e">
        <f ca="1"/>
        <v>#DIV/0!</v>
      </c>
      <c r="DO68" s="464">
        <f ca="1"/>
        <v>0</v>
      </c>
      <c r="DP68" s="464" t="e">
        <f ca="1"/>
        <v>#DIV/0!</v>
      </c>
      <c r="DQ68" s="466" t="e">
        <f ca="1"/>
        <v>#DIV/0!</v>
      </c>
      <c r="DR68" s="157" t="e">
        <f ca="1"/>
        <v>#DIV/0!</v>
      </c>
      <c r="DS68" s="157" t="e">
        <f ca="1"/>
        <v>#DIV/0!</v>
      </c>
      <c r="DT68" s="157">
        <f ca="1"/>
        <v>20225.032146925456</v>
      </c>
      <c r="DU68" s="157" t="e">
        <f ca="1"/>
        <v>#DIV/0!</v>
      </c>
      <c r="DV68" s="157" t="e">
        <f ca="1"/>
        <v>#DIV/0!</v>
      </c>
      <c r="DW68" s="468" t="e">
        <f ca="1"/>
        <v>#DIV/0!</v>
      </c>
      <c r="DX68" s="470" t="e">
        <f ca="1"/>
        <v>#DIV/0!</v>
      </c>
      <c r="DY68" s="472" t="e">
        <f ca="1"/>
        <v>#DIV/0!</v>
      </c>
      <c r="DZ68" s="462" t="e">
        <f ca="1"/>
        <v>#DIV/0!</v>
      </c>
      <c r="EA68" s="464">
        <f ca="1"/>
        <v>0</v>
      </c>
      <c r="EB68" s="464" t="e">
        <f ca="1"/>
        <v>#DIV/0!</v>
      </c>
      <c r="EC68" s="466" t="e">
        <f ca="1"/>
        <v>#DIV/0!</v>
      </c>
      <c r="ED68" s="157" t="e">
        <f ca="1"/>
        <v>#DIV/0!</v>
      </c>
      <c r="EE68" s="157" t="e">
        <f ca="1"/>
        <v>#DIV/0!</v>
      </c>
      <c r="EF68" s="157">
        <f ca="1"/>
        <v>15890.80181593451</v>
      </c>
      <c r="EG68" s="157" t="e">
        <f ca="1"/>
        <v>#DIV/0!</v>
      </c>
      <c r="EH68" s="157" t="e">
        <f ca="1"/>
        <v>#DIV/0!</v>
      </c>
      <c r="EI68" s="468" t="e">
        <f ca="1"/>
        <v>#DIV/0!</v>
      </c>
      <c r="EJ68" s="470" t="e">
        <f ca="1"/>
        <v>#DIV/0!</v>
      </c>
      <c r="EK68" s="472" t="e">
        <f ca="1"/>
        <v>#DIV/0!</v>
      </c>
      <c r="EL68" s="462" t="e">
        <f ca="1"/>
        <v>#DIV/0!</v>
      </c>
      <c r="EM68" s="464" t="e">
        <f ca="1"/>
        <v>#NUM!</v>
      </c>
      <c r="EN68" s="464" t="e">
        <f ca="1"/>
        <v>#NUM!</v>
      </c>
      <c r="EO68" s="466" t="e">
        <f ca="1"/>
        <v>#NUM!</v>
      </c>
      <c r="EP68" s="157" t="e">
        <f ca="1"/>
        <v>#DIV/0!</v>
      </c>
      <c r="EQ68" s="157" t="e">
        <f ca="1"/>
        <v>#NUM!</v>
      </c>
      <c r="ER68" s="157">
        <f ca="1"/>
        <v>3019.1886820088625</v>
      </c>
      <c r="ES68" s="157" t="e">
        <f ca="1"/>
        <v>#DIV/0!</v>
      </c>
      <c r="ET68" s="157" t="e">
        <f ca="1"/>
        <v>#DIV/0!</v>
      </c>
      <c r="EU68" s="468" t="e">
        <f ca="1"/>
        <v>#DIV/0!</v>
      </c>
      <c r="EV68" s="470" t="e">
        <f ca="1"/>
        <v>#DIV/0!</v>
      </c>
      <c r="EW68" s="472" t="e">
        <f ca="1"/>
        <v>#DIV/0!</v>
      </c>
      <c r="EX68" s="462" t="e">
        <f ca="1"/>
        <v>#DIV/0!</v>
      </c>
      <c r="EY68" s="464" t="e">
        <f ca="1"/>
        <v>#NUM!</v>
      </c>
      <c r="EZ68" s="464" t="e">
        <f ca="1"/>
        <v>#NUM!</v>
      </c>
      <c r="FA68" s="466" t="e">
        <f ca="1"/>
        <v>#NUM!</v>
      </c>
      <c r="FB68" s="157" t="e">
        <f ca="1"/>
        <v>#DIV/0!</v>
      </c>
      <c r="FC68" s="157" t="e">
        <f ca="1"/>
        <v>#NUM!</v>
      </c>
      <c r="FD68" s="157">
        <f ca="1"/>
        <v>6184.4265600786066</v>
      </c>
      <c r="FE68" s="157" t="e">
        <f ca="1"/>
        <v>#DIV/0!</v>
      </c>
      <c r="FF68" s="157" t="e">
        <f ca="1"/>
        <v>#DIV/0!</v>
      </c>
      <c r="FG68" s="468" t="e">
        <f ca="1"/>
        <v>#DIV/0!</v>
      </c>
      <c r="FH68" s="470" t="e">
        <f ca="1"/>
        <v>#DIV/0!</v>
      </c>
      <c r="FI68" s="472" t="e">
        <f ca="1"/>
        <v>#DIV/0!</v>
      </c>
      <c r="FJ68" s="173" t="e">
        <f t="shared" ca="1" si="12"/>
        <v>#DIV/0!</v>
      </c>
      <c r="FK68" s="173" t="e">
        <f t="shared" ca="1" si="13"/>
        <v>#DIV/0!</v>
      </c>
      <c r="FL68" s="462" t="e">
        <f ca="1"/>
        <v>#DIV/0!</v>
      </c>
      <c r="FM68" s="464">
        <f ca="1"/>
        <v>0</v>
      </c>
      <c r="FN68" s="464" t="e">
        <f ca="1"/>
        <v>#DIV/0!</v>
      </c>
      <c r="FO68" s="466" t="e">
        <f ca="1"/>
        <v>#DIV/0!</v>
      </c>
      <c r="FP68" s="157" t="e">
        <f ca="1"/>
        <v>#DIV/0!</v>
      </c>
      <c r="FQ68" s="157" t="e">
        <f ca="1"/>
        <v>#DIV/0!</v>
      </c>
      <c r="FR68" s="157" t="e">
        <f ca="1"/>
        <v>#DIV/0!</v>
      </c>
      <c r="FS68" s="157">
        <f ca="1"/>
        <v>2281.4059124582218</v>
      </c>
      <c r="FT68" s="468" t="e">
        <f ca="1"/>
        <v>#DIV/0!</v>
      </c>
      <c r="FU68" s="470" t="e">
        <f ca="1"/>
        <v>#DIV/0!</v>
      </c>
      <c r="FV68" s="470" t="e">
        <f ca="1"/>
        <v>#DIV/0!</v>
      </c>
      <c r="FW68" s="462" t="e">
        <f ca="1"/>
        <v>#DIV/0!</v>
      </c>
      <c r="FX68" s="464" t="e">
        <f ca="1"/>
        <v>#NUM!</v>
      </c>
      <c r="FY68" s="464" t="e">
        <f ca="1"/>
        <v>#NUM!</v>
      </c>
      <c r="FZ68" s="466" t="e">
        <f ca="1"/>
        <v>#NUM!</v>
      </c>
      <c r="GA68" s="157" t="e">
        <f ca="1"/>
        <v>#DIV/0!</v>
      </c>
      <c r="GB68" s="157" t="e">
        <f ca="1"/>
        <v>#NUM!</v>
      </c>
      <c r="GC68" s="157" t="e">
        <f ca="1"/>
        <v>#DIV/0!</v>
      </c>
      <c r="GD68" s="157">
        <f ca="1"/>
        <v>48.346859297252117</v>
      </c>
      <c r="GE68" s="468" t="e">
        <f ca="1"/>
        <v>#DIV/0!</v>
      </c>
      <c r="GF68" s="470" t="e">
        <f ca="1"/>
        <v>#DIV/0!</v>
      </c>
      <c r="GG68" s="470" t="e">
        <f ca="1"/>
        <v>#DIV/0!</v>
      </c>
      <c r="GH68" s="173" t="e">
        <f t="shared" ca="1" si="14"/>
        <v>#DIV/0!</v>
      </c>
      <c r="GI68" s="173" t="e">
        <f t="shared" ca="1" si="15"/>
        <v>#DIV/0!</v>
      </c>
    </row>
    <row r="69" spans="2:191" ht="15">
      <c r="B69" s="169"/>
      <c r="C69" s="87">
        <f>'Oil supply projection'!B69</f>
        <v>2078</v>
      </c>
      <c r="D69" s="460" t="e">
        <f ca="1"/>
        <v>#DIV/0!</v>
      </c>
      <c r="E69" s="460" t="e">
        <f ca="1"/>
        <v>#DIV/0!</v>
      </c>
      <c r="F69" s="462" t="e">
        <f ca="1"/>
        <v>#DIV/0!</v>
      </c>
      <c r="G69" s="464">
        <f ca="1"/>
        <v>0</v>
      </c>
      <c r="H69" s="464" t="e">
        <f ca="1"/>
        <v>#DIV/0!</v>
      </c>
      <c r="I69" s="466" t="e">
        <f ca="1"/>
        <v>#DIV/0!</v>
      </c>
      <c r="J69" s="157" t="e">
        <f ca="1"/>
        <v>#DIV/0!</v>
      </c>
      <c r="K69" s="157" t="e">
        <f ca="1"/>
        <v>#DIV/0!</v>
      </c>
      <c r="L69" s="157">
        <f ca="1"/>
        <v>54.856444307749506</v>
      </c>
      <c r="M69" s="157" t="e">
        <f ca="1"/>
        <v>#DIV/0!</v>
      </c>
      <c r="N69" s="157" t="e">
        <f ca="1"/>
        <v>#DIV/0!</v>
      </c>
      <c r="O69" s="468" t="e">
        <f ca="1"/>
        <v>#DIV/0!</v>
      </c>
      <c r="P69" s="470" t="e">
        <f ca="1"/>
        <v>#DIV/0!</v>
      </c>
      <c r="Q69" s="472" t="e">
        <f ca="1"/>
        <v>#DIV/0!</v>
      </c>
      <c r="R69" s="462" t="e">
        <f ca="1"/>
        <v>#DIV/0!</v>
      </c>
      <c r="S69" s="464">
        <f ca="1"/>
        <v>0</v>
      </c>
      <c r="T69" s="464" t="e">
        <f ca="1"/>
        <v>#DIV/0!</v>
      </c>
      <c r="U69" s="466" t="e">
        <f ca="1"/>
        <v>#DIV/0!</v>
      </c>
      <c r="V69" s="157" t="e">
        <f ca="1"/>
        <v>#DIV/0!</v>
      </c>
      <c r="W69" s="157" t="e">
        <f ca="1"/>
        <v>#DIV/0!</v>
      </c>
      <c r="X69" s="157">
        <f ca="1"/>
        <v>74.811778389309467</v>
      </c>
      <c r="Y69" s="157" t="e">
        <f ca="1"/>
        <v>#DIV/0!</v>
      </c>
      <c r="Z69" s="157" t="e">
        <f ca="1"/>
        <v>#DIV/0!</v>
      </c>
      <c r="AA69" s="468" t="e">
        <f ca="1"/>
        <v>#DIV/0!</v>
      </c>
      <c r="AB69" s="470" t="e">
        <f ca="1"/>
        <v>#DIV/0!</v>
      </c>
      <c r="AC69" s="472" t="e">
        <f ca="1"/>
        <v>#DIV/0!</v>
      </c>
      <c r="AD69" s="462" t="e">
        <f ca="1"/>
        <v>#DIV/0!</v>
      </c>
      <c r="AE69" s="464">
        <f ca="1"/>
        <v>0</v>
      </c>
      <c r="AF69" s="464" t="e">
        <f ca="1"/>
        <v>#DIV/0!</v>
      </c>
      <c r="AG69" s="466" t="e">
        <f ca="1"/>
        <v>#DIV/0!</v>
      </c>
      <c r="AH69" s="157" t="e">
        <f ca="1"/>
        <v>#DIV/0!</v>
      </c>
      <c r="AI69" s="157" t="e">
        <f ca="1"/>
        <v>#DIV/0!</v>
      </c>
      <c r="AJ69" s="157">
        <f ca="1"/>
        <v>978.71726883517351</v>
      </c>
      <c r="AK69" s="157" t="e">
        <f ca="1"/>
        <v>#DIV/0!</v>
      </c>
      <c r="AL69" s="157" t="e">
        <f ca="1"/>
        <v>#DIV/0!</v>
      </c>
      <c r="AM69" s="468" t="e">
        <f ca="1"/>
        <v>#DIV/0!</v>
      </c>
      <c r="AN69" s="470" t="e">
        <f ca="1"/>
        <v>#DIV/0!</v>
      </c>
      <c r="AO69" s="472" t="e">
        <f ca="1"/>
        <v>#DIV/0!</v>
      </c>
      <c r="AP69" s="462" t="e">
        <f ca="1"/>
        <v>#DIV/0!</v>
      </c>
      <c r="AQ69" s="464" t="e">
        <f ca="1"/>
        <v>#NUM!</v>
      </c>
      <c r="AR69" s="464" t="e">
        <f ca="1"/>
        <v>#NUM!</v>
      </c>
      <c r="AS69" s="466" t="e">
        <f ca="1"/>
        <v>#NUM!</v>
      </c>
      <c r="AT69" s="157" t="e">
        <f ca="1"/>
        <v>#DIV/0!</v>
      </c>
      <c r="AU69" s="157" t="e">
        <f ca="1"/>
        <v>#NUM!</v>
      </c>
      <c r="AV69" s="157">
        <f ca="1"/>
        <v>1764.0395521962369</v>
      </c>
      <c r="AW69" s="157" t="e">
        <f ca="1"/>
        <v>#DIV/0!</v>
      </c>
      <c r="AX69" s="157" t="e">
        <f ca="1"/>
        <v>#DIV/0!</v>
      </c>
      <c r="AY69" s="468" t="e">
        <f ca="1"/>
        <v>#DIV/0!</v>
      </c>
      <c r="AZ69" s="470" t="e">
        <f ca="1"/>
        <v>#DIV/0!</v>
      </c>
      <c r="BA69" s="472" t="e">
        <f ca="1"/>
        <v>#DIV/0!</v>
      </c>
      <c r="BB69" s="173" t="e">
        <f t="shared" ca="1" si="8"/>
        <v>#DIV/0!</v>
      </c>
      <c r="BC69" s="173" t="e">
        <f t="shared" ca="1" si="9"/>
        <v>#DIV/0!</v>
      </c>
      <c r="BD69" s="462" t="e">
        <f ca="1"/>
        <v>#DIV/0!</v>
      </c>
      <c r="BE69" s="464">
        <f ca="1"/>
        <v>0</v>
      </c>
      <c r="BF69" s="464" t="e">
        <f ca="1"/>
        <v>#DIV/0!</v>
      </c>
      <c r="BG69" s="466" t="e">
        <f ca="1"/>
        <v>#DIV/0!</v>
      </c>
      <c r="BH69" s="157" t="e">
        <f ca="1"/>
        <v>#DIV/0!</v>
      </c>
      <c r="BI69" s="157" t="e">
        <f ca="1"/>
        <v>#DIV/0!</v>
      </c>
      <c r="BJ69" s="157">
        <f ca="1"/>
        <v>21.568838780485063</v>
      </c>
      <c r="BK69" s="157" t="e">
        <f ca="1"/>
        <v>#DIV/0!</v>
      </c>
      <c r="BL69" s="157" t="e">
        <f ca="1"/>
        <v>#DIV/0!</v>
      </c>
      <c r="BM69" s="468" t="e">
        <f ca="1"/>
        <v>#DIV/0!</v>
      </c>
      <c r="BN69" s="470" t="e">
        <f ca="1"/>
        <v>#DIV/0!</v>
      </c>
      <c r="BO69" s="472" t="e">
        <f ca="1"/>
        <v>#DIV/0!</v>
      </c>
      <c r="BP69" s="462" t="e">
        <f ca="1"/>
        <v>#DIV/0!</v>
      </c>
      <c r="BQ69" s="464">
        <f ca="1"/>
        <v>0</v>
      </c>
      <c r="BR69" s="464" t="e">
        <f ca="1"/>
        <v>#DIV/0!</v>
      </c>
      <c r="BS69" s="466" t="e">
        <f ca="1"/>
        <v>#DIV/0!</v>
      </c>
      <c r="BT69" s="157" t="e">
        <f ca="1"/>
        <v>#DIV/0!</v>
      </c>
      <c r="BU69" s="157" t="e">
        <f ca="1"/>
        <v>#DIV/0!</v>
      </c>
      <c r="BV69" s="157">
        <f ca="1"/>
        <v>15.792265487455673</v>
      </c>
      <c r="BW69" s="157" t="e">
        <f ca="1"/>
        <v>#DIV/0!</v>
      </c>
      <c r="BX69" s="157" t="e">
        <f ca="1"/>
        <v>#DIV/0!</v>
      </c>
      <c r="BY69" s="468" t="e">
        <f ca="1"/>
        <v>#DIV/0!</v>
      </c>
      <c r="BZ69" s="470" t="e">
        <f ca="1"/>
        <v>#DIV/0!</v>
      </c>
      <c r="CA69" s="472" t="e">
        <f ca="1"/>
        <v>#DIV/0!</v>
      </c>
      <c r="CB69" s="462" t="e">
        <f ca="1"/>
        <v>#DIV/0!</v>
      </c>
      <c r="CC69" s="464">
        <f ca="1"/>
        <v>0</v>
      </c>
      <c r="CD69" s="464" t="e">
        <f ca="1"/>
        <v>#DIV/0!</v>
      </c>
      <c r="CE69" s="466" t="e">
        <f ca="1"/>
        <v>#DIV/0!</v>
      </c>
      <c r="CF69" s="157" t="e">
        <f ca="1"/>
        <v>#DIV/0!</v>
      </c>
      <c r="CG69" s="157" t="e">
        <f ca="1"/>
        <v>#DIV/0!</v>
      </c>
      <c r="CH69" s="157">
        <f ca="1"/>
        <v>54.585461698287659</v>
      </c>
      <c r="CI69" s="157" t="e">
        <f ca="1"/>
        <v>#DIV/0!</v>
      </c>
      <c r="CJ69" s="157" t="e">
        <f ca="1"/>
        <v>#DIV/0!</v>
      </c>
      <c r="CK69" s="468" t="e">
        <f ca="1"/>
        <v>#DIV/0!</v>
      </c>
      <c r="CL69" s="470" t="e">
        <f ca="1"/>
        <v>#DIV/0!</v>
      </c>
      <c r="CM69" s="472" t="e">
        <f ca="1"/>
        <v>#DIV/0!</v>
      </c>
      <c r="CN69" s="462" t="e">
        <f ca="1"/>
        <v>#DIV/0!</v>
      </c>
      <c r="CO69" s="464" t="e">
        <f ca="1"/>
        <v>#NUM!</v>
      </c>
      <c r="CP69" s="464" t="e">
        <f ca="1"/>
        <v>#NUM!</v>
      </c>
      <c r="CQ69" s="466" t="e">
        <f ca="1"/>
        <v>#NUM!</v>
      </c>
      <c r="CR69" s="157" t="e">
        <f ca="1"/>
        <v>#DIV/0!</v>
      </c>
      <c r="CS69" s="157" t="e">
        <f ca="1"/>
        <v>#NUM!</v>
      </c>
      <c r="CT69" s="157">
        <f ca="1"/>
        <v>8.1194111624251466</v>
      </c>
      <c r="CU69" s="157" t="e">
        <f ca="1"/>
        <v>#DIV/0!</v>
      </c>
      <c r="CV69" s="157" t="e">
        <f ca="1"/>
        <v>#DIV/0!</v>
      </c>
      <c r="CW69" s="468" t="e">
        <f ca="1"/>
        <v>#DIV/0!</v>
      </c>
      <c r="CX69" s="470" t="e">
        <f ca="1"/>
        <v>#DIV/0!</v>
      </c>
      <c r="CY69" s="472" t="e">
        <f ca="1"/>
        <v>#DIV/0!</v>
      </c>
      <c r="CZ69" s="173" t="e">
        <f t="shared" ca="1" si="10"/>
        <v>#DIV/0!</v>
      </c>
      <c r="DA69" s="173" t="e">
        <f t="shared" ca="1" si="11"/>
        <v>#DIV/0!</v>
      </c>
      <c r="DB69" s="462" t="e">
        <f ca="1"/>
        <v>#DIV/0!</v>
      </c>
      <c r="DC69" s="464">
        <f ca="1"/>
        <v>0</v>
      </c>
      <c r="DD69" s="464" t="e">
        <f ca="1"/>
        <v>#DIV/0!</v>
      </c>
      <c r="DE69" s="466" t="e">
        <f ca="1"/>
        <v>#DIV/0!</v>
      </c>
      <c r="DF69" s="157" t="e">
        <f ca="1"/>
        <v>#DIV/0!</v>
      </c>
      <c r="DG69" s="157" t="e">
        <f ca="1"/>
        <v>#DIV/0!</v>
      </c>
      <c r="DH69" s="157">
        <f ca="1"/>
        <v>24810.002663769395</v>
      </c>
      <c r="DI69" s="157" t="e">
        <f ca="1"/>
        <v>#DIV/0!</v>
      </c>
      <c r="DJ69" s="157" t="e">
        <f ca="1"/>
        <v>#DIV/0!</v>
      </c>
      <c r="DK69" s="468" t="e">
        <f ca="1"/>
        <v>#DIV/0!</v>
      </c>
      <c r="DL69" s="470" t="e">
        <f ca="1"/>
        <v>#DIV/0!</v>
      </c>
      <c r="DM69" s="472" t="e">
        <f ca="1"/>
        <v>#DIV/0!</v>
      </c>
      <c r="DN69" s="462" t="e">
        <f ca="1"/>
        <v>#DIV/0!</v>
      </c>
      <c r="DO69" s="464">
        <f ca="1"/>
        <v>0</v>
      </c>
      <c r="DP69" s="464" t="e">
        <f ca="1"/>
        <v>#DIV/0!</v>
      </c>
      <c r="DQ69" s="466" t="e">
        <f ca="1"/>
        <v>#DIV/0!</v>
      </c>
      <c r="DR69" s="157" t="e">
        <f ca="1"/>
        <v>#DIV/0!</v>
      </c>
      <c r="DS69" s="157" t="e">
        <f ca="1"/>
        <v>#DIV/0!</v>
      </c>
      <c r="DT69" s="157">
        <f ca="1"/>
        <v>20433.301653387662</v>
      </c>
      <c r="DU69" s="157" t="e">
        <f ca="1"/>
        <v>#DIV/0!</v>
      </c>
      <c r="DV69" s="157" t="e">
        <f ca="1"/>
        <v>#DIV/0!</v>
      </c>
      <c r="DW69" s="468" t="e">
        <f ca="1"/>
        <v>#DIV/0!</v>
      </c>
      <c r="DX69" s="470" t="e">
        <f ca="1"/>
        <v>#DIV/0!</v>
      </c>
      <c r="DY69" s="472" t="e">
        <f ca="1"/>
        <v>#DIV/0!</v>
      </c>
      <c r="DZ69" s="462" t="e">
        <f ca="1"/>
        <v>#DIV/0!</v>
      </c>
      <c r="EA69" s="464">
        <f ca="1"/>
        <v>0</v>
      </c>
      <c r="EB69" s="464" t="e">
        <f ca="1"/>
        <v>#DIV/0!</v>
      </c>
      <c r="EC69" s="466" t="e">
        <f ca="1"/>
        <v>#DIV/0!</v>
      </c>
      <c r="ED69" s="157" t="e">
        <f ca="1"/>
        <v>#DIV/0!</v>
      </c>
      <c r="EE69" s="157" t="e">
        <f ca="1"/>
        <v>#DIV/0!</v>
      </c>
      <c r="EF69" s="157">
        <f ca="1"/>
        <v>16054.439105974441</v>
      </c>
      <c r="EG69" s="157" t="e">
        <f ca="1"/>
        <v>#DIV/0!</v>
      </c>
      <c r="EH69" s="157" t="e">
        <f ca="1"/>
        <v>#DIV/0!</v>
      </c>
      <c r="EI69" s="468" t="e">
        <f ca="1"/>
        <v>#DIV/0!</v>
      </c>
      <c r="EJ69" s="470" t="e">
        <f ca="1"/>
        <v>#DIV/0!</v>
      </c>
      <c r="EK69" s="472" t="e">
        <f ca="1"/>
        <v>#DIV/0!</v>
      </c>
      <c r="EL69" s="462" t="e">
        <f ca="1"/>
        <v>#DIV/0!</v>
      </c>
      <c r="EM69" s="464" t="e">
        <f ca="1"/>
        <v>#NUM!</v>
      </c>
      <c r="EN69" s="464" t="e">
        <f ca="1"/>
        <v>#NUM!</v>
      </c>
      <c r="EO69" s="466" t="e">
        <f ca="1"/>
        <v>#NUM!</v>
      </c>
      <c r="EP69" s="157" t="e">
        <f ca="1"/>
        <v>#DIV/0!</v>
      </c>
      <c r="EQ69" s="157" t="e">
        <f ca="1"/>
        <v>#NUM!</v>
      </c>
      <c r="ER69" s="157">
        <f ca="1"/>
        <v>3050.2791115394707</v>
      </c>
      <c r="ES69" s="157" t="e">
        <f ca="1"/>
        <v>#DIV/0!</v>
      </c>
      <c r="ET69" s="157" t="e">
        <f ca="1"/>
        <v>#DIV/0!</v>
      </c>
      <c r="EU69" s="468" t="e">
        <f ca="1"/>
        <v>#DIV/0!</v>
      </c>
      <c r="EV69" s="470" t="e">
        <f ca="1"/>
        <v>#DIV/0!</v>
      </c>
      <c r="EW69" s="472" t="e">
        <f ca="1"/>
        <v>#DIV/0!</v>
      </c>
      <c r="EX69" s="462" t="e">
        <f ca="1"/>
        <v>#DIV/0!</v>
      </c>
      <c r="EY69" s="464" t="e">
        <f ca="1"/>
        <v>#NUM!</v>
      </c>
      <c r="EZ69" s="464" t="e">
        <f ca="1"/>
        <v>#NUM!</v>
      </c>
      <c r="FA69" s="466" t="e">
        <f ca="1"/>
        <v>#NUM!</v>
      </c>
      <c r="FB69" s="157" t="e">
        <f ca="1"/>
        <v>#DIV/0!</v>
      </c>
      <c r="FC69" s="157" t="e">
        <f ca="1"/>
        <v>#NUM!</v>
      </c>
      <c r="FD69" s="157">
        <f ca="1"/>
        <v>6248.1113768968135</v>
      </c>
      <c r="FE69" s="157" t="e">
        <f ca="1"/>
        <v>#DIV/0!</v>
      </c>
      <c r="FF69" s="157" t="e">
        <f ca="1"/>
        <v>#DIV/0!</v>
      </c>
      <c r="FG69" s="468" t="e">
        <f ca="1"/>
        <v>#DIV/0!</v>
      </c>
      <c r="FH69" s="470" t="e">
        <f ca="1"/>
        <v>#DIV/0!</v>
      </c>
      <c r="FI69" s="472" t="e">
        <f ca="1"/>
        <v>#DIV/0!</v>
      </c>
      <c r="FJ69" s="173" t="e">
        <f t="shared" ca="1" si="12"/>
        <v>#DIV/0!</v>
      </c>
      <c r="FK69" s="173" t="e">
        <f t="shared" ca="1" si="13"/>
        <v>#DIV/0!</v>
      </c>
      <c r="FL69" s="462" t="e">
        <f ca="1"/>
        <v>#DIV/0!</v>
      </c>
      <c r="FM69" s="464">
        <f ca="1"/>
        <v>0</v>
      </c>
      <c r="FN69" s="464" t="e">
        <f ca="1"/>
        <v>#DIV/0!</v>
      </c>
      <c r="FO69" s="466" t="e">
        <f ca="1"/>
        <v>#DIV/0!</v>
      </c>
      <c r="FP69" s="157" t="e">
        <f ca="1"/>
        <v>#DIV/0!</v>
      </c>
      <c r="FQ69" s="157" t="e">
        <f ca="1"/>
        <v>#DIV/0!</v>
      </c>
      <c r="FR69" s="157" t="e">
        <f ca="1"/>
        <v>#DIV/0!</v>
      </c>
      <c r="FS69" s="157">
        <f ca="1"/>
        <v>2294.1354410749127</v>
      </c>
      <c r="FT69" s="468" t="e">
        <f ca="1"/>
        <v>#DIV/0!</v>
      </c>
      <c r="FU69" s="470" t="e">
        <f ca="1"/>
        <v>#DIV/0!</v>
      </c>
      <c r="FV69" s="470" t="e">
        <f ca="1"/>
        <v>#DIV/0!</v>
      </c>
      <c r="FW69" s="462" t="e">
        <f ca="1"/>
        <v>#DIV/0!</v>
      </c>
      <c r="FX69" s="464" t="e">
        <f ca="1"/>
        <v>#NUM!</v>
      </c>
      <c r="FY69" s="464" t="e">
        <f ca="1"/>
        <v>#NUM!</v>
      </c>
      <c r="FZ69" s="466" t="e">
        <f ca="1"/>
        <v>#NUM!</v>
      </c>
      <c r="GA69" s="157" t="e">
        <f ca="1"/>
        <v>#DIV/0!</v>
      </c>
      <c r="GB69" s="157" t="e">
        <f ca="1"/>
        <v>#NUM!</v>
      </c>
      <c r="GC69" s="157" t="e">
        <f ca="1"/>
        <v>#DIV/0!</v>
      </c>
      <c r="GD69" s="157">
        <f ca="1"/>
        <v>48.616619590933645</v>
      </c>
      <c r="GE69" s="468" t="e">
        <f ca="1"/>
        <v>#DIV/0!</v>
      </c>
      <c r="GF69" s="470" t="e">
        <f ca="1"/>
        <v>#DIV/0!</v>
      </c>
      <c r="GG69" s="470" t="e">
        <f ca="1"/>
        <v>#DIV/0!</v>
      </c>
      <c r="GH69" s="173" t="e">
        <f t="shared" ca="1" si="14"/>
        <v>#DIV/0!</v>
      </c>
      <c r="GI69" s="173" t="e">
        <f t="shared" ca="1" si="15"/>
        <v>#DIV/0!</v>
      </c>
    </row>
    <row r="70" spans="2:191" ht="15">
      <c r="B70" s="169"/>
      <c r="C70" s="87">
        <f>'Oil supply projection'!B70</f>
        <v>2079</v>
      </c>
      <c r="D70" s="460" t="e">
        <f ca="1"/>
        <v>#DIV/0!</v>
      </c>
      <c r="E70" s="460" t="e">
        <f ca="1"/>
        <v>#DIV/0!</v>
      </c>
      <c r="F70" s="462" t="e">
        <f ca="1"/>
        <v>#DIV/0!</v>
      </c>
      <c r="G70" s="464">
        <f ca="1"/>
        <v>0</v>
      </c>
      <c r="H70" s="464" t="e">
        <f ca="1"/>
        <v>#DIV/0!</v>
      </c>
      <c r="I70" s="466" t="e">
        <f ca="1"/>
        <v>#DIV/0!</v>
      </c>
      <c r="J70" s="157" t="e">
        <f ca="1"/>
        <v>#DIV/0!</v>
      </c>
      <c r="K70" s="157" t="e">
        <f ca="1"/>
        <v>#DIV/0!</v>
      </c>
      <c r="L70" s="157">
        <f ca="1"/>
        <v>55.58589178152927</v>
      </c>
      <c r="M70" s="157" t="e">
        <f ca="1"/>
        <v>#DIV/0!</v>
      </c>
      <c r="N70" s="157" t="e">
        <f ca="1"/>
        <v>#DIV/0!</v>
      </c>
      <c r="O70" s="468" t="e">
        <f ca="1"/>
        <v>#DIV/0!</v>
      </c>
      <c r="P70" s="470" t="e">
        <f ca="1"/>
        <v>#DIV/0!</v>
      </c>
      <c r="Q70" s="472" t="e">
        <f ca="1"/>
        <v>#DIV/0!</v>
      </c>
      <c r="R70" s="462" t="e">
        <f ca="1"/>
        <v>#DIV/0!</v>
      </c>
      <c r="S70" s="464">
        <f ca="1"/>
        <v>0</v>
      </c>
      <c r="T70" s="464" t="e">
        <f ca="1"/>
        <v>#DIV/0!</v>
      </c>
      <c r="U70" s="466" t="e">
        <f ca="1"/>
        <v>#DIV/0!</v>
      </c>
      <c r="V70" s="157" t="e">
        <f ca="1"/>
        <v>#DIV/0!</v>
      </c>
      <c r="W70" s="157" t="e">
        <f ca="1"/>
        <v>#DIV/0!</v>
      </c>
      <c r="X70" s="157">
        <f ca="1"/>
        <v>75.806579701055156</v>
      </c>
      <c r="Y70" s="157" t="e">
        <f ca="1"/>
        <v>#DIV/0!</v>
      </c>
      <c r="Z70" s="157" t="e">
        <f ca="1"/>
        <v>#DIV/0!</v>
      </c>
      <c r="AA70" s="468" t="e">
        <f ca="1"/>
        <v>#DIV/0!</v>
      </c>
      <c r="AB70" s="470" t="e">
        <f ca="1"/>
        <v>#DIV/0!</v>
      </c>
      <c r="AC70" s="472" t="e">
        <f ca="1"/>
        <v>#DIV/0!</v>
      </c>
      <c r="AD70" s="462" t="e">
        <f ca="1"/>
        <v>#DIV/0!</v>
      </c>
      <c r="AE70" s="464">
        <f ca="1"/>
        <v>0</v>
      </c>
      <c r="AF70" s="464" t="e">
        <f ca="1"/>
        <v>#DIV/0!</v>
      </c>
      <c r="AG70" s="466" t="e">
        <f ca="1"/>
        <v>#DIV/0!</v>
      </c>
      <c r="AH70" s="157" t="e">
        <f ca="1"/>
        <v>#DIV/0!</v>
      </c>
      <c r="AI70" s="157" t="e">
        <f ca="1"/>
        <v>#DIV/0!</v>
      </c>
      <c r="AJ70" s="157">
        <f ca="1"/>
        <v>991.73165298466904</v>
      </c>
      <c r="AK70" s="157" t="e">
        <f ca="1"/>
        <v>#DIV/0!</v>
      </c>
      <c r="AL70" s="157" t="e">
        <f ca="1"/>
        <v>#DIV/0!</v>
      </c>
      <c r="AM70" s="468" t="e">
        <f ca="1"/>
        <v>#DIV/0!</v>
      </c>
      <c r="AN70" s="470" t="e">
        <f ca="1"/>
        <v>#DIV/0!</v>
      </c>
      <c r="AO70" s="472" t="e">
        <f ca="1"/>
        <v>#DIV/0!</v>
      </c>
      <c r="AP70" s="462" t="e">
        <f ca="1"/>
        <v>#DIV/0!</v>
      </c>
      <c r="AQ70" s="464" t="e">
        <f ca="1"/>
        <v>#NUM!</v>
      </c>
      <c r="AR70" s="464" t="e">
        <f ca="1"/>
        <v>#NUM!</v>
      </c>
      <c r="AS70" s="466" t="e">
        <f ca="1"/>
        <v>#NUM!</v>
      </c>
      <c r="AT70" s="157" t="e">
        <f ca="1"/>
        <v>#DIV/0!</v>
      </c>
      <c r="AU70" s="157" t="e">
        <f ca="1"/>
        <v>#NUM!</v>
      </c>
      <c r="AV70" s="157">
        <f ca="1"/>
        <v>1787.4966721615453</v>
      </c>
      <c r="AW70" s="157" t="e">
        <f ca="1"/>
        <v>#DIV/0!</v>
      </c>
      <c r="AX70" s="157" t="e">
        <f ca="1"/>
        <v>#DIV/0!</v>
      </c>
      <c r="AY70" s="468" t="e">
        <f ca="1"/>
        <v>#DIV/0!</v>
      </c>
      <c r="AZ70" s="470" t="e">
        <f ca="1"/>
        <v>#DIV/0!</v>
      </c>
      <c r="BA70" s="472" t="e">
        <f ca="1"/>
        <v>#DIV/0!</v>
      </c>
      <c r="BB70" s="173" t="e">
        <f t="shared" ca="1" si="8"/>
        <v>#DIV/0!</v>
      </c>
      <c r="BC70" s="173" t="e">
        <f t="shared" ca="1" si="9"/>
        <v>#DIV/0!</v>
      </c>
      <c r="BD70" s="462" t="e">
        <f ca="1"/>
        <v>#DIV/0!</v>
      </c>
      <c r="BE70" s="464">
        <f ca="1"/>
        <v>0</v>
      </c>
      <c r="BF70" s="464" t="e">
        <f ca="1"/>
        <v>#DIV/0!</v>
      </c>
      <c r="BG70" s="466" t="e">
        <f ca="1"/>
        <v>#DIV/0!</v>
      </c>
      <c r="BH70" s="157" t="e">
        <f ca="1"/>
        <v>#DIV/0!</v>
      </c>
      <c r="BI70" s="157" t="e">
        <f ca="1"/>
        <v>#DIV/0!</v>
      </c>
      <c r="BJ70" s="157">
        <f ca="1"/>
        <v>21.696173032570066</v>
      </c>
      <c r="BK70" s="157" t="e">
        <f ca="1"/>
        <v>#DIV/0!</v>
      </c>
      <c r="BL70" s="157" t="e">
        <f ca="1"/>
        <v>#DIV/0!</v>
      </c>
      <c r="BM70" s="468" t="e">
        <f ca="1"/>
        <v>#DIV/0!</v>
      </c>
      <c r="BN70" s="470" t="e">
        <f ca="1"/>
        <v>#DIV/0!</v>
      </c>
      <c r="BO70" s="472" t="e">
        <f ca="1"/>
        <v>#DIV/0!</v>
      </c>
      <c r="BP70" s="462" t="e">
        <f ca="1"/>
        <v>#DIV/0!</v>
      </c>
      <c r="BQ70" s="464">
        <f ca="1"/>
        <v>0</v>
      </c>
      <c r="BR70" s="464" t="e">
        <f ca="1"/>
        <v>#DIV/0!</v>
      </c>
      <c r="BS70" s="466" t="e">
        <f ca="1"/>
        <v>#DIV/0!</v>
      </c>
      <c r="BT70" s="157" t="e">
        <f ca="1"/>
        <v>#DIV/0!</v>
      </c>
      <c r="BU70" s="157" t="e">
        <f ca="1"/>
        <v>#DIV/0!</v>
      </c>
      <c r="BV70" s="157">
        <f ca="1"/>
        <v>15.885497039466363</v>
      </c>
      <c r="BW70" s="157" t="e">
        <f ca="1"/>
        <v>#DIV/0!</v>
      </c>
      <c r="BX70" s="157" t="e">
        <f ca="1"/>
        <v>#DIV/0!</v>
      </c>
      <c r="BY70" s="468" t="e">
        <f ca="1"/>
        <v>#DIV/0!</v>
      </c>
      <c r="BZ70" s="470" t="e">
        <f ca="1"/>
        <v>#DIV/0!</v>
      </c>
      <c r="CA70" s="472" t="e">
        <f ca="1"/>
        <v>#DIV/0!</v>
      </c>
      <c r="CB70" s="462" t="e">
        <f ca="1"/>
        <v>#DIV/0!</v>
      </c>
      <c r="CC70" s="464">
        <f ca="1"/>
        <v>0</v>
      </c>
      <c r="CD70" s="464" t="e">
        <f ca="1"/>
        <v>#DIV/0!</v>
      </c>
      <c r="CE70" s="466" t="e">
        <f ca="1"/>
        <v>#DIV/0!</v>
      </c>
      <c r="CF70" s="157" t="e">
        <f ca="1"/>
        <v>#DIV/0!</v>
      </c>
      <c r="CG70" s="157" t="e">
        <f ca="1"/>
        <v>#DIV/0!</v>
      </c>
      <c r="CH70" s="157">
        <f ca="1"/>
        <v>54.907713582629015</v>
      </c>
      <c r="CI70" s="157" t="e">
        <f ca="1"/>
        <v>#DIV/0!</v>
      </c>
      <c r="CJ70" s="157" t="e">
        <f ca="1"/>
        <v>#DIV/0!</v>
      </c>
      <c r="CK70" s="468" t="e">
        <f ca="1"/>
        <v>#DIV/0!</v>
      </c>
      <c r="CL70" s="470" t="e">
        <f ca="1"/>
        <v>#DIV/0!</v>
      </c>
      <c r="CM70" s="472" t="e">
        <f ca="1"/>
        <v>#DIV/0!</v>
      </c>
      <c r="CN70" s="462" t="e">
        <f ca="1"/>
        <v>#DIV/0!</v>
      </c>
      <c r="CO70" s="464" t="e">
        <f ca="1"/>
        <v>#NUM!</v>
      </c>
      <c r="CP70" s="464" t="e">
        <f ca="1"/>
        <v>#NUM!</v>
      </c>
      <c r="CQ70" s="466" t="e">
        <f ca="1"/>
        <v>#NUM!</v>
      </c>
      <c r="CR70" s="157" t="e">
        <f ca="1"/>
        <v>#DIV/0!</v>
      </c>
      <c r="CS70" s="157" t="e">
        <f ca="1"/>
        <v>#NUM!</v>
      </c>
      <c r="CT70" s="157">
        <f ca="1"/>
        <v>8.167345089617994</v>
      </c>
      <c r="CU70" s="157" t="e">
        <f ca="1"/>
        <v>#DIV/0!</v>
      </c>
      <c r="CV70" s="157" t="e">
        <f ca="1"/>
        <v>#DIV/0!</v>
      </c>
      <c r="CW70" s="468" t="e">
        <f ca="1"/>
        <v>#DIV/0!</v>
      </c>
      <c r="CX70" s="470" t="e">
        <f ca="1"/>
        <v>#DIV/0!</v>
      </c>
      <c r="CY70" s="472" t="e">
        <f ca="1"/>
        <v>#DIV/0!</v>
      </c>
      <c r="CZ70" s="173" t="e">
        <f t="shared" ca="1" si="10"/>
        <v>#DIV/0!</v>
      </c>
      <c r="DA70" s="173" t="e">
        <f t="shared" ca="1" si="11"/>
        <v>#DIV/0!</v>
      </c>
      <c r="DB70" s="462" t="e">
        <f ca="1"/>
        <v>#DIV/0!</v>
      </c>
      <c r="DC70" s="464">
        <f ca="1"/>
        <v>0</v>
      </c>
      <c r="DD70" s="464" t="e">
        <f ca="1"/>
        <v>#DIV/0!</v>
      </c>
      <c r="DE70" s="466" t="e">
        <f ca="1"/>
        <v>#DIV/0!</v>
      </c>
      <c r="DF70" s="157" t="e">
        <f ca="1"/>
        <v>#DIV/0!</v>
      </c>
      <c r="DG70" s="157" t="e">
        <f ca="1"/>
        <v>#DIV/0!</v>
      </c>
      <c r="DH70" s="157">
        <f ca="1"/>
        <v>25065.486411462454</v>
      </c>
      <c r="DI70" s="157" t="e">
        <f ca="1"/>
        <v>#DIV/0!</v>
      </c>
      <c r="DJ70" s="157" t="e">
        <f ca="1"/>
        <v>#DIV/0!</v>
      </c>
      <c r="DK70" s="468" t="e">
        <f ca="1"/>
        <v>#DIV/0!</v>
      </c>
      <c r="DL70" s="470" t="e">
        <f ca="1"/>
        <v>#DIV/0!</v>
      </c>
      <c r="DM70" s="472" t="e">
        <f ca="1"/>
        <v>#DIV/0!</v>
      </c>
      <c r="DN70" s="462" t="e">
        <f ca="1"/>
        <v>#DIV/0!</v>
      </c>
      <c r="DO70" s="464">
        <f ca="1"/>
        <v>0</v>
      </c>
      <c r="DP70" s="464" t="e">
        <f ca="1"/>
        <v>#DIV/0!</v>
      </c>
      <c r="DQ70" s="466" t="e">
        <f ca="1"/>
        <v>#DIV/0!</v>
      </c>
      <c r="DR70" s="157" t="e">
        <f ca="1"/>
        <v>#DIV/0!</v>
      </c>
      <c r="DS70" s="157" t="e">
        <f ca="1"/>
        <v>#DIV/0!</v>
      </c>
      <c r="DT70" s="157">
        <f ca="1"/>
        <v>20643.715838137978</v>
      </c>
      <c r="DU70" s="157" t="e">
        <f ca="1"/>
        <v>#DIV/0!</v>
      </c>
      <c r="DV70" s="157" t="e">
        <f ca="1"/>
        <v>#DIV/0!</v>
      </c>
      <c r="DW70" s="468" t="e">
        <f ca="1"/>
        <v>#DIV/0!</v>
      </c>
      <c r="DX70" s="470" t="e">
        <f ca="1"/>
        <v>#DIV/0!</v>
      </c>
      <c r="DY70" s="472" t="e">
        <f ca="1"/>
        <v>#DIV/0!</v>
      </c>
      <c r="DZ70" s="462" t="e">
        <f ca="1"/>
        <v>#DIV/0!</v>
      </c>
      <c r="EA70" s="464">
        <f ca="1"/>
        <v>0</v>
      </c>
      <c r="EB70" s="464" t="e">
        <f ca="1"/>
        <v>#DIV/0!</v>
      </c>
      <c r="EC70" s="466" t="e">
        <f ca="1"/>
        <v>#DIV/0!</v>
      </c>
      <c r="ED70" s="157" t="e">
        <f ca="1"/>
        <v>#DIV/0!</v>
      </c>
      <c r="EE70" s="157" t="e">
        <f ca="1"/>
        <v>#DIV/0!</v>
      </c>
      <c r="EF70" s="157">
        <f ca="1"/>
        <v>16219.761469115259</v>
      </c>
      <c r="EG70" s="157" t="e">
        <f ca="1"/>
        <v>#DIV/0!</v>
      </c>
      <c r="EH70" s="157" t="e">
        <f ca="1"/>
        <v>#DIV/0!</v>
      </c>
      <c r="EI70" s="468" t="e">
        <f ca="1"/>
        <v>#DIV/0!</v>
      </c>
      <c r="EJ70" s="470" t="e">
        <f ca="1"/>
        <v>#DIV/0!</v>
      </c>
      <c r="EK70" s="472" t="e">
        <f ca="1"/>
        <v>#DIV/0!</v>
      </c>
      <c r="EL70" s="462" t="e">
        <f ca="1"/>
        <v>#DIV/0!</v>
      </c>
      <c r="EM70" s="464" t="e">
        <f ca="1"/>
        <v>#NUM!</v>
      </c>
      <c r="EN70" s="464" t="e">
        <f ca="1"/>
        <v>#NUM!</v>
      </c>
      <c r="EO70" s="466" t="e">
        <f ca="1"/>
        <v>#NUM!</v>
      </c>
      <c r="EP70" s="157" t="e">
        <f ca="1"/>
        <v>#DIV/0!</v>
      </c>
      <c r="EQ70" s="157" t="e">
        <f ca="1"/>
        <v>#NUM!</v>
      </c>
      <c r="ER70" s="157">
        <f ca="1"/>
        <v>3081.6896982083699</v>
      </c>
      <c r="ES70" s="157" t="e">
        <f ca="1"/>
        <v>#DIV/0!</v>
      </c>
      <c r="ET70" s="157" t="e">
        <f ca="1"/>
        <v>#DIV/0!</v>
      </c>
      <c r="EU70" s="468" t="e">
        <f ca="1"/>
        <v>#DIV/0!</v>
      </c>
      <c r="EV70" s="470" t="e">
        <f ca="1"/>
        <v>#DIV/0!</v>
      </c>
      <c r="EW70" s="472" t="e">
        <f ca="1"/>
        <v>#DIV/0!</v>
      </c>
      <c r="EX70" s="462" t="e">
        <f ca="1"/>
        <v>#DIV/0!</v>
      </c>
      <c r="EY70" s="464" t="e">
        <f ca="1"/>
        <v>#NUM!</v>
      </c>
      <c r="EZ70" s="464" t="e">
        <f ca="1"/>
        <v>#NUM!</v>
      </c>
      <c r="FA70" s="466" t="e">
        <f ca="1"/>
        <v>#NUM!</v>
      </c>
      <c r="FB70" s="157" t="e">
        <f ca="1"/>
        <v>#DIV/0!</v>
      </c>
      <c r="FC70" s="157" t="e">
        <f ca="1"/>
        <v>#NUM!</v>
      </c>
      <c r="FD70" s="157">
        <f ca="1"/>
        <v>6312.4519951630236</v>
      </c>
      <c r="FE70" s="157" t="e">
        <f ca="1"/>
        <v>#DIV/0!</v>
      </c>
      <c r="FF70" s="157" t="e">
        <f ca="1"/>
        <v>#DIV/0!</v>
      </c>
      <c r="FG70" s="468" t="e">
        <f ca="1"/>
        <v>#DIV/0!</v>
      </c>
      <c r="FH70" s="470" t="e">
        <f ca="1"/>
        <v>#DIV/0!</v>
      </c>
      <c r="FI70" s="472" t="e">
        <f ca="1"/>
        <v>#DIV/0!</v>
      </c>
      <c r="FJ70" s="173" t="e">
        <f t="shared" ca="1" si="12"/>
        <v>#DIV/0!</v>
      </c>
      <c r="FK70" s="173" t="e">
        <f t="shared" ca="1" si="13"/>
        <v>#DIV/0!</v>
      </c>
      <c r="FL70" s="462" t="e">
        <f ca="1"/>
        <v>#DIV/0!</v>
      </c>
      <c r="FM70" s="464">
        <f ca="1"/>
        <v>0</v>
      </c>
      <c r="FN70" s="464" t="e">
        <f ca="1"/>
        <v>#DIV/0!</v>
      </c>
      <c r="FO70" s="466" t="e">
        <f ca="1"/>
        <v>#DIV/0!</v>
      </c>
      <c r="FP70" s="157" t="e">
        <f ca="1"/>
        <v>#DIV/0!</v>
      </c>
      <c r="FQ70" s="157" t="e">
        <f ca="1"/>
        <v>#DIV/0!</v>
      </c>
      <c r="FR70" s="157" t="e">
        <f ca="1"/>
        <v>#DIV/0!</v>
      </c>
      <c r="FS70" s="157">
        <f ca="1"/>
        <v>2306.9359964641385</v>
      </c>
      <c r="FT70" s="468" t="e">
        <f ca="1"/>
        <v>#DIV/0!</v>
      </c>
      <c r="FU70" s="470" t="e">
        <f ca="1"/>
        <v>#DIV/0!</v>
      </c>
      <c r="FV70" s="470" t="e">
        <f ca="1"/>
        <v>#DIV/0!</v>
      </c>
      <c r="FW70" s="462" t="e">
        <f ca="1"/>
        <v>#DIV/0!</v>
      </c>
      <c r="FX70" s="464" t="e">
        <f ca="1"/>
        <v>#NUM!</v>
      </c>
      <c r="FY70" s="464" t="e">
        <f ca="1"/>
        <v>#NUM!</v>
      </c>
      <c r="FZ70" s="466" t="e">
        <f ca="1"/>
        <v>#NUM!</v>
      </c>
      <c r="GA70" s="157" t="e">
        <f ca="1"/>
        <v>#DIV/0!</v>
      </c>
      <c r="GB70" s="157" t="e">
        <f ca="1"/>
        <v>#NUM!</v>
      </c>
      <c r="GC70" s="157" t="e">
        <f ca="1"/>
        <v>#DIV/0!</v>
      </c>
      <c r="GD70" s="157">
        <f ca="1"/>
        <v>48.887885062347607</v>
      </c>
      <c r="GE70" s="468" t="e">
        <f ca="1"/>
        <v>#DIV/0!</v>
      </c>
      <c r="GF70" s="470" t="e">
        <f ca="1"/>
        <v>#DIV/0!</v>
      </c>
      <c r="GG70" s="470" t="e">
        <f ca="1"/>
        <v>#DIV/0!</v>
      </c>
      <c r="GH70" s="173" t="e">
        <f t="shared" ca="1" si="14"/>
        <v>#DIV/0!</v>
      </c>
      <c r="GI70" s="173" t="e">
        <f t="shared" ca="1" si="15"/>
        <v>#DIV/0!</v>
      </c>
    </row>
    <row r="71" spans="2:191" ht="15">
      <c r="B71" s="169"/>
      <c r="C71" s="87">
        <f>'Oil supply projection'!B71</f>
        <v>2080</v>
      </c>
      <c r="D71" s="460" t="e">
        <f ca="1"/>
        <v>#DIV/0!</v>
      </c>
      <c r="E71" s="460" t="e">
        <f ca="1"/>
        <v>#DIV/0!</v>
      </c>
      <c r="F71" s="462" t="e">
        <f ca="1"/>
        <v>#DIV/0!</v>
      </c>
      <c r="G71" s="464">
        <f ca="1"/>
        <v>0</v>
      </c>
      <c r="H71" s="464" t="e">
        <f ca="1"/>
        <v>#DIV/0!</v>
      </c>
      <c r="I71" s="466" t="e">
        <f ca="1"/>
        <v>#DIV/0!</v>
      </c>
      <c r="J71" s="157" t="e">
        <f ca="1"/>
        <v>#DIV/0!</v>
      </c>
      <c r="K71" s="157" t="e">
        <f ca="1"/>
        <v>#DIV/0!</v>
      </c>
      <c r="L71" s="157">
        <f ca="1"/>
        <v>56.325039002051987</v>
      </c>
      <c r="M71" s="157" t="e">
        <f ca="1"/>
        <v>#DIV/0!</v>
      </c>
      <c r="N71" s="157" t="e">
        <f ca="1"/>
        <v>#DIV/0!</v>
      </c>
      <c r="O71" s="468" t="e">
        <f ca="1"/>
        <v>#DIV/0!</v>
      </c>
      <c r="P71" s="470" t="e">
        <f ca="1"/>
        <v>#DIV/0!</v>
      </c>
      <c r="Q71" s="472" t="e">
        <f ca="1"/>
        <v>#DIV/0!</v>
      </c>
      <c r="R71" s="462" t="e">
        <f ca="1"/>
        <v>#DIV/0!</v>
      </c>
      <c r="S71" s="464">
        <f ca="1"/>
        <v>0</v>
      </c>
      <c r="T71" s="464" t="e">
        <f ca="1"/>
        <v>#DIV/0!</v>
      </c>
      <c r="U71" s="466" t="e">
        <f ca="1"/>
        <v>#DIV/0!</v>
      </c>
      <c r="V71" s="157" t="e">
        <f ca="1"/>
        <v>#DIV/0!</v>
      </c>
      <c r="W71" s="157" t="e">
        <f ca="1"/>
        <v>#DIV/0!</v>
      </c>
      <c r="X71" s="157">
        <f ca="1"/>
        <v>76.814609272724056</v>
      </c>
      <c r="Y71" s="157" t="e">
        <f ca="1"/>
        <v>#DIV/0!</v>
      </c>
      <c r="Z71" s="157" t="e">
        <f ca="1"/>
        <v>#DIV/0!</v>
      </c>
      <c r="AA71" s="468" t="e">
        <f ca="1"/>
        <v>#DIV/0!</v>
      </c>
      <c r="AB71" s="470" t="e">
        <f ca="1"/>
        <v>#DIV/0!</v>
      </c>
      <c r="AC71" s="472" t="e">
        <f ca="1"/>
        <v>#DIV/0!</v>
      </c>
      <c r="AD71" s="462" t="e">
        <f ca="1"/>
        <v>#DIV/0!</v>
      </c>
      <c r="AE71" s="464">
        <f ca="1"/>
        <v>0</v>
      </c>
      <c r="AF71" s="464" t="e">
        <f ca="1"/>
        <v>#DIV/0!</v>
      </c>
      <c r="AG71" s="466" t="e">
        <f ca="1"/>
        <v>#DIV/0!</v>
      </c>
      <c r="AH71" s="157" t="e">
        <f ca="1"/>
        <v>#DIV/0!</v>
      </c>
      <c r="AI71" s="157" t="e">
        <f ca="1"/>
        <v>#DIV/0!</v>
      </c>
      <c r="AJ71" s="157">
        <f ca="1"/>
        <v>1004.9190944615293</v>
      </c>
      <c r="AK71" s="157" t="e">
        <f ca="1"/>
        <v>#DIV/0!</v>
      </c>
      <c r="AL71" s="157" t="e">
        <f ca="1"/>
        <v>#DIV/0!</v>
      </c>
      <c r="AM71" s="468" t="e">
        <f ca="1"/>
        <v>#DIV/0!</v>
      </c>
      <c r="AN71" s="470" t="e">
        <f ca="1"/>
        <v>#DIV/0!</v>
      </c>
      <c r="AO71" s="472" t="e">
        <f ca="1"/>
        <v>#DIV/0!</v>
      </c>
      <c r="AP71" s="462" t="e">
        <f ca="1"/>
        <v>#DIV/0!</v>
      </c>
      <c r="AQ71" s="464" t="e">
        <f ca="1"/>
        <v>#NUM!</v>
      </c>
      <c r="AR71" s="464" t="e">
        <f ca="1"/>
        <v>#NUM!</v>
      </c>
      <c r="AS71" s="466" t="e">
        <f ca="1"/>
        <v>#NUM!</v>
      </c>
      <c r="AT71" s="157" t="e">
        <f ca="1"/>
        <v>#DIV/0!</v>
      </c>
      <c r="AU71" s="157" t="e">
        <f ca="1"/>
        <v>#NUM!</v>
      </c>
      <c r="AV71" s="157">
        <f ca="1"/>
        <v>1811.2657105735698</v>
      </c>
      <c r="AW71" s="157" t="e">
        <f ca="1"/>
        <v>#DIV/0!</v>
      </c>
      <c r="AX71" s="157" t="e">
        <f ca="1"/>
        <v>#DIV/0!</v>
      </c>
      <c r="AY71" s="468" t="e">
        <f ca="1"/>
        <v>#DIV/0!</v>
      </c>
      <c r="AZ71" s="470" t="e">
        <f ca="1"/>
        <v>#DIV/0!</v>
      </c>
      <c r="BA71" s="472" t="e">
        <f ca="1"/>
        <v>#DIV/0!</v>
      </c>
      <c r="BB71" s="173" t="e">
        <f t="shared" ca="1" si="8"/>
        <v>#DIV/0!</v>
      </c>
      <c r="BC71" s="173" t="e">
        <f t="shared" ca="1" si="9"/>
        <v>#DIV/0!</v>
      </c>
      <c r="BD71" s="462" t="e">
        <f ca="1"/>
        <v>#DIV/0!</v>
      </c>
      <c r="BE71" s="464">
        <f ca="1"/>
        <v>0</v>
      </c>
      <c r="BF71" s="464" t="e">
        <f ca="1"/>
        <v>#DIV/0!</v>
      </c>
      <c r="BG71" s="466" t="e">
        <f ca="1"/>
        <v>#DIV/0!</v>
      </c>
      <c r="BH71" s="157" t="e">
        <f ca="1"/>
        <v>#DIV/0!</v>
      </c>
      <c r="BI71" s="157" t="e">
        <f ca="1"/>
        <v>#DIV/0!</v>
      </c>
      <c r="BJ71" s="157">
        <f ca="1"/>
        <v>21.824259017834549</v>
      </c>
      <c r="BK71" s="157" t="e">
        <f ca="1"/>
        <v>#DIV/0!</v>
      </c>
      <c r="BL71" s="157" t="e">
        <f ca="1"/>
        <v>#DIV/0!</v>
      </c>
      <c r="BM71" s="468" t="e">
        <f ca="1"/>
        <v>#DIV/0!</v>
      </c>
      <c r="BN71" s="470" t="e">
        <f ca="1"/>
        <v>#DIV/0!</v>
      </c>
      <c r="BO71" s="472" t="e">
        <f ca="1"/>
        <v>#DIV/0!</v>
      </c>
      <c r="BP71" s="462" t="e">
        <f ca="1"/>
        <v>#DIV/0!</v>
      </c>
      <c r="BQ71" s="464">
        <f ca="1"/>
        <v>0</v>
      </c>
      <c r="BR71" s="464" t="e">
        <f ca="1"/>
        <v>#DIV/0!</v>
      </c>
      <c r="BS71" s="466" t="e">
        <f ca="1"/>
        <v>#DIV/0!</v>
      </c>
      <c r="BT71" s="157" t="e">
        <f ca="1"/>
        <v>#DIV/0!</v>
      </c>
      <c r="BU71" s="157" t="e">
        <f ca="1"/>
        <v>#DIV/0!</v>
      </c>
      <c r="BV71" s="157">
        <f ca="1"/>
        <v>15.979278995236239</v>
      </c>
      <c r="BW71" s="157" t="e">
        <f ca="1"/>
        <v>#DIV/0!</v>
      </c>
      <c r="BX71" s="157" t="e">
        <f ca="1"/>
        <v>#DIV/0!</v>
      </c>
      <c r="BY71" s="468" t="e">
        <f ca="1"/>
        <v>#DIV/0!</v>
      </c>
      <c r="BZ71" s="470" t="e">
        <f ca="1"/>
        <v>#DIV/0!</v>
      </c>
      <c r="CA71" s="472" t="e">
        <f ca="1"/>
        <v>#DIV/0!</v>
      </c>
      <c r="CB71" s="462" t="e">
        <f ca="1"/>
        <v>#DIV/0!</v>
      </c>
      <c r="CC71" s="464">
        <f ca="1"/>
        <v>0</v>
      </c>
      <c r="CD71" s="464" t="e">
        <f ca="1"/>
        <v>#DIV/0!</v>
      </c>
      <c r="CE71" s="466" t="e">
        <f ca="1"/>
        <v>#DIV/0!</v>
      </c>
      <c r="CF71" s="157" t="e">
        <f ca="1"/>
        <v>#DIV/0!</v>
      </c>
      <c r="CG71" s="157" t="e">
        <f ca="1"/>
        <v>#DIV/0!</v>
      </c>
      <c r="CH71" s="157">
        <f ca="1"/>
        <v>55.23186791999963</v>
      </c>
      <c r="CI71" s="157" t="e">
        <f ca="1"/>
        <v>#DIV/0!</v>
      </c>
      <c r="CJ71" s="157" t="e">
        <f ca="1"/>
        <v>#DIV/0!</v>
      </c>
      <c r="CK71" s="468" t="e">
        <f ca="1"/>
        <v>#DIV/0!</v>
      </c>
      <c r="CL71" s="470" t="e">
        <f ca="1"/>
        <v>#DIV/0!</v>
      </c>
      <c r="CM71" s="472" t="e">
        <f ca="1"/>
        <v>#DIV/0!</v>
      </c>
      <c r="CN71" s="462" t="e">
        <f ca="1"/>
        <v>#DIV/0!</v>
      </c>
      <c r="CO71" s="464" t="e">
        <f ca="1"/>
        <v>#NUM!</v>
      </c>
      <c r="CP71" s="464" t="e">
        <f ca="1"/>
        <v>#NUM!</v>
      </c>
      <c r="CQ71" s="466" t="e">
        <f ca="1"/>
        <v>#NUM!</v>
      </c>
      <c r="CR71" s="157" t="e">
        <f ca="1"/>
        <v>#DIV/0!</v>
      </c>
      <c r="CS71" s="157" t="e">
        <f ca="1"/>
        <v>#NUM!</v>
      </c>
      <c r="CT71" s="157">
        <f ca="1"/>
        <v>8.2155620005556198</v>
      </c>
      <c r="CU71" s="157" t="e">
        <f ca="1"/>
        <v>#DIV/0!</v>
      </c>
      <c r="CV71" s="157" t="e">
        <f ca="1"/>
        <v>#DIV/0!</v>
      </c>
      <c r="CW71" s="468" t="e">
        <f ca="1"/>
        <v>#DIV/0!</v>
      </c>
      <c r="CX71" s="470" t="e">
        <f ca="1"/>
        <v>#DIV/0!</v>
      </c>
      <c r="CY71" s="472" t="e">
        <f ca="1"/>
        <v>#DIV/0!</v>
      </c>
      <c r="CZ71" s="173" t="e">
        <f t="shared" ca="1" si="10"/>
        <v>#DIV/0!</v>
      </c>
      <c r="DA71" s="173" t="e">
        <f t="shared" ca="1" si="11"/>
        <v>#DIV/0!</v>
      </c>
      <c r="DB71" s="462" t="e">
        <f ca="1"/>
        <v>#DIV/0!</v>
      </c>
      <c r="DC71" s="464">
        <f ca="1"/>
        <v>0</v>
      </c>
      <c r="DD71" s="464" t="e">
        <f ca="1"/>
        <v>#DIV/0!</v>
      </c>
      <c r="DE71" s="466" t="e">
        <f ca="1"/>
        <v>#DIV/0!</v>
      </c>
      <c r="DF71" s="157" t="e">
        <f ca="1"/>
        <v>#DIV/0!</v>
      </c>
      <c r="DG71" s="157" t="e">
        <f ca="1"/>
        <v>#DIV/0!</v>
      </c>
      <c r="DH71" s="157">
        <f ca="1"/>
        <v>25323.60103131703</v>
      </c>
      <c r="DI71" s="157" t="e">
        <f ca="1"/>
        <v>#DIV/0!</v>
      </c>
      <c r="DJ71" s="157" t="e">
        <f ca="1"/>
        <v>#DIV/0!</v>
      </c>
      <c r="DK71" s="468" t="e">
        <f ca="1"/>
        <v>#DIV/0!</v>
      </c>
      <c r="DL71" s="470" t="e">
        <f ca="1"/>
        <v>#DIV/0!</v>
      </c>
      <c r="DM71" s="472" t="e">
        <f ca="1"/>
        <v>#DIV/0!</v>
      </c>
      <c r="DN71" s="462" t="e">
        <f ca="1"/>
        <v>#DIV/0!</v>
      </c>
      <c r="DO71" s="464">
        <f ca="1"/>
        <v>0</v>
      </c>
      <c r="DP71" s="464" t="e">
        <f ca="1"/>
        <v>#DIV/0!</v>
      </c>
      <c r="DQ71" s="466" t="e">
        <f ca="1"/>
        <v>#DIV/0!</v>
      </c>
      <c r="DR71" s="157" t="e">
        <f ca="1"/>
        <v>#DIV/0!</v>
      </c>
      <c r="DS71" s="157" t="e">
        <f ca="1"/>
        <v>#DIV/0!</v>
      </c>
      <c r="DT71" s="157">
        <f ca="1"/>
        <v>20856.296786238396</v>
      </c>
      <c r="DU71" s="157" t="e">
        <f ca="1"/>
        <v>#DIV/0!</v>
      </c>
      <c r="DV71" s="157" t="e">
        <f ca="1"/>
        <v>#DIV/0!</v>
      </c>
      <c r="DW71" s="468" t="e">
        <f ca="1"/>
        <v>#DIV/0!</v>
      </c>
      <c r="DX71" s="470" t="e">
        <f ca="1"/>
        <v>#DIV/0!</v>
      </c>
      <c r="DY71" s="472" t="e">
        <f ca="1"/>
        <v>#DIV/0!</v>
      </c>
      <c r="DZ71" s="462" t="e">
        <f ca="1"/>
        <v>#DIV/0!</v>
      </c>
      <c r="EA71" s="464">
        <f ca="1"/>
        <v>0</v>
      </c>
      <c r="EB71" s="464" t="e">
        <f ca="1"/>
        <v>#DIV/0!</v>
      </c>
      <c r="EC71" s="466" t="e">
        <f ca="1"/>
        <v>#DIV/0!</v>
      </c>
      <c r="ED71" s="157" t="e">
        <f ca="1"/>
        <v>#DIV/0!</v>
      </c>
      <c r="EE71" s="157" t="e">
        <f ca="1"/>
        <v>#DIV/0!</v>
      </c>
      <c r="EF71" s="157">
        <f ca="1"/>
        <v>16386.786257583677</v>
      </c>
      <c r="EG71" s="157" t="e">
        <f ca="1"/>
        <v>#DIV/0!</v>
      </c>
      <c r="EH71" s="157" t="e">
        <f ca="1"/>
        <v>#DIV/0!</v>
      </c>
      <c r="EI71" s="468" t="e">
        <f ca="1"/>
        <v>#DIV/0!</v>
      </c>
      <c r="EJ71" s="470" t="e">
        <f ca="1"/>
        <v>#DIV/0!</v>
      </c>
      <c r="EK71" s="472" t="e">
        <f ca="1"/>
        <v>#DIV/0!</v>
      </c>
      <c r="EL71" s="462" t="e">
        <f ca="1"/>
        <v>#DIV/0!</v>
      </c>
      <c r="EM71" s="464" t="e">
        <f ca="1"/>
        <v>#NUM!</v>
      </c>
      <c r="EN71" s="464" t="e">
        <f ca="1"/>
        <v>#NUM!</v>
      </c>
      <c r="EO71" s="466" t="e">
        <f ca="1"/>
        <v>#NUM!</v>
      </c>
      <c r="EP71" s="157" t="e">
        <f ca="1"/>
        <v>#DIV/0!</v>
      </c>
      <c r="EQ71" s="157" t="e">
        <f ca="1"/>
        <v>#NUM!</v>
      </c>
      <c r="ER71" s="157">
        <f ca="1"/>
        <v>3113.4237388691195</v>
      </c>
      <c r="ES71" s="157" t="e">
        <f ca="1"/>
        <v>#DIV/0!</v>
      </c>
      <c r="ET71" s="157" t="e">
        <f ca="1"/>
        <v>#DIV/0!</v>
      </c>
      <c r="EU71" s="468" t="e">
        <f ca="1"/>
        <v>#DIV/0!</v>
      </c>
      <c r="EV71" s="470" t="e">
        <f ca="1"/>
        <v>#DIV/0!</v>
      </c>
      <c r="EW71" s="472" t="e">
        <f ca="1"/>
        <v>#DIV/0!</v>
      </c>
      <c r="EX71" s="462" t="e">
        <f ca="1"/>
        <v>#DIV/0!</v>
      </c>
      <c r="EY71" s="464" t="e">
        <f ca="1"/>
        <v>#NUM!</v>
      </c>
      <c r="EZ71" s="464" t="e">
        <f ca="1"/>
        <v>#NUM!</v>
      </c>
      <c r="FA71" s="466" t="e">
        <f ca="1"/>
        <v>#NUM!</v>
      </c>
      <c r="FB71" s="157" t="e">
        <f ca="1"/>
        <v>#DIV/0!</v>
      </c>
      <c r="FC71" s="157" t="e">
        <f ca="1"/>
        <v>#NUM!</v>
      </c>
      <c r="FD71" s="157">
        <f ca="1"/>
        <v>6377.4551680652121</v>
      </c>
      <c r="FE71" s="157" t="e">
        <f ca="1"/>
        <v>#DIV/0!</v>
      </c>
      <c r="FF71" s="157" t="e">
        <f ca="1"/>
        <v>#DIV/0!</v>
      </c>
      <c r="FG71" s="468" t="e">
        <f ca="1"/>
        <v>#DIV/0!</v>
      </c>
      <c r="FH71" s="470" t="e">
        <f ca="1"/>
        <v>#DIV/0!</v>
      </c>
      <c r="FI71" s="472" t="e">
        <f ca="1"/>
        <v>#DIV/0!</v>
      </c>
      <c r="FJ71" s="173" t="e">
        <f t="shared" ca="1" si="12"/>
        <v>#DIV/0!</v>
      </c>
      <c r="FK71" s="173" t="e">
        <f t="shared" ca="1" si="13"/>
        <v>#DIV/0!</v>
      </c>
      <c r="FL71" s="462" t="e">
        <f ca="1"/>
        <v>#DIV/0!</v>
      </c>
      <c r="FM71" s="464">
        <f ca="1"/>
        <v>0</v>
      </c>
      <c r="FN71" s="464" t="e">
        <f ca="1"/>
        <v>#DIV/0!</v>
      </c>
      <c r="FO71" s="466" t="e">
        <f ca="1"/>
        <v>#DIV/0!</v>
      </c>
      <c r="FP71" s="157" t="e">
        <f ca="1"/>
        <v>#DIV/0!</v>
      </c>
      <c r="FQ71" s="157" t="e">
        <f ca="1"/>
        <v>#DIV/0!</v>
      </c>
      <c r="FR71" s="157" t="e">
        <f ca="1"/>
        <v>#DIV/0!</v>
      </c>
      <c r="FS71" s="157">
        <f ca="1"/>
        <v>2319.8079749329868</v>
      </c>
      <c r="FT71" s="468" t="e">
        <f ca="1"/>
        <v>#DIV/0!</v>
      </c>
      <c r="FU71" s="470" t="e">
        <f ca="1"/>
        <v>#DIV/0!</v>
      </c>
      <c r="FV71" s="470" t="e">
        <f ca="1"/>
        <v>#DIV/0!</v>
      </c>
      <c r="FW71" s="462" t="e">
        <f ca="1"/>
        <v>#DIV/0!</v>
      </c>
      <c r="FX71" s="464" t="e">
        <f ca="1"/>
        <v>#NUM!</v>
      </c>
      <c r="FY71" s="464" t="e">
        <f ca="1"/>
        <v>#NUM!</v>
      </c>
      <c r="FZ71" s="466" t="e">
        <f ca="1"/>
        <v>#NUM!</v>
      </c>
      <c r="GA71" s="157" t="e">
        <f ca="1"/>
        <v>#DIV/0!</v>
      </c>
      <c r="GB71" s="157" t="e">
        <f ca="1"/>
        <v>#NUM!</v>
      </c>
      <c r="GC71" s="157" t="e">
        <f ca="1"/>
        <v>#DIV/0!</v>
      </c>
      <c r="GD71" s="157">
        <f ca="1"/>
        <v>49.160664109913107</v>
      </c>
      <c r="GE71" s="468" t="e">
        <f ca="1"/>
        <v>#DIV/0!</v>
      </c>
      <c r="GF71" s="470" t="e">
        <f ca="1"/>
        <v>#DIV/0!</v>
      </c>
      <c r="GG71" s="470" t="e">
        <f ca="1"/>
        <v>#DIV/0!</v>
      </c>
      <c r="GH71" s="173" t="e">
        <f t="shared" ca="1" si="14"/>
        <v>#DIV/0!</v>
      </c>
      <c r="GI71" s="173" t="e">
        <f t="shared" ca="1" si="15"/>
        <v>#DIV/0!</v>
      </c>
    </row>
    <row r="72" spans="2:191" ht="15">
      <c r="B72" s="169"/>
      <c r="C72" s="87">
        <f>'Oil supply projection'!B72</f>
        <v>2081</v>
      </c>
      <c r="D72" s="460" t="e">
        <f ca="1"/>
        <v>#DIV/0!</v>
      </c>
      <c r="E72" s="460" t="e">
        <f ca="1"/>
        <v>#DIV/0!</v>
      </c>
      <c r="F72" s="462" t="e">
        <f ca="1"/>
        <v>#DIV/0!</v>
      </c>
      <c r="G72" s="464">
        <f ca="1"/>
        <v>0</v>
      </c>
      <c r="H72" s="464" t="e">
        <f ca="1"/>
        <v>#DIV/0!</v>
      </c>
      <c r="I72" s="466" t="e">
        <f ca="1"/>
        <v>#DIV/0!</v>
      </c>
      <c r="J72" s="157" t="e">
        <f ca="1"/>
        <v>#DIV/0!</v>
      </c>
      <c r="K72" s="157" t="e">
        <f ca="1"/>
        <v>#DIV/0!</v>
      </c>
      <c r="L72" s="157">
        <f ca="1"/>
        <v>57.074014950622335</v>
      </c>
      <c r="M72" s="157" t="e">
        <f ca="1"/>
        <v>#DIV/0!</v>
      </c>
      <c r="N72" s="157" t="e">
        <f ca="1"/>
        <v>#DIV/0!</v>
      </c>
      <c r="O72" s="468" t="e">
        <f ca="1"/>
        <v>#DIV/0!</v>
      </c>
      <c r="P72" s="470" t="e">
        <f ca="1"/>
        <v>#DIV/0!</v>
      </c>
      <c r="Q72" s="472" t="e">
        <f ca="1"/>
        <v>#DIV/0!</v>
      </c>
      <c r="R72" s="462" t="e">
        <f ca="1"/>
        <v>#DIV/0!</v>
      </c>
      <c r="S72" s="464">
        <f ca="1"/>
        <v>0</v>
      </c>
      <c r="T72" s="464" t="e">
        <f ca="1"/>
        <v>#DIV/0!</v>
      </c>
      <c r="U72" s="466" t="e">
        <f ca="1"/>
        <v>#DIV/0!</v>
      </c>
      <c r="V72" s="157" t="e">
        <f ca="1"/>
        <v>#DIV/0!</v>
      </c>
      <c r="W72" s="157" t="e">
        <f ca="1"/>
        <v>#DIV/0!</v>
      </c>
      <c r="X72" s="157">
        <f ca="1"/>
        <v>77.836043005632845</v>
      </c>
      <c r="Y72" s="157" t="e">
        <f ca="1"/>
        <v>#DIV/0!</v>
      </c>
      <c r="Z72" s="157" t="e">
        <f ca="1"/>
        <v>#DIV/0!</v>
      </c>
      <c r="AA72" s="468" t="e">
        <f ca="1"/>
        <v>#DIV/0!</v>
      </c>
      <c r="AB72" s="470" t="e">
        <f ca="1"/>
        <v>#DIV/0!</v>
      </c>
      <c r="AC72" s="472" t="e">
        <f ca="1"/>
        <v>#DIV/0!</v>
      </c>
      <c r="AD72" s="462" t="e">
        <f ca="1"/>
        <v>#DIV/0!</v>
      </c>
      <c r="AE72" s="464">
        <f ca="1"/>
        <v>0</v>
      </c>
      <c r="AF72" s="464" t="e">
        <f ca="1"/>
        <v>#DIV/0!</v>
      </c>
      <c r="AG72" s="466" t="e">
        <f ca="1"/>
        <v>#DIV/0!</v>
      </c>
      <c r="AH72" s="157" t="e">
        <f ca="1"/>
        <v>#DIV/0!</v>
      </c>
      <c r="AI72" s="157" t="e">
        <f ca="1"/>
        <v>#DIV/0!</v>
      </c>
      <c r="AJ72" s="157">
        <f ca="1"/>
        <v>1018.2818944763391</v>
      </c>
      <c r="AK72" s="157" t="e">
        <f ca="1"/>
        <v>#DIV/0!</v>
      </c>
      <c r="AL72" s="157" t="e">
        <f ca="1"/>
        <v>#DIV/0!</v>
      </c>
      <c r="AM72" s="468" t="e">
        <f ca="1"/>
        <v>#DIV/0!</v>
      </c>
      <c r="AN72" s="470" t="e">
        <f ca="1"/>
        <v>#DIV/0!</v>
      </c>
      <c r="AO72" s="472" t="e">
        <f ca="1"/>
        <v>#DIV/0!</v>
      </c>
      <c r="AP72" s="462" t="e">
        <f ca="1"/>
        <v>#DIV/0!</v>
      </c>
      <c r="AQ72" s="464" t="e">
        <f ca="1"/>
        <v>#NUM!</v>
      </c>
      <c r="AR72" s="464" t="e">
        <f ca="1"/>
        <v>#NUM!</v>
      </c>
      <c r="AS72" s="466" t="e">
        <f ca="1"/>
        <v>#NUM!</v>
      </c>
      <c r="AT72" s="157" t="e">
        <f ca="1"/>
        <v>#DIV/0!</v>
      </c>
      <c r="AU72" s="157" t="e">
        <f ca="1"/>
        <v>#NUM!</v>
      </c>
      <c r="AV72" s="157">
        <f ca="1"/>
        <v>1835.3508151332021</v>
      </c>
      <c r="AW72" s="157" t="e">
        <f ca="1"/>
        <v>#DIV/0!</v>
      </c>
      <c r="AX72" s="157" t="e">
        <f ca="1"/>
        <v>#DIV/0!</v>
      </c>
      <c r="AY72" s="468" t="e">
        <f ca="1"/>
        <v>#DIV/0!</v>
      </c>
      <c r="AZ72" s="470" t="e">
        <f ca="1"/>
        <v>#DIV/0!</v>
      </c>
      <c r="BA72" s="472" t="e">
        <f ca="1"/>
        <v>#DIV/0!</v>
      </c>
      <c r="BB72" s="173" t="e">
        <f t="shared" ca="1" si="8"/>
        <v>#DIV/0!</v>
      </c>
      <c r="BC72" s="173" t="e">
        <f t="shared" ca="1" si="9"/>
        <v>#DIV/0!</v>
      </c>
      <c r="BD72" s="462" t="e">
        <f ca="1"/>
        <v>#DIV/0!</v>
      </c>
      <c r="BE72" s="464">
        <f ca="1"/>
        <v>0</v>
      </c>
      <c r="BF72" s="464" t="e">
        <f ca="1"/>
        <v>#DIV/0!</v>
      </c>
      <c r="BG72" s="466" t="e">
        <f ca="1"/>
        <v>#DIV/0!</v>
      </c>
      <c r="BH72" s="157" t="e">
        <f ca="1"/>
        <v>#DIV/0!</v>
      </c>
      <c r="BI72" s="157" t="e">
        <f ca="1"/>
        <v>#DIV/0!</v>
      </c>
      <c r="BJ72" s="157">
        <f ca="1"/>
        <v>21.953101174226383</v>
      </c>
      <c r="BK72" s="157" t="e">
        <f ca="1"/>
        <v>#DIV/0!</v>
      </c>
      <c r="BL72" s="157" t="e">
        <f ca="1"/>
        <v>#DIV/0!</v>
      </c>
      <c r="BM72" s="468" t="e">
        <f ca="1"/>
        <v>#DIV/0!</v>
      </c>
      <c r="BN72" s="470" t="e">
        <f ca="1"/>
        <v>#DIV/0!</v>
      </c>
      <c r="BO72" s="472" t="e">
        <f ca="1"/>
        <v>#DIV/0!</v>
      </c>
      <c r="BP72" s="462" t="e">
        <f ca="1"/>
        <v>#DIV/0!</v>
      </c>
      <c r="BQ72" s="464">
        <f ca="1"/>
        <v>0</v>
      </c>
      <c r="BR72" s="464" t="e">
        <f ca="1"/>
        <v>#DIV/0!</v>
      </c>
      <c r="BS72" s="466" t="e">
        <f ca="1"/>
        <v>#DIV/0!</v>
      </c>
      <c r="BT72" s="157" t="e">
        <f ca="1"/>
        <v>#DIV/0!</v>
      </c>
      <c r="BU72" s="157" t="e">
        <f ca="1"/>
        <v>#DIV/0!</v>
      </c>
      <c r="BV72" s="157">
        <f ca="1"/>
        <v>16.073614604140555</v>
      </c>
      <c r="BW72" s="157" t="e">
        <f ca="1"/>
        <v>#DIV/0!</v>
      </c>
      <c r="BX72" s="157" t="e">
        <f ca="1"/>
        <v>#DIV/0!</v>
      </c>
      <c r="BY72" s="468" t="e">
        <f ca="1"/>
        <v>#DIV/0!</v>
      </c>
      <c r="BZ72" s="470" t="e">
        <f ca="1"/>
        <v>#DIV/0!</v>
      </c>
      <c r="CA72" s="472" t="e">
        <f ca="1"/>
        <v>#DIV/0!</v>
      </c>
      <c r="CB72" s="462" t="e">
        <f ca="1"/>
        <v>#DIV/0!</v>
      </c>
      <c r="CC72" s="464">
        <f ca="1"/>
        <v>0</v>
      </c>
      <c r="CD72" s="464" t="e">
        <f ca="1"/>
        <v>#DIV/0!</v>
      </c>
      <c r="CE72" s="466" t="e">
        <f ca="1"/>
        <v>#DIV/0!</v>
      </c>
      <c r="CF72" s="157" t="e">
        <f ca="1"/>
        <v>#DIV/0!</v>
      </c>
      <c r="CG72" s="157" t="e">
        <f ca="1"/>
        <v>#DIV/0!</v>
      </c>
      <c r="CH72" s="157">
        <f ca="1"/>
        <v>55.557935941761386</v>
      </c>
      <c r="CI72" s="157" t="e">
        <f ca="1"/>
        <v>#DIV/0!</v>
      </c>
      <c r="CJ72" s="157" t="e">
        <f ca="1"/>
        <v>#DIV/0!</v>
      </c>
      <c r="CK72" s="468" t="e">
        <f ca="1"/>
        <v>#DIV/0!</v>
      </c>
      <c r="CL72" s="470" t="e">
        <f ca="1"/>
        <v>#DIV/0!</v>
      </c>
      <c r="CM72" s="472" t="e">
        <f ca="1"/>
        <v>#DIV/0!</v>
      </c>
      <c r="CN72" s="462" t="e">
        <f ca="1"/>
        <v>#DIV/0!</v>
      </c>
      <c r="CO72" s="464" t="e">
        <f ca="1"/>
        <v>#NUM!</v>
      </c>
      <c r="CP72" s="464" t="e">
        <f ca="1"/>
        <v>#NUM!</v>
      </c>
      <c r="CQ72" s="466" t="e">
        <f ca="1"/>
        <v>#NUM!</v>
      </c>
      <c r="CR72" s="157" t="e">
        <f ca="1"/>
        <v>#DIV/0!</v>
      </c>
      <c r="CS72" s="157" t="e">
        <f ca="1"/>
        <v>#NUM!</v>
      </c>
      <c r="CT72" s="157">
        <f ca="1"/>
        <v>8.2640635658668344</v>
      </c>
      <c r="CU72" s="157" t="e">
        <f ca="1"/>
        <v>#DIV/0!</v>
      </c>
      <c r="CV72" s="157" t="e">
        <f ca="1"/>
        <v>#DIV/0!</v>
      </c>
      <c r="CW72" s="468" t="e">
        <f ca="1"/>
        <v>#DIV/0!</v>
      </c>
      <c r="CX72" s="470" t="e">
        <f ca="1"/>
        <v>#DIV/0!</v>
      </c>
      <c r="CY72" s="472" t="e">
        <f ca="1"/>
        <v>#DIV/0!</v>
      </c>
      <c r="CZ72" s="173" t="e">
        <f t="shared" ca="1" si="10"/>
        <v>#DIV/0!</v>
      </c>
      <c r="DA72" s="173" t="e">
        <f t="shared" ca="1" si="11"/>
        <v>#DIV/0!</v>
      </c>
      <c r="DB72" s="462" t="e">
        <f ca="1"/>
        <v>#DIV/0!</v>
      </c>
      <c r="DC72" s="464">
        <f ca="1"/>
        <v>0</v>
      </c>
      <c r="DD72" s="464" t="e">
        <f ca="1"/>
        <v>#DIV/0!</v>
      </c>
      <c r="DE72" s="466" t="e">
        <f ca="1"/>
        <v>#DIV/0!</v>
      </c>
      <c r="DF72" s="157" t="e">
        <f ca="1"/>
        <v>#DIV/0!</v>
      </c>
      <c r="DG72" s="157" t="e">
        <f ca="1"/>
        <v>#DIV/0!</v>
      </c>
      <c r="DH72" s="157">
        <f ca="1"/>
        <v>25584.373615030334</v>
      </c>
      <c r="DI72" s="157" t="e">
        <f ca="1"/>
        <v>#DIV/0!</v>
      </c>
      <c r="DJ72" s="157" t="e">
        <f ca="1"/>
        <v>#DIV/0!</v>
      </c>
      <c r="DK72" s="468" t="e">
        <f ca="1"/>
        <v>#DIV/0!</v>
      </c>
      <c r="DL72" s="470" t="e">
        <f ca="1"/>
        <v>#DIV/0!</v>
      </c>
      <c r="DM72" s="472" t="e">
        <f ca="1"/>
        <v>#DIV/0!</v>
      </c>
      <c r="DN72" s="462" t="e">
        <f ca="1"/>
        <v>#DIV/0!</v>
      </c>
      <c r="DO72" s="464">
        <f ca="1"/>
        <v>0</v>
      </c>
      <c r="DP72" s="464" t="e">
        <f ca="1"/>
        <v>#DIV/0!</v>
      </c>
      <c r="DQ72" s="466" t="e">
        <f ca="1"/>
        <v>#DIV/0!</v>
      </c>
      <c r="DR72" s="157" t="e">
        <f ca="1"/>
        <v>#DIV/0!</v>
      </c>
      <c r="DS72" s="157" t="e">
        <f ca="1"/>
        <v>#DIV/0!</v>
      </c>
      <c r="DT72" s="157">
        <f ca="1"/>
        <v>21071.066810174278</v>
      </c>
      <c r="DU72" s="157" t="e">
        <f ca="1"/>
        <v>#DIV/0!</v>
      </c>
      <c r="DV72" s="157" t="e">
        <f ca="1"/>
        <v>#DIV/0!</v>
      </c>
      <c r="DW72" s="468" t="e">
        <f ca="1"/>
        <v>#DIV/0!</v>
      </c>
      <c r="DX72" s="470" t="e">
        <f ca="1"/>
        <v>#DIV/0!</v>
      </c>
      <c r="DY72" s="472" t="e">
        <f ca="1"/>
        <v>#DIV/0!</v>
      </c>
      <c r="DZ72" s="462" t="e">
        <f ca="1"/>
        <v>#DIV/0!</v>
      </c>
      <c r="EA72" s="464">
        <f ca="1"/>
        <v>0</v>
      </c>
      <c r="EB72" s="464" t="e">
        <f ca="1"/>
        <v>#DIV/0!</v>
      </c>
      <c r="EC72" s="466" t="e">
        <f ca="1"/>
        <v>#DIV/0!</v>
      </c>
      <c r="ED72" s="157" t="e">
        <f ca="1"/>
        <v>#DIV/0!</v>
      </c>
      <c r="EE72" s="157" t="e">
        <f ca="1"/>
        <v>#DIV/0!</v>
      </c>
      <c r="EF72" s="157">
        <f ca="1"/>
        <v>16555.531002292893</v>
      </c>
      <c r="EG72" s="157" t="e">
        <f ca="1"/>
        <v>#DIV/0!</v>
      </c>
      <c r="EH72" s="157" t="e">
        <f ca="1"/>
        <v>#DIV/0!</v>
      </c>
      <c r="EI72" s="468" t="e">
        <f ca="1"/>
        <v>#DIV/0!</v>
      </c>
      <c r="EJ72" s="470" t="e">
        <f ca="1"/>
        <v>#DIV/0!</v>
      </c>
      <c r="EK72" s="472" t="e">
        <f ca="1"/>
        <v>#DIV/0!</v>
      </c>
      <c r="EL72" s="462" t="e">
        <f ca="1"/>
        <v>#DIV/0!</v>
      </c>
      <c r="EM72" s="464" t="e">
        <f ca="1"/>
        <v>#NUM!</v>
      </c>
      <c r="EN72" s="464" t="e">
        <f ca="1"/>
        <v>#NUM!</v>
      </c>
      <c r="EO72" s="466" t="e">
        <f ca="1"/>
        <v>#NUM!</v>
      </c>
      <c r="EP72" s="157" t="e">
        <f ca="1"/>
        <v>#DIV/0!</v>
      </c>
      <c r="EQ72" s="157" t="e">
        <f ca="1"/>
        <v>#NUM!</v>
      </c>
      <c r="ER72" s="157">
        <f ca="1"/>
        <v>3145.4845643249919</v>
      </c>
      <c r="ES72" s="157" t="e">
        <f ca="1"/>
        <v>#DIV/0!</v>
      </c>
      <c r="ET72" s="157" t="e">
        <f ca="1"/>
        <v>#DIV/0!</v>
      </c>
      <c r="EU72" s="468" t="e">
        <f ca="1"/>
        <v>#DIV/0!</v>
      </c>
      <c r="EV72" s="470" t="e">
        <f ca="1"/>
        <v>#DIV/0!</v>
      </c>
      <c r="EW72" s="472" t="e">
        <f ca="1"/>
        <v>#DIV/0!</v>
      </c>
      <c r="EX72" s="462" t="e">
        <f ca="1"/>
        <v>#DIV/0!</v>
      </c>
      <c r="EY72" s="464" t="e">
        <f ca="1"/>
        <v>#NUM!</v>
      </c>
      <c r="EZ72" s="464" t="e">
        <f ca="1"/>
        <v>#NUM!</v>
      </c>
      <c r="FA72" s="466" t="e">
        <f ca="1"/>
        <v>#NUM!</v>
      </c>
      <c r="FB72" s="157" t="e">
        <f ca="1"/>
        <v>#DIV/0!</v>
      </c>
      <c r="FC72" s="157" t="e">
        <f ca="1"/>
        <v>#NUM!</v>
      </c>
      <c r="FD72" s="157">
        <f ca="1"/>
        <v>6443.1277183330594</v>
      </c>
      <c r="FE72" s="157" t="e">
        <f ca="1"/>
        <v>#DIV/0!</v>
      </c>
      <c r="FF72" s="157" t="e">
        <f ca="1"/>
        <v>#DIV/0!</v>
      </c>
      <c r="FG72" s="468" t="e">
        <f ca="1"/>
        <v>#DIV/0!</v>
      </c>
      <c r="FH72" s="470" t="e">
        <f ca="1"/>
        <v>#DIV/0!</v>
      </c>
      <c r="FI72" s="472" t="e">
        <f ca="1"/>
        <v>#DIV/0!</v>
      </c>
      <c r="FJ72" s="173" t="e">
        <f t="shared" ca="1" si="12"/>
        <v>#DIV/0!</v>
      </c>
      <c r="FK72" s="173" t="e">
        <f t="shared" ca="1" si="13"/>
        <v>#DIV/0!</v>
      </c>
      <c r="FL72" s="462" t="e">
        <f ca="1"/>
        <v>#DIV/0!</v>
      </c>
      <c r="FM72" s="464">
        <f ca="1"/>
        <v>0</v>
      </c>
      <c r="FN72" s="464" t="e">
        <f ca="1"/>
        <v>#DIV/0!</v>
      </c>
      <c r="FO72" s="466" t="e">
        <f ca="1"/>
        <v>#DIV/0!</v>
      </c>
      <c r="FP72" s="157" t="e">
        <f ca="1"/>
        <v>#DIV/0!</v>
      </c>
      <c r="FQ72" s="157" t="e">
        <f ca="1"/>
        <v>#DIV/0!</v>
      </c>
      <c r="FR72" s="157" t="e">
        <f ca="1"/>
        <v>#DIV/0!</v>
      </c>
      <c r="FS72" s="157">
        <f ca="1"/>
        <v>2332.7517749998142</v>
      </c>
      <c r="FT72" s="468" t="e">
        <f ca="1"/>
        <v>#DIV/0!</v>
      </c>
      <c r="FU72" s="470" t="e">
        <f ca="1"/>
        <v>#DIV/0!</v>
      </c>
      <c r="FV72" s="470" t="e">
        <f ca="1"/>
        <v>#DIV/0!</v>
      </c>
      <c r="FW72" s="462" t="e">
        <f ca="1"/>
        <v>#DIV/0!</v>
      </c>
      <c r="FX72" s="464" t="e">
        <f ca="1"/>
        <v>#NUM!</v>
      </c>
      <c r="FY72" s="464" t="e">
        <f ca="1"/>
        <v>#NUM!</v>
      </c>
      <c r="FZ72" s="466" t="e">
        <f ca="1"/>
        <v>#NUM!</v>
      </c>
      <c r="GA72" s="157" t="e">
        <f ca="1"/>
        <v>#DIV/0!</v>
      </c>
      <c r="GB72" s="157" t="e">
        <f ca="1"/>
        <v>#NUM!</v>
      </c>
      <c r="GC72" s="157" t="e">
        <f ca="1"/>
        <v>#DIV/0!</v>
      </c>
      <c r="GD72" s="157">
        <f ca="1"/>
        <v>49.434965178909799</v>
      </c>
      <c r="GE72" s="468" t="e">
        <f ca="1"/>
        <v>#DIV/0!</v>
      </c>
      <c r="GF72" s="470" t="e">
        <f ca="1"/>
        <v>#DIV/0!</v>
      </c>
      <c r="GG72" s="470" t="e">
        <f ca="1"/>
        <v>#DIV/0!</v>
      </c>
      <c r="GH72" s="173" t="e">
        <f t="shared" ca="1" si="14"/>
        <v>#DIV/0!</v>
      </c>
      <c r="GI72" s="173" t="e">
        <f t="shared" ca="1" si="15"/>
        <v>#DIV/0!</v>
      </c>
    </row>
    <row r="73" spans="2:191" ht="15">
      <c r="B73" s="169"/>
      <c r="C73" s="87">
        <f>'Oil supply projection'!B73</f>
        <v>2082</v>
      </c>
      <c r="D73" s="460" t="e">
        <f ca="1"/>
        <v>#DIV/0!</v>
      </c>
      <c r="E73" s="460" t="e">
        <f ca="1"/>
        <v>#DIV/0!</v>
      </c>
      <c r="F73" s="462" t="e">
        <f ca="1"/>
        <v>#DIV/0!</v>
      </c>
      <c r="G73" s="464">
        <f ca="1"/>
        <v>0</v>
      </c>
      <c r="H73" s="464" t="e">
        <f ca="1"/>
        <v>#DIV/0!</v>
      </c>
      <c r="I73" s="466" t="e">
        <f ca="1"/>
        <v>#DIV/0!</v>
      </c>
      <c r="J73" s="157" t="e">
        <f ca="1"/>
        <v>#DIV/0!</v>
      </c>
      <c r="K73" s="157" t="e">
        <f ca="1"/>
        <v>#DIV/0!</v>
      </c>
      <c r="L73" s="157">
        <f ca="1"/>
        <v>57.832950323659595</v>
      </c>
      <c r="M73" s="157" t="e">
        <f ca="1"/>
        <v>#DIV/0!</v>
      </c>
      <c r="N73" s="157" t="e">
        <f ca="1"/>
        <v>#DIV/0!</v>
      </c>
      <c r="O73" s="468" t="e">
        <f ca="1"/>
        <v>#DIV/0!</v>
      </c>
      <c r="P73" s="470" t="e">
        <f ca="1"/>
        <v>#DIV/0!</v>
      </c>
      <c r="Q73" s="472" t="e">
        <f ca="1"/>
        <v>#DIV/0!</v>
      </c>
      <c r="R73" s="462" t="e">
        <f ca="1"/>
        <v>#DIV/0!</v>
      </c>
      <c r="S73" s="464">
        <f ca="1"/>
        <v>0</v>
      </c>
      <c r="T73" s="464" t="e">
        <f ca="1"/>
        <v>#DIV/0!</v>
      </c>
      <c r="U73" s="466" t="e">
        <f ca="1"/>
        <v>#DIV/0!</v>
      </c>
      <c r="V73" s="157" t="e">
        <f ca="1"/>
        <v>#DIV/0!</v>
      </c>
      <c r="W73" s="157" t="e">
        <f ca="1"/>
        <v>#DIV/0!</v>
      </c>
      <c r="X73" s="157">
        <f ca="1"/>
        <v>78.871059140126462</v>
      </c>
      <c r="Y73" s="157" t="e">
        <f ca="1"/>
        <v>#DIV/0!</v>
      </c>
      <c r="Z73" s="157" t="e">
        <f ca="1"/>
        <v>#DIV/0!</v>
      </c>
      <c r="AA73" s="468" t="e">
        <f ca="1"/>
        <v>#DIV/0!</v>
      </c>
      <c r="AB73" s="470" t="e">
        <f ca="1"/>
        <v>#DIV/0!</v>
      </c>
      <c r="AC73" s="472" t="e">
        <f ca="1"/>
        <v>#DIV/0!</v>
      </c>
      <c r="AD73" s="462" t="e">
        <f ca="1"/>
        <v>#DIV/0!</v>
      </c>
      <c r="AE73" s="464">
        <f ca="1"/>
        <v>0</v>
      </c>
      <c r="AF73" s="464" t="e">
        <f ca="1"/>
        <v>#DIV/0!</v>
      </c>
      <c r="AG73" s="466" t="e">
        <f ca="1"/>
        <v>#DIV/0!</v>
      </c>
      <c r="AH73" s="157" t="e">
        <f ca="1"/>
        <v>#DIV/0!</v>
      </c>
      <c r="AI73" s="157" t="e">
        <f ca="1"/>
        <v>#DIV/0!</v>
      </c>
      <c r="AJ73" s="157">
        <f ca="1"/>
        <v>1031.8223848397749</v>
      </c>
      <c r="AK73" s="157" t="e">
        <f ca="1"/>
        <v>#DIV/0!</v>
      </c>
      <c r="AL73" s="157" t="e">
        <f ca="1"/>
        <v>#DIV/0!</v>
      </c>
      <c r="AM73" s="468" t="e">
        <f ca="1"/>
        <v>#DIV/0!</v>
      </c>
      <c r="AN73" s="470" t="e">
        <f ca="1"/>
        <v>#DIV/0!</v>
      </c>
      <c r="AO73" s="472" t="e">
        <f ca="1"/>
        <v>#DIV/0!</v>
      </c>
      <c r="AP73" s="462" t="e">
        <f ca="1"/>
        <v>#DIV/0!</v>
      </c>
      <c r="AQ73" s="464" t="e">
        <f ca="1"/>
        <v>#NUM!</v>
      </c>
      <c r="AR73" s="464" t="e">
        <f ca="1"/>
        <v>#NUM!</v>
      </c>
      <c r="AS73" s="466" t="e">
        <f ca="1"/>
        <v>#NUM!</v>
      </c>
      <c r="AT73" s="157" t="e">
        <f ca="1"/>
        <v>#DIV/0!</v>
      </c>
      <c r="AU73" s="157" t="e">
        <f ca="1"/>
        <v>#NUM!</v>
      </c>
      <c r="AV73" s="157">
        <f ca="1"/>
        <v>1859.7561886949263</v>
      </c>
      <c r="AW73" s="157" t="e">
        <f ca="1"/>
        <v>#DIV/0!</v>
      </c>
      <c r="AX73" s="157" t="e">
        <f ca="1"/>
        <v>#DIV/0!</v>
      </c>
      <c r="AY73" s="468" t="e">
        <f ca="1"/>
        <v>#DIV/0!</v>
      </c>
      <c r="AZ73" s="470" t="e">
        <f ca="1"/>
        <v>#DIV/0!</v>
      </c>
      <c r="BA73" s="472" t="e">
        <f ca="1"/>
        <v>#DIV/0!</v>
      </c>
      <c r="BB73" s="173" t="e">
        <f t="shared" ca="1" si="8"/>
        <v>#DIV/0!</v>
      </c>
      <c r="BC73" s="173" t="e">
        <f t="shared" ca="1" si="9"/>
        <v>#DIV/0!</v>
      </c>
      <c r="BD73" s="462" t="e">
        <f ca="1"/>
        <v>#DIV/0!</v>
      </c>
      <c r="BE73" s="464">
        <f ca="1"/>
        <v>0</v>
      </c>
      <c r="BF73" s="464" t="e">
        <f ca="1"/>
        <v>#DIV/0!</v>
      </c>
      <c r="BG73" s="466" t="e">
        <f ca="1"/>
        <v>#DIV/0!</v>
      </c>
      <c r="BH73" s="157" t="e">
        <f ca="1"/>
        <v>#DIV/0!</v>
      </c>
      <c r="BI73" s="157" t="e">
        <f ca="1"/>
        <v>#DIV/0!</v>
      </c>
      <c r="BJ73" s="157">
        <f ca="1"/>
        <v>22.082703965893398</v>
      </c>
      <c r="BK73" s="157" t="e">
        <f ca="1"/>
        <v>#DIV/0!</v>
      </c>
      <c r="BL73" s="157" t="e">
        <f ca="1"/>
        <v>#DIV/0!</v>
      </c>
      <c r="BM73" s="468" t="e">
        <f ca="1"/>
        <v>#DIV/0!</v>
      </c>
      <c r="BN73" s="470" t="e">
        <f ca="1"/>
        <v>#DIV/0!</v>
      </c>
      <c r="BO73" s="472" t="e">
        <f ca="1"/>
        <v>#DIV/0!</v>
      </c>
      <c r="BP73" s="462" t="e">
        <f ca="1"/>
        <v>#DIV/0!</v>
      </c>
      <c r="BQ73" s="464">
        <f ca="1"/>
        <v>0</v>
      </c>
      <c r="BR73" s="464" t="e">
        <f ca="1"/>
        <v>#DIV/0!</v>
      </c>
      <c r="BS73" s="466" t="e">
        <f ca="1"/>
        <v>#DIV/0!</v>
      </c>
      <c r="BT73" s="157" t="e">
        <f ca="1"/>
        <v>#DIV/0!</v>
      </c>
      <c r="BU73" s="157" t="e">
        <f ca="1"/>
        <v>#DIV/0!</v>
      </c>
      <c r="BV73" s="157">
        <f ca="1"/>
        <v>16.168507134737645</v>
      </c>
      <c r="BW73" s="157" t="e">
        <f ca="1"/>
        <v>#DIV/0!</v>
      </c>
      <c r="BX73" s="157" t="e">
        <f ca="1"/>
        <v>#DIV/0!</v>
      </c>
      <c r="BY73" s="468" t="e">
        <f ca="1"/>
        <v>#DIV/0!</v>
      </c>
      <c r="BZ73" s="470" t="e">
        <f ca="1"/>
        <v>#DIV/0!</v>
      </c>
      <c r="CA73" s="472" t="e">
        <f ca="1"/>
        <v>#DIV/0!</v>
      </c>
      <c r="CB73" s="462" t="e">
        <f ca="1"/>
        <v>#DIV/0!</v>
      </c>
      <c r="CC73" s="464">
        <f ca="1"/>
        <v>0</v>
      </c>
      <c r="CD73" s="464" t="e">
        <f ca="1"/>
        <v>#DIV/0!</v>
      </c>
      <c r="CE73" s="466" t="e">
        <f ca="1"/>
        <v>#DIV/0!</v>
      </c>
      <c r="CF73" s="157" t="e">
        <f ca="1"/>
        <v>#DIV/0!</v>
      </c>
      <c r="CG73" s="157" t="e">
        <f ca="1"/>
        <v>#DIV/0!</v>
      </c>
      <c r="CH73" s="157">
        <f ca="1"/>
        <v>55.885928945581867</v>
      </c>
      <c r="CI73" s="157" t="e">
        <f ca="1"/>
        <v>#DIV/0!</v>
      </c>
      <c r="CJ73" s="157" t="e">
        <f ca="1"/>
        <v>#DIV/0!</v>
      </c>
      <c r="CK73" s="468" t="e">
        <f ca="1"/>
        <v>#DIV/0!</v>
      </c>
      <c r="CL73" s="470" t="e">
        <f ca="1"/>
        <v>#DIV/0!</v>
      </c>
      <c r="CM73" s="472" t="e">
        <f ca="1"/>
        <v>#DIV/0!</v>
      </c>
      <c r="CN73" s="462" t="e">
        <f ca="1"/>
        <v>#DIV/0!</v>
      </c>
      <c r="CO73" s="464" t="e">
        <f ca="1"/>
        <v>#NUM!</v>
      </c>
      <c r="CP73" s="464" t="e">
        <f ca="1"/>
        <v>#NUM!</v>
      </c>
      <c r="CQ73" s="466" t="e">
        <f ca="1"/>
        <v>#NUM!</v>
      </c>
      <c r="CR73" s="157" t="e">
        <f ca="1"/>
        <v>#DIV/0!</v>
      </c>
      <c r="CS73" s="157" t="e">
        <f ca="1"/>
        <v>#NUM!</v>
      </c>
      <c r="CT73" s="157">
        <f ca="1"/>
        <v>8.3128514660432096</v>
      </c>
      <c r="CU73" s="157" t="e">
        <f ca="1"/>
        <v>#DIV/0!</v>
      </c>
      <c r="CV73" s="157" t="e">
        <f ca="1"/>
        <v>#DIV/0!</v>
      </c>
      <c r="CW73" s="468" t="e">
        <f ca="1"/>
        <v>#DIV/0!</v>
      </c>
      <c r="CX73" s="470" t="e">
        <f ca="1"/>
        <v>#DIV/0!</v>
      </c>
      <c r="CY73" s="472" t="e">
        <f ca="1"/>
        <v>#DIV/0!</v>
      </c>
      <c r="CZ73" s="173" t="e">
        <f t="shared" ca="1" si="10"/>
        <v>#DIV/0!</v>
      </c>
      <c r="DA73" s="173" t="e">
        <f t="shared" ca="1" si="11"/>
        <v>#DIV/0!</v>
      </c>
      <c r="DB73" s="462" t="e">
        <f ca="1"/>
        <v>#DIV/0!</v>
      </c>
      <c r="DC73" s="464">
        <f ca="1"/>
        <v>0</v>
      </c>
      <c r="DD73" s="464" t="e">
        <f ca="1"/>
        <v>#DIV/0!</v>
      </c>
      <c r="DE73" s="466" t="e">
        <f ca="1"/>
        <v>#DIV/0!</v>
      </c>
      <c r="DF73" s="157" t="e">
        <f ca="1"/>
        <v>#DIV/0!</v>
      </c>
      <c r="DG73" s="157" t="e">
        <f ca="1"/>
        <v>#DIV/0!</v>
      </c>
      <c r="DH73" s="157">
        <f ca="1"/>
        <v>25847.831533279274</v>
      </c>
      <c r="DI73" s="157" t="e">
        <f ca="1"/>
        <v>#DIV/0!</v>
      </c>
      <c r="DJ73" s="157" t="e">
        <f ca="1"/>
        <v>#DIV/0!</v>
      </c>
      <c r="DK73" s="468" t="e">
        <f ca="1"/>
        <v>#DIV/0!</v>
      </c>
      <c r="DL73" s="470" t="e">
        <f ca="1"/>
        <v>#DIV/0!</v>
      </c>
      <c r="DM73" s="472" t="e">
        <f ca="1"/>
        <v>#DIV/0!</v>
      </c>
      <c r="DN73" s="462" t="e">
        <f ca="1"/>
        <v>#DIV/0!</v>
      </c>
      <c r="DO73" s="464">
        <f ca="1"/>
        <v>0</v>
      </c>
      <c r="DP73" s="464" t="e">
        <f ca="1"/>
        <v>#DIV/0!</v>
      </c>
      <c r="DQ73" s="466" t="e">
        <f ca="1"/>
        <v>#DIV/0!</v>
      </c>
      <c r="DR73" s="157" t="e">
        <f ca="1"/>
        <v>#DIV/0!</v>
      </c>
      <c r="DS73" s="157" t="e">
        <f ca="1"/>
        <v>#DIV/0!</v>
      </c>
      <c r="DT73" s="157">
        <f ca="1"/>
        <v>21288.048452196253</v>
      </c>
      <c r="DU73" s="157" t="e">
        <f ca="1"/>
        <v>#DIV/0!</v>
      </c>
      <c r="DV73" s="157" t="e">
        <f ca="1"/>
        <v>#DIV/0!</v>
      </c>
      <c r="DW73" s="468" t="e">
        <f ca="1"/>
        <v>#DIV/0!</v>
      </c>
      <c r="DX73" s="470" t="e">
        <f ca="1"/>
        <v>#DIV/0!</v>
      </c>
      <c r="DY73" s="472" t="e">
        <f ca="1"/>
        <v>#DIV/0!</v>
      </c>
      <c r="DZ73" s="462" t="e">
        <f ca="1"/>
        <v>#DIV/0!</v>
      </c>
      <c r="EA73" s="464">
        <f ca="1"/>
        <v>0</v>
      </c>
      <c r="EB73" s="464" t="e">
        <f ca="1"/>
        <v>#DIV/0!</v>
      </c>
      <c r="EC73" s="466" t="e">
        <f ca="1"/>
        <v>#DIV/0!</v>
      </c>
      <c r="ED73" s="157" t="e">
        <f ca="1"/>
        <v>#DIV/0!</v>
      </c>
      <c r="EE73" s="157" t="e">
        <f ca="1"/>
        <v>#DIV/0!</v>
      </c>
      <c r="EF73" s="157">
        <f ca="1"/>
        <v>16726.013414682602</v>
      </c>
      <c r="EG73" s="157" t="e">
        <f ca="1"/>
        <v>#DIV/0!</v>
      </c>
      <c r="EH73" s="157" t="e">
        <f ca="1"/>
        <v>#DIV/0!</v>
      </c>
      <c r="EI73" s="468" t="e">
        <f ca="1"/>
        <v>#DIV/0!</v>
      </c>
      <c r="EJ73" s="470" t="e">
        <f ca="1"/>
        <v>#DIV/0!</v>
      </c>
      <c r="EK73" s="472" t="e">
        <f ca="1"/>
        <v>#DIV/0!</v>
      </c>
      <c r="EL73" s="462" t="e">
        <f ca="1"/>
        <v>#DIV/0!</v>
      </c>
      <c r="EM73" s="464" t="e">
        <f ca="1"/>
        <v>#NUM!</v>
      </c>
      <c r="EN73" s="464" t="e">
        <f ca="1"/>
        <v>#NUM!</v>
      </c>
      <c r="EO73" s="466" t="e">
        <f ca="1"/>
        <v>#NUM!</v>
      </c>
      <c r="EP73" s="157" t="e">
        <f ca="1"/>
        <v>#DIV/0!</v>
      </c>
      <c r="EQ73" s="157" t="e">
        <f ca="1"/>
        <v>#NUM!</v>
      </c>
      <c r="ER73" s="157">
        <f ca="1"/>
        <v>3177.8755396785723</v>
      </c>
      <c r="ES73" s="157" t="e">
        <f ca="1"/>
        <v>#DIV/0!</v>
      </c>
      <c r="ET73" s="157" t="e">
        <f ca="1"/>
        <v>#DIV/0!</v>
      </c>
      <c r="EU73" s="468" t="e">
        <f ca="1"/>
        <v>#DIV/0!</v>
      </c>
      <c r="EV73" s="470" t="e">
        <f ca="1"/>
        <v>#DIV/0!</v>
      </c>
      <c r="EW73" s="472" t="e">
        <f ca="1"/>
        <v>#DIV/0!</v>
      </c>
      <c r="EX73" s="462" t="e">
        <f ca="1"/>
        <v>#DIV/0!</v>
      </c>
      <c r="EY73" s="464" t="e">
        <f ca="1"/>
        <v>#NUM!</v>
      </c>
      <c r="EZ73" s="464" t="e">
        <f ca="1"/>
        <v>#NUM!</v>
      </c>
      <c r="FA73" s="466" t="e">
        <f ca="1"/>
        <v>#NUM!</v>
      </c>
      <c r="FB73" s="157" t="e">
        <f ca="1"/>
        <v>#DIV/0!</v>
      </c>
      <c r="FC73" s="157" t="e">
        <f ca="1"/>
        <v>#NUM!</v>
      </c>
      <c r="FD73" s="157">
        <f ca="1"/>
        <v>6509.4765389540526</v>
      </c>
      <c r="FE73" s="157" t="e">
        <f ca="1"/>
        <v>#DIV/0!</v>
      </c>
      <c r="FF73" s="157" t="e">
        <f ca="1"/>
        <v>#DIV/0!</v>
      </c>
      <c r="FG73" s="468" t="e">
        <f ca="1"/>
        <v>#DIV/0!</v>
      </c>
      <c r="FH73" s="470" t="e">
        <f ca="1"/>
        <v>#DIV/0!</v>
      </c>
      <c r="FI73" s="472" t="e">
        <f ca="1"/>
        <v>#DIV/0!</v>
      </c>
      <c r="FJ73" s="173" t="e">
        <f t="shared" ca="1" si="12"/>
        <v>#DIV/0!</v>
      </c>
      <c r="FK73" s="173" t="e">
        <f t="shared" ca="1" si="13"/>
        <v>#DIV/0!</v>
      </c>
      <c r="FL73" s="462" t="e">
        <f ca="1"/>
        <v>#DIV/0!</v>
      </c>
      <c r="FM73" s="464">
        <f ca="1"/>
        <v>0</v>
      </c>
      <c r="FN73" s="464" t="e">
        <f ca="1"/>
        <v>#DIV/0!</v>
      </c>
      <c r="FO73" s="466" t="e">
        <f ca="1"/>
        <v>#DIV/0!</v>
      </c>
      <c r="FP73" s="157" t="e">
        <f ca="1"/>
        <v>#DIV/0!</v>
      </c>
      <c r="FQ73" s="157" t="e">
        <f ca="1"/>
        <v>#DIV/0!</v>
      </c>
      <c r="FR73" s="157" t="e">
        <f ca="1"/>
        <v>#DIV/0!</v>
      </c>
      <c r="FS73" s="157">
        <f ca="1"/>
        <v>2345.7677974065859</v>
      </c>
      <c r="FT73" s="468" t="e">
        <f ca="1"/>
        <v>#DIV/0!</v>
      </c>
      <c r="FU73" s="470" t="e">
        <f ca="1"/>
        <v>#DIV/0!</v>
      </c>
      <c r="FV73" s="470" t="e">
        <f ca="1"/>
        <v>#DIV/0!</v>
      </c>
      <c r="FW73" s="462" t="e">
        <f ca="1"/>
        <v>#DIV/0!</v>
      </c>
      <c r="FX73" s="464" t="e">
        <f ca="1"/>
        <v>#NUM!</v>
      </c>
      <c r="FY73" s="464" t="e">
        <f ca="1"/>
        <v>#NUM!</v>
      </c>
      <c r="FZ73" s="466" t="e">
        <f ca="1"/>
        <v>#NUM!</v>
      </c>
      <c r="GA73" s="157" t="e">
        <f ca="1"/>
        <v>#DIV/0!</v>
      </c>
      <c r="GB73" s="157" t="e">
        <f ca="1"/>
        <v>#NUM!</v>
      </c>
      <c r="GC73" s="157" t="e">
        <f ca="1"/>
        <v>#DIV/0!</v>
      </c>
      <c r="GD73" s="157">
        <f ca="1"/>
        <v>49.71079676173936</v>
      </c>
      <c r="GE73" s="468" t="e">
        <f ca="1"/>
        <v>#DIV/0!</v>
      </c>
      <c r="GF73" s="470" t="e">
        <f ca="1"/>
        <v>#DIV/0!</v>
      </c>
      <c r="GG73" s="470" t="e">
        <f ca="1"/>
        <v>#DIV/0!</v>
      </c>
      <c r="GH73" s="173" t="e">
        <f t="shared" ca="1" si="14"/>
        <v>#DIV/0!</v>
      </c>
      <c r="GI73" s="173" t="e">
        <f t="shared" ca="1" si="15"/>
        <v>#DIV/0!</v>
      </c>
    </row>
    <row r="74" spans="2:191" ht="15">
      <c r="B74" s="169"/>
      <c r="C74" s="87">
        <f>'Oil supply projection'!B74</f>
        <v>2083</v>
      </c>
      <c r="D74" s="460" t="e">
        <f ca="1"/>
        <v>#DIV/0!</v>
      </c>
      <c r="E74" s="460" t="e">
        <f ca="1"/>
        <v>#DIV/0!</v>
      </c>
      <c r="F74" s="462" t="e">
        <f ca="1"/>
        <v>#DIV/0!</v>
      </c>
      <c r="G74" s="464">
        <f ca="1"/>
        <v>0</v>
      </c>
      <c r="H74" s="464" t="e">
        <f ca="1"/>
        <v>#DIV/0!</v>
      </c>
      <c r="I74" s="466" t="e">
        <f ca="1"/>
        <v>#DIV/0!</v>
      </c>
      <c r="J74" s="157" t="e">
        <f ca="1"/>
        <v>#DIV/0!</v>
      </c>
      <c r="K74" s="157" t="e">
        <f ca="1"/>
        <v>#DIV/0!</v>
      </c>
      <c r="L74" s="157">
        <f ca="1"/>
        <v>58.601977555504156</v>
      </c>
      <c r="M74" s="157" t="e">
        <f ca="1"/>
        <v>#DIV/0!</v>
      </c>
      <c r="N74" s="157" t="e">
        <f ca="1"/>
        <v>#DIV/0!</v>
      </c>
      <c r="O74" s="468" t="e">
        <f ca="1"/>
        <v>#DIV/0!</v>
      </c>
      <c r="P74" s="470" t="e">
        <f ca="1"/>
        <v>#DIV/0!</v>
      </c>
      <c r="Q74" s="472" t="e">
        <f ca="1"/>
        <v>#DIV/0!</v>
      </c>
      <c r="R74" s="462" t="e">
        <f ca="1"/>
        <v>#DIV/0!</v>
      </c>
      <c r="S74" s="464">
        <f ca="1"/>
        <v>0</v>
      </c>
      <c r="T74" s="464" t="e">
        <f ca="1"/>
        <v>#DIV/0!</v>
      </c>
      <c r="U74" s="466" t="e">
        <f ca="1"/>
        <v>#DIV/0!</v>
      </c>
      <c r="V74" s="157" t="e">
        <f ca="1"/>
        <v>#DIV/0!</v>
      </c>
      <c r="W74" s="157" t="e">
        <f ca="1"/>
        <v>#DIV/0!</v>
      </c>
      <c r="X74" s="157">
        <f ca="1"/>
        <v>79.919838286681028</v>
      </c>
      <c r="Y74" s="157" t="e">
        <f ca="1"/>
        <v>#DIV/0!</v>
      </c>
      <c r="Z74" s="157" t="e">
        <f ca="1"/>
        <v>#DIV/0!</v>
      </c>
      <c r="AA74" s="468" t="e">
        <f ca="1"/>
        <v>#DIV/0!</v>
      </c>
      <c r="AB74" s="470" t="e">
        <f ca="1"/>
        <v>#DIV/0!</v>
      </c>
      <c r="AC74" s="472" t="e">
        <f ca="1"/>
        <v>#DIV/0!</v>
      </c>
      <c r="AD74" s="462" t="e">
        <f ca="1"/>
        <v>#DIV/0!</v>
      </c>
      <c r="AE74" s="464">
        <f ca="1"/>
        <v>0</v>
      </c>
      <c r="AF74" s="464" t="e">
        <f ca="1"/>
        <v>#DIV/0!</v>
      </c>
      <c r="AG74" s="466" t="e">
        <f ca="1"/>
        <v>#DIV/0!</v>
      </c>
      <c r="AH74" s="157" t="e">
        <f ca="1"/>
        <v>#DIV/0!</v>
      </c>
      <c r="AI74" s="157" t="e">
        <f ca="1"/>
        <v>#DIV/0!</v>
      </c>
      <c r="AJ74" s="157">
        <f ca="1"/>
        <v>1045.5429283695066</v>
      </c>
      <c r="AK74" s="157" t="e">
        <f ca="1"/>
        <v>#DIV/0!</v>
      </c>
      <c r="AL74" s="157" t="e">
        <f ca="1"/>
        <v>#DIV/0!</v>
      </c>
      <c r="AM74" s="468" t="e">
        <f ca="1"/>
        <v>#DIV/0!</v>
      </c>
      <c r="AN74" s="470" t="e">
        <f ca="1"/>
        <v>#DIV/0!</v>
      </c>
      <c r="AO74" s="472" t="e">
        <f ca="1"/>
        <v>#DIV/0!</v>
      </c>
      <c r="AP74" s="462" t="e">
        <f ca="1"/>
        <v>#DIV/0!</v>
      </c>
      <c r="AQ74" s="464" t="e">
        <f ca="1"/>
        <v>#NUM!</v>
      </c>
      <c r="AR74" s="464" t="e">
        <f ca="1"/>
        <v>#NUM!</v>
      </c>
      <c r="AS74" s="466" t="e">
        <f ca="1"/>
        <v>#NUM!</v>
      </c>
      <c r="AT74" s="157" t="e">
        <f ca="1"/>
        <v>#DIV/0!</v>
      </c>
      <c r="AU74" s="157" t="e">
        <f ca="1"/>
        <v>#NUM!</v>
      </c>
      <c r="AV74" s="157">
        <f ca="1"/>
        <v>1884.4860900002163</v>
      </c>
      <c r="AW74" s="157" t="e">
        <f ca="1"/>
        <v>#DIV/0!</v>
      </c>
      <c r="AX74" s="157" t="e">
        <f ca="1"/>
        <v>#DIV/0!</v>
      </c>
      <c r="AY74" s="468" t="e">
        <f ca="1"/>
        <v>#DIV/0!</v>
      </c>
      <c r="AZ74" s="470" t="e">
        <f ca="1"/>
        <v>#DIV/0!</v>
      </c>
      <c r="BA74" s="472" t="e">
        <f ca="1"/>
        <v>#DIV/0!</v>
      </c>
      <c r="BB74" s="173" t="e">
        <f t="shared" ca="1" si="8"/>
        <v>#DIV/0!</v>
      </c>
      <c r="BC74" s="173" t="e">
        <f t="shared" ca="1" si="9"/>
        <v>#DIV/0!</v>
      </c>
      <c r="BD74" s="462" t="e">
        <f ca="1"/>
        <v>#DIV/0!</v>
      </c>
      <c r="BE74" s="464">
        <f ca="1"/>
        <v>0</v>
      </c>
      <c r="BF74" s="464" t="e">
        <f ca="1"/>
        <v>#DIV/0!</v>
      </c>
      <c r="BG74" s="466" t="e">
        <f ca="1"/>
        <v>#DIV/0!</v>
      </c>
      <c r="BH74" s="157" t="e">
        <f ca="1"/>
        <v>#DIV/0!</v>
      </c>
      <c r="BI74" s="157" t="e">
        <f ca="1"/>
        <v>#DIV/0!</v>
      </c>
      <c r="BJ74" s="157">
        <f ca="1"/>
        <v>22.213071883338063</v>
      </c>
      <c r="BK74" s="157" t="e">
        <f ca="1"/>
        <v>#DIV/0!</v>
      </c>
      <c r="BL74" s="157" t="e">
        <f ca="1"/>
        <v>#DIV/0!</v>
      </c>
      <c r="BM74" s="468" t="e">
        <f ca="1"/>
        <v>#DIV/0!</v>
      </c>
      <c r="BN74" s="470" t="e">
        <f ca="1"/>
        <v>#DIV/0!</v>
      </c>
      <c r="BO74" s="472" t="e">
        <f ca="1"/>
        <v>#DIV/0!</v>
      </c>
      <c r="BP74" s="462" t="e">
        <f ca="1"/>
        <v>#DIV/0!</v>
      </c>
      <c r="BQ74" s="464">
        <f ca="1"/>
        <v>0</v>
      </c>
      <c r="BR74" s="464" t="e">
        <f ca="1"/>
        <v>#DIV/0!</v>
      </c>
      <c r="BS74" s="466" t="e">
        <f ca="1"/>
        <v>#DIV/0!</v>
      </c>
      <c r="BT74" s="157" t="e">
        <f ca="1"/>
        <v>#DIV/0!</v>
      </c>
      <c r="BU74" s="157" t="e">
        <f ca="1"/>
        <v>#DIV/0!</v>
      </c>
      <c r="BV74" s="157">
        <f ca="1"/>
        <v>16.263959874882175</v>
      </c>
      <c r="BW74" s="157" t="e">
        <f ca="1"/>
        <v>#DIV/0!</v>
      </c>
      <c r="BX74" s="157" t="e">
        <f ca="1"/>
        <v>#DIV/0!</v>
      </c>
      <c r="BY74" s="468" t="e">
        <f ca="1"/>
        <v>#DIV/0!</v>
      </c>
      <c r="BZ74" s="470" t="e">
        <f ca="1"/>
        <v>#DIV/0!</v>
      </c>
      <c r="CA74" s="472" t="e">
        <f ca="1"/>
        <v>#DIV/0!</v>
      </c>
      <c r="CB74" s="462" t="e">
        <f ca="1"/>
        <v>#DIV/0!</v>
      </c>
      <c r="CC74" s="464">
        <f ca="1"/>
        <v>0</v>
      </c>
      <c r="CD74" s="464" t="e">
        <f ca="1"/>
        <v>#DIV/0!</v>
      </c>
      <c r="CE74" s="466" t="e">
        <f ca="1"/>
        <v>#DIV/0!</v>
      </c>
      <c r="CF74" s="157" t="e">
        <f ca="1"/>
        <v>#DIV/0!</v>
      </c>
      <c r="CG74" s="157" t="e">
        <f ca="1"/>
        <v>#DIV/0!</v>
      </c>
      <c r="CH74" s="157">
        <f ca="1"/>
        <v>56.21585829582579</v>
      </c>
      <c r="CI74" s="157" t="e">
        <f ca="1"/>
        <v>#DIV/0!</v>
      </c>
      <c r="CJ74" s="157" t="e">
        <f ca="1"/>
        <v>#DIV/0!</v>
      </c>
      <c r="CK74" s="468" t="e">
        <f ca="1"/>
        <v>#DIV/0!</v>
      </c>
      <c r="CL74" s="470" t="e">
        <f ca="1"/>
        <v>#DIV/0!</v>
      </c>
      <c r="CM74" s="472" t="e">
        <f ca="1"/>
        <v>#DIV/0!</v>
      </c>
      <c r="CN74" s="462" t="e">
        <f ca="1"/>
        <v>#DIV/0!</v>
      </c>
      <c r="CO74" s="464" t="e">
        <f ca="1"/>
        <v>#NUM!</v>
      </c>
      <c r="CP74" s="464" t="e">
        <f ca="1"/>
        <v>#NUM!</v>
      </c>
      <c r="CQ74" s="466" t="e">
        <f ca="1"/>
        <v>#NUM!</v>
      </c>
      <c r="CR74" s="157" t="e">
        <f ca="1"/>
        <v>#DIV/0!</v>
      </c>
      <c r="CS74" s="157" t="e">
        <f ca="1"/>
        <v>#NUM!</v>
      </c>
      <c r="CT74" s="157">
        <f ca="1"/>
        <v>8.3619273914972982</v>
      </c>
      <c r="CU74" s="157" t="e">
        <f ca="1"/>
        <v>#DIV/0!</v>
      </c>
      <c r="CV74" s="157" t="e">
        <f ca="1"/>
        <v>#DIV/0!</v>
      </c>
      <c r="CW74" s="468" t="e">
        <f ca="1"/>
        <v>#DIV/0!</v>
      </c>
      <c r="CX74" s="470" t="e">
        <f ca="1"/>
        <v>#DIV/0!</v>
      </c>
      <c r="CY74" s="472" t="e">
        <f ca="1"/>
        <v>#DIV/0!</v>
      </c>
      <c r="CZ74" s="173" t="e">
        <f t="shared" ca="1" si="10"/>
        <v>#DIV/0!</v>
      </c>
      <c r="DA74" s="173" t="e">
        <f t="shared" ca="1" si="11"/>
        <v>#DIV/0!</v>
      </c>
      <c r="DB74" s="462" t="e">
        <f ca="1"/>
        <v>#DIV/0!</v>
      </c>
      <c r="DC74" s="464">
        <f ca="1"/>
        <v>0</v>
      </c>
      <c r="DD74" s="464" t="e">
        <f ca="1"/>
        <v>#DIV/0!</v>
      </c>
      <c r="DE74" s="466" t="e">
        <f ca="1"/>
        <v>#DIV/0!</v>
      </c>
      <c r="DF74" s="157" t="e">
        <f ca="1"/>
        <v>#DIV/0!</v>
      </c>
      <c r="DG74" s="157" t="e">
        <f ca="1"/>
        <v>#DIV/0!</v>
      </c>
      <c r="DH74" s="157">
        <f ca="1"/>
        <v>26114.00243859339</v>
      </c>
      <c r="DI74" s="157" t="e">
        <f ca="1"/>
        <v>#DIV/0!</v>
      </c>
      <c r="DJ74" s="157" t="e">
        <f ca="1"/>
        <v>#DIV/0!</v>
      </c>
      <c r="DK74" s="468" t="e">
        <f ca="1"/>
        <v>#DIV/0!</v>
      </c>
      <c r="DL74" s="470" t="e">
        <f ca="1"/>
        <v>#DIV/0!</v>
      </c>
      <c r="DM74" s="472" t="e">
        <f ca="1"/>
        <v>#DIV/0!</v>
      </c>
      <c r="DN74" s="462" t="e">
        <f ca="1"/>
        <v>#DIV/0!</v>
      </c>
      <c r="DO74" s="464">
        <f ca="1"/>
        <v>0</v>
      </c>
      <c r="DP74" s="464" t="e">
        <f ca="1"/>
        <v>#DIV/0!</v>
      </c>
      <c r="DQ74" s="466" t="e">
        <f ca="1"/>
        <v>#DIV/0!</v>
      </c>
      <c r="DR74" s="157" t="e">
        <f ca="1"/>
        <v>#DIV/0!</v>
      </c>
      <c r="DS74" s="157" t="e">
        <f ca="1"/>
        <v>#DIV/0!</v>
      </c>
      <c r="DT74" s="157">
        <f ca="1"/>
        <v>21507.264486686279</v>
      </c>
      <c r="DU74" s="157" t="e">
        <f ca="1"/>
        <v>#DIV/0!</v>
      </c>
      <c r="DV74" s="157" t="e">
        <f ca="1"/>
        <v>#DIV/0!</v>
      </c>
      <c r="DW74" s="468" t="e">
        <f ca="1"/>
        <v>#DIV/0!</v>
      </c>
      <c r="DX74" s="470" t="e">
        <f ca="1"/>
        <v>#DIV/0!</v>
      </c>
      <c r="DY74" s="472" t="e">
        <f ca="1"/>
        <v>#DIV/0!</v>
      </c>
      <c r="DZ74" s="462" t="e">
        <f ca="1"/>
        <v>#DIV/0!</v>
      </c>
      <c r="EA74" s="464">
        <f ca="1"/>
        <v>0</v>
      </c>
      <c r="EB74" s="464" t="e">
        <f ca="1"/>
        <v>#DIV/0!</v>
      </c>
      <c r="EC74" s="466" t="e">
        <f ca="1"/>
        <v>#DIV/0!</v>
      </c>
      <c r="ED74" s="157" t="e">
        <f ca="1"/>
        <v>#DIV/0!</v>
      </c>
      <c r="EE74" s="157" t="e">
        <f ca="1"/>
        <v>#DIV/0!</v>
      </c>
      <c r="EF74" s="157">
        <f ca="1"/>
        <v>16898.251388578017</v>
      </c>
      <c r="EG74" s="157" t="e">
        <f ca="1"/>
        <v>#DIV/0!</v>
      </c>
      <c r="EH74" s="157" t="e">
        <f ca="1"/>
        <v>#DIV/0!</v>
      </c>
      <c r="EI74" s="468" t="e">
        <f ca="1"/>
        <v>#DIV/0!</v>
      </c>
      <c r="EJ74" s="470" t="e">
        <f ca="1"/>
        <v>#DIV/0!</v>
      </c>
      <c r="EK74" s="472" t="e">
        <f ca="1"/>
        <v>#DIV/0!</v>
      </c>
      <c r="EL74" s="462" t="e">
        <f ca="1"/>
        <v>#DIV/0!</v>
      </c>
      <c r="EM74" s="464" t="e">
        <f ca="1"/>
        <v>#NUM!</v>
      </c>
      <c r="EN74" s="464" t="e">
        <f ca="1"/>
        <v>#NUM!</v>
      </c>
      <c r="EO74" s="466" t="e">
        <f ca="1"/>
        <v>#NUM!</v>
      </c>
      <c r="EP74" s="157" t="e">
        <f ca="1"/>
        <v>#DIV/0!</v>
      </c>
      <c r="EQ74" s="157" t="e">
        <f ca="1"/>
        <v>#NUM!</v>
      </c>
      <c r="ER74" s="157">
        <f ca="1"/>
        <v>3210.6000646849652</v>
      </c>
      <c r="ES74" s="157" t="e">
        <f ca="1"/>
        <v>#DIV/0!</v>
      </c>
      <c r="ET74" s="157" t="e">
        <f ca="1"/>
        <v>#DIV/0!</v>
      </c>
      <c r="EU74" s="468" t="e">
        <f ca="1"/>
        <v>#DIV/0!</v>
      </c>
      <c r="EV74" s="470" t="e">
        <f ca="1"/>
        <v>#DIV/0!</v>
      </c>
      <c r="EW74" s="472" t="e">
        <f ca="1"/>
        <v>#DIV/0!</v>
      </c>
      <c r="EX74" s="462" t="e">
        <f ca="1"/>
        <v>#DIV/0!</v>
      </c>
      <c r="EY74" s="464" t="e">
        <f ca="1"/>
        <v>#NUM!</v>
      </c>
      <c r="EZ74" s="464" t="e">
        <f ca="1"/>
        <v>#NUM!</v>
      </c>
      <c r="FA74" s="466" t="e">
        <f ca="1"/>
        <v>#NUM!</v>
      </c>
      <c r="FB74" s="157" t="e">
        <f ca="1"/>
        <v>#DIV/0!</v>
      </c>
      <c r="FC74" s="157" t="e">
        <f ca="1"/>
        <v>#NUM!</v>
      </c>
      <c r="FD74" s="157">
        <f ca="1"/>
        <v>6576.5085938969823</v>
      </c>
      <c r="FE74" s="157" t="e">
        <f ca="1"/>
        <v>#DIV/0!</v>
      </c>
      <c r="FF74" s="157" t="e">
        <f ca="1"/>
        <v>#DIV/0!</v>
      </c>
      <c r="FG74" s="468" t="e">
        <f ca="1"/>
        <v>#DIV/0!</v>
      </c>
      <c r="FH74" s="470" t="e">
        <f ca="1"/>
        <v>#DIV/0!</v>
      </c>
      <c r="FI74" s="472" t="e">
        <f ca="1"/>
        <v>#DIV/0!</v>
      </c>
      <c r="FJ74" s="173" t="e">
        <f t="shared" ca="1" si="12"/>
        <v>#DIV/0!</v>
      </c>
      <c r="FK74" s="173" t="e">
        <f t="shared" ca="1" si="13"/>
        <v>#DIV/0!</v>
      </c>
      <c r="FL74" s="462" t="e">
        <f ca="1"/>
        <v>#DIV/0!</v>
      </c>
      <c r="FM74" s="464">
        <f ca="1"/>
        <v>0</v>
      </c>
      <c r="FN74" s="464" t="e">
        <f ca="1"/>
        <v>#DIV/0!</v>
      </c>
      <c r="FO74" s="466" t="e">
        <f ca="1"/>
        <v>#DIV/0!</v>
      </c>
      <c r="FP74" s="157" t="e">
        <f ca="1"/>
        <v>#DIV/0!</v>
      </c>
      <c r="FQ74" s="157" t="e">
        <f ca="1"/>
        <v>#DIV/0!</v>
      </c>
      <c r="FR74" s="157" t="e">
        <f ca="1"/>
        <v>#DIV/0!</v>
      </c>
      <c r="FS74" s="157">
        <f ca="1"/>
        <v>2358.8564451312795</v>
      </c>
      <c r="FT74" s="468" t="e">
        <f ca="1"/>
        <v>#DIV/0!</v>
      </c>
      <c r="FU74" s="470" t="e">
        <f ca="1"/>
        <v>#DIV/0!</v>
      </c>
      <c r="FV74" s="470" t="e">
        <f ca="1"/>
        <v>#DIV/0!</v>
      </c>
      <c r="FW74" s="462" t="e">
        <f ca="1"/>
        <v>#DIV/0!</v>
      </c>
      <c r="FX74" s="464" t="e">
        <f ca="1"/>
        <v>#NUM!</v>
      </c>
      <c r="FY74" s="464" t="e">
        <f ca="1"/>
        <v>#NUM!</v>
      </c>
      <c r="FZ74" s="466" t="e">
        <f ca="1"/>
        <v>#NUM!</v>
      </c>
      <c r="GA74" s="157" t="e">
        <f ca="1"/>
        <v>#DIV/0!</v>
      </c>
      <c r="GB74" s="157" t="e">
        <f ca="1"/>
        <v>#NUM!</v>
      </c>
      <c r="GC74" s="157" t="e">
        <f ca="1"/>
        <v>#DIV/0!</v>
      </c>
      <c r="GD74" s="157">
        <f ca="1"/>
        <v>49.988167398188374</v>
      </c>
      <c r="GE74" s="468" t="e">
        <f ca="1"/>
        <v>#DIV/0!</v>
      </c>
      <c r="GF74" s="470" t="e">
        <f ca="1"/>
        <v>#DIV/0!</v>
      </c>
      <c r="GG74" s="470" t="e">
        <f ca="1"/>
        <v>#DIV/0!</v>
      </c>
      <c r="GH74" s="173" t="e">
        <f t="shared" ca="1" si="14"/>
        <v>#DIV/0!</v>
      </c>
      <c r="GI74" s="173" t="e">
        <f t="shared" ca="1" si="15"/>
        <v>#DIV/0!</v>
      </c>
    </row>
    <row r="75" spans="2:191" ht="15">
      <c r="B75" s="169"/>
      <c r="C75" s="87">
        <f>'Oil supply projection'!B75</f>
        <v>2084</v>
      </c>
      <c r="D75" s="460" t="e">
        <f ca="1"/>
        <v>#DIV/0!</v>
      </c>
      <c r="E75" s="460" t="e">
        <f ca="1"/>
        <v>#DIV/0!</v>
      </c>
      <c r="F75" s="462" t="e">
        <f ca="1"/>
        <v>#DIV/0!</v>
      </c>
      <c r="G75" s="464">
        <f ca="1"/>
        <v>0</v>
      </c>
      <c r="H75" s="464" t="e">
        <f ca="1"/>
        <v>#DIV/0!</v>
      </c>
      <c r="I75" s="466" t="e">
        <f ca="1"/>
        <v>#DIV/0!</v>
      </c>
      <c r="J75" s="157" t="e">
        <f ca="1"/>
        <v>#DIV/0!</v>
      </c>
      <c r="K75" s="157" t="e">
        <f ca="1"/>
        <v>#DIV/0!</v>
      </c>
      <c r="L75" s="157">
        <f ca="1"/>
        <v>59.381230841527334</v>
      </c>
      <c r="M75" s="157" t="e">
        <f ca="1"/>
        <v>#DIV/0!</v>
      </c>
      <c r="N75" s="157" t="e">
        <f ca="1"/>
        <v>#DIV/0!</v>
      </c>
      <c r="O75" s="468" t="e">
        <f ca="1"/>
        <v>#DIV/0!</v>
      </c>
      <c r="P75" s="470" t="e">
        <f ca="1"/>
        <v>#DIV/0!</v>
      </c>
      <c r="Q75" s="472" t="e">
        <f ca="1"/>
        <v>#DIV/0!</v>
      </c>
      <c r="R75" s="462" t="e">
        <f ca="1"/>
        <v>#DIV/0!</v>
      </c>
      <c r="S75" s="464">
        <f ca="1"/>
        <v>0</v>
      </c>
      <c r="T75" s="464" t="e">
        <f ca="1"/>
        <v>#DIV/0!</v>
      </c>
      <c r="U75" s="466" t="e">
        <f ca="1"/>
        <v>#DIV/0!</v>
      </c>
      <c r="V75" s="157" t="e">
        <f ca="1"/>
        <v>#DIV/0!</v>
      </c>
      <c r="W75" s="157" t="e">
        <f ca="1"/>
        <v>#DIV/0!</v>
      </c>
      <c r="X75" s="157">
        <f ca="1"/>
        <v>80.982563457420383</v>
      </c>
      <c r="Y75" s="157" t="e">
        <f ca="1"/>
        <v>#DIV/0!</v>
      </c>
      <c r="Z75" s="157" t="e">
        <f ca="1"/>
        <v>#DIV/0!</v>
      </c>
      <c r="AA75" s="468" t="e">
        <f ca="1"/>
        <v>#DIV/0!</v>
      </c>
      <c r="AB75" s="470" t="e">
        <f ca="1"/>
        <v>#DIV/0!</v>
      </c>
      <c r="AC75" s="472" t="e">
        <f ca="1"/>
        <v>#DIV/0!</v>
      </c>
      <c r="AD75" s="462" t="e">
        <f ca="1"/>
        <v>#DIV/0!</v>
      </c>
      <c r="AE75" s="464">
        <f ca="1"/>
        <v>0</v>
      </c>
      <c r="AF75" s="464" t="e">
        <f ca="1"/>
        <v>#DIV/0!</v>
      </c>
      <c r="AG75" s="466" t="e">
        <f ca="1"/>
        <v>#DIV/0!</v>
      </c>
      <c r="AH75" s="157" t="e">
        <f ca="1"/>
        <v>#DIV/0!</v>
      </c>
      <c r="AI75" s="157" t="e">
        <f ca="1"/>
        <v>#DIV/0!</v>
      </c>
      <c r="AJ75" s="157">
        <f ca="1"/>
        <v>1059.4459193025098</v>
      </c>
      <c r="AK75" s="157" t="e">
        <f ca="1"/>
        <v>#DIV/0!</v>
      </c>
      <c r="AL75" s="157" t="e">
        <f ca="1"/>
        <v>#DIV/0!</v>
      </c>
      <c r="AM75" s="468" t="e">
        <f ca="1"/>
        <v>#DIV/0!</v>
      </c>
      <c r="AN75" s="470" t="e">
        <f ca="1"/>
        <v>#DIV/0!</v>
      </c>
      <c r="AO75" s="472" t="e">
        <f ca="1"/>
        <v>#DIV/0!</v>
      </c>
      <c r="AP75" s="462" t="e">
        <f ca="1"/>
        <v>#DIV/0!</v>
      </c>
      <c r="AQ75" s="464" t="e">
        <f ca="1"/>
        <v>#NUM!</v>
      </c>
      <c r="AR75" s="464" t="e">
        <f ca="1"/>
        <v>#NUM!</v>
      </c>
      <c r="AS75" s="466" t="e">
        <f ca="1"/>
        <v>#NUM!</v>
      </c>
      <c r="AT75" s="157" t="e">
        <f ca="1"/>
        <v>#DIV/0!</v>
      </c>
      <c r="AU75" s="157" t="e">
        <f ca="1"/>
        <v>#NUM!</v>
      </c>
      <c r="AV75" s="157">
        <f ca="1"/>
        <v>1909.5448344206886</v>
      </c>
      <c r="AW75" s="157" t="e">
        <f ca="1"/>
        <v>#DIV/0!</v>
      </c>
      <c r="AX75" s="157" t="e">
        <f ca="1"/>
        <v>#DIV/0!</v>
      </c>
      <c r="AY75" s="468" t="e">
        <f ca="1"/>
        <v>#DIV/0!</v>
      </c>
      <c r="AZ75" s="470" t="e">
        <f ca="1"/>
        <v>#DIV/0!</v>
      </c>
      <c r="BA75" s="472" t="e">
        <f ca="1"/>
        <v>#DIV/0!</v>
      </c>
      <c r="BB75" s="173" t="e">
        <f t="shared" ca="1" si="8"/>
        <v>#DIV/0!</v>
      </c>
      <c r="BC75" s="173" t="e">
        <f t="shared" ca="1" si="9"/>
        <v>#DIV/0!</v>
      </c>
      <c r="BD75" s="462" t="e">
        <f ca="1"/>
        <v>#DIV/0!</v>
      </c>
      <c r="BE75" s="464">
        <f ca="1"/>
        <v>0</v>
      </c>
      <c r="BF75" s="464" t="e">
        <f ca="1"/>
        <v>#DIV/0!</v>
      </c>
      <c r="BG75" s="466" t="e">
        <f ca="1"/>
        <v>#DIV/0!</v>
      </c>
      <c r="BH75" s="157" t="e">
        <f ca="1"/>
        <v>#DIV/0!</v>
      </c>
      <c r="BI75" s="157" t="e">
        <f ca="1"/>
        <v>#DIV/0!</v>
      </c>
      <c r="BJ75" s="157">
        <f ca="1"/>
        <v>22.344209443573085</v>
      </c>
      <c r="BK75" s="157" t="e">
        <f ca="1"/>
        <v>#DIV/0!</v>
      </c>
      <c r="BL75" s="157" t="e">
        <f ca="1"/>
        <v>#DIV/0!</v>
      </c>
      <c r="BM75" s="468" t="e">
        <f ca="1"/>
        <v>#DIV/0!</v>
      </c>
      <c r="BN75" s="470" t="e">
        <f ca="1"/>
        <v>#DIV/0!</v>
      </c>
      <c r="BO75" s="472" t="e">
        <f ca="1"/>
        <v>#DIV/0!</v>
      </c>
      <c r="BP75" s="462" t="e">
        <f ca="1"/>
        <v>#DIV/0!</v>
      </c>
      <c r="BQ75" s="464">
        <f ca="1"/>
        <v>0</v>
      </c>
      <c r="BR75" s="464" t="e">
        <f ca="1"/>
        <v>#DIV/0!</v>
      </c>
      <c r="BS75" s="466" t="e">
        <f ca="1"/>
        <v>#DIV/0!</v>
      </c>
      <c r="BT75" s="157" t="e">
        <f ca="1"/>
        <v>#DIV/0!</v>
      </c>
      <c r="BU75" s="157" t="e">
        <f ca="1"/>
        <v>#DIV/0!</v>
      </c>
      <c r="BV75" s="157">
        <f ca="1"/>
        <v>16.359976131839062</v>
      </c>
      <c r="BW75" s="157" t="e">
        <f ca="1"/>
        <v>#DIV/0!</v>
      </c>
      <c r="BX75" s="157" t="e">
        <f ca="1"/>
        <v>#DIV/0!</v>
      </c>
      <c r="BY75" s="468" t="e">
        <f ca="1"/>
        <v>#DIV/0!</v>
      </c>
      <c r="BZ75" s="470" t="e">
        <f ca="1"/>
        <v>#DIV/0!</v>
      </c>
      <c r="CA75" s="472" t="e">
        <f ca="1"/>
        <v>#DIV/0!</v>
      </c>
      <c r="CB75" s="462" t="e">
        <f ca="1"/>
        <v>#DIV/0!</v>
      </c>
      <c r="CC75" s="464">
        <f ca="1"/>
        <v>0</v>
      </c>
      <c r="CD75" s="464" t="e">
        <f ca="1"/>
        <v>#DIV/0!</v>
      </c>
      <c r="CE75" s="466" t="e">
        <f ca="1"/>
        <v>#DIV/0!</v>
      </c>
      <c r="CF75" s="157" t="e">
        <f ca="1"/>
        <v>#DIV/0!</v>
      </c>
      <c r="CG75" s="157" t="e">
        <f ca="1"/>
        <v>#DIV/0!</v>
      </c>
      <c r="CH75" s="157">
        <f ca="1"/>
        <v>56.547735423948808</v>
      </c>
      <c r="CI75" s="157" t="e">
        <f ca="1"/>
        <v>#DIV/0!</v>
      </c>
      <c r="CJ75" s="157" t="e">
        <f ca="1"/>
        <v>#DIV/0!</v>
      </c>
      <c r="CK75" s="468" t="e">
        <f ca="1"/>
        <v>#DIV/0!</v>
      </c>
      <c r="CL75" s="470" t="e">
        <f ca="1"/>
        <v>#DIV/0!</v>
      </c>
      <c r="CM75" s="472" t="e">
        <f ca="1"/>
        <v>#DIV/0!</v>
      </c>
      <c r="CN75" s="462" t="e">
        <f ca="1"/>
        <v>#DIV/0!</v>
      </c>
      <c r="CO75" s="464" t="e">
        <f ca="1"/>
        <v>#NUM!</v>
      </c>
      <c r="CP75" s="464" t="e">
        <f ca="1"/>
        <v>#NUM!</v>
      </c>
      <c r="CQ75" s="466" t="e">
        <f ca="1"/>
        <v>#NUM!</v>
      </c>
      <c r="CR75" s="157" t="e">
        <f ca="1"/>
        <v>#DIV/0!</v>
      </c>
      <c r="CS75" s="157" t="e">
        <f ca="1"/>
        <v>#NUM!</v>
      </c>
      <c r="CT75" s="157">
        <f ca="1"/>
        <v>8.4112930426212156</v>
      </c>
      <c r="CU75" s="157" t="e">
        <f ca="1"/>
        <v>#DIV/0!</v>
      </c>
      <c r="CV75" s="157" t="e">
        <f ca="1"/>
        <v>#DIV/0!</v>
      </c>
      <c r="CW75" s="468" t="e">
        <f ca="1"/>
        <v>#DIV/0!</v>
      </c>
      <c r="CX75" s="470" t="e">
        <f ca="1"/>
        <v>#DIV/0!</v>
      </c>
      <c r="CY75" s="472" t="e">
        <f ca="1"/>
        <v>#DIV/0!</v>
      </c>
      <c r="CZ75" s="173" t="e">
        <f t="shared" ca="1" si="10"/>
        <v>#DIV/0!</v>
      </c>
      <c r="DA75" s="173" t="e">
        <f t="shared" ca="1" si="11"/>
        <v>#DIV/0!</v>
      </c>
      <c r="DB75" s="462" t="e">
        <f ca="1"/>
        <v>#DIV/0!</v>
      </c>
      <c r="DC75" s="464">
        <f ca="1"/>
        <v>0</v>
      </c>
      <c r="DD75" s="464" t="e">
        <f ca="1"/>
        <v>#DIV/0!</v>
      </c>
      <c r="DE75" s="466" t="e">
        <f ca="1"/>
        <v>#DIV/0!</v>
      </c>
      <c r="DF75" s="157" t="e">
        <f ca="1"/>
        <v>#DIV/0!</v>
      </c>
      <c r="DG75" s="157" t="e">
        <f ca="1"/>
        <v>#DIV/0!</v>
      </c>
      <c r="DH75" s="157">
        <f ca="1"/>
        <v>26382.914268257169</v>
      </c>
      <c r="DI75" s="157" t="e">
        <f ca="1"/>
        <v>#DIV/0!</v>
      </c>
      <c r="DJ75" s="157" t="e">
        <f ca="1"/>
        <v>#DIV/0!</v>
      </c>
      <c r="DK75" s="468" t="e">
        <f ca="1"/>
        <v>#DIV/0!</v>
      </c>
      <c r="DL75" s="470" t="e">
        <f ca="1"/>
        <v>#DIV/0!</v>
      </c>
      <c r="DM75" s="472" t="e">
        <f ca="1"/>
        <v>#DIV/0!</v>
      </c>
      <c r="DN75" s="462" t="e">
        <f ca="1"/>
        <v>#DIV/0!</v>
      </c>
      <c r="DO75" s="464">
        <f ca="1"/>
        <v>0</v>
      </c>
      <c r="DP75" s="464" t="e">
        <f ca="1"/>
        <v>#DIV/0!</v>
      </c>
      <c r="DQ75" s="466" t="e">
        <f ca="1"/>
        <v>#DIV/0!</v>
      </c>
      <c r="DR75" s="157" t="e">
        <f ca="1"/>
        <v>#DIV/0!</v>
      </c>
      <c r="DS75" s="157" t="e">
        <f ca="1"/>
        <v>#DIV/0!</v>
      </c>
      <c r="DT75" s="157">
        <f ca="1"/>
        <v>21728.73792254804</v>
      </c>
      <c r="DU75" s="157" t="e">
        <f ca="1"/>
        <v>#DIV/0!</v>
      </c>
      <c r="DV75" s="157" t="e">
        <f ca="1"/>
        <v>#DIV/0!</v>
      </c>
      <c r="DW75" s="468" t="e">
        <f ca="1"/>
        <v>#DIV/0!</v>
      </c>
      <c r="DX75" s="470" t="e">
        <f ca="1"/>
        <v>#DIV/0!</v>
      </c>
      <c r="DY75" s="472" t="e">
        <f ca="1"/>
        <v>#DIV/0!</v>
      </c>
      <c r="DZ75" s="462" t="e">
        <f ca="1"/>
        <v>#DIV/0!</v>
      </c>
      <c r="EA75" s="464">
        <f ca="1"/>
        <v>0</v>
      </c>
      <c r="EB75" s="464" t="e">
        <f ca="1"/>
        <v>#DIV/0!</v>
      </c>
      <c r="EC75" s="466" t="e">
        <f ca="1"/>
        <v>#DIV/0!</v>
      </c>
      <c r="ED75" s="157" t="e">
        <f ca="1"/>
        <v>#DIV/0!</v>
      </c>
      <c r="EE75" s="157" t="e">
        <f ca="1"/>
        <v>#DIV/0!</v>
      </c>
      <c r="EF75" s="157">
        <f ca="1"/>
        <v>17072.263002068008</v>
      </c>
      <c r="EG75" s="157" t="e">
        <f ca="1"/>
        <v>#DIV/0!</v>
      </c>
      <c r="EH75" s="157" t="e">
        <f ca="1"/>
        <v>#DIV/0!</v>
      </c>
      <c r="EI75" s="468" t="e">
        <f ca="1"/>
        <v>#DIV/0!</v>
      </c>
      <c r="EJ75" s="470" t="e">
        <f ca="1"/>
        <v>#DIV/0!</v>
      </c>
      <c r="EK75" s="472" t="e">
        <f ca="1"/>
        <v>#DIV/0!</v>
      </c>
      <c r="EL75" s="462" t="e">
        <f ca="1"/>
        <v>#DIV/0!</v>
      </c>
      <c r="EM75" s="464" t="e">
        <f ca="1"/>
        <v>#NUM!</v>
      </c>
      <c r="EN75" s="464" t="e">
        <f ca="1"/>
        <v>#NUM!</v>
      </c>
      <c r="EO75" s="466" t="e">
        <f ca="1"/>
        <v>#NUM!</v>
      </c>
      <c r="EP75" s="157" t="e">
        <f ca="1"/>
        <v>#DIV/0!</v>
      </c>
      <c r="EQ75" s="157" t="e">
        <f ca="1"/>
        <v>#NUM!</v>
      </c>
      <c r="ER75" s="157">
        <f ca="1"/>
        <v>3243.661574108628</v>
      </c>
      <c r="ES75" s="157" t="e">
        <f ca="1"/>
        <v>#DIV/0!</v>
      </c>
      <c r="ET75" s="157" t="e">
        <f ca="1"/>
        <v>#DIV/0!</v>
      </c>
      <c r="EU75" s="468" t="e">
        <f ca="1"/>
        <v>#DIV/0!</v>
      </c>
      <c r="EV75" s="470" t="e">
        <f ca="1"/>
        <v>#DIV/0!</v>
      </c>
      <c r="EW75" s="472" t="e">
        <f ca="1"/>
        <v>#DIV/0!</v>
      </c>
      <c r="EX75" s="462" t="e">
        <f ca="1"/>
        <v>#DIV/0!</v>
      </c>
      <c r="EY75" s="464" t="e">
        <f ca="1"/>
        <v>#NUM!</v>
      </c>
      <c r="EZ75" s="464" t="e">
        <f ca="1"/>
        <v>#NUM!</v>
      </c>
      <c r="FA75" s="466" t="e">
        <f ca="1"/>
        <v>#NUM!</v>
      </c>
      <c r="FB75" s="157" t="e">
        <f ca="1"/>
        <v>#DIV/0!</v>
      </c>
      <c r="FC75" s="157" t="e">
        <f ca="1"/>
        <v>#NUM!</v>
      </c>
      <c r="FD75" s="157">
        <f ca="1"/>
        <v>6644.2309188428826</v>
      </c>
      <c r="FE75" s="157" t="e">
        <f ca="1"/>
        <v>#DIV/0!</v>
      </c>
      <c r="FF75" s="157" t="e">
        <f ca="1"/>
        <v>#DIV/0!</v>
      </c>
      <c r="FG75" s="468" t="e">
        <f ca="1"/>
        <v>#DIV/0!</v>
      </c>
      <c r="FH75" s="470" t="e">
        <f ca="1"/>
        <v>#DIV/0!</v>
      </c>
      <c r="FI75" s="472" t="e">
        <f ca="1"/>
        <v>#DIV/0!</v>
      </c>
      <c r="FJ75" s="173" t="e">
        <f t="shared" ca="1" si="12"/>
        <v>#DIV/0!</v>
      </c>
      <c r="FK75" s="173" t="e">
        <f t="shared" ca="1" si="13"/>
        <v>#DIV/0!</v>
      </c>
      <c r="FL75" s="462" t="e">
        <f ca="1"/>
        <v>#DIV/0!</v>
      </c>
      <c r="FM75" s="464">
        <f ca="1"/>
        <v>0</v>
      </c>
      <c r="FN75" s="464" t="e">
        <f ca="1"/>
        <v>#DIV/0!</v>
      </c>
      <c r="FO75" s="466" t="e">
        <f ca="1"/>
        <v>#DIV/0!</v>
      </c>
      <c r="FP75" s="157" t="e">
        <f ca="1"/>
        <v>#DIV/0!</v>
      </c>
      <c r="FQ75" s="157" t="e">
        <f ca="1"/>
        <v>#DIV/0!</v>
      </c>
      <c r="FR75" s="157" t="e">
        <f ca="1"/>
        <v>#DIV/0!</v>
      </c>
      <c r="FS75" s="157">
        <f ca="1"/>
        <v>2372.0181234003653</v>
      </c>
      <c r="FT75" s="468" t="e">
        <f ca="1"/>
        <v>#DIV/0!</v>
      </c>
      <c r="FU75" s="470" t="e">
        <f ca="1"/>
        <v>#DIV/0!</v>
      </c>
      <c r="FV75" s="470" t="e">
        <f ca="1"/>
        <v>#DIV/0!</v>
      </c>
      <c r="FW75" s="462" t="e">
        <f ca="1"/>
        <v>#DIV/0!</v>
      </c>
      <c r="FX75" s="464" t="e">
        <f ca="1"/>
        <v>#NUM!</v>
      </c>
      <c r="FY75" s="464" t="e">
        <f ca="1"/>
        <v>#NUM!</v>
      </c>
      <c r="FZ75" s="466" t="e">
        <f ca="1"/>
        <v>#NUM!</v>
      </c>
      <c r="GA75" s="157" t="e">
        <f ca="1"/>
        <v>#DIV/0!</v>
      </c>
      <c r="GB75" s="157" t="e">
        <f ca="1"/>
        <v>#NUM!</v>
      </c>
      <c r="GC75" s="157" t="e">
        <f ca="1"/>
        <v>#DIV/0!</v>
      </c>
      <c r="GD75" s="157">
        <f ca="1"/>
        <v>50.267085675692762</v>
      </c>
      <c r="GE75" s="468" t="e">
        <f ca="1"/>
        <v>#DIV/0!</v>
      </c>
      <c r="GF75" s="470" t="e">
        <f ca="1"/>
        <v>#DIV/0!</v>
      </c>
      <c r="GG75" s="470" t="e">
        <f ca="1"/>
        <v>#DIV/0!</v>
      </c>
      <c r="GH75" s="173" t="e">
        <f t="shared" ca="1" si="14"/>
        <v>#DIV/0!</v>
      </c>
      <c r="GI75" s="173" t="e">
        <f t="shared" ca="1" si="15"/>
        <v>#DIV/0!</v>
      </c>
    </row>
    <row r="76" spans="2:191" ht="15">
      <c r="B76" s="169"/>
      <c r="C76" s="87">
        <f>'Oil supply projection'!B76</f>
        <v>2085</v>
      </c>
      <c r="D76" s="460" t="e">
        <f ca="1"/>
        <v>#DIV/0!</v>
      </c>
      <c r="E76" s="460" t="e">
        <f ca="1"/>
        <v>#DIV/0!</v>
      </c>
      <c r="F76" s="462" t="e">
        <f ca="1"/>
        <v>#DIV/0!</v>
      </c>
      <c r="G76" s="464">
        <f ca="1"/>
        <v>0</v>
      </c>
      <c r="H76" s="464" t="e">
        <f ca="1"/>
        <v>#DIV/0!</v>
      </c>
      <c r="I76" s="466" t="e">
        <f ca="1"/>
        <v>#DIV/0!</v>
      </c>
      <c r="J76" s="157" t="e">
        <f ca="1"/>
        <v>#DIV/0!</v>
      </c>
      <c r="K76" s="157" t="e">
        <f ca="1"/>
        <v>#DIV/0!</v>
      </c>
      <c r="L76" s="157">
        <f ca="1"/>
        <v>60.170846161548468</v>
      </c>
      <c r="M76" s="157" t="e">
        <f ca="1"/>
        <v>#DIV/0!</v>
      </c>
      <c r="N76" s="157" t="e">
        <f ca="1"/>
        <v>#DIV/0!</v>
      </c>
      <c r="O76" s="468" t="e">
        <f ca="1"/>
        <v>#DIV/0!</v>
      </c>
      <c r="P76" s="470" t="e">
        <f ca="1"/>
        <v>#DIV/0!</v>
      </c>
      <c r="Q76" s="472" t="e">
        <f ca="1"/>
        <v>#DIV/0!</v>
      </c>
      <c r="R76" s="462" t="e">
        <f ca="1"/>
        <v>#DIV/0!</v>
      </c>
      <c r="S76" s="464">
        <f ca="1"/>
        <v>0</v>
      </c>
      <c r="T76" s="464" t="e">
        <f ca="1"/>
        <v>#DIV/0!</v>
      </c>
      <c r="U76" s="466" t="e">
        <f ca="1"/>
        <v>#DIV/0!</v>
      </c>
      <c r="V76" s="157" t="e">
        <f ca="1"/>
        <v>#DIV/0!</v>
      </c>
      <c r="W76" s="157" t="e">
        <f ca="1"/>
        <v>#DIV/0!</v>
      </c>
      <c r="X76" s="157">
        <f ca="1"/>
        <v>82.059420098051746</v>
      </c>
      <c r="Y76" s="157" t="e">
        <f ca="1"/>
        <v>#DIV/0!</v>
      </c>
      <c r="Z76" s="157" t="e">
        <f ca="1"/>
        <v>#DIV/0!</v>
      </c>
      <c r="AA76" s="468" t="e">
        <f ca="1"/>
        <v>#DIV/0!</v>
      </c>
      <c r="AB76" s="470" t="e">
        <f ca="1"/>
        <v>#DIV/0!</v>
      </c>
      <c r="AC76" s="472" t="e">
        <f ca="1"/>
        <v>#DIV/0!</v>
      </c>
      <c r="AD76" s="462" t="e">
        <f ca="1"/>
        <v>#DIV/0!</v>
      </c>
      <c r="AE76" s="464">
        <f ca="1"/>
        <v>0</v>
      </c>
      <c r="AF76" s="464" t="e">
        <f ca="1"/>
        <v>#DIV/0!</v>
      </c>
      <c r="AG76" s="466" t="e">
        <f ca="1"/>
        <v>#DIV/0!</v>
      </c>
      <c r="AH76" s="157" t="e">
        <f ca="1"/>
        <v>#DIV/0!</v>
      </c>
      <c r="AI76" s="157" t="e">
        <f ca="1"/>
        <v>#DIV/0!</v>
      </c>
      <c r="AJ76" s="157">
        <f ca="1"/>
        <v>1073.5337837128598</v>
      </c>
      <c r="AK76" s="157" t="e">
        <f ca="1"/>
        <v>#DIV/0!</v>
      </c>
      <c r="AL76" s="157" t="e">
        <f ca="1"/>
        <v>#DIV/0!</v>
      </c>
      <c r="AM76" s="468" t="e">
        <f ca="1"/>
        <v>#DIV/0!</v>
      </c>
      <c r="AN76" s="470" t="e">
        <f ca="1"/>
        <v>#DIV/0!</v>
      </c>
      <c r="AO76" s="472" t="e">
        <f ca="1"/>
        <v>#DIV/0!</v>
      </c>
      <c r="AP76" s="462" t="e">
        <f ca="1"/>
        <v>#DIV/0!</v>
      </c>
      <c r="AQ76" s="464" t="e">
        <f ca="1"/>
        <v>#NUM!</v>
      </c>
      <c r="AR76" s="464" t="e">
        <f ca="1"/>
        <v>#NUM!</v>
      </c>
      <c r="AS76" s="466" t="e">
        <f ca="1"/>
        <v>#NUM!</v>
      </c>
      <c r="AT76" s="157" t="e">
        <f ca="1"/>
        <v>#DIV/0!</v>
      </c>
      <c r="AU76" s="157" t="e">
        <f ca="1"/>
        <v>#NUM!</v>
      </c>
      <c r="AV76" s="157">
        <f ca="1"/>
        <v>1934.9367947111332</v>
      </c>
      <c r="AW76" s="157" t="e">
        <f ca="1"/>
        <v>#DIV/0!</v>
      </c>
      <c r="AX76" s="157" t="e">
        <f ca="1"/>
        <v>#DIV/0!</v>
      </c>
      <c r="AY76" s="468" t="e">
        <f ca="1"/>
        <v>#DIV/0!</v>
      </c>
      <c r="AZ76" s="470" t="e">
        <f ca="1"/>
        <v>#DIV/0!</v>
      </c>
      <c r="BA76" s="472" t="e">
        <f ca="1"/>
        <v>#DIV/0!</v>
      </c>
      <c r="BB76" s="173" t="e">
        <f t="shared" ca="1" si="8"/>
        <v>#DIV/0!</v>
      </c>
      <c r="BC76" s="173" t="e">
        <f t="shared" ca="1" si="9"/>
        <v>#DIV/0!</v>
      </c>
      <c r="BD76" s="462" t="e">
        <f ca="1"/>
        <v>#DIV/0!</v>
      </c>
      <c r="BE76" s="464">
        <f ca="1"/>
        <v>0</v>
      </c>
      <c r="BF76" s="464" t="e">
        <f ca="1"/>
        <v>#DIV/0!</v>
      </c>
      <c r="BG76" s="466" t="e">
        <f ca="1"/>
        <v>#DIV/0!</v>
      </c>
      <c r="BH76" s="157" t="e">
        <f ca="1"/>
        <v>#DIV/0!</v>
      </c>
      <c r="BI76" s="157" t="e">
        <f ca="1"/>
        <v>#DIV/0!</v>
      </c>
      <c r="BJ76" s="157">
        <f ca="1"/>
        <v>22.47612119027789</v>
      </c>
      <c r="BK76" s="157" t="e">
        <f ca="1"/>
        <v>#DIV/0!</v>
      </c>
      <c r="BL76" s="157" t="e">
        <f ca="1"/>
        <v>#DIV/0!</v>
      </c>
      <c r="BM76" s="468" t="e">
        <f ca="1"/>
        <v>#DIV/0!</v>
      </c>
      <c r="BN76" s="470" t="e">
        <f ca="1"/>
        <v>#DIV/0!</v>
      </c>
      <c r="BO76" s="472" t="e">
        <f ca="1"/>
        <v>#DIV/0!</v>
      </c>
      <c r="BP76" s="462" t="e">
        <f ca="1"/>
        <v>#DIV/0!</v>
      </c>
      <c r="BQ76" s="464">
        <f ca="1"/>
        <v>0</v>
      </c>
      <c r="BR76" s="464" t="e">
        <f ca="1"/>
        <v>#DIV/0!</v>
      </c>
      <c r="BS76" s="466" t="e">
        <f ca="1"/>
        <v>#DIV/0!</v>
      </c>
      <c r="BT76" s="157" t="e">
        <f ca="1"/>
        <v>#DIV/0!</v>
      </c>
      <c r="BU76" s="157" t="e">
        <f ca="1"/>
        <v>#DIV/0!</v>
      </c>
      <c r="BV76" s="157">
        <f ca="1"/>
        <v>16.456559232398053</v>
      </c>
      <c r="BW76" s="157" t="e">
        <f ca="1"/>
        <v>#DIV/0!</v>
      </c>
      <c r="BX76" s="157" t="e">
        <f ca="1"/>
        <v>#DIV/0!</v>
      </c>
      <c r="BY76" s="468" t="e">
        <f ca="1"/>
        <v>#DIV/0!</v>
      </c>
      <c r="BZ76" s="470" t="e">
        <f ca="1"/>
        <v>#DIV/0!</v>
      </c>
      <c r="CA76" s="472" t="e">
        <f ca="1"/>
        <v>#DIV/0!</v>
      </c>
      <c r="CB76" s="462" t="e">
        <f ca="1"/>
        <v>#DIV/0!</v>
      </c>
      <c r="CC76" s="464">
        <f ca="1"/>
        <v>0</v>
      </c>
      <c r="CD76" s="464" t="e">
        <f ca="1"/>
        <v>#DIV/0!</v>
      </c>
      <c r="CE76" s="466" t="e">
        <f ca="1"/>
        <v>#DIV/0!</v>
      </c>
      <c r="CF76" s="157" t="e">
        <f ca="1"/>
        <v>#DIV/0!</v>
      </c>
      <c r="CG76" s="157" t="e">
        <f ca="1"/>
        <v>#DIV/0!</v>
      </c>
      <c r="CH76" s="157">
        <f ca="1"/>
        <v>56.88157182889352</v>
      </c>
      <c r="CI76" s="157" t="e">
        <f ca="1"/>
        <v>#DIV/0!</v>
      </c>
      <c r="CJ76" s="157" t="e">
        <f ca="1"/>
        <v>#DIV/0!</v>
      </c>
      <c r="CK76" s="468" t="e">
        <f ca="1"/>
        <v>#DIV/0!</v>
      </c>
      <c r="CL76" s="470" t="e">
        <f ca="1"/>
        <v>#DIV/0!</v>
      </c>
      <c r="CM76" s="472" t="e">
        <f ca="1"/>
        <v>#DIV/0!</v>
      </c>
      <c r="CN76" s="462" t="e">
        <f ca="1"/>
        <v>#DIV/0!</v>
      </c>
      <c r="CO76" s="464" t="e">
        <f ca="1"/>
        <v>#NUM!</v>
      </c>
      <c r="CP76" s="464" t="e">
        <f ca="1"/>
        <v>#NUM!</v>
      </c>
      <c r="CQ76" s="466" t="e">
        <f ca="1"/>
        <v>#NUM!</v>
      </c>
      <c r="CR76" s="157" t="e">
        <f ca="1"/>
        <v>#DIV/0!</v>
      </c>
      <c r="CS76" s="157" t="e">
        <f ca="1"/>
        <v>#NUM!</v>
      </c>
      <c r="CT76" s="157">
        <f ca="1"/>
        <v>8.460950129845541</v>
      </c>
      <c r="CU76" s="157" t="e">
        <f ca="1"/>
        <v>#DIV/0!</v>
      </c>
      <c r="CV76" s="157" t="e">
        <f ca="1"/>
        <v>#DIV/0!</v>
      </c>
      <c r="CW76" s="468" t="e">
        <f ca="1"/>
        <v>#DIV/0!</v>
      </c>
      <c r="CX76" s="470" t="e">
        <f ca="1"/>
        <v>#DIV/0!</v>
      </c>
      <c r="CY76" s="472" t="e">
        <f ca="1"/>
        <v>#DIV/0!</v>
      </c>
      <c r="CZ76" s="173" t="e">
        <f t="shared" ca="1" si="10"/>
        <v>#DIV/0!</v>
      </c>
      <c r="DA76" s="173" t="e">
        <f t="shared" ca="1" si="11"/>
        <v>#DIV/0!</v>
      </c>
      <c r="DB76" s="462" t="e">
        <f ca="1"/>
        <v>#DIV/0!</v>
      </c>
      <c r="DC76" s="464">
        <f ca="1"/>
        <v>0</v>
      </c>
      <c r="DD76" s="464" t="e">
        <f ca="1"/>
        <v>#DIV/0!</v>
      </c>
      <c r="DE76" s="466" t="e">
        <f ca="1"/>
        <v>#DIV/0!</v>
      </c>
      <c r="DF76" s="157" t="e">
        <f ca="1"/>
        <v>#DIV/0!</v>
      </c>
      <c r="DG76" s="157" t="e">
        <f ca="1"/>
        <v>#DIV/0!</v>
      </c>
      <c r="DH76" s="157">
        <f ca="1"/>
        <v>26654.595247242403</v>
      </c>
      <c r="DI76" s="157" t="e">
        <f ca="1"/>
        <v>#DIV/0!</v>
      </c>
      <c r="DJ76" s="157" t="e">
        <f ca="1"/>
        <v>#DIV/0!</v>
      </c>
      <c r="DK76" s="468" t="e">
        <f ca="1"/>
        <v>#DIV/0!</v>
      </c>
      <c r="DL76" s="470" t="e">
        <f ca="1"/>
        <v>#DIV/0!</v>
      </c>
      <c r="DM76" s="472" t="e">
        <f ca="1"/>
        <v>#DIV/0!</v>
      </c>
      <c r="DN76" s="462" t="e">
        <f ca="1"/>
        <v>#DIV/0!</v>
      </c>
      <c r="DO76" s="464">
        <f ca="1"/>
        <v>0</v>
      </c>
      <c r="DP76" s="464" t="e">
        <f ca="1"/>
        <v>#DIV/0!</v>
      </c>
      <c r="DQ76" s="466" t="e">
        <f ca="1"/>
        <v>#DIV/0!</v>
      </c>
      <c r="DR76" s="157" t="e">
        <f ca="1"/>
        <v>#DIV/0!</v>
      </c>
      <c r="DS76" s="157" t="e">
        <f ca="1"/>
        <v>#DIV/0!</v>
      </c>
      <c r="DT76" s="157">
        <f ca="1"/>
        <v>21952.492005621949</v>
      </c>
      <c r="DU76" s="157" t="e">
        <f ca="1"/>
        <v>#DIV/0!</v>
      </c>
      <c r="DV76" s="157" t="e">
        <f ca="1"/>
        <v>#DIV/0!</v>
      </c>
      <c r="DW76" s="468" t="e">
        <f ca="1"/>
        <v>#DIV/0!</v>
      </c>
      <c r="DX76" s="470" t="e">
        <f ca="1"/>
        <v>#DIV/0!</v>
      </c>
      <c r="DY76" s="472" t="e">
        <f ca="1"/>
        <v>#DIV/0!</v>
      </c>
      <c r="DZ76" s="462" t="e">
        <f ca="1"/>
        <v>#DIV/0!</v>
      </c>
      <c r="EA76" s="464">
        <f ca="1"/>
        <v>0</v>
      </c>
      <c r="EB76" s="464" t="e">
        <f ca="1"/>
        <v>#DIV/0!</v>
      </c>
      <c r="EC76" s="466" t="e">
        <f ca="1"/>
        <v>#DIV/0!</v>
      </c>
      <c r="ED76" s="157" t="e">
        <f ca="1"/>
        <v>#DIV/0!</v>
      </c>
      <c r="EE76" s="157" t="e">
        <f ca="1"/>
        <v>#DIV/0!</v>
      </c>
      <c r="EF76" s="157">
        <f ca="1"/>
        <v>17248.066519402542</v>
      </c>
      <c r="EG76" s="157" t="e">
        <f ca="1"/>
        <v>#DIV/0!</v>
      </c>
      <c r="EH76" s="157" t="e">
        <f ca="1"/>
        <v>#DIV/0!</v>
      </c>
      <c r="EI76" s="468" t="e">
        <f ca="1"/>
        <v>#DIV/0!</v>
      </c>
      <c r="EJ76" s="470" t="e">
        <f ca="1"/>
        <v>#DIV/0!</v>
      </c>
      <c r="EK76" s="472" t="e">
        <f ca="1"/>
        <v>#DIV/0!</v>
      </c>
      <c r="EL76" s="462" t="e">
        <f ca="1"/>
        <v>#DIV/0!</v>
      </c>
      <c r="EM76" s="464" t="e">
        <f ca="1"/>
        <v>#NUM!</v>
      </c>
      <c r="EN76" s="464" t="e">
        <f ca="1"/>
        <v>#NUM!</v>
      </c>
      <c r="EO76" s="466" t="e">
        <f ca="1"/>
        <v>#NUM!</v>
      </c>
      <c r="EP76" s="157" t="e">
        <f ca="1"/>
        <v>#DIV/0!</v>
      </c>
      <c r="EQ76" s="157" t="e">
        <f ca="1"/>
        <v>#NUM!</v>
      </c>
      <c r="ER76" s="157">
        <f ca="1"/>
        <v>3277.0635380838835</v>
      </c>
      <c r="ES76" s="157" t="e">
        <f ca="1"/>
        <v>#DIV/0!</v>
      </c>
      <c r="ET76" s="157" t="e">
        <f ca="1"/>
        <v>#DIV/0!</v>
      </c>
      <c r="EU76" s="468" t="e">
        <f ca="1"/>
        <v>#DIV/0!</v>
      </c>
      <c r="EV76" s="470" t="e">
        <f ca="1"/>
        <v>#DIV/0!</v>
      </c>
      <c r="EW76" s="472" t="e">
        <f ca="1"/>
        <v>#DIV/0!</v>
      </c>
      <c r="EX76" s="462" t="e">
        <f ca="1"/>
        <v>#DIV/0!</v>
      </c>
      <c r="EY76" s="464" t="e">
        <f ca="1"/>
        <v>#NUM!</v>
      </c>
      <c r="EZ76" s="464" t="e">
        <f ca="1"/>
        <v>#NUM!</v>
      </c>
      <c r="FA76" s="466" t="e">
        <f ca="1"/>
        <v>#NUM!</v>
      </c>
      <c r="FB76" s="157" t="e">
        <f ca="1"/>
        <v>#DIV/0!</v>
      </c>
      <c r="FC76" s="157" t="e">
        <f ca="1"/>
        <v>#NUM!</v>
      </c>
      <c r="FD76" s="157">
        <f ca="1"/>
        <v>6712.6506219234861</v>
      </c>
      <c r="FE76" s="157" t="e">
        <f ca="1"/>
        <v>#DIV/0!</v>
      </c>
      <c r="FF76" s="157" t="e">
        <f ca="1"/>
        <v>#DIV/0!</v>
      </c>
      <c r="FG76" s="468" t="e">
        <f ca="1"/>
        <v>#DIV/0!</v>
      </c>
      <c r="FH76" s="470" t="e">
        <f ca="1"/>
        <v>#DIV/0!</v>
      </c>
      <c r="FI76" s="472" t="e">
        <f ca="1"/>
        <v>#DIV/0!</v>
      </c>
      <c r="FJ76" s="173" t="e">
        <f t="shared" ca="1" si="12"/>
        <v>#DIV/0!</v>
      </c>
      <c r="FK76" s="173" t="e">
        <f t="shared" ca="1" si="13"/>
        <v>#DIV/0!</v>
      </c>
      <c r="FL76" s="462" t="e">
        <f ca="1"/>
        <v>#DIV/0!</v>
      </c>
      <c r="FM76" s="464">
        <f ca="1"/>
        <v>0</v>
      </c>
      <c r="FN76" s="464" t="e">
        <f ca="1"/>
        <v>#DIV/0!</v>
      </c>
      <c r="FO76" s="466" t="e">
        <f ca="1"/>
        <v>#DIV/0!</v>
      </c>
      <c r="FP76" s="157" t="e">
        <f ca="1"/>
        <v>#DIV/0!</v>
      </c>
      <c r="FQ76" s="157" t="e">
        <f ca="1"/>
        <v>#DIV/0!</v>
      </c>
      <c r="FR76" s="157" t="e">
        <f ca="1"/>
        <v>#DIV/0!</v>
      </c>
      <c r="FS76" s="157">
        <f ca="1"/>
        <v>2385.2532397013483</v>
      </c>
      <c r="FT76" s="468" t="e">
        <f ca="1"/>
        <v>#DIV/0!</v>
      </c>
      <c r="FU76" s="470" t="e">
        <f ca="1"/>
        <v>#DIV/0!</v>
      </c>
      <c r="FV76" s="470" t="e">
        <f ca="1"/>
        <v>#DIV/0!</v>
      </c>
      <c r="FW76" s="462" t="e">
        <f ca="1"/>
        <v>#DIV/0!</v>
      </c>
      <c r="FX76" s="464" t="e">
        <f ca="1"/>
        <v>#NUM!</v>
      </c>
      <c r="FY76" s="464" t="e">
        <f ca="1"/>
        <v>#NUM!</v>
      </c>
      <c r="FZ76" s="466" t="e">
        <f ca="1"/>
        <v>#NUM!</v>
      </c>
      <c r="GA76" s="157" t="e">
        <f ca="1"/>
        <v>#DIV/0!</v>
      </c>
      <c r="GB76" s="157" t="e">
        <f ca="1"/>
        <v>#NUM!</v>
      </c>
      <c r="GC76" s="157" t="e">
        <f ca="1"/>
        <v>#DIV/0!</v>
      </c>
      <c r="GD76" s="157">
        <f ca="1"/>
        <v>50.547560229603654</v>
      </c>
      <c r="GE76" s="468" t="e">
        <f ca="1"/>
        <v>#DIV/0!</v>
      </c>
      <c r="GF76" s="470" t="e">
        <f ca="1"/>
        <v>#DIV/0!</v>
      </c>
      <c r="GG76" s="470" t="e">
        <f ca="1"/>
        <v>#DIV/0!</v>
      </c>
      <c r="GH76" s="173" t="e">
        <f t="shared" ca="1" si="14"/>
        <v>#DIV/0!</v>
      </c>
      <c r="GI76" s="173" t="e">
        <f t="shared" ca="1" si="15"/>
        <v>#DIV/0!</v>
      </c>
    </row>
    <row r="77" spans="2:191" ht="15">
      <c r="B77" s="169"/>
      <c r="C77" s="87">
        <f>'Oil supply projection'!B77</f>
        <v>2086</v>
      </c>
      <c r="D77" s="460" t="e">
        <f ca="1"/>
        <v>#DIV/0!</v>
      </c>
      <c r="E77" s="460" t="e">
        <f ca="1"/>
        <v>#DIV/0!</v>
      </c>
      <c r="F77" s="462" t="e">
        <f ca="1"/>
        <v>#DIV/0!</v>
      </c>
      <c r="G77" s="464">
        <f ca="1"/>
        <v>0</v>
      </c>
      <c r="H77" s="464" t="e">
        <f ca="1"/>
        <v>#DIV/0!</v>
      </c>
      <c r="I77" s="466" t="e">
        <f ca="1"/>
        <v>#DIV/0!</v>
      </c>
      <c r="J77" s="157" t="e">
        <f ca="1"/>
        <v>#DIV/0!</v>
      </c>
      <c r="K77" s="157" t="e">
        <f ca="1"/>
        <v>#DIV/0!</v>
      </c>
      <c r="L77" s="157">
        <f ca="1"/>
        <v>60.970961303563449</v>
      </c>
      <c r="M77" s="157" t="e">
        <f ca="1"/>
        <v>#DIV/0!</v>
      </c>
      <c r="N77" s="157" t="e">
        <f ca="1"/>
        <v>#DIV/0!</v>
      </c>
      <c r="O77" s="468" t="e">
        <f ca="1"/>
        <v>#DIV/0!</v>
      </c>
      <c r="P77" s="470" t="e">
        <f ca="1"/>
        <v>#DIV/0!</v>
      </c>
      <c r="Q77" s="472" t="e">
        <f ca="1"/>
        <v>#DIV/0!</v>
      </c>
      <c r="R77" s="462" t="e">
        <f ca="1"/>
        <v>#DIV/0!</v>
      </c>
      <c r="S77" s="464">
        <f ca="1"/>
        <v>0</v>
      </c>
      <c r="T77" s="464" t="e">
        <f ca="1"/>
        <v>#DIV/0!</v>
      </c>
      <c r="U77" s="466" t="e">
        <f ca="1"/>
        <v>#DIV/0!</v>
      </c>
      <c r="V77" s="157" t="e">
        <f ca="1"/>
        <v>#DIV/0!</v>
      </c>
      <c r="W77" s="157" t="e">
        <f ca="1"/>
        <v>#DIV/0!</v>
      </c>
      <c r="X77" s="157">
        <f ca="1"/>
        <v>83.150596120226055</v>
      </c>
      <c r="Y77" s="157" t="e">
        <f ca="1"/>
        <v>#DIV/0!</v>
      </c>
      <c r="Z77" s="157" t="e">
        <f ca="1"/>
        <v>#DIV/0!</v>
      </c>
      <c r="AA77" s="468" t="e">
        <f ca="1"/>
        <v>#DIV/0!</v>
      </c>
      <c r="AB77" s="470" t="e">
        <f ca="1"/>
        <v>#DIV/0!</v>
      </c>
      <c r="AC77" s="472" t="e">
        <f ca="1"/>
        <v>#DIV/0!</v>
      </c>
      <c r="AD77" s="462" t="e">
        <f ca="1"/>
        <v>#DIV/0!</v>
      </c>
      <c r="AE77" s="464">
        <f ca="1"/>
        <v>0</v>
      </c>
      <c r="AF77" s="464" t="e">
        <f ca="1"/>
        <v>#DIV/0!</v>
      </c>
      <c r="AG77" s="466" t="e">
        <f ca="1"/>
        <v>#DIV/0!</v>
      </c>
      <c r="AH77" s="157" t="e">
        <f ca="1"/>
        <v>#DIV/0!</v>
      </c>
      <c r="AI77" s="157" t="e">
        <f ca="1"/>
        <v>#DIV/0!</v>
      </c>
      <c r="AJ77" s="157">
        <f ca="1"/>
        <v>1087.808979935083</v>
      </c>
      <c r="AK77" s="157" t="e">
        <f ca="1"/>
        <v>#DIV/0!</v>
      </c>
      <c r="AL77" s="157" t="e">
        <f ca="1"/>
        <v>#DIV/0!</v>
      </c>
      <c r="AM77" s="468" t="e">
        <f ca="1"/>
        <v>#DIV/0!</v>
      </c>
      <c r="AN77" s="470" t="e">
        <f ca="1"/>
        <v>#DIV/0!</v>
      </c>
      <c r="AO77" s="472" t="e">
        <f ca="1"/>
        <v>#DIV/0!</v>
      </c>
      <c r="AP77" s="462" t="e">
        <f ca="1"/>
        <v>#DIV/0!</v>
      </c>
      <c r="AQ77" s="464" t="e">
        <f ca="1"/>
        <v>#NUM!</v>
      </c>
      <c r="AR77" s="464" t="e">
        <f ca="1"/>
        <v>#NUM!</v>
      </c>
      <c r="AS77" s="466" t="e">
        <f ca="1"/>
        <v>#NUM!</v>
      </c>
      <c r="AT77" s="157" t="e">
        <f ca="1"/>
        <v>#DIV/0!</v>
      </c>
      <c r="AU77" s="157" t="e">
        <f ca="1"/>
        <v>#NUM!</v>
      </c>
      <c r="AV77" s="157">
        <f ca="1"/>
        <v>1960.666401772562</v>
      </c>
      <c r="AW77" s="157" t="e">
        <f ca="1"/>
        <v>#DIV/0!</v>
      </c>
      <c r="AX77" s="157" t="e">
        <f ca="1"/>
        <v>#DIV/0!</v>
      </c>
      <c r="AY77" s="468" t="e">
        <f ca="1"/>
        <v>#DIV/0!</v>
      </c>
      <c r="AZ77" s="470" t="e">
        <f ca="1"/>
        <v>#DIV/0!</v>
      </c>
      <c r="BA77" s="472" t="e">
        <f ca="1"/>
        <v>#DIV/0!</v>
      </c>
      <c r="BB77" s="173" t="e">
        <f t="shared" ca="1" si="8"/>
        <v>#DIV/0!</v>
      </c>
      <c r="BC77" s="173" t="e">
        <f t="shared" ca="1" si="9"/>
        <v>#DIV/0!</v>
      </c>
      <c r="BD77" s="462" t="e">
        <f ca="1"/>
        <v>#DIV/0!</v>
      </c>
      <c r="BE77" s="464">
        <f ca="1"/>
        <v>0</v>
      </c>
      <c r="BF77" s="464" t="e">
        <f ca="1"/>
        <v>#DIV/0!</v>
      </c>
      <c r="BG77" s="466" t="e">
        <f ca="1"/>
        <v>#DIV/0!</v>
      </c>
      <c r="BH77" s="157" t="e">
        <f ca="1"/>
        <v>#DIV/0!</v>
      </c>
      <c r="BI77" s="157" t="e">
        <f ca="1"/>
        <v>#DIV/0!</v>
      </c>
      <c r="BJ77" s="157">
        <f ca="1"/>
        <v>22.608811693956071</v>
      </c>
      <c r="BK77" s="157" t="e">
        <f ca="1"/>
        <v>#DIV/0!</v>
      </c>
      <c r="BL77" s="157" t="e">
        <f ca="1"/>
        <v>#DIV/0!</v>
      </c>
      <c r="BM77" s="468" t="e">
        <f ca="1"/>
        <v>#DIV/0!</v>
      </c>
      <c r="BN77" s="470" t="e">
        <f ca="1"/>
        <v>#DIV/0!</v>
      </c>
      <c r="BO77" s="472" t="e">
        <f ca="1"/>
        <v>#DIV/0!</v>
      </c>
      <c r="BP77" s="462" t="e">
        <f ca="1"/>
        <v>#DIV/0!</v>
      </c>
      <c r="BQ77" s="464">
        <f ca="1"/>
        <v>0</v>
      </c>
      <c r="BR77" s="464" t="e">
        <f ca="1"/>
        <v>#DIV/0!</v>
      </c>
      <c r="BS77" s="466" t="e">
        <f ca="1"/>
        <v>#DIV/0!</v>
      </c>
      <c r="BT77" s="157" t="e">
        <f ca="1"/>
        <v>#DIV/0!</v>
      </c>
      <c r="BU77" s="157" t="e">
        <f ca="1"/>
        <v>#DIV/0!</v>
      </c>
      <c r="BV77" s="157">
        <f ca="1"/>
        <v>16.553712522989013</v>
      </c>
      <c r="BW77" s="157" t="e">
        <f ca="1"/>
        <v>#DIV/0!</v>
      </c>
      <c r="BX77" s="157" t="e">
        <f ca="1"/>
        <v>#DIV/0!</v>
      </c>
      <c r="BY77" s="468" t="e">
        <f ca="1"/>
        <v>#DIV/0!</v>
      </c>
      <c r="BZ77" s="470" t="e">
        <f ca="1"/>
        <v>#DIV/0!</v>
      </c>
      <c r="CA77" s="472" t="e">
        <f ca="1"/>
        <v>#DIV/0!</v>
      </c>
      <c r="CB77" s="462" t="e">
        <f ca="1"/>
        <v>#DIV/0!</v>
      </c>
      <c r="CC77" s="464">
        <f ca="1"/>
        <v>0</v>
      </c>
      <c r="CD77" s="464" t="e">
        <f ca="1"/>
        <v>#DIV/0!</v>
      </c>
      <c r="CE77" s="466" t="e">
        <f ca="1"/>
        <v>#DIV/0!</v>
      </c>
      <c r="CF77" s="157" t="e">
        <f ca="1"/>
        <v>#DIV/0!</v>
      </c>
      <c r="CG77" s="157" t="e">
        <f ca="1"/>
        <v>#DIV/0!</v>
      </c>
      <c r="CH77" s="157">
        <f ca="1"/>
        <v>57.217379077487969</v>
      </c>
      <c r="CI77" s="157" t="e">
        <f ca="1"/>
        <v>#DIV/0!</v>
      </c>
      <c r="CJ77" s="157" t="e">
        <f ca="1"/>
        <v>#DIV/0!</v>
      </c>
      <c r="CK77" s="468" t="e">
        <f ca="1"/>
        <v>#DIV/0!</v>
      </c>
      <c r="CL77" s="470" t="e">
        <f ca="1"/>
        <v>#DIV/0!</v>
      </c>
      <c r="CM77" s="472" t="e">
        <f ca="1"/>
        <v>#DIV/0!</v>
      </c>
      <c r="CN77" s="462" t="e">
        <f ca="1"/>
        <v>#DIV/0!</v>
      </c>
      <c r="CO77" s="464" t="e">
        <f ca="1"/>
        <v>#NUM!</v>
      </c>
      <c r="CP77" s="464" t="e">
        <f ca="1"/>
        <v>#NUM!</v>
      </c>
      <c r="CQ77" s="466" t="e">
        <f ca="1"/>
        <v>#NUM!</v>
      </c>
      <c r="CR77" s="157" t="e">
        <f ca="1"/>
        <v>#DIV/0!</v>
      </c>
      <c r="CS77" s="157" t="e">
        <f ca="1"/>
        <v>#NUM!</v>
      </c>
      <c r="CT77" s="157">
        <f ca="1"/>
        <v>8.5109003736985951</v>
      </c>
      <c r="CU77" s="157" t="e">
        <f ca="1"/>
        <v>#DIV/0!</v>
      </c>
      <c r="CV77" s="157" t="e">
        <f ca="1"/>
        <v>#DIV/0!</v>
      </c>
      <c r="CW77" s="468" t="e">
        <f ca="1"/>
        <v>#DIV/0!</v>
      </c>
      <c r="CX77" s="470" t="e">
        <f ca="1"/>
        <v>#DIV/0!</v>
      </c>
      <c r="CY77" s="472" t="e">
        <f ca="1"/>
        <v>#DIV/0!</v>
      </c>
      <c r="CZ77" s="173" t="e">
        <f t="shared" ca="1" si="10"/>
        <v>#DIV/0!</v>
      </c>
      <c r="DA77" s="173" t="e">
        <f t="shared" ca="1" si="11"/>
        <v>#DIV/0!</v>
      </c>
      <c r="DB77" s="462" t="e">
        <f ca="1"/>
        <v>#DIV/0!</v>
      </c>
      <c r="DC77" s="464">
        <f ca="1"/>
        <v>0</v>
      </c>
      <c r="DD77" s="464" t="e">
        <f ca="1"/>
        <v>#DIV/0!</v>
      </c>
      <c r="DE77" s="466" t="e">
        <f ca="1"/>
        <v>#DIV/0!</v>
      </c>
      <c r="DF77" s="157" t="e">
        <f ca="1"/>
        <v>#DIV/0!</v>
      </c>
      <c r="DG77" s="157" t="e">
        <f ca="1"/>
        <v>#DIV/0!</v>
      </c>
      <c r="DH77" s="157">
        <f ca="1"/>
        <v>26929.073891170636</v>
      </c>
      <c r="DI77" s="157" t="e">
        <f ca="1"/>
        <v>#DIV/0!</v>
      </c>
      <c r="DJ77" s="157" t="e">
        <f ca="1"/>
        <v>#DIV/0!</v>
      </c>
      <c r="DK77" s="468" t="e">
        <f ca="1"/>
        <v>#DIV/0!</v>
      </c>
      <c r="DL77" s="470" t="e">
        <f ca="1"/>
        <v>#DIV/0!</v>
      </c>
      <c r="DM77" s="472" t="e">
        <f ca="1"/>
        <v>#DIV/0!</v>
      </c>
      <c r="DN77" s="462" t="e">
        <f ca="1"/>
        <v>#DIV/0!</v>
      </c>
      <c r="DO77" s="464">
        <f ca="1"/>
        <v>0</v>
      </c>
      <c r="DP77" s="464" t="e">
        <f ca="1"/>
        <v>#DIV/0!</v>
      </c>
      <c r="DQ77" s="466" t="e">
        <f ca="1"/>
        <v>#DIV/0!</v>
      </c>
      <c r="DR77" s="157" t="e">
        <f ca="1"/>
        <v>#DIV/0!</v>
      </c>
      <c r="DS77" s="157" t="e">
        <f ca="1"/>
        <v>#DIV/0!</v>
      </c>
      <c r="DT77" s="157">
        <f ca="1"/>
        <v>22178.550221125024</v>
      </c>
      <c r="DU77" s="157" t="e">
        <f ca="1"/>
        <v>#DIV/0!</v>
      </c>
      <c r="DV77" s="157" t="e">
        <f ca="1"/>
        <v>#DIV/0!</v>
      </c>
      <c r="DW77" s="468" t="e">
        <f ca="1"/>
        <v>#DIV/0!</v>
      </c>
      <c r="DX77" s="470" t="e">
        <f ca="1"/>
        <v>#DIV/0!</v>
      </c>
      <c r="DY77" s="472" t="e">
        <f ca="1"/>
        <v>#DIV/0!</v>
      </c>
      <c r="DZ77" s="462" t="e">
        <f ca="1"/>
        <v>#DIV/0!</v>
      </c>
      <c r="EA77" s="464">
        <f ca="1"/>
        <v>0</v>
      </c>
      <c r="EB77" s="464" t="e">
        <f ca="1"/>
        <v>#DIV/0!</v>
      </c>
      <c r="EC77" s="466" t="e">
        <f ca="1"/>
        <v>#DIV/0!</v>
      </c>
      <c r="ED77" s="157" t="e">
        <f ca="1"/>
        <v>#DIV/0!</v>
      </c>
      <c r="EE77" s="157" t="e">
        <f ca="1"/>
        <v>#DIV/0!</v>
      </c>
      <c r="EF77" s="157">
        <f ca="1"/>
        <v>17425.680392909751</v>
      </c>
      <c r="EG77" s="157" t="e">
        <f ca="1"/>
        <v>#DIV/0!</v>
      </c>
      <c r="EH77" s="157" t="e">
        <f ca="1"/>
        <v>#DIV/0!</v>
      </c>
      <c r="EI77" s="468" t="e">
        <f ca="1"/>
        <v>#DIV/0!</v>
      </c>
      <c r="EJ77" s="470" t="e">
        <f ca="1"/>
        <v>#DIV/0!</v>
      </c>
      <c r="EK77" s="472" t="e">
        <f ca="1"/>
        <v>#DIV/0!</v>
      </c>
      <c r="EL77" s="462" t="e">
        <f ca="1"/>
        <v>#DIV/0!</v>
      </c>
      <c r="EM77" s="464" t="e">
        <f ca="1"/>
        <v>#NUM!</v>
      </c>
      <c r="EN77" s="464" t="e">
        <f ca="1"/>
        <v>#NUM!</v>
      </c>
      <c r="EO77" s="466" t="e">
        <f ca="1"/>
        <v>#NUM!</v>
      </c>
      <c r="EP77" s="157" t="e">
        <f ca="1"/>
        <v>#DIV/0!</v>
      </c>
      <c r="EQ77" s="157" t="e">
        <f ca="1"/>
        <v>#NUM!</v>
      </c>
      <c r="ER77" s="157">
        <f ca="1"/>
        <v>3310.809462479152</v>
      </c>
      <c r="ES77" s="157" t="e">
        <f ca="1"/>
        <v>#DIV/0!</v>
      </c>
      <c r="ET77" s="157" t="e">
        <f ca="1"/>
        <v>#DIV/0!</v>
      </c>
      <c r="EU77" s="468" t="e">
        <f ca="1"/>
        <v>#DIV/0!</v>
      </c>
      <c r="EV77" s="470" t="e">
        <f ca="1"/>
        <v>#DIV/0!</v>
      </c>
      <c r="EW77" s="472" t="e">
        <f ca="1"/>
        <v>#DIV/0!</v>
      </c>
      <c r="EX77" s="462" t="e">
        <f ca="1"/>
        <v>#DIV/0!</v>
      </c>
      <c r="EY77" s="464" t="e">
        <f ca="1"/>
        <v>#NUM!</v>
      </c>
      <c r="EZ77" s="464" t="e">
        <f ca="1"/>
        <v>#NUM!</v>
      </c>
      <c r="FA77" s="466" t="e">
        <f ca="1"/>
        <v>#NUM!</v>
      </c>
      <c r="FB77" s="157" t="e">
        <f ca="1"/>
        <v>#DIV/0!</v>
      </c>
      <c r="FC77" s="157" t="e">
        <f ca="1"/>
        <v>#NUM!</v>
      </c>
      <c r="FD77" s="157">
        <f ca="1"/>
        <v>6781.7748844673033</v>
      </c>
      <c r="FE77" s="157" t="e">
        <f ca="1"/>
        <v>#DIV/0!</v>
      </c>
      <c r="FF77" s="157" t="e">
        <f ca="1"/>
        <v>#DIV/0!</v>
      </c>
      <c r="FG77" s="468" t="e">
        <f ca="1"/>
        <v>#DIV/0!</v>
      </c>
      <c r="FH77" s="470" t="e">
        <f ca="1"/>
        <v>#DIV/0!</v>
      </c>
      <c r="FI77" s="472" t="e">
        <f ca="1"/>
        <v>#DIV/0!</v>
      </c>
      <c r="FJ77" s="173" t="e">
        <f t="shared" ca="1" si="12"/>
        <v>#DIV/0!</v>
      </c>
      <c r="FK77" s="173" t="e">
        <f t="shared" ca="1" si="13"/>
        <v>#DIV/0!</v>
      </c>
      <c r="FL77" s="462" t="e">
        <f ca="1"/>
        <v>#DIV/0!</v>
      </c>
      <c r="FM77" s="464">
        <f ca="1"/>
        <v>0</v>
      </c>
      <c r="FN77" s="464" t="e">
        <f ca="1"/>
        <v>#DIV/0!</v>
      </c>
      <c r="FO77" s="466" t="e">
        <f ca="1"/>
        <v>#DIV/0!</v>
      </c>
      <c r="FP77" s="157" t="e">
        <f ca="1"/>
        <v>#DIV/0!</v>
      </c>
      <c r="FQ77" s="157" t="e">
        <f ca="1"/>
        <v>#DIV/0!</v>
      </c>
      <c r="FR77" s="157" t="e">
        <f ca="1"/>
        <v>#DIV/0!</v>
      </c>
      <c r="FS77" s="157">
        <f ca="1"/>
        <v>2398.5622037953867</v>
      </c>
      <c r="FT77" s="468" t="e">
        <f ca="1"/>
        <v>#DIV/0!</v>
      </c>
      <c r="FU77" s="470" t="e">
        <f ca="1"/>
        <v>#DIV/0!</v>
      </c>
      <c r="FV77" s="470" t="e">
        <f ca="1"/>
        <v>#DIV/0!</v>
      </c>
      <c r="FW77" s="462" t="e">
        <f ca="1"/>
        <v>#DIV/0!</v>
      </c>
      <c r="FX77" s="464" t="e">
        <f ca="1"/>
        <v>#NUM!</v>
      </c>
      <c r="FY77" s="464" t="e">
        <f ca="1"/>
        <v>#NUM!</v>
      </c>
      <c r="FZ77" s="466" t="e">
        <f ca="1"/>
        <v>#NUM!</v>
      </c>
      <c r="GA77" s="157" t="e">
        <f ca="1"/>
        <v>#DIV/0!</v>
      </c>
      <c r="GB77" s="157" t="e">
        <f ca="1"/>
        <v>#NUM!</v>
      </c>
      <c r="GC77" s="157" t="e">
        <f ca="1"/>
        <v>#DIV/0!</v>
      </c>
      <c r="GD77" s="157">
        <f ca="1"/>
        <v>50.829599743454715</v>
      </c>
      <c r="GE77" s="468" t="e">
        <f ca="1"/>
        <v>#DIV/0!</v>
      </c>
      <c r="GF77" s="470" t="e">
        <f ca="1"/>
        <v>#DIV/0!</v>
      </c>
      <c r="GG77" s="470" t="e">
        <f ca="1"/>
        <v>#DIV/0!</v>
      </c>
      <c r="GH77" s="173" t="e">
        <f t="shared" ca="1" si="14"/>
        <v>#DIV/0!</v>
      </c>
      <c r="GI77" s="173" t="e">
        <f t="shared" ca="1" si="15"/>
        <v>#DIV/0!</v>
      </c>
    </row>
    <row r="78" spans="2:191" ht="15">
      <c r="B78" s="169"/>
      <c r="C78" s="87">
        <f>'Oil supply projection'!B78</f>
        <v>2087</v>
      </c>
      <c r="D78" s="460" t="e">
        <f ca="1"/>
        <v>#DIV/0!</v>
      </c>
      <c r="E78" s="460" t="e">
        <f ca="1"/>
        <v>#DIV/0!</v>
      </c>
      <c r="F78" s="462" t="e">
        <f ca="1"/>
        <v>#DIV/0!</v>
      </c>
      <c r="G78" s="464">
        <f ca="1"/>
        <v>0</v>
      </c>
      <c r="H78" s="464" t="e">
        <f ca="1"/>
        <v>#DIV/0!</v>
      </c>
      <c r="I78" s="466" t="e">
        <f ca="1"/>
        <v>#DIV/0!</v>
      </c>
      <c r="J78" s="157" t="e">
        <f ca="1"/>
        <v>#DIV/0!</v>
      </c>
      <c r="K78" s="157" t="e">
        <f ca="1"/>
        <v>#DIV/0!</v>
      </c>
      <c r="L78" s="157">
        <f ca="1"/>
        <v>61.781715887788756</v>
      </c>
      <c r="M78" s="157" t="e">
        <f ca="1"/>
        <v>#DIV/0!</v>
      </c>
      <c r="N78" s="157" t="e">
        <f ca="1"/>
        <v>#DIV/0!</v>
      </c>
      <c r="O78" s="468" t="e">
        <f ca="1"/>
        <v>#DIV/0!</v>
      </c>
      <c r="P78" s="470" t="e">
        <f ca="1"/>
        <v>#DIV/0!</v>
      </c>
      <c r="Q78" s="472" t="e">
        <f ca="1"/>
        <v>#DIV/0!</v>
      </c>
      <c r="R78" s="462" t="e">
        <f ca="1"/>
        <v>#DIV/0!</v>
      </c>
      <c r="S78" s="464">
        <f ca="1"/>
        <v>0</v>
      </c>
      <c r="T78" s="464" t="e">
        <f ca="1"/>
        <v>#DIV/0!</v>
      </c>
      <c r="U78" s="466" t="e">
        <f ca="1"/>
        <v>#DIV/0!</v>
      </c>
      <c r="V78" s="157" t="e">
        <f ca="1"/>
        <v>#DIV/0!</v>
      </c>
      <c r="W78" s="157" t="e">
        <f ca="1"/>
        <v>#DIV/0!</v>
      </c>
      <c r="X78" s="157">
        <f ca="1"/>
        <v>84.256281934328513</v>
      </c>
      <c r="Y78" s="157" t="e">
        <f ca="1"/>
        <v>#DIV/0!</v>
      </c>
      <c r="Z78" s="157" t="e">
        <f ca="1"/>
        <v>#DIV/0!</v>
      </c>
      <c r="AA78" s="468" t="e">
        <f ca="1"/>
        <v>#DIV/0!</v>
      </c>
      <c r="AB78" s="470" t="e">
        <f ca="1"/>
        <v>#DIV/0!</v>
      </c>
      <c r="AC78" s="472" t="e">
        <f ca="1"/>
        <v>#DIV/0!</v>
      </c>
      <c r="AD78" s="462" t="e">
        <f ca="1"/>
        <v>#DIV/0!</v>
      </c>
      <c r="AE78" s="464">
        <f ca="1"/>
        <v>0</v>
      </c>
      <c r="AF78" s="464" t="e">
        <f ca="1"/>
        <v>#DIV/0!</v>
      </c>
      <c r="AG78" s="466" t="e">
        <f ca="1"/>
        <v>#DIV/0!</v>
      </c>
      <c r="AH78" s="157" t="e">
        <f ca="1"/>
        <v>#DIV/0!</v>
      </c>
      <c r="AI78" s="157" t="e">
        <f ca="1"/>
        <v>#DIV/0!</v>
      </c>
      <c r="AJ78" s="157">
        <f ca="1"/>
        <v>1102.2739989931351</v>
      </c>
      <c r="AK78" s="157" t="e">
        <f ca="1"/>
        <v>#DIV/0!</v>
      </c>
      <c r="AL78" s="157" t="e">
        <f ca="1"/>
        <v>#DIV/0!</v>
      </c>
      <c r="AM78" s="468" t="e">
        <f ca="1"/>
        <v>#DIV/0!</v>
      </c>
      <c r="AN78" s="470" t="e">
        <f ca="1"/>
        <v>#DIV/0!</v>
      </c>
      <c r="AO78" s="472" t="e">
        <f ca="1"/>
        <v>#DIV/0!</v>
      </c>
      <c r="AP78" s="462" t="e">
        <f ca="1"/>
        <v>#DIV/0!</v>
      </c>
      <c r="AQ78" s="464" t="e">
        <f ca="1"/>
        <v>#NUM!</v>
      </c>
      <c r="AR78" s="464" t="e">
        <f ca="1"/>
        <v>#NUM!</v>
      </c>
      <c r="AS78" s="466" t="e">
        <f ca="1"/>
        <v>#NUM!</v>
      </c>
      <c r="AT78" s="157" t="e">
        <f ca="1"/>
        <v>#DIV/0!</v>
      </c>
      <c r="AU78" s="157" t="e">
        <f ca="1"/>
        <v>#NUM!</v>
      </c>
      <c r="AV78" s="157">
        <f ca="1"/>
        <v>1986.7381454254005</v>
      </c>
      <c r="AW78" s="157" t="e">
        <f ca="1"/>
        <v>#DIV/0!</v>
      </c>
      <c r="AX78" s="157" t="e">
        <f ca="1"/>
        <v>#DIV/0!</v>
      </c>
      <c r="AY78" s="468" t="e">
        <f ca="1"/>
        <v>#DIV/0!</v>
      </c>
      <c r="AZ78" s="470" t="e">
        <f ca="1"/>
        <v>#DIV/0!</v>
      </c>
      <c r="BA78" s="472" t="e">
        <f ca="1"/>
        <v>#DIV/0!</v>
      </c>
      <c r="BB78" s="173" t="e">
        <f t="shared" ca="1" si="8"/>
        <v>#DIV/0!</v>
      </c>
      <c r="BC78" s="173" t="e">
        <f t="shared" ca="1" si="9"/>
        <v>#DIV/0!</v>
      </c>
      <c r="BD78" s="462" t="e">
        <f ca="1"/>
        <v>#DIV/0!</v>
      </c>
      <c r="BE78" s="464">
        <f ca="1"/>
        <v>0</v>
      </c>
      <c r="BF78" s="464" t="e">
        <f ca="1"/>
        <v>#DIV/0!</v>
      </c>
      <c r="BG78" s="466" t="e">
        <f ca="1"/>
        <v>#DIV/0!</v>
      </c>
      <c r="BH78" s="157" t="e">
        <f ca="1"/>
        <v>#DIV/0!</v>
      </c>
      <c r="BI78" s="157" t="e">
        <f ca="1"/>
        <v>#DIV/0!</v>
      </c>
      <c r="BJ78" s="157">
        <f ca="1"/>
        <v>22.742285552093737</v>
      </c>
      <c r="BK78" s="157" t="e">
        <f ca="1"/>
        <v>#DIV/0!</v>
      </c>
      <c r="BL78" s="157" t="e">
        <f ca="1"/>
        <v>#DIV/0!</v>
      </c>
      <c r="BM78" s="468" t="e">
        <f ca="1"/>
        <v>#DIV/0!</v>
      </c>
      <c r="BN78" s="470" t="e">
        <f ca="1"/>
        <v>#DIV/0!</v>
      </c>
      <c r="BO78" s="472" t="e">
        <f ca="1"/>
        <v>#DIV/0!</v>
      </c>
      <c r="BP78" s="462" t="e">
        <f ca="1"/>
        <v>#DIV/0!</v>
      </c>
      <c r="BQ78" s="464">
        <f ca="1"/>
        <v>0</v>
      </c>
      <c r="BR78" s="464" t="e">
        <f ca="1"/>
        <v>#DIV/0!</v>
      </c>
      <c r="BS78" s="466" t="e">
        <f ca="1"/>
        <v>#DIV/0!</v>
      </c>
      <c r="BT78" s="157" t="e">
        <f ca="1"/>
        <v>#DIV/0!</v>
      </c>
      <c r="BU78" s="157" t="e">
        <f ca="1"/>
        <v>#DIV/0!</v>
      </c>
      <c r="BV78" s="157">
        <f ca="1"/>
        <v>16.651439369797853</v>
      </c>
      <c r="BW78" s="157" t="e">
        <f ca="1"/>
        <v>#DIV/0!</v>
      </c>
      <c r="BX78" s="157" t="e">
        <f ca="1"/>
        <v>#DIV/0!</v>
      </c>
      <c r="BY78" s="468" t="e">
        <f ca="1"/>
        <v>#DIV/0!</v>
      </c>
      <c r="BZ78" s="470" t="e">
        <f ca="1"/>
        <v>#DIV/0!</v>
      </c>
      <c r="CA78" s="472" t="e">
        <f ca="1"/>
        <v>#DIV/0!</v>
      </c>
      <c r="CB78" s="462" t="e">
        <f ca="1"/>
        <v>#DIV/0!</v>
      </c>
      <c r="CC78" s="464">
        <f ca="1"/>
        <v>0</v>
      </c>
      <c r="CD78" s="464" t="e">
        <f ca="1"/>
        <v>#DIV/0!</v>
      </c>
      <c r="CE78" s="466" t="e">
        <f ca="1"/>
        <v>#DIV/0!</v>
      </c>
      <c r="CF78" s="157" t="e">
        <f ca="1"/>
        <v>#DIV/0!</v>
      </c>
      <c r="CG78" s="157" t="e">
        <f ca="1"/>
        <v>#DIV/0!</v>
      </c>
      <c r="CH78" s="157">
        <f ca="1"/>
        <v>57.555168804846311</v>
      </c>
      <c r="CI78" s="157" t="e">
        <f ca="1"/>
        <v>#DIV/0!</v>
      </c>
      <c r="CJ78" s="157" t="e">
        <f ca="1"/>
        <v>#DIV/0!</v>
      </c>
      <c r="CK78" s="468" t="e">
        <f ca="1"/>
        <v>#DIV/0!</v>
      </c>
      <c r="CL78" s="470" t="e">
        <f ca="1"/>
        <v>#DIV/0!</v>
      </c>
      <c r="CM78" s="472" t="e">
        <f ca="1"/>
        <v>#DIV/0!</v>
      </c>
      <c r="CN78" s="462" t="e">
        <f ca="1"/>
        <v>#DIV/0!</v>
      </c>
      <c r="CO78" s="464" t="e">
        <f ca="1"/>
        <v>#NUM!</v>
      </c>
      <c r="CP78" s="464" t="e">
        <f ca="1"/>
        <v>#NUM!</v>
      </c>
      <c r="CQ78" s="466" t="e">
        <f ca="1"/>
        <v>#NUM!</v>
      </c>
      <c r="CR78" s="157" t="e">
        <f ca="1"/>
        <v>#DIV/0!</v>
      </c>
      <c r="CS78" s="157" t="e">
        <f ca="1"/>
        <v>#NUM!</v>
      </c>
      <c r="CT78" s="157">
        <f ca="1"/>
        <v>8.5611455048660385</v>
      </c>
      <c r="CU78" s="157" t="e">
        <f ca="1"/>
        <v>#DIV/0!</v>
      </c>
      <c r="CV78" s="157" t="e">
        <f ca="1"/>
        <v>#DIV/0!</v>
      </c>
      <c r="CW78" s="468" t="e">
        <f ca="1"/>
        <v>#DIV/0!</v>
      </c>
      <c r="CX78" s="470" t="e">
        <f ca="1"/>
        <v>#DIV/0!</v>
      </c>
      <c r="CY78" s="472" t="e">
        <f ca="1"/>
        <v>#DIV/0!</v>
      </c>
      <c r="CZ78" s="173" t="e">
        <f t="shared" ca="1" si="10"/>
        <v>#DIV/0!</v>
      </c>
      <c r="DA78" s="173" t="e">
        <f t="shared" ca="1" si="11"/>
        <v>#DIV/0!</v>
      </c>
      <c r="DB78" s="462" t="e">
        <f ca="1"/>
        <v>#DIV/0!</v>
      </c>
      <c r="DC78" s="464">
        <f ca="1"/>
        <v>0</v>
      </c>
      <c r="DD78" s="464" t="e">
        <f ca="1"/>
        <v>#DIV/0!</v>
      </c>
      <c r="DE78" s="466" t="e">
        <f ca="1"/>
        <v>#DIV/0!</v>
      </c>
      <c r="DF78" s="157" t="e">
        <f ca="1"/>
        <v>#DIV/0!</v>
      </c>
      <c r="DG78" s="157" t="e">
        <f ca="1"/>
        <v>#DIV/0!</v>
      </c>
      <c r="DH78" s="157">
        <f ca="1"/>
        <v>27206.379009306173</v>
      </c>
      <c r="DI78" s="157" t="e">
        <f ca="1"/>
        <v>#DIV/0!</v>
      </c>
      <c r="DJ78" s="157" t="e">
        <f ca="1"/>
        <v>#DIV/0!</v>
      </c>
      <c r="DK78" s="468" t="e">
        <f ca="1"/>
        <v>#DIV/0!</v>
      </c>
      <c r="DL78" s="470" t="e">
        <f ca="1"/>
        <v>#DIV/0!</v>
      </c>
      <c r="DM78" s="472" t="e">
        <f ca="1"/>
        <v>#DIV/0!</v>
      </c>
      <c r="DN78" s="462" t="e">
        <f ca="1"/>
        <v>#DIV/0!</v>
      </c>
      <c r="DO78" s="464">
        <f ca="1"/>
        <v>0</v>
      </c>
      <c r="DP78" s="464" t="e">
        <f ca="1"/>
        <v>#DIV/0!</v>
      </c>
      <c r="DQ78" s="466" t="e">
        <f ca="1"/>
        <v>#DIV/0!</v>
      </c>
      <c r="DR78" s="157" t="e">
        <f ca="1"/>
        <v>#DIV/0!</v>
      </c>
      <c r="DS78" s="157" t="e">
        <f ca="1"/>
        <v>#DIV/0!</v>
      </c>
      <c r="DT78" s="157">
        <f ca="1"/>
        <v>22406.936296115917</v>
      </c>
      <c r="DU78" s="157" t="e">
        <f ca="1"/>
        <v>#DIV/0!</v>
      </c>
      <c r="DV78" s="157" t="e">
        <f ca="1"/>
        <v>#DIV/0!</v>
      </c>
      <c r="DW78" s="468" t="e">
        <f ca="1"/>
        <v>#DIV/0!</v>
      </c>
      <c r="DX78" s="470" t="e">
        <f ca="1"/>
        <v>#DIV/0!</v>
      </c>
      <c r="DY78" s="472" t="e">
        <f ca="1"/>
        <v>#DIV/0!</v>
      </c>
      <c r="DZ78" s="462" t="e">
        <f ca="1"/>
        <v>#DIV/0!</v>
      </c>
      <c r="EA78" s="464">
        <f ca="1"/>
        <v>0</v>
      </c>
      <c r="EB78" s="464" t="e">
        <f ca="1"/>
        <v>#DIV/0!</v>
      </c>
      <c r="EC78" s="466" t="e">
        <f ca="1"/>
        <v>#DIV/0!</v>
      </c>
      <c r="ED78" s="157" t="e">
        <f ca="1"/>
        <v>#DIV/0!</v>
      </c>
      <c r="EE78" s="157" t="e">
        <f ca="1"/>
        <v>#DIV/0!</v>
      </c>
      <c r="EF78" s="157">
        <f ca="1"/>
        <v>17605.123264932634</v>
      </c>
      <c r="EG78" s="157" t="e">
        <f ca="1"/>
        <v>#DIV/0!</v>
      </c>
      <c r="EH78" s="157" t="e">
        <f ca="1"/>
        <v>#DIV/0!</v>
      </c>
      <c r="EI78" s="468" t="e">
        <f ca="1"/>
        <v>#DIV/0!</v>
      </c>
      <c r="EJ78" s="470" t="e">
        <f ca="1"/>
        <v>#DIV/0!</v>
      </c>
      <c r="EK78" s="472" t="e">
        <f ca="1"/>
        <v>#DIV/0!</v>
      </c>
      <c r="EL78" s="462" t="e">
        <f ca="1"/>
        <v>#DIV/0!</v>
      </c>
      <c r="EM78" s="464" t="e">
        <f ca="1"/>
        <v>#NUM!</v>
      </c>
      <c r="EN78" s="464" t="e">
        <f ca="1"/>
        <v>#NUM!</v>
      </c>
      <c r="EO78" s="466" t="e">
        <f ca="1"/>
        <v>#NUM!</v>
      </c>
      <c r="EP78" s="157" t="e">
        <f ca="1"/>
        <v>#DIV/0!</v>
      </c>
      <c r="EQ78" s="157" t="e">
        <f ca="1"/>
        <v>#NUM!</v>
      </c>
      <c r="ER78" s="157">
        <f ca="1"/>
        <v>3344.9028892649153</v>
      </c>
      <c r="ES78" s="157" t="e">
        <f ca="1"/>
        <v>#DIV/0!</v>
      </c>
      <c r="ET78" s="157" t="e">
        <f ca="1"/>
        <v>#DIV/0!</v>
      </c>
      <c r="EU78" s="468" t="e">
        <f ca="1"/>
        <v>#DIV/0!</v>
      </c>
      <c r="EV78" s="470" t="e">
        <f ca="1"/>
        <v>#DIV/0!</v>
      </c>
      <c r="EW78" s="472" t="e">
        <f ca="1"/>
        <v>#DIV/0!</v>
      </c>
      <c r="EX78" s="462" t="e">
        <f ca="1"/>
        <v>#DIV/0!</v>
      </c>
      <c r="EY78" s="464" t="e">
        <f ca="1"/>
        <v>#NUM!</v>
      </c>
      <c r="EZ78" s="464" t="e">
        <f ca="1"/>
        <v>#NUM!</v>
      </c>
      <c r="FA78" s="466" t="e">
        <f ca="1"/>
        <v>#NUM!</v>
      </c>
      <c r="FB78" s="157" t="e">
        <f ca="1"/>
        <v>#DIV/0!</v>
      </c>
      <c r="FC78" s="157" t="e">
        <f ca="1"/>
        <v>#NUM!</v>
      </c>
      <c r="FD78" s="157">
        <f ca="1"/>
        <v>6851.6109617533648</v>
      </c>
      <c r="FE78" s="157" t="e">
        <f ca="1"/>
        <v>#DIV/0!</v>
      </c>
      <c r="FF78" s="157" t="e">
        <f ca="1"/>
        <v>#DIV/0!</v>
      </c>
      <c r="FG78" s="468" t="e">
        <f ca="1"/>
        <v>#DIV/0!</v>
      </c>
      <c r="FH78" s="470" t="e">
        <f ca="1"/>
        <v>#DIV/0!</v>
      </c>
      <c r="FI78" s="472" t="e">
        <f ca="1"/>
        <v>#DIV/0!</v>
      </c>
      <c r="FJ78" s="173" t="e">
        <f t="shared" ca="1" si="12"/>
        <v>#DIV/0!</v>
      </c>
      <c r="FK78" s="173" t="e">
        <f t="shared" ca="1" si="13"/>
        <v>#DIV/0!</v>
      </c>
      <c r="FL78" s="462" t="e">
        <f ca="1"/>
        <v>#DIV/0!</v>
      </c>
      <c r="FM78" s="464">
        <f ca="1"/>
        <v>0</v>
      </c>
      <c r="FN78" s="464" t="e">
        <f ca="1"/>
        <v>#DIV/0!</v>
      </c>
      <c r="FO78" s="466" t="e">
        <f ca="1"/>
        <v>#DIV/0!</v>
      </c>
      <c r="FP78" s="157" t="e">
        <f ca="1"/>
        <v>#DIV/0!</v>
      </c>
      <c r="FQ78" s="157" t="e">
        <f ca="1"/>
        <v>#DIV/0!</v>
      </c>
      <c r="FR78" s="157" t="e">
        <f ca="1"/>
        <v>#DIV/0!</v>
      </c>
      <c r="FS78" s="157">
        <f ca="1"/>
        <v>2411.9454277299774</v>
      </c>
      <c r="FT78" s="468" t="e">
        <f ca="1"/>
        <v>#DIV/0!</v>
      </c>
      <c r="FU78" s="470" t="e">
        <f ca="1"/>
        <v>#DIV/0!</v>
      </c>
      <c r="FV78" s="470" t="e">
        <f ca="1"/>
        <v>#DIV/0!</v>
      </c>
      <c r="FW78" s="462" t="e">
        <f ca="1"/>
        <v>#DIV/0!</v>
      </c>
      <c r="FX78" s="464" t="e">
        <f ca="1"/>
        <v>#NUM!</v>
      </c>
      <c r="FY78" s="464" t="e">
        <f ca="1"/>
        <v>#NUM!</v>
      </c>
      <c r="FZ78" s="466" t="e">
        <f ca="1"/>
        <v>#NUM!</v>
      </c>
      <c r="GA78" s="157" t="e">
        <f ca="1"/>
        <v>#DIV/0!</v>
      </c>
      <c r="GB78" s="157" t="e">
        <f ca="1"/>
        <v>#NUM!</v>
      </c>
      <c r="GC78" s="157" t="e">
        <f ca="1"/>
        <v>#DIV/0!</v>
      </c>
      <c r="GD78" s="157">
        <f ca="1"/>
        <v>51.113212949231006</v>
      </c>
      <c r="GE78" s="468" t="e">
        <f ca="1"/>
        <v>#DIV/0!</v>
      </c>
      <c r="GF78" s="470" t="e">
        <f ca="1"/>
        <v>#DIV/0!</v>
      </c>
      <c r="GG78" s="470" t="e">
        <f ca="1"/>
        <v>#DIV/0!</v>
      </c>
      <c r="GH78" s="173" t="e">
        <f t="shared" ca="1" si="14"/>
        <v>#DIV/0!</v>
      </c>
      <c r="GI78" s="173" t="e">
        <f t="shared" ca="1" si="15"/>
        <v>#DIV/0!</v>
      </c>
    </row>
    <row r="79" spans="2:191" ht="15">
      <c r="B79" s="169"/>
      <c r="C79" s="87">
        <f>'Oil supply projection'!B79</f>
        <v>2088</v>
      </c>
      <c r="D79" s="460" t="e">
        <f ca="1"/>
        <v>#DIV/0!</v>
      </c>
      <c r="E79" s="460" t="e">
        <f ca="1"/>
        <v>#DIV/0!</v>
      </c>
      <c r="F79" s="462" t="e">
        <f ca="1"/>
        <v>#DIV/0!</v>
      </c>
      <c r="G79" s="464">
        <f ca="1"/>
        <v>0</v>
      </c>
      <c r="H79" s="464" t="e">
        <f ca="1"/>
        <v>#DIV/0!</v>
      </c>
      <c r="I79" s="466" t="e">
        <f ca="1"/>
        <v>#DIV/0!</v>
      </c>
      <c r="J79" s="157" t="e">
        <f ca="1"/>
        <v>#DIV/0!</v>
      </c>
      <c r="K79" s="157" t="e">
        <f ca="1"/>
        <v>#DIV/0!</v>
      </c>
      <c r="L79" s="157">
        <f ca="1"/>
        <v>62.603251391025154</v>
      </c>
      <c r="M79" s="157" t="e">
        <f ca="1"/>
        <v>#DIV/0!</v>
      </c>
      <c r="N79" s="157" t="e">
        <f ca="1"/>
        <v>#DIV/0!</v>
      </c>
      <c r="O79" s="468" t="e">
        <f ca="1"/>
        <v>#DIV/0!</v>
      </c>
      <c r="P79" s="470" t="e">
        <f ca="1"/>
        <v>#DIV/0!</v>
      </c>
      <c r="Q79" s="472" t="e">
        <f ca="1"/>
        <v>#DIV/0!</v>
      </c>
      <c r="R79" s="462" t="e">
        <f ca="1"/>
        <v>#DIV/0!</v>
      </c>
      <c r="S79" s="464">
        <f ca="1"/>
        <v>0</v>
      </c>
      <c r="T79" s="464" t="e">
        <f ca="1"/>
        <v>#DIV/0!</v>
      </c>
      <c r="U79" s="466" t="e">
        <f ca="1"/>
        <v>#DIV/0!</v>
      </c>
      <c r="V79" s="157" t="e">
        <f ca="1"/>
        <v>#DIV/0!</v>
      </c>
      <c r="W79" s="157" t="e">
        <f ca="1"/>
        <v>#DIV/0!</v>
      </c>
      <c r="X79" s="157">
        <f ca="1"/>
        <v>85.376670482705293</v>
      </c>
      <c r="Y79" s="157" t="e">
        <f ca="1"/>
        <v>#DIV/0!</v>
      </c>
      <c r="Z79" s="157" t="e">
        <f ca="1"/>
        <v>#DIV/0!</v>
      </c>
      <c r="AA79" s="468" t="e">
        <f ca="1"/>
        <v>#DIV/0!</v>
      </c>
      <c r="AB79" s="470" t="e">
        <f ca="1"/>
        <v>#DIV/0!</v>
      </c>
      <c r="AC79" s="472" t="e">
        <f ca="1"/>
        <v>#DIV/0!</v>
      </c>
      <c r="AD79" s="462" t="e">
        <f ca="1"/>
        <v>#DIV/0!</v>
      </c>
      <c r="AE79" s="464">
        <f ca="1"/>
        <v>0</v>
      </c>
      <c r="AF79" s="464" t="e">
        <f ca="1"/>
        <v>#DIV/0!</v>
      </c>
      <c r="AG79" s="466" t="e">
        <f ca="1"/>
        <v>#DIV/0!</v>
      </c>
      <c r="AH79" s="157" t="e">
        <f ca="1"/>
        <v>#DIV/0!</v>
      </c>
      <c r="AI79" s="157" t="e">
        <f ca="1"/>
        <v>#DIV/0!</v>
      </c>
      <c r="AJ79" s="157">
        <f ca="1"/>
        <v>1116.9313650350875</v>
      </c>
      <c r="AK79" s="157" t="e">
        <f ca="1"/>
        <v>#DIV/0!</v>
      </c>
      <c r="AL79" s="157" t="e">
        <f ca="1"/>
        <v>#DIV/0!</v>
      </c>
      <c r="AM79" s="468" t="e">
        <f ca="1"/>
        <v>#DIV/0!</v>
      </c>
      <c r="AN79" s="470" t="e">
        <f ca="1"/>
        <v>#DIV/0!</v>
      </c>
      <c r="AO79" s="472" t="e">
        <f ca="1"/>
        <v>#DIV/0!</v>
      </c>
      <c r="AP79" s="462" t="e">
        <f ca="1"/>
        <v>#DIV/0!</v>
      </c>
      <c r="AQ79" s="464" t="e">
        <f ca="1"/>
        <v>#NUM!</v>
      </c>
      <c r="AR79" s="464" t="e">
        <f ca="1"/>
        <v>#NUM!</v>
      </c>
      <c r="AS79" s="466" t="e">
        <f ca="1"/>
        <v>#NUM!</v>
      </c>
      <c r="AT79" s="157" t="e">
        <f ca="1"/>
        <v>#DIV/0!</v>
      </c>
      <c r="AU79" s="157" t="e">
        <f ca="1"/>
        <v>#NUM!</v>
      </c>
      <c r="AV79" s="157">
        <f ca="1"/>
        <v>2013.1565751929622</v>
      </c>
      <c r="AW79" s="157" t="e">
        <f ca="1"/>
        <v>#DIV/0!</v>
      </c>
      <c r="AX79" s="157" t="e">
        <f ca="1"/>
        <v>#DIV/0!</v>
      </c>
      <c r="AY79" s="468" t="e">
        <f ca="1"/>
        <v>#DIV/0!</v>
      </c>
      <c r="AZ79" s="470" t="e">
        <f ca="1"/>
        <v>#DIV/0!</v>
      </c>
      <c r="BA79" s="472" t="e">
        <f ca="1"/>
        <v>#DIV/0!</v>
      </c>
      <c r="BB79" s="173" t="e">
        <f t="shared" ca="1" si="8"/>
        <v>#DIV/0!</v>
      </c>
      <c r="BC79" s="173" t="e">
        <f t="shared" ca="1" si="9"/>
        <v>#DIV/0!</v>
      </c>
      <c r="BD79" s="462" t="e">
        <f ca="1"/>
        <v>#DIV/0!</v>
      </c>
      <c r="BE79" s="464">
        <f ca="1"/>
        <v>0</v>
      </c>
      <c r="BF79" s="464" t="e">
        <f ca="1"/>
        <v>#DIV/0!</v>
      </c>
      <c r="BG79" s="466" t="e">
        <f ca="1"/>
        <v>#DIV/0!</v>
      </c>
      <c r="BH79" s="157" t="e">
        <f ca="1"/>
        <v>#DIV/0!</v>
      </c>
      <c r="BI79" s="157" t="e">
        <f ca="1"/>
        <v>#DIV/0!</v>
      </c>
      <c r="BJ79" s="157">
        <f ca="1"/>
        <v>22.876547389318819</v>
      </c>
      <c r="BK79" s="157" t="e">
        <f ca="1"/>
        <v>#DIV/0!</v>
      </c>
      <c r="BL79" s="157" t="e">
        <f ca="1"/>
        <v>#DIV/0!</v>
      </c>
      <c r="BM79" s="468" t="e">
        <f ca="1"/>
        <v>#DIV/0!</v>
      </c>
      <c r="BN79" s="470" t="e">
        <f ca="1"/>
        <v>#DIV/0!</v>
      </c>
      <c r="BO79" s="472" t="e">
        <f ca="1"/>
        <v>#DIV/0!</v>
      </c>
      <c r="BP79" s="462" t="e">
        <f ca="1"/>
        <v>#DIV/0!</v>
      </c>
      <c r="BQ79" s="464">
        <f ca="1"/>
        <v>0</v>
      </c>
      <c r="BR79" s="464" t="e">
        <f ca="1"/>
        <v>#DIV/0!</v>
      </c>
      <c r="BS79" s="466" t="e">
        <f ca="1"/>
        <v>#DIV/0!</v>
      </c>
      <c r="BT79" s="157" t="e">
        <f ca="1"/>
        <v>#DIV/0!</v>
      </c>
      <c r="BU79" s="157" t="e">
        <f ca="1"/>
        <v>#DIV/0!</v>
      </c>
      <c r="BV79" s="157">
        <f ca="1"/>
        <v>16.74974315888317</v>
      </c>
      <c r="BW79" s="157" t="e">
        <f ca="1"/>
        <v>#DIV/0!</v>
      </c>
      <c r="BX79" s="157" t="e">
        <f ca="1"/>
        <v>#DIV/0!</v>
      </c>
      <c r="BY79" s="468" t="e">
        <f ca="1"/>
        <v>#DIV/0!</v>
      </c>
      <c r="BZ79" s="470" t="e">
        <f ca="1"/>
        <v>#DIV/0!</v>
      </c>
      <c r="CA79" s="472" t="e">
        <f ca="1"/>
        <v>#DIV/0!</v>
      </c>
      <c r="CB79" s="462" t="e">
        <f ca="1"/>
        <v>#DIV/0!</v>
      </c>
      <c r="CC79" s="464">
        <f ca="1"/>
        <v>0</v>
      </c>
      <c r="CD79" s="464" t="e">
        <f ca="1"/>
        <v>#DIV/0!</v>
      </c>
      <c r="CE79" s="466" t="e">
        <f ca="1"/>
        <v>#DIV/0!</v>
      </c>
      <c r="CF79" s="157" t="e">
        <f ca="1"/>
        <v>#DIV/0!</v>
      </c>
      <c r="CG79" s="157" t="e">
        <f ca="1"/>
        <v>#DIV/0!</v>
      </c>
      <c r="CH79" s="157">
        <f ca="1"/>
        <v>57.894952714772067</v>
      </c>
      <c r="CI79" s="157" t="e">
        <f ca="1"/>
        <v>#DIV/0!</v>
      </c>
      <c r="CJ79" s="157" t="e">
        <f ca="1"/>
        <v>#DIV/0!</v>
      </c>
      <c r="CK79" s="468" t="e">
        <f ca="1"/>
        <v>#DIV/0!</v>
      </c>
      <c r="CL79" s="470" t="e">
        <f ca="1"/>
        <v>#DIV/0!</v>
      </c>
      <c r="CM79" s="472" t="e">
        <f ca="1"/>
        <v>#DIV/0!</v>
      </c>
      <c r="CN79" s="462" t="e">
        <f ca="1"/>
        <v>#DIV/0!</v>
      </c>
      <c r="CO79" s="464" t="e">
        <f ca="1"/>
        <v>#NUM!</v>
      </c>
      <c r="CP79" s="464" t="e">
        <f ca="1"/>
        <v>#NUM!</v>
      </c>
      <c r="CQ79" s="466" t="e">
        <f ca="1"/>
        <v>#NUM!</v>
      </c>
      <c r="CR79" s="157" t="e">
        <f ca="1"/>
        <v>#DIV/0!</v>
      </c>
      <c r="CS79" s="157" t="e">
        <f ca="1"/>
        <v>#NUM!</v>
      </c>
      <c r="CT79" s="157">
        <f ca="1"/>
        <v>8.6116872642508486</v>
      </c>
      <c r="CU79" s="157" t="e">
        <f ca="1"/>
        <v>#DIV/0!</v>
      </c>
      <c r="CV79" s="157" t="e">
        <f ca="1"/>
        <v>#DIV/0!</v>
      </c>
      <c r="CW79" s="468" t="e">
        <f ca="1"/>
        <v>#DIV/0!</v>
      </c>
      <c r="CX79" s="470" t="e">
        <f ca="1"/>
        <v>#DIV/0!</v>
      </c>
      <c r="CY79" s="472" t="e">
        <f ca="1"/>
        <v>#DIV/0!</v>
      </c>
      <c r="CZ79" s="173" t="e">
        <f t="shared" ca="1" si="10"/>
        <v>#DIV/0!</v>
      </c>
      <c r="DA79" s="173" t="e">
        <f t="shared" ca="1" si="11"/>
        <v>#DIV/0!</v>
      </c>
      <c r="DB79" s="462" t="e">
        <f ca="1"/>
        <v>#DIV/0!</v>
      </c>
      <c r="DC79" s="464">
        <f ca="1"/>
        <v>0</v>
      </c>
      <c r="DD79" s="464" t="e">
        <f ca="1"/>
        <v>#DIV/0!</v>
      </c>
      <c r="DE79" s="466" t="e">
        <f ca="1"/>
        <v>#DIV/0!</v>
      </c>
      <c r="DF79" s="157" t="e">
        <f ca="1"/>
        <v>#DIV/0!</v>
      </c>
      <c r="DG79" s="157" t="e">
        <f ca="1"/>
        <v>#DIV/0!</v>
      </c>
      <c r="DH79" s="157">
        <f ca="1"/>
        <v>27486.539707579926</v>
      </c>
      <c r="DI79" s="157" t="e">
        <f ca="1"/>
        <v>#DIV/0!</v>
      </c>
      <c r="DJ79" s="157" t="e">
        <f ca="1"/>
        <v>#DIV/0!</v>
      </c>
      <c r="DK79" s="468" t="e">
        <f ca="1"/>
        <v>#DIV/0!</v>
      </c>
      <c r="DL79" s="470" t="e">
        <f ca="1"/>
        <v>#DIV/0!</v>
      </c>
      <c r="DM79" s="472" t="e">
        <f ca="1"/>
        <v>#DIV/0!</v>
      </c>
      <c r="DN79" s="462" t="e">
        <f ca="1"/>
        <v>#DIV/0!</v>
      </c>
      <c r="DO79" s="464">
        <f ca="1"/>
        <v>0</v>
      </c>
      <c r="DP79" s="464" t="e">
        <f ca="1"/>
        <v>#DIV/0!</v>
      </c>
      <c r="DQ79" s="466" t="e">
        <f ca="1"/>
        <v>#DIV/0!</v>
      </c>
      <c r="DR79" s="157" t="e">
        <f ca="1"/>
        <v>#DIV/0!</v>
      </c>
      <c r="DS79" s="157" t="e">
        <f ca="1"/>
        <v>#DIV/0!</v>
      </c>
      <c r="DT79" s="157">
        <f ca="1"/>
        <v>22637.674201985275</v>
      </c>
      <c r="DU79" s="157" t="e">
        <f ca="1"/>
        <v>#DIV/0!</v>
      </c>
      <c r="DV79" s="157" t="e">
        <f ca="1"/>
        <v>#DIV/0!</v>
      </c>
      <c r="DW79" s="468" t="e">
        <f ca="1"/>
        <v>#DIV/0!</v>
      </c>
      <c r="DX79" s="470" t="e">
        <f ca="1"/>
        <v>#DIV/0!</v>
      </c>
      <c r="DY79" s="472" t="e">
        <f ca="1"/>
        <v>#DIV/0!</v>
      </c>
      <c r="DZ79" s="462" t="e">
        <f ca="1"/>
        <v>#DIV/0!</v>
      </c>
      <c r="EA79" s="464">
        <f ca="1"/>
        <v>0</v>
      </c>
      <c r="EB79" s="464" t="e">
        <f ca="1"/>
        <v>#DIV/0!</v>
      </c>
      <c r="EC79" s="466" t="e">
        <f ca="1"/>
        <v>#DIV/0!</v>
      </c>
      <c r="ED79" s="157" t="e">
        <f ca="1"/>
        <v>#DIV/0!</v>
      </c>
      <c r="EE79" s="157" t="e">
        <f ca="1"/>
        <v>#DIV/0!</v>
      </c>
      <c r="EF79" s="157">
        <f ca="1"/>
        <v>17786.413969785783</v>
      </c>
      <c r="EG79" s="157" t="e">
        <f ca="1"/>
        <v>#DIV/0!</v>
      </c>
      <c r="EH79" s="157" t="e">
        <f ca="1"/>
        <v>#DIV/0!</v>
      </c>
      <c r="EI79" s="468" t="e">
        <f ca="1"/>
        <v>#DIV/0!</v>
      </c>
      <c r="EJ79" s="470" t="e">
        <f ca="1"/>
        <v>#DIV/0!</v>
      </c>
      <c r="EK79" s="472" t="e">
        <f ca="1"/>
        <v>#DIV/0!</v>
      </c>
      <c r="EL79" s="462" t="e">
        <f ca="1"/>
        <v>#DIV/0!</v>
      </c>
      <c r="EM79" s="464" t="e">
        <f ca="1"/>
        <v>#NUM!</v>
      </c>
      <c r="EN79" s="464" t="e">
        <f ca="1"/>
        <v>#NUM!</v>
      </c>
      <c r="EO79" s="466" t="e">
        <f ca="1"/>
        <v>#NUM!</v>
      </c>
      <c r="EP79" s="157" t="e">
        <f ca="1"/>
        <v>#DIV/0!</v>
      </c>
      <c r="EQ79" s="157" t="e">
        <f ca="1"/>
        <v>#NUM!</v>
      </c>
      <c r="ER79" s="157">
        <f ca="1"/>
        <v>3379.3473968854919</v>
      </c>
      <c r="ES79" s="157" t="e">
        <f ca="1"/>
        <v>#DIV/0!</v>
      </c>
      <c r="ET79" s="157" t="e">
        <f ca="1"/>
        <v>#DIV/0!</v>
      </c>
      <c r="EU79" s="468" t="e">
        <f ca="1"/>
        <v>#DIV/0!</v>
      </c>
      <c r="EV79" s="470" t="e">
        <f ca="1"/>
        <v>#DIV/0!</v>
      </c>
      <c r="EW79" s="472" t="e">
        <f ca="1"/>
        <v>#DIV/0!</v>
      </c>
      <c r="EX79" s="462" t="e">
        <f ca="1"/>
        <v>#DIV/0!</v>
      </c>
      <c r="EY79" s="464" t="e">
        <f ca="1"/>
        <v>#NUM!</v>
      </c>
      <c r="EZ79" s="464" t="e">
        <f ca="1"/>
        <v>#NUM!</v>
      </c>
      <c r="FA79" s="466" t="e">
        <f ca="1"/>
        <v>#NUM!</v>
      </c>
      <c r="FB79" s="157" t="e">
        <f ca="1"/>
        <v>#DIV/0!</v>
      </c>
      <c r="FC79" s="157" t="e">
        <f ca="1"/>
        <v>#NUM!</v>
      </c>
      <c r="FD79" s="157">
        <f ca="1"/>
        <v>6922.1661837727424</v>
      </c>
      <c r="FE79" s="157" t="e">
        <f ca="1"/>
        <v>#DIV/0!</v>
      </c>
      <c r="FF79" s="157" t="e">
        <f ca="1"/>
        <v>#DIV/0!</v>
      </c>
      <c r="FG79" s="468" t="e">
        <f ca="1"/>
        <v>#DIV/0!</v>
      </c>
      <c r="FH79" s="470" t="e">
        <f ca="1"/>
        <v>#DIV/0!</v>
      </c>
      <c r="FI79" s="472" t="e">
        <f ca="1"/>
        <v>#DIV/0!</v>
      </c>
      <c r="FJ79" s="173" t="e">
        <f t="shared" ca="1" si="12"/>
        <v>#DIV/0!</v>
      </c>
      <c r="FK79" s="173" t="e">
        <f t="shared" ca="1" si="13"/>
        <v>#DIV/0!</v>
      </c>
      <c r="FL79" s="462" t="e">
        <f ca="1"/>
        <v>#DIV/0!</v>
      </c>
      <c r="FM79" s="464">
        <f ca="1"/>
        <v>0</v>
      </c>
      <c r="FN79" s="464" t="e">
        <f ca="1"/>
        <v>#DIV/0!</v>
      </c>
      <c r="FO79" s="466" t="e">
        <f ca="1"/>
        <v>#DIV/0!</v>
      </c>
      <c r="FP79" s="157" t="e">
        <f ca="1"/>
        <v>#DIV/0!</v>
      </c>
      <c r="FQ79" s="157" t="e">
        <f ca="1"/>
        <v>#DIV/0!</v>
      </c>
      <c r="FR79" s="157" t="e">
        <f ca="1"/>
        <v>#DIV/0!</v>
      </c>
      <c r="FS79" s="157">
        <f ca="1"/>
        <v>2425.4033258517125</v>
      </c>
      <c r="FT79" s="468" t="e">
        <f ca="1"/>
        <v>#DIV/0!</v>
      </c>
      <c r="FU79" s="470" t="e">
        <f ca="1"/>
        <v>#DIV/0!</v>
      </c>
      <c r="FV79" s="470" t="e">
        <f ca="1"/>
        <v>#DIV/0!</v>
      </c>
      <c r="FW79" s="462" t="e">
        <f ca="1"/>
        <v>#DIV/0!</v>
      </c>
      <c r="FX79" s="464" t="e">
        <f ca="1"/>
        <v>#NUM!</v>
      </c>
      <c r="FY79" s="464" t="e">
        <f ca="1"/>
        <v>#NUM!</v>
      </c>
      <c r="FZ79" s="466" t="e">
        <f ca="1"/>
        <v>#NUM!</v>
      </c>
      <c r="GA79" s="157" t="e">
        <f ca="1"/>
        <v>#DIV/0!</v>
      </c>
      <c r="GB79" s="157" t="e">
        <f ca="1"/>
        <v>#NUM!</v>
      </c>
      <c r="GC79" s="157" t="e">
        <f ca="1"/>
        <v>#DIV/0!</v>
      </c>
      <c r="GD79" s="157">
        <f ca="1"/>
        <v>51.39840862763932</v>
      </c>
      <c r="GE79" s="468" t="e">
        <f ca="1"/>
        <v>#DIV/0!</v>
      </c>
      <c r="GF79" s="470" t="e">
        <f ca="1"/>
        <v>#DIV/0!</v>
      </c>
      <c r="GG79" s="470" t="e">
        <f ca="1"/>
        <v>#DIV/0!</v>
      </c>
      <c r="GH79" s="173" t="e">
        <f t="shared" ca="1" si="14"/>
        <v>#DIV/0!</v>
      </c>
      <c r="GI79" s="173" t="e">
        <f t="shared" ca="1" si="15"/>
        <v>#DIV/0!</v>
      </c>
    </row>
    <row r="80" spans="2:191" ht="15">
      <c r="B80" s="169"/>
      <c r="C80" s="87">
        <f>'Oil supply projection'!B80</f>
        <v>2089</v>
      </c>
      <c r="D80" s="460" t="e">
        <f ca="1"/>
        <v>#DIV/0!</v>
      </c>
      <c r="E80" s="460" t="e">
        <f ca="1"/>
        <v>#DIV/0!</v>
      </c>
      <c r="F80" s="462" t="e">
        <f ca="1"/>
        <v>#DIV/0!</v>
      </c>
      <c r="G80" s="464">
        <f ca="1"/>
        <v>0</v>
      </c>
      <c r="H80" s="464" t="e">
        <f ca="1"/>
        <v>#DIV/0!</v>
      </c>
      <c r="I80" s="466" t="e">
        <f ca="1"/>
        <v>#DIV/0!</v>
      </c>
      <c r="J80" s="157" t="e">
        <f ca="1"/>
        <v>#DIV/0!</v>
      </c>
      <c r="K80" s="157" t="e">
        <f ca="1"/>
        <v>#DIV/0!</v>
      </c>
      <c r="L80" s="157">
        <f ca="1"/>
        <v>63.435711171345474</v>
      </c>
      <c r="M80" s="157" t="e">
        <f ca="1"/>
        <v>#DIV/0!</v>
      </c>
      <c r="N80" s="157" t="e">
        <f ca="1"/>
        <v>#DIV/0!</v>
      </c>
      <c r="O80" s="468" t="e">
        <f ca="1"/>
        <v>#DIV/0!</v>
      </c>
      <c r="P80" s="470" t="e">
        <f ca="1"/>
        <v>#DIV/0!</v>
      </c>
      <c r="Q80" s="472" t="e">
        <f ca="1"/>
        <v>#DIV/0!</v>
      </c>
      <c r="R80" s="462" t="e">
        <f ca="1"/>
        <v>#DIV/0!</v>
      </c>
      <c r="S80" s="464">
        <f ca="1"/>
        <v>0</v>
      </c>
      <c r="T80" s="464" t="e">
        <f ca="1"/>
        <v>#DIV/0!</v>
      </c>
      <c r="U80" s="466" t="e">
        <f ca="1"/>
        <v>#DIV/0!</v>
      </c>
      <c r="V80" s="157" t="e">
        <f ca="1"/>
        <v>#DIV/0!</v>
      </c>
      <c r="W80" s="157" t="e">
        <f ca="1"/>
        <v>#DIV/0!</v>
      </c>
      <c r="X80" s="157">
        <f ca="1"/>
        <v>86.511957273331987</v>
      </c>
      <c r="Y80" s="157" t="e">
        <f ca="1"/>
        <v>#DIV/0!</v>
      </c>
      <c r="Z80" s="157" t="e">
        <f ca="1"/>
        <v>#DIV/0!</v>
      </c>
      <c r="AA80" s="468" t="e">
        <f ca="1"/>
        <v>#DIV/0!</v>
      </c>
      <c r="AB80" s="470" t="e">
        <f ca="1"/>
        <v>#DIV/0!</v>
      </c>
      <c r="AC80" s="472" t="e">
        <f ca="1"/>
        <v>#DIV/0!</v>
      </c>
      <c r="AD80" s="462" t="e">
        <f ca="1"/>
        <v>#DIV/0!</v>
      </c>
      <c r="AE80" s="464">
        <f ca="1"/>
        <v>0</v>
      </c>
      <c r="AF80" s="464" t="e">
        <f ca="1"/>
        <v>#DIV/0!</v>
      </c>
      <c r="AG80" s="466" t="e">
        <f ca="1"/>
        <v>#DIV/0!</v>
      </c>
      <c r="AH80" s="157" t="e">
        <f ca="1"/>
        <v>#DIV/0!</v>
      </c>
      <c r="AI80" s="157" t="e">
        <f ca="1"/>
        <v>#DIV/0!</v>
      </c>
      <c r="AJ80" s="157">
        <f ca="1"/>
        <v>1131.7836357735889</v>
      </c>
      <c r="AK80" s="157" t="e">
        <f ca="1"/>
        <v>#DIV/0!</v>
      </c>
      <c r="AL80" s="157" t="e">
        <f ca="1"/>
        <v>#DIV/0!</v>
      </c>
      <c r="AM80" s="468" t="e">
        <f ca="1"/>
        <v>#DIV/0!</v>
      </c>
      <c r="AN80" s="470" t="e">
        <f ca="1"/>
        <v>#DIV/0!</v>
      </c>
      <c r="AO80" s="472" t="e">
        <f ca="1"/>
        <v>#DIV/0!</v>
      </c>
      <c r="AP80" s="462" t="e">
        <f ca="1"/>
        <v>#DIV/0!</v>
      </c>
      <c r="AQ80" s="464" t="e">
        <f ca="1"/>
        <v>#NUM!</v>
      </c>
      <c r="AR80" s="464" t="e">
        <f ca="1"/>
        <v>#NUM!</v>
      </c>
      <c r="AS80" s="466" t="e">
        <f ca="1"/>
        <v>#NUM!</v>
      </c>
      <c r="AT80" s="157" t="e">
        <f ca="1"/>
        <v>#DIV/0!</v>
      </c>
      <c r="AU80" s="157" t="e">
        <f ca="1"/>
        <v>#NUM!</v>
      </c>
      <c r="AV80" s="157">
        <f ca="1"/>
        <v>2039.9263010953421</v>
      </c>
      <c r="AW80" s="157" t="e">
        <f ca="1"/>
        <v>#DIV/0!</v>
      </c>
      <c r="AX80" s="157" t="e">
        <f ca="1"/>
        <v>#DIV/0!</v>
      </c>
      <c r="AY80" s="468" t="e">
        <f ca="1"/>
        <v>#DIV/0!</v>
      </c>
      <c r="AZ80" s="470" t="e">
        <f ca="1"/>
        <v>#DIV/0!</v>
      </c>
      <c r="BA80" s="472" t="e">
        <f ca="1"/>
        <v>#DIV/0!</v>
      </c>
      <c r="BB80" s="173" t="e">
        <f t="shared" ca="1" si="8"/>
        <v>#DIV/0!</v>
      </c>
      <c r="BC80" s="173" t="e">
        <f t="shared" ca="1" si="9"/>
        <v>#DIV/0!</v>
      </c>
      <c r="BD80" s="462" t="e">
        <f ca="1"/>
        <v>#DIV/0!</v>
      </c>
      <c r="BE80" s="464">
        <f ca="1"/>
        <v>0</v>
      </c>
      <c r="BF80" s="464" t="e">
        <f ca="1"/>
        <v>#DIV/0!</v>
      </c>
      <c r="BG80" s="466" t="e">
        <f ca="1"/>
        <v>#DIV/0!</v>
      </c>
      <c r="BH80" s="157" t="e">
        <f ca="1"/>
        <v>#DIV/0!</v>
      </c>
      <c r="BI80" s="157" t="e">
        <f ca="1"/>
        <v>#DIV/0!</v>
      </c>
      <c r="BJ80" s="157">
        <f ca="1"/>
        <v>23.011601857561296</v>
      </c>
      <c r="BK80" s="157" t="e">
        <f ca="1"/>
        <v>#DIV/0!</v>
      </c>
      <c r="BL80" s="157" t="e">
        <f ca="1"/>
        <v>#DIV/0!</v>
      </c>
      <c r="BM80" s="468" t="e">
        <f ca="1"/>
        <v>#DIV/0!</v>
      </c>
      <c r="BN80" s="470" t="e">
        <f ca="1"/>
        <v>#DIV/0!</v>
      </c>
      <c r="BO80" s="472" t="e">
        <f ca="1"/>
        <v>#DIV/0!</v>
      </c>
      <c r="BP80" s="462" t="e">
        <f ca="1"/>
        <v>#DIV/0!</v>
      </c>
      <c r="BQ80" s="464">
        <f ca="1"/>
        <v>0</v>
      </c>
      <c r="BR80" s="464" t="e">
        <f ca="1"/>
        <v>#DIV/0!</v>
      </c>
      <c r="BS80" s="466" t="e">
        <f ca="1"/>
        <v>#DIV/0!</v>
      </c>
      <c r="BT80" s="157" t="e">
        <f ca="1"/>
        <v>#DIV/0!</v>
      </c>
      <c r="BU80" s="157" t="e">
        <f ca="1"/>
        <v>#DIV/0!</v>
      </c>
      <c r="BV80" s="157">
        <f ca="1"/>
        <v>16.848627296293575</v>
      </c>
      <c r="BW80" s="157" t="e">
        <f ca="1"/>
        <v>#DIV/0!</v>
      </c>
      <c r="BX80" s="157" t="e">
        <f ca="1"/>
        <v>#DIV/0!</v>
      </c>
      <c r="BY80" s="468" t="e">
        <f ca="1"/>
        <v>#DIV/0!</v>
      </c>
      <c r="BZ80" s="470" t="e">
        <f ca="1"/>
        <v>#DIV/0!</v>
      </c>
      <c r="CA80" s="472" t="e">
        <f ca="1"/>
        <v>#DIV/0!</v>
      </c>
      <c r="CB80" s="462" t="e">
        <f ca="1"/>
        <v>#DIV/0!</v>
      </c>
      <c r="CC80" s="464">
        <f ca="1"/>
        <v>0</v>
      </c>
      <c r="CD80" s="464" t="e">
        <f ca="1"/>
        <v>#DIV/0!</v>
      </c>
      <c r="CE80" s="466" t="e">
        <f ca="1"/>
        <v>#DIV/0!</v>
      </c>
      <c r="CF80" s="157" t="e">
        <f ca="1"/>
        <v>#DIV/0!</v>
      </c>
      <c r="CG80" s="157" t="e">
        <f ca="1"/>
        <v>#DIV/0!</v>
      </c>
      <c r="CH80" s="157">
        <f ca="1"/>
        <v>58.236742580163536</v>
      </c>
      <c r="CI80" s="157" t="e">
        <f ca="1"/>
        <v>#DIV/0!</v>
      </c>
      <c r="CJ80" s="157" t="e">
        <f ca="1"/>
        <v>#DIV/0!</v>
      </c>
      <c r="CK80" s="468" t="e">
        <f ca="1"/>
        <v>#DIV/0!</v>
      </c>
      <c r="CL80" s="470" t="e">
        <f ca="1"/>
        <v>#DIV/0!</v>
      </c>
      <c r="CM80" s="472" t="e">
        <f ca="1"/>
        <v>#DIV/0!</v>
      </c>
      <c r="CN80" s="462" t="e">
        <f ca="1"/>
        <v>#DIV/0!</v>
      </c>
      <c r="CO80" s="464" t="e">
        <f ca="1"/>
        <v>#NUM!</v>
      </c>
      <c r="CP80" s="464" t="e">
        <f ca="1"/>
        <v>#NUM!</v>
      </c>
      <c r="CQ80" s="466" t="e">
        <f ca="1"/>
        <v>#NUM!</v>
      </c>
      <c r="CR80" s="157" t="e">
        <f ca="1"/>
        <v>#DIV/0!</v>
      </c>
      <c r="CS80" s="157" t="e">
        <f ca="1"/>
        <v>#NUM!</v>
      </c>
      <c r="CT80" s="157">
        <f ca="1"/>
        <v>8.6625274030336321</v>
      </c>
      <c r="CU80" s="157" t="e">
        <f ca="1"/>
        <v>#DIV/0!</v>
      </c>
      <c r="CV80" s="157" t="e">
        <f ca="1"/>
        <v>#DIV/0!</v>
      </c>
      <c r="CW80" s="468" t="e">
        <f ca="1"/>
        <v>#DIV/0!</v>
      </c>
      <c r="CX80" s="470" t="e">
        <f ca="1"/>
        <v>#DIV/0!</v>
      </c>
      <c r="CY80" s="472" t="e">
        <f ca="1"/>
        <v>#DIV/0!</v>
      </c>
      <c r="CZ80" s="173" t="e">
        <f t="shared" ca="1" si="10"/>
        <v>#DIV/0!</v>
      </c>
      <c r="DA80" s="173" t="e">
        <f t="shared" ca="1" si="11"/>
        <v>#DIV/0!</v>
      </c>
      <c r="DB80" s="462" t="e">
        <f ca="1"/>
        <v>#DIV/0!</v>
      </c>
      <c r="DC80" s="464">
        <f ca="1"/>
        <v>0</v>
      </c>
      <c r="DD80" s="464" t="e">
        <f ca="1"/>
        <v>#DIV/0!</v>
      </c>
      <c r="DE80" s="466" t="e">
        <f ca="1"/>
        <v>#DIV/0!</v>
      </c>
      <c r="DF80" s="157" t="e">
        <f ca="1"/>
        <v>#DIV/0!</v>
      </c>
      <c r="DG80" s="157" t="e">
        <f ca="1"/>
        <v>#DIV/0!</v>
      </c>
      <c r="DH80" s="157">
        <f ca="1"/>
        <v>27769.585391644352</v>
      </c>
      <c r="DI80" s="157" t="e">
        <f ca="1"/>
        <v>#DIV/0!</v>
      </c>
      <c r="DJ80" s="157" t="e">
        <f ca="1"/>
        <v>#DIV/0!</v>
      </c>
      <c r="DK80" s="468" t="e">
        <f ca="1"/>
        <v>#DIV/0!</v>
      </c>
      <c r="DL80" s="470" t="e">
        <f ca="1"/>
        <v>#DIV/0!</v>
      </c>
      <c r="DM80" s="472" t="e">
        <f ca="1"/>
        <v>#DIV/0!</v>
      </c>
      <c r="DN80" s="462" t="e">
        <f ca="1"/>
        <v>#DIV/0!</v>
      </c>
      <c r="DO80" s="464">
        <f ca="1"/>
        <v>0</v>
      </c>
      <c r="DP80" s="464" t="e">
        <f ca="1"/>
        <v>#DIV/0!</v>
      </c>
      <c r="DQ80" s="466" t="e">
        <f ca="1"/>
        <v>#DIV/0!</v>
      </c>
      <c r="DR80" s="157" t="e">
        <f ca="1"/>
        <v>#DIV/0!</v>
      </c>
      <c r="DS80" s="157" t="e">
        <f ca="1"/>
        <v>#DIV/0!</v>
      </c>
      <c r="DT80" s="157">
        <f ca="1"/>
        <v>22870.788156971812</v>
      </c>
      <c r="DU80" s="157" t="e">
        <f ca="1"/>
        <v>#DIV/0!</v>
      </c>
      <c r="DV80" s="157" t="e">
        <f ca="1"/>
        <v>#DIV/0!</v>
      </c>
      <c r="DW80" s="468" t="e">
        <f ca="1"/>
        <v>#DIV/0!</v>
      </c>
      <c r="DX80" s="470" t="e">
        <f ca="1"/>
        <v>#DIV/0!</v>
      </c>
      <c r="DY80" s="472" t="e">
        <f ca="1"/>
        <v>#DIV/0!</v>
      </c>
      <c r="DZ80" s="462" t="e">
        <f ca="1"/>
        <v>#DIV/0!</v>
      </c>
      <c r="EA80" s="464">
        <f ca="1"/>
        <v>0</v>
      </c>
      <c r="EB80" s="464" t="e">
        <f ca="1"/>
        <v>#DIV/0!</v>
      </c>
      <c r="EC80" s="466" t="e">
        <f ca="1"/>
        <v>#DIV/0!</v>
      </c>
      <c r="ED80" s="157" t="e">
        <f ca="1"/>
        <v>#DIV/0!</v>
      </c>
      <c r="EE80" s="157" t="e">
        <f ca="1"/>
        <v>#DIV/0!</v>
      </c>
      <c r="EF80" s="157">
        <f ca="1"/>
        <v>17969.571535732244</v>
      </c>
      <c r="EG80" s="157" t="e">
        <f ca="1"/>
        <v>#DIV/0!</v>
      </c>
      <c r="EH80" s="157" t="e">
        <f ca="1"/>
        <v>#DIV/0!</v>
      </c>
      <c r="EI80" s="468" t="e">
        <f ca="1"/>
        <v>#DIV/0!</v>
      </c>
      <c r="EJ80" s="470" t="e">
        <f ca="1"/>
        <v>#DIV/0!</v>
      </c>
      <c r="EK80" s="472" t="e">
        <f ca="1"/>
        <v>#DIV/0!</v>
      </c>
      <c r="EL80" s="462" t="e">
        <f ca="1"/>
        <v>#DIV/0!</v>
      </c>
      <c r="EM80" s="464" t="e">
        <f ca="1"/>
        <v>#NUM!</v>
      </c>
      <c r="EN80" s="464" t="e">
        <f ca="1"/>
        <v>#NUM!</v>
      </c>
      <c r="EO80" s="466" t="e">
        <f ca="1"/>
        <v>#NUM!</v>
      </c>
      <c r="EP80" s="157" t="e">
        <f ca="1"/>
        <v>#DIV/0!</v>
      </c>
      <c r="EQ80" s="157" t="e">
        <f ca="1"/>
        <v>#NUM!</v>
      </c>
      <c r="ER80" s="157">
        <f ca="1"/>
        <v>3414.1466006346282</v>
      </c>
      <c r="ES80" s="157" t="e">
        <f ca="1"/>
        <v>#DIV/0!</v>
      </c>
      <c r="ET80" s="157" t="e">
        <f ca="1"/>
        <v>#DIV/0!</v>
      </c>
      <c r="EU80" s="468" t="e">
        <f ca="1"/>
        <v>#DIV/0!</v>
      </c>
      <c r="EV80" s="470" t="e">
        <f ca="1"/>
        <v>#DIV/0!</v>
      </c>
      <c r="EW80" s="472" t="e">
        <f ca="1"/>
        <v>#DIV/0!</v>
      </c>
      <c r="EX80" s="462" t="e">
        <f ca="1"/>
        <v>#DIV/0!</v>
      </c>
      <c r="EY80" s="464" t="e">
        <f ca="1"/>
        <v>#NUM!</v>
      </c>
      <c r="EZ80" s="464" t="e">
        <f ca="1"/>
        <v>#NUM!</v>
      </c>
      <c r="FA80" s="466" t="e">
        <f ca="1"/>
        <v>#NUM!</v>
      </c>
      <c r="FB80" s="157" t="e">
        <f ca="1"/>
        <v>#DIV/0!</v>
      </c>
      <c r="FC80" s="157" t="e">
        <f ca="1"/>
        <v>#NUM!</v>
      </c>
      <c r="FD80" s="157">
        <f ca="1"/>
        <v>6993.4479559979045</v>
      </c>
      <c r="FE80" s="157" t="e">
        <f ca="1"/>
        <v>#DIV/0!</v>
      </c>
      <c r="FF80" s="157" t="e">
        <f ca="1"/>
        <v>#DIV/0!</v>
      </c>
      <c r="FG80" s="468" t="e">
        <f ca="1"/>
        <v>#DIV/0!</v>
      </c>
      <c r="FH80" s="470" t="e">
        <f ca="1"/>
        <v>#DIV/0!</v>
      </c>
      <c r="FI80" s="472" t="e">
        <f ca="1"/>
        <v>#DIV/0!</v>
      </c>
      <c r="FJ80" s="173" t="e">
        <f t="shared" ca="1" si="12"/>
        <v>#DIV/0!</v>
      </c>
      <c r="FK80" s="173" t="e">
        <f t="shared" ca="1" si="13"/>
        <v>#DIV/0!</v>
      </c>
      <c r="FL80" s="462" t="e">
        <f ca="1"/>
        <v>#DIV/0!</v>
      </c>
      <c r="FM80" s="464">
        <f ca="1"/>
        <v>0</v>
      </c>
      <c r="FN80" s="464" t="e">
        <f ca="1"/>
        <v>#DIV/0!</v>
      </c>
      <c r="FO80" s="466" t="e">
        <f ca="1"/>
        <v>#DIV/0!</v>
      </c>
      <c r="FP80" s="157" t="e">
        <f ca="1"/>
        <v>#DIV/0!</v>
      </c>
      <c r="FQ80" s="157" t="e">
        <f ca="1"/>
        <v>#DIV/0!</v>
      </c>
      <c r="FR80" s="157" t="e">
        <f ca="1"/>
        <v>#DIV/0!</v>
      </c>
      <c r="FS80" s="157">
        <f ca="1"/>
        <v>2438.9363148191073</v>
      </c>
      <c r="FT80" s="468" t="e">
        <f ca="1"/>
        <v>#DIV/0!</v>
      </c>
      <c r="FU80" s="470" t="e">
        <f ca="1"/>
        <v>#DIV/0!</v>
      </c>
      <c r="FV80" s="470" t="e">
        <f ca="1"/>
        <v>#DIV/0!</v>
      </c>
      <c r="FW80" s="462" t="e">
        <f ca="1"/>
        <v>#DIV/0!</v>
      </c>
      <c r="FX80" s="464" t="e">
        <f ca="1"/>
        <v>#NUM!</v>
      </c>
      <c r="FY80" s="464" t="e">
        <f ca="1"/>
        <v>#NUM!</v>
      </c>
      <c r="FZ80" s="466" t="e">
        <f ca="1"/>
        <v>#NUM!</v>
      </c>
      <c r="GA80" s="157" t="e">
        <f ca="1"/>
        <v>#DIV/0!</v>
      </c>
      <c r="GB80" s="157" t="e">
        <f ca="1"/>
        <v>#NUM!</v>
      </c>
      <c r="GC80" s="157" t="e">
        <f ca="1"/>
        <v>#DIV/0!</v>
      </c>
      <c r="GD80" s="157">
        <f ca="1"/>
        <v>51.685195608380042</v>
      </c>
      <c r="GE80" s="468" t="e">
        <f ca="1"/>
        <v>#DIV/0!</v>
      </c>
      <c r="GF80" s="470" t="e">
        <f ca="1"/>
        <v>#DIV/0!</v>
      </c>
      <c r="GG80" s="470" t="e">
        <f ca="1"/>
        <v>#DIV/0!</v>
      </c>
      <c r="GH80" s="173" t="e">
        <f t="shared" ca="1" si="14"/>
        <v>#DIV/0!</v>
      </c>
      <c r="GI80" s="173" t="e">
        <f t="shared" ca="1" si="15"/>
        <v>#DIV/0!</v>
      </c>
    </row>
    <row r="81" spans="2:191" ht="15">
      <c r="B81" s="169"/>
      <c r="C81" s="87">
        <f>'Oil supply projection'!B81</f>
        <v>2090</v>
      </c>
      <c r="D81" s="460" t="e">
        <f ca="1"/>
        <v>#DIV/0!</v>
      </c>
      <c r="E81" s="460" t="e">
        <f ca="1"/>
        <v>#DIV/0!</v>
      </c>
      <c r="F81" s="462" t="e">
        <f ca="1"/>
        <v>#DIV/0!</v>
      </c>
      <c r="G81" s="464">
        <f ca="1"/>
        <v>0</v>
      </c>
      <c r="H81" s="464" t="e">
        <f ca="1"/>
        <v>#DIV/0!</v>
      </c>
      <c r="I81" s="466" t="e">
        <f ca="1"/>
        <v>#DIV/0!</v>
      </c>
      <c r="J81" s="157" t="e">
        <f ca="1"/>
        <v>#DIV/0!</v>
      </c>
      <c r="K81" s="157" t="e">
        <f ca="1"/>
        <v>#DIV/0!</v>
      </c>
      <c r="L81" s="157">
        <f ca="1"/>
        <v>64.279240493110578</v>
      </c>
      <c r="M81" s="157" t="e">
        <f ca="1"/>
        <v>#DIV/0!</v>
      </c>
      <c r="N81" s="157" t="e">
        <f ca="1"/>
        <v>#DIV/0!</v>
      </c>
      <c r="O81" s="468" t="e">
        <f ca="1"/>
        <v>#DIV/0!</v>
      </c>
      <c r="P81" s="470" t="e">
        <f ca="1"/>
        <v>#DIV/0!</v>
      </c>
      <c r="Q81" s="472" t="e">
        <f ca="1"/>
        <v>#DIV/0!</v>
      </c>
      <c r="R81" s="462" t="e">
        <f ca="1"/>
        <v>#DIV/0!</v>
      </c>
      <c r="S81" s="464">
        <f ca="1"/>
        <v>0</v>
      </c>
      <c r="T81" s="464" t="e">
        <f ca="1"/>
        <v>#DIV/0!</v>
      </c>
      <c r="U81" s="466" t="e">
        <f ca="1"/>
        <v>#DIV/0!</v>
      </c>
      <c r="V81" s="157" t="e">
        <f ca="1"/>
        <v>#DIV/0!</v>
      </c>
      <c r="W81" s="157" t="e">
        <f ca="1"/>
        <v>#DIV/0!</v>
      </c>
      <c r="X81" s="157">
        <f ca="1"/>
        <v>87.662340413929741</v>
      </c>
      <c r="Y81" s="157" t="e">
        <f ca="1"/>
        <v>#DIV/0!</v>
      </c>
      <c r="Z81" s="157" t="e">
        <f ca="1"/>
        <v>#DIV/0!</v>
      </c>
      <c r="AA81" s="468" t="e">
        <f ca="1"/>
        <v>#DIV/0!</v>
      </c>
      <c r="AB81" s="470" t="e">
        <f ca="1"/>
        <v>#DIV/0!</v>
      </c>
      <c r="AC81" s="472" t="e">
        <f ca="1"/>
        <v>#DIV/0!</v>
      </c>
      <c r="AD81" s="462" t="e">
        <f ca="1"/>
        <v>#DIV/0!</v>
      </c>
      <c r="AE81" s="464">
        <f ca="1"/>
        <v>0</v>
      </c>
      <c r="AF81" s="464" t="e">
        <f ca="1"/>
        <v>#DIV/0!</v>
      </c>
      <c r="AG81" s="466" t="e">
        <f ca="1"/>
        <v>#DIV/0!</v>
      </c>
      <c r="AH81" s="157" t="e">
        <f ca="1"/>
        <v>#DIV/0!</v>
      </c>
      <c r="AI81" s="157" t="e">
        <f ca="1"/>
        <v>#DIV/0!</v>
      </c>
      <c r="AJ81" s="157">
        <f ca="1"/>
        <v>1146.8334029321886</v>
      </c>
      <c r="AK81" s="157" t="e">
        <f ca="1"/>
        <v>#DIV/0!</v>
      </c>
      <c r="AL81" s="157" t="e">
        <f ca="1"/>
        <v>#DIV/0!</v>
      </c>
      <c r="AM81" s="468" t="e">
        <f ca="1"/>
        <v>#DIV/0!</v>
      </c>
      <c r="AN81" s="470" t="e">
        <f ca="1"/>
        <v>#DIV/0!</v>
      </c>
      <c r="AO81" s="472" t="e">
        <f ca="1"/>
        <v>#DIV/0!</v>
      </c>
      <c r="AP81" s="462" t="e">
        <f ca="1"/>
        <v>#DIV/0!</v>
      </c>
      <c r="AQ81" s="464" t="e">
        <f ca="1"/>
        <v>#NUM!</v>
      </c>
      <c r="AR81" s="464" t="e">
        <f ca="1"/>
        <v>#NUM!</v>
      </c>
      <c r="AS81" s="466" t="e">
        <f ca="1"/>
        <v>#NUM!</v>
      </c>
      <c r="AT81" s="157" t="e">
        <f ca="1"/>
        <v>#DIV/0!</v>
      </c>
      <c r="AU81" s="157" t="e">
        <f ca="1"/>
        <v>#NUM!</v>
      </c>
      <c r="AV81" s="157">
        <f ca="1"/>
        <v>2067.0519944538646</v>
      </c>
      <c r="AW81" s="157" t="e">
        <f ca="1"/>
        <v>#DIV/0!</v>
      </c>
      <c r="AX81" s="157" t="e">
        <f ca="1"/>
        <v>#DIV/0!</v>
      </c>
      <c r="AY81" s="468" t="e">
        <f ca="1"/>
        <v>#DIV/0!</v>
      </c>
      <c r="AZ81" s="470" t="e">
        <f ca="1"/>
        <v>#DIV/0!</v>
      </c>
      <c r="BA81" s="472" t="e">
        <f ca="1"/>
        <v>#DIV/0!</v>
      </c>
      <c r="BB81" s="173" t="e">
        <f t="shared" ca="1" si="8"/>
        <v>#DIV/0!</v>
      </c>
      <c r="BC81" s="173" t="e">
        <f t="shared" ca="1" si="9"/>
        <v>#DIV/0!</v>
      </c>
      <c r="BD81" s="462" t="e">
        <f ca="1"/>
        <v>#DIV/0!</v>
      </c>
      <c r="BE81" s="464">
        <f ca="1"/>
        <v>0</v>
      </c>
      <c r="BF81" s="464" t="e">
        <f ca="1"/>
        <v>#DIV/0!</v>
      </c>
      <c r="BG81" s="466" t="e">
        <f ca="1"/>
        <v>#DIV/0!</v>
      </c>
      <c r="BH81" s="157" t="e">
        <f ca="1"/>
        <v>#DIV/0!</v>
      </c>
      <c r="BI81" s="157" t="e">
        <f ca="1"/>
        <v>#DIV/0!</v>
      </c>
      <c r="BJ81" s="157">
        <f ca="1"/>
        <v>23.147453636214376</v>
      </c>
      <c r="BK81" s="157" t="e">
        <f ca="1"/>
        <v>#DIV/0!</v>
      </c>
      <c r="BL81" s="157" t="e">
        <f ca="1"/>
        <v>#DIV/0!</v>
      </c>
      <c r="BM81" s="468" t="e">
        <f ca="1"/>
        <v>#DIV/0!</v>
      </c>
      <c r="BN81" s="470" t="e">
        <f ca="1"/>
        <v>#DIV/0!</v>
      </c>
      <c r="BO81" s="472" t="e">
        <f ca="1"/>
        <v>#DIV/0!</v>
      </c>
      <c r="BP81" s="462" t="e">
        <f ca="1"/>
        <v>#DIV/0!</v>
      </c>
      <c r="BQ81" s="464">
        <f ca="1"/>
        <v>0</v>
      </c>
      <c r="BR81" s="464" t="e">
        <f ca="1"/>
        <v>#DIV/0!</v>
      </c>
      <c r="BS81" s="466" t="e">
        <f ca="1"/>
        <v>#DIV/0!</v>
      </c>
      <c r="BT81" s="157" t="e">
        <f ca="1"/>
        <v>#DIV/0!</v>
      </c>
      <c r="BU81" s="157" t="e">
        <f ca="1"/>
        <v>#DIV/0!</v>
      </c>
      <c r="BV81" s="157">
        <f ca="1"/>
        <v>16.948095208185691</v>
      </c>
      <c r="BW81" s="157" t="e">
        <f ca="1"/>
        <v>#DIV/0!</v>
      </c>
      <c r="BX81" s="157" t="e">
        <f ca="1"/>
        <v>#DIV/0!</v>
      </c>
      <c r="BY81" s="468" t="e">
        <f ca="1"/>
        <v>#DIV/0!</v>
      </c>
      <c r="BZ81" s="470" t="e">
        <f ca="1"/>
        <v>#DIV/0!</v>
      </c>
      <c r="CA81" s="472" t="e">
        <f ca="1"/>
        <v>#DIV/0!</v>
      </c>
      <c r="CB81" s="462" t="e">
        <f ca="1"/>
        <v>#DIV/0!</v>
      </c>
      <c r="CC81" s="464">
        <f ca="1"/>
        <v>0</v>
      </c>
      <c r="CD81" s="464" t="e">
        <f ca="1"/>
        <v>#DIV/0!</v>
      </c>
      <c r="CE81" s="466" t="e">
        <f ca="1"/>
        <v>#DIV/0!</v>
      </c>
      <c r="CF81" s="157" t="e">
        <f ca="1"/>
        <v>#DIV/0!</v>
      </c>
      <c r="CG81" s="157" t="e">
        <f ca="1"/>
        <v>#DIV/0!</v>
      </c>
      <c r="CH81" s="157">
        <f ca="1"/>
        <v>58.580550243421769</v>
      </c>
      <c r="CI81" s="157" t="e">
        <f ca="1"/>
        <v>#DIV/0!</v>
      </c>
      <c r="CJ81" s="157" t="e">
        <f ca="1"/>
        <v>#DIV/0!</v>
      </c>
      <c r="CK81" s="468" t="e">
        <f ca="1"/>
        <v>#DIV/0!</v>
      </c>
      <c r="CL81" s="470" t="e">
        <f ca="1"/>
        <v>#DIV/0!</v>
      </c>
      <c r="CM81" s="472" t="e">
        <f ca="1"/>
        <v>#DIV/0!</v>
      </c>
      <c r="CN81" s="462" t="e">
        <f ca="1"/>
        <v>#DIV/0!</v>
      </c>
      <c r="CO81" s="464" t="e">
        <f ca="1"/>
        <v>#NUM!</v>
      </c>
      <c r="CP81" s="464" t="e">
        <f ca="1"/>
        <v>#NUM!</v>
      </c>
      <c r="CQ81" s="466" t="e">
        <f ca="1"/>
        <v>#NUM!</v>
      </c>
      <c r="CR81" s="157" t="e">
        <f ca="1"/>
        <v>#DIV/0!</v>
      </c>
      <c r="CS81" s="157" t="e">
        <f ca="1"/>
        <v>#NUM!</v>
      </c>
      <c r="CT81" s="157">
        <f ca="1"/>
        <v>8.7136676827333037</v>
      </c>
      <c r="CU81" s="157" t="e">
        <f ca="1"/>
        <v>#DIV/0!</v>
      </c>
      <c r="CV81" s="157" t="e">
        <f ca="1"/>
        <v>#DIV/0!</v>
      </c>
      <c r="CW81" s="468" t="e">
        <f ca="1"/>
        <v>#DIV/0!</v>
      </c>
      <c r="CX81" s="470" t="e">
        <f ca="1"/>
        <v>#DIV/0!</v>
      </c>
      <c r="CY81" s="472" t="e">
        <f ca="1"/>
        <v>#DIV/0!</v>
      </c>
      <c r="CZ81" s="173" t="e">
        <f t="shared" ca="1" si="10"/>
        <v>#DIV/0!</v>
      </c>
      <c r="DA81" s="173" t="e">
        <f t="shared" ca="1" si="11"/>
        <v>#DIV/0!</v>
      </c>
      <c r="DB81" s="462" t="e">
        <f ca="1"/>
        <v>#DIV/0!</v>
      </c>
      <c r="DC81" s="464">
        <f ca="1"/>
        <v>0</v>
      </c>
      <c r="DD81" s="464" t="e">
        <f ca="1"/>
        <v>#DIV/0!</v>
      </c>
      <c r="DE81" s="466" t="e">
        <f ca="1"/>
        <v>#DIV/0!</v>
      </c>
      <c r="DF81" s="157" t="e">
        <f ca="1"/>
        <v>#DIV/0!</v>
      </c>
      <c r="DG81" s="157" t="e">
        <f ca="1"/>
        <v>#DIV/0!</v>
      </c>
      <c r="DH81" s="157">
        <f ca="1"/>
        <v>28055.545769959841</v>
      </c>
      <c r="DI81" s="157" t="e">
        <f ca="1"/>
        <v>#DIV/0!</v>
      </c>
      <c r="DJ81" s="157" t="e">
        <f ca="1"/>
        <v>#DIV/0!</v>
      </c>
      <c r="DK81" s="468" t="e">
        <f ca="1"/>
        <v>#DIV/0!</v>
      </c>
      <c r="DL81" s="470" t="e">
        <f ca="1"/>
        <v>#DIV/0!</v>
      </c>
      <c r="DM81" s="472" t="e">
        <f ca="1"/>
        <v>#DIV/0!</v>
      </c>
      <c r="DN81" s="462" t="e">
        <f ca="1"/>
        <v>#DIV/0!</v>
      </c>
      <c r="DO81" s="464">
        <f ca="1"/>
        <v>0</v>
      </c>
      <c r="DP81" s="464" t="e">
        <f ca="1"/>
        <v>#DIV/0!</v>
      </c>
      <c r="DQ81" s="466" t="e">
        <f ca="1"/>
        <v>#DIV/0!</v>
      </c>
      <c r="DR81" s="157" t="e">
        <f ca="1"/>
        <v>#DIV/0!</v>
      </c>
      <c r="DS81" s="157" t="e">
        <f ca="1"/>
        <v>#DIV/0!</v>
      </c>
      <c r="DT81" s="157">
        <f ca="1"/>
        <v>23106.302628704219</v>
      </c>
      <c r="DU81" s="157" t="e">
        <f ca="1"/>
        <v>#DIV/0!</v>
      </c>
      <c r="DV81" s="157" t="e">
        <f ca="1"/>
        <v>#DIV/0!</v>
      </c>
      <c r="DW81" s="468" t="e">
        <f ca="1"/>
        <v>#DIV/0!</v>
      </c>
      <c r="DX81" s="470" t="e">
        <f ca="1"/>
        <v>#DIV/0!</v>
      </c>
      <c r="DY81" s="472" t="e">
        <f ca="1"/>
        <v>#DIV/0!</v>
      </c>
      <c r="DZ81" s="462" t="e">
        <f ca="1"/>
        <v>#DIV/0!</v>
      </c>
      <c r="EA81" s="464">
        <f ca="1"/>
        <v>0</v>
      </c>
      <c r="EB81" s="464" t="e">
        <f ca="1"/>
        <v>#DIV/0!</v>
      </c>
      <c r="EC81" s="466" t="e">
        <f ca="1"/>
        <v>#DIV/0!</v>
      </c>
      <c r="ED81" s="157" t="e">
        <f ca="1"/>
        <v>#DIV/0!</v>
      </c>
      <c r="EE81" s="157" t="e">
        <f ca="1"/>
        <v>#DIV/0!</v>
      </c>
      <c r="EF81" s="157">
        <f ca="1"/>
        <v>18154.615186980685</v>
      </c>
      <c r="EG81" s="157" t="e">
        <f ca="1"/>
        <v>#DIV/0!</v>
      </c>
      <c r="EH81" s="157" t="e">
        <f ca="1"/>
        <v>#DIV/0!</v>
      </c>
      <c r="EI81" s="468" t="e">
        <f ca="1"/>
        <v>#DIV/0!</v>
      </c>
      <c r="EJ81" s="470" t="e">
        <f ca="1"/>
        <v>#DIV/0!</v>
      </c>
      <c r="EK81" s="472" t="e">
        <f ca="1"/>
        <v>#DIV/0!</v>
      </c>
      <c r="EL81" s="462" t="e">
        <f ca="1"/>
        <v>#DIV/0!</v>
      </c>
      <c r="EM81" s="464" t="e">
        <f ca="1"/>
        <v>#NUM!</v>
      </c>
      <c r="EN81" s="464" t="e">
        <f ca="1"/>
        <v>#NUM!</v>
      </c>
      <c r="EO81" s="466" t="e">
        <f ca="1"/>
        <v>#NUM!</v>
      </c>
      <c r="EP81" s="157" t="e">
        <f ca="1"/>
        <v>#DIV/0!</v>
      </c>
      <c r="EQ81" s="157" t="e">
        <f ca="1"/>
        <v>#NUM!</v>
      </c>
      <c r="ER81" s="157">
        <f ca="1"/>
        <v>3449.3041530349528</v>
      </c>
      <c r="ES81" s="157" t="e">
        <f ca="1"/>
        <v>#DIV/0!</v>
      </c>
      <c r="ET81" s="157" t="e">
        <f ca="1"/>
        <v>#DIV/0!</v>
      </c>
      <c r="EU81" s="468" t="e">
        <f ca="1"/>
        <v>#DIV/0!</v>
      </c>
      <c r="EV81" s="470" t="e">
        <f ca="1"/>
        <v>#DIV/0!</v>
      </c>
      <c r="EW81" s="472" t="e">
        <f ca="1"/>
        <v>#DIV/0!</v>
      </c>
      <c r="EX81" s="462" t="e">
        <f ca="1"/>
        <v>#DIV/0!</v>
      </c>
      <c r="EY81" s="464" t="e">
        <f ca="1"/>
        <v>#NUM!</v>
      </c>
      <c r="EZ81" s="464" t="e">
        <f ca="1"/>
        <v>#NUM!</v>
      </c>
      <c r="FA81" s="466" t="e">
        <f ca="1"/>
        <v>#NUM!</v>
      </c>
      <c r="FB81" s="157" t="e">
        <f ca="1"/>
        <v>#DIV/0!</v>
      </c>
      <c r="FC81" s="157" t="e">
        <f ca="1"/>
        <v>#NUM!</v>
      </c>
      <c r="FD81" s="157">
        <f ca="1"/>
        <v>7065.4637601599861</v>
      </c>
      <c r="FE81" s="157" t="e">
        <f ca="1"/>
        <v>#DIV/0!</v>
      </c>
      <c r="FF81" s="157" t="e">
        <f ca="1"/>
        <v>#DIV/0!</v>
      </c>
      <c r="FG81" s="468" t="e">
        <f ca="1"/>
        <v>#DIV/0!</v>
      </c>
      <c r="FH81" s="470" t="e">
        <f ca="1"/>
        <v>#DIV/0!</v>
      </c>
      <c r="FI81" s="472" t="e">
        <f ca="1"/>
        <v>#DIV/0!</v>
      </c>
      <c r="FJ81" s="173" t="e">
        <f t="shared" ca="1" si="12"/>
        <v>#DIV/0!</v>
      </c>
      <c r="FK81" s="173" t="e">
        <f t="shared" ca="1" si="13"/>
        <v>#DIV/0!</v>
      </c>
      <c r="FL81" s="462" t="e">
        <f ca="1"/>
        <v>#DIV/0!</v>
      </c>
      <c r="FM81" s="464">
        <f ca="1"/>
        <v>0</v>
      </c>
      <c r="FN81" s="464" t="e">
        <f ca="1"/>
        <v>#DIV/0!</v>
      </c>
      <c r="FO81" s="466" t="e">
        <f ca="1"/>
        <v>#DIV/0!</v>
      </c>
      <c r="FP81" s="157" t="e">
        <f ca="1"/>
        <v>#DIV/0!</v>
      </c>
      <c r="FQ81" s="157" t="e">
        <f ca="1"/>
        <v>#DIV/0!</v>
      </c>
      <c r="FR81" s="157" t="e">
        <f ca="1"/>
        <v>#DIV/0!</v>
      </c>
      <c r="FS81" s="157">
        <f ca="1"/>
        <v>2452.5448136155028</v>
      </c>
      <c r="FT81" s="468" t="e">
        <f ca="1"/>
        <v>#DIV/0!</v>
      </c>
      <c r="FU81" s="470" t="e">
        <f ca="1"/>
        <v>#DIV/0!</v>
      </c>
      <c r="FV81" s="470" t="e">
        <f ca="1"/>
        <v>#DIV/0!</v>
      </c>
      <c r="FW81" s="462" t="e">
        <f ca="1"/>
        <v>#DIV/0!</v>
      </c>
      <c r="FX81" s="464" t="e">
        <f ca="1"/>
        <v>#NUM!</v>
      </c>
      <c r="FY81" s="464" t="e">
        <f ca="1"/>
        <v>#NUM!</v>
      </c>
      <c r="FZ81" s="466" t="e">
        <f ca="1"/>
        <v>#NUM!</v>
      </c>
      <c r="GA81" s="157" t="e">
        <f ca="1"/>
        <v>#DIV/0!</v>
      </c>
      <c r="GB81" s="157" t="e">
        <f ca="1"/>
        <v>#NUM!</v>
      </c>
      <c r="GC81" s="157" t="e">
        <f ca="1"/>
        <v>#DIV/0!</v>
      </c>
      <c r="GD81" s="157">
        <f ca="1"/>
        <v>51.973582770420506</v>
      </c>
      <c r="GE81" s="468" t="e">
        <f ca="1"/>
        <v>#DIV/0!</v>
      </c>
      <c r="GF81" s="470" t="e">
        <f ca="1"/>
        <v>#DIV/0!</v>
      </c>
      <c r="GG81" s="470" t="e">
        <f ca="1"/>
        <v>#DIV/0!</v>
      </c>
      <c r="GH81" s="173" t="e">
        <f t="shared" ca="1" si="14"/>
        <v>#DIV/0!</v>
      </c>
      <c r="GI81" s="173" t="e">
        <f t="shared" ca="1" si="15"/>
        <v>#DIV/0!</v>
      </c>
    </row>
    <row r="82" spans="2:191" ht="15">
      <c r="B82" s="169"/>
      <c r="C82" s="87">
        <f>'Oil supply projection'!B82</f>
        <v>2091</v>
      </c>
      <c r="D82" s="460" t="e">
        <f ca="1"/>
        <v>#DIV/0!</v>
      </c>
      <c r="E82" s="460" t="e">
        <f ca="1"/>
        <v>#DIV/0!</v>
      </c>
      <c r="F82" s="462" t="e">
        <f ca="1"/>
        <v>#DIV/0!</v>
      </c>
      <c r="G82" s="464">
        <f ca="1"/>
        <v>0</v>
      </c>
      <c r="H82" s="464" t="e">
        <f ca="1"/>
        <v>#DIV/0!</v>
      </c>
      <c r="I82" s="466" t="e">
        <f ca="1"/>
        <v>#DIV/0!</v>
      </c>
      <c r="J82" s="157" t="e">
        <f ca="1"/>
        <v>#DIV/0!</v>
      </c>
      <c r="K82" s="157" t="e">
        <f ca="1"/>
        <v>#DIV/0!</v>
      </c>
      <c r="L82" s="157">
        <f ca="1"/>
        <v>65.133986552318021</v>
      </c>
      <c r="M82" s="157" t="e">
        <f ca="1"/>
        <v>#DIV/0!</v>
      </c>
      <c r="N82" s="157" t="e">
        <f ca="1"/>
        <v>#DIV/0!</v>
      </c>
      <c r="O82" s="468" t="e">
        <f ca="1"/>
        <v>#DIV/0!</v>
      </c>
      <c r="P82" s="470" t="e">
        <f ca="1"/>
        <v>#DIV/0!</v>
      </c>
      <c r="Q82" s="472" t="e">
        <f ca="1"/>
        <v>#DIV/0!</v>
      </c>
      <c r="R82" s="462" t="e">
        <f ca="1"/>
        <v>#DIV/0!</v>
      </c>
      <c r="S82" s="464">
        <f ca="1"/>
        <v>0</v>
      </c>
      <c r="T82" s="464" t="e">
        <f ca="1"/>
        <v>#DIV/0!</v>
      </c>
      <c r="U82" s="466" t="e">
        <f ca="1"/>
        <v>#DIV/0!</v>
      </c>
      <c r="V82" s="157" t="e">
        <f ca="1"/>
        <v>#DIV/0!</v>
      </c>
      <c r="W82" s="157" t="e">
        <f ca="1"/>
        <v>#DIV/0!</v>
      </c>
      <c r="X82" s="157">
        <f ca="1"/>
        <v>88.828020646535137</v>
      </c>
      <c r="Y82" s="157" t="e">
        <f ca="1"/>
        <v>#DIV/0!</v>
      </c>
      <c r="Z82" s="157" t="e">
        <f ca="1"/>
        <v>#DIV/0!</v>
      </c>
      <c r="AA82" s="468" t="e">
        <f ca="1"/>
        <v>#DIV/0!</v>
      </c>
      <c r="AB82" s="470" t="e">
        <f ca="1"/>
        <v>#DIV/0!</v>
      </c>
      <c r="AC82" s="472" t="e">
        <f ca="1"/>
        <v>#DIV/0!</v>
      </c>
      <c r="AD82" s="462" t="e">
        <f ca="1"/>
        <v>#DIV/0!</v>
      </c>
      <c r="AE82" s="464">
        <f ca="1"/>
        <v>0</v>
      </c>
      <c r="AF82" s="464" t="e">
        <f ca="1"/>
        <v>#DIV/0!</v>
      </c>
      <c r="AG82" s="466" t="e">
        <f ca="1"/>
        <v>#DIV/0!</v>
      </c>
      <c r="AH82" s="157" t="e">
        <f ca="1"/>
        <v>#DIV/0!</v>
      </c>
      <c r="AI82" s="157" t="e">
        <f ca="1"/>
        <v>#DIV/0!</v>
      </c>
      <c r="AJ82" s="157">
        <f ca="1"/>
        <v>1162.0832926975913</v>
      </c>
      <c r="AK82" s="157" t="e">
        <f ca="1"/>
        <v>#DIV/0!</v>
      </c>
      <c r="AL82" s="157" t="e">
        <f ca="1"/>
        <v>#DIV/0!</v>
      </c>
      <c r="AM82" s="468" t="e">
        <f ca="1"/>
        <v>#DIV/0!</v>
      </c>
      <c r="AN82" s="470" t="e">
        <f ca="1"/>
        <v>#DIV/0!</v>
      </c>
      <c r="AO82" s="472" t="e">
        <f ca="1"/>
        <v>#DIV/0!</v>
      </c>
      <c r="AP82" s="462" t="e">
        <f ca="1"/>
        <v>#DIV/0!</v>
      </c>
      <c r="AQ82" s="464" t="e">
        <f ca="1"/>
        <v>#NUM!</v>
      </c>
      <c r="AR82" s="464" t="e">
        <f ca="1"/>
        <v>#NUM!</v>
      </c>
      <c r="AS82" s="466" t="e">
        <f ca="1"/>
        <v>#NUM!</v>
      </c>
      <c r="AT82" s="157" t="e">
        <f ca="1"/>
        <v>#DIV/0!</v>
      </c>
      <c r="AU82" s="157" t="e">
        <f ca="1"/>
        <v>#NUM!</v>
      </c>
      <c r="AV82" s="157">
        <f ca="1"/>
        <v>2094.5383887062312</v>
      </c>
      <c r="AW82" s="157" t="e">
        <f ca="1"/>
        <v>#DIV/0!</v>
      </c>
      <c r="AX82" s="157" t="e">
        <f ca="1"/>
        <v>#DIV/0!</v>
      </c>
      <c r="AY82" s="468" t="e">
        <f ca="1"/>
        <v>#DIV/0!</v>
      </c>
      <c r="AZ82" s="470" t="e">
        <f ca="1"/>
        <v>#DIV/0!</v>
      </c>
      <c r="BA82" s="472" t="e">
        <f ca="1"/>
        <v>#DIV/0!</v>
      </c>
      <c r="BB82" s="173" t="e">
        <f t="shared" ca="1" si="8"/>
        <v>#DIV/0!</v>
      </c>
      <c r="BC82" s="173" t="e">
        <f t="shared" ca="1" si="9"/>
        <v>#DIV/0!</v>
      </c>
      <c r="BD82" s="462" t="e">
        <f ca="1"/>
        <v>#DIV/0!</v>
      </c>
      <c r="BE82" s="464">
        <f ca="1"/>
        <v>0</v>
      </c>
      <c r="BF82" s="464" t="e">
        <f ca="1"/>
        <v>#DIV/0!</v>
      </c>
      <c r="BG82" s="466" t="e">
        <f ca="1"/>
        <v>#DIV/0!</v>
      </c>
      <c r="BH82" s="157" t="e">
        <f ca="1"/>
        <v>#DIV/0!</v>
      </c>
      <c r="BI82" s="157" t="e">
        <f ca="1"/>
        <v>#DIV/0!</v>
      </c>
      <c r="BJ82" s="157">
        <f ca="1"/>
        <v>23.284107432296651</v>
      </c>
      <c r="BK82" s="157" t="e">
        <f ca="1"/>
        <v>#DIV/0!</v>
      </c>
      <c r="BL82" s="157" t="e">
        <f ca="1"/>
        <v>#DIV/0!</v>
      </c>
      <c r="BM82" s="468" t="e">
        <f ca="1"/>
        <v>#DIV/0!</v>
      </c>
      <c r="BN82" s="470" t="e">
        <f ca="1"/>
        <v>#DIV/0!</v>
      </c>
      <c r="BO82" s="472" t="e">
        <f ca="1"/>
        <v>#DIV/0!</v>
      </c>
      <c r="BP82" s="462" t="e">
        <f ca="1"/>
        <v>#DIV/0!</v>
      </c>
      <c r="BQ82" s="464">
        <f ca="1"/>
        <v>0</v>
      </c>
      <c r="BR82" s="464" t="e">
        <f ca="1"/>
        <v>#DIV/0!</v>
      </c>
      <c r="BS82" s="466" t="e">
        <f ca="1"/>
        <v>#DIV/0!</v>
      </c>
      <c r="BT82" s="157" t="e">
        <f ca="1"/>
        <v>#DIV/0!</v>
      </c>
      <c r="BU82" s="157" t="e">
        <f ca="1"/>
        <v>#DIV/0!</v>
      </c>
      <c r="BV82" s="157">
        <f ca="1"/>
        <v>17.048150340942879</v>
      </c>
      <c r="BW82" s="157" t="e">
        <f ca="1"/>
        <v>#DIV/0!</v>
      </c>
      <c r="BX82" s="157" t="e">
        <f ca="1"/>
        <v>#DIV/0!</v>
      </c>
      <c r="BY82" s="468" t="e">
        <f ca="1"/>
        <v>#DIV/0!</v>
      </c>
      <c r="BZ82" s="470" t="e">
        <f ca="1"/>
        <v>#DIV/0!</v>
      </c>
      <c r="CA82" s="472" t="e">
        <f ca="1"/>
        <v>#DIV/0!</v>
      </c>
      <c r="CB82" s="462" t="e">
        <f ca="1"/>
        <v>#DIV/0!</v>
      </c>
      <c r="CC82" s="464">
        <f ca="1"/>
        <v>0</v>
      </c>
      <c r="CD82" s="464" t="e">
        <f ca="1"/>
        <v>#DIV/0!</v>
      </c>
      <c r="CE82" s="466" t="e">
        <f ca="1"/>
        <v>#DIV/0!</v>
      </c>
      <c r="CF82" s="157" t="e">
        <f ca="1"/>
        <v>#DIV/0!</v>
      </c>
      <c r="CG82" s="157" t="e">
        <f ca="1"/>
        <v>#DIV/0!</v>
      </c>
      <c r="CH82" s="157">
        <f ca="1"/>
        <v>58.926387616860865</v>
      </c>
      <c r="CI82" s="157" t="e">
        <f ca="1"/>
        <v>#DIV/0!</v>
      </c>
      <c r="CJ82" s="157" t="e">
        <f ca="1"/>
        <v>#DIV/0!</v>
      </c>
      <c r="CK82" s="468" t="e">
        <f ca="1"/>
        <v>#DIV/0!</v>
      </c>
      <c r="CL82" s="470" t="e">
        <f ca="1"/>
        <v>#DIV/0!</v>
      </c>
      <c r="CM82" s="472" t="e">
        <f ca="1"/>
        <v>#DIV/0!</v>
      </c>
      <c r="CN82" s="462" t="e">
        <f ca="1"/>
        <v>#DIV/0!</v>
      </c>
      <c r="CO82" s="464" t="e">
        <f ca="1"/>
        <v>#NUM!</v>
      </c>
      <c r="CP82" s="464" t="e">
        <f ca="1"/>
        <v>#NUM!</v>
      </c>
      <c r="CQ82" s="466" t="e">
        <f ca="1"/>
        <v>#NUM!</v>
      </c>
      <c r="CR82" s="157" t="e">
        <f ca="1"/>
        <v>#DIV/0!</v>
      </c>
      <c r="CS82" s="157" t="e">
        <f ca="1"/>
        <v>#NUM!</v>
      </c>
      <c r="CT82" s="157">
        <f ca="1"/>
        <v>8.7651098752681218</v>
      </c>
      <c r="CU82" s="157" t="e">
        <f ca="1"/>
        <v>#DIV/0!</v>
      </c>
      <c r="CV82" s="157" t="e">
        <f ca="1"/>
        <v>#DIV/0!</v>
      </c>
      <c r="CW82" s="468" t="e">
        <f ca="1"/>
        <v>#DIV/0!</v>
      </c>
      <c r="CX82" s="470" t="e">
        <f ca="1"/>
        <v>#DIV/0!</v>
      </c>
      <c r="CY82" s="472" t="e">
        <f ca="1"/>
        <v>#DIV/0!</v>
      </c>
      <c r="CZ82" s="173" t="e">
        <f t="shared" ca="1" si="10"/>
        <v>#DIV/0!</v>
      </c>
      <c r="DA82" s="173" t="e">
        <f t="shared" ca="1" si="11"/>
        <v>#DIV/0!</v>
      </c>
      <c r="DB82" s="462" t="e">
        <f ca="1"/>
        <v>#DIV/0!</v>
      </c>
      <c r="DC82" s="464">
        <f ca="1"/>
        <v>0</v>
      </c>
      <c r="DD82" s="464" t="e">
        <f ca="1"/>
        <v>#DIV/0!</v>
      </c>
      <c r="DE82" s="466" t="e">
        <f ca="1"/>
        <v>#DIV/0!</v>
      </c>
      <c r="DF82" s="157" t="e">
        <f ca="1"/>
        <v>#DIV/0!</v>
      </c>
      <c r="DG82" s="157" t="e">
        <f ca="1"/>
        <v>#DIV/0!</v>
      </c>
      <c r="DH82" s="157">
        <f ca="1"/>
        <v>28344.450856912965</v>
      </c>
      <c r="DI82" s="157" t="e">
        <f ca="1"/>
        <v>#DIV/0!</v>
      </c>
      <c r="DJ82" s="157" t="e">
        <f ca="1"/>
        <v>#DIV/0!</v>
      </c>
      <c r="DK82" s="468" t="e">
        <f ca="1"/>
        <v>#DIV/0!</v>
      </c>
      <c r="DL82" s="470" t="e">
        <f ca="1"/>
        <v>#DIV/0!</v>
      </c>
      <c r="DM82" s="472" t="e">
        <f ca="1"/>
        <v>#DIV/0!</v>
      </c>
      <c r="DN82" s="462" t="e">
        <f ca="1"/>
        <v>#DIV/0!</v>
      </c>
      <c r="DO82" s="464">
        <f ca="1"/>
        <v>0</v>
      </c>
      <c r="DP82" s="464" t="e">
        <f ca="1"/>
        <v>#DIV/0!</v>
      </c>
      <c r="DQ82" s="466" t="e">
        <f ca="1"/>
        <v>#DIV/0!</v>
      </c>
      <c r="DR82" s="157" t="e">
        <f ca="1"/>
        <v>#DIV/0!</v>
      </c>
      <c r="DS82" s="157" t="e">
        <f ca="1"/>
        <v>#DIV/0!</v>
      </c>
      <c r="DT82" s="157">
        <f ca="1"/>
        <v>23344.242336769308</v>
      </c>
      <c r="DU82" s="157" t="e">
        <f ca="1"/>
        <v>#DIV/0!</v>
      </c>
      <c r="DV82" s="157" t="e">
        <f ca="1"/>
        <v>#DIV/0!</v>
      </c>
      <c r="DW82" s="468" t="e">
        <f ca="1"/>
        <v>#DIV/0!</v>
      </c>
      <c r="DX82" s="470" t="e">
        <f ca="1"/>
        <v>#DIV/0!</v>
      </c>
      <c r="DY82" s="472" t="e">
        <f ca="1"/>
        <v>#DIV/0!</v>
      </c>
      <c r="DZ82" s="462" t="e">
        <f ca="1"/>
        <v>#DIV/0!</v>
      </c>
      <c r="EA82" s="464">
        <f ca="1"/>
        <v>0</v>
      </c>
      <c r="EB82" s="464" t="e">
        <f ca="1"/>
        <v>#DIV/0!</v>
      </c>
      <c r="EC82" s="466" t="e">
        <f ca="1"/>
        <v>#DIV/0!</v>
      </c>
      <c r="ED82" s="157" t="e">
        <f ca="1"/>
        <v>#DIV/0!</v>
      </c>
      <c r="EE82" s="157" t="e">
        <f ca="1"/>
        <v>#DIV/0!</v>
      </c>
      <c r="EF82" s="157">
        <f ca="1"/>
        <v>18341.564345703202</v>
      </c>
      <c r="EG82" s="157" t="e">
        <f ca="1"/>
        <v>#DIV/0!</v>
      </c>
      <c r="EH82" s="157" t="e">
        <f ca="1"/>
        <v>#DIV/0!</v>
      </c>
      <c r="EI82" s="468" t="e">
        <f ca="1"/>
        <v>#DIV/0!</v>
      </c>
      <c r="EJ82" s="470" t="e">
        <f ca="1"/>
        <v>#DIV/0!</v>
      </c>
      <c r="EK82" s="472" t="e">
        <f ca="1"/>
        <v>#DIV/0!</v>
      </c>
      <c r="EL82" s="462" t="e">
        <f ca="1"/>
        <v>#DIV/0!</v>
      </c>
      <c r="EM82" s="464" t="e">
        <f ca="1"/>
        <v>#NUM!</v>
      </c>
      <c r="EN82" s="464" t="e">
        <f ca="1"/>
        <v>#NUM!</v>
      </c>
      <c r="EO82" s="466" t="e">
        <f ca="1"/>
        <v>#NUM!</v>
      </c>
      <c r="EP82" s="157" t="e">
        <f ca="1"/>
        <v>#DIV/0!</v>
      </c>
      <c r="EQ82" s="157" t="e">
        <f ca="1"/>
        <v>#NUM!</v>
      </c>
      <c r="ER82" s="157">
        <f ca="1"/>
        <v>3484.8237442213535</v>
      </c>
      <c r="ES82" s="157" t="e">
        <f ca="1"/>
        <v>#DIV/0!</v>
      </c>
      <c r="ET82" s="157" t="e">
        <f ca="1"/>
        <v>#DIV/0!</v>
      </c>
      <c r="EU82" s="468" t="e">
        <f ca="1"/>
        <v>#DIV/0!</v>
      </c>
      <c r="EV82" s="470" t="e">
        <f ca="1"/>
        <v>#DIV/0!</v>
      </c>
      <c r="EW82" s="472" t="e">
        <f ca="1"/>
        <v>#DIV/0!</v>
      </c>
      <c r="EX82" s="462" t="e">
        <f ca="1"/>
        <v>#DIV/0!</v>
      </c>
      <c r="EY82" s="464" t="e">
        <f ca="1"/>
        <v>#NUM!</v>
      </c>
      <c r="EZ82" s="464" t="e">
        <f ca="1"/>
        <v>#NUM!</v>
      </c>
      <c r="FA82" s="466" t="e">
        <f ca="1"/>
        <v>#NUM!</v>
      </c>
      <c r="FB82" s="157" t="e">
        <f ca="1"/>
        <v>#DIV/0!</v>
      </c>
      <c r="FC82" s="157" t="e">
        <f ca="1"/>
        <v>#NUM!</v>
      </c>
      <c r="FD82" s="157">
        <f ca="1"/>
        <v>7138.2211550340771</v>
      </c>
      <c r="FE82" s="157" t="e">
        <f ca="1"/>
        <v>#DIV/0!</v>
      </c>
      <c r="FF82" s="157" t="e">
        <f ca="1"/>
        <v>#DIV/0!</v>
      </c>
      <c r="FG82" s="468" t="e">
        <f ca="1"/>
        <v>#DIV/0!</v>
      </c>
      <c r="FH82" s="470" t="e">
        <f ca="1"/>
        <v>#DIV/0!</v>
      </c>
      <c r="FI82" s="472" t="e">
        <f ca="1"/>
        <v>#DIV/0!</v>
      </c>
      <c r="FJ82" s="173" t="e">
        <f t="shared" ca="1" si="12"/>
        <v>#DIV/0!</v>
      </c>
      <c r="FK82" s="173" t="e">
        <f t="shared" ca="1" si="13"/>
        <v>#DIV/0!</v>
      </c>
      <c r="FL82" s="462" t="e">
        <f ca="1"/>
        <v>#DIV/0!</v>
      </c>
      <c r="FM82" s="464">
        <f ca="1"/>
        <v>0</v>
      </c>
      <c r="FN82" s="464" t="e">
        <f ca="1"/>
        <v>#DIV/0!</v>
      </c>
      <c r="FO82" s="466" t="e">
        <f ca="1"/>
        <v>#DIV/0!</v>
      </c>
      <c r="FP82" s="157" t="e">
        <f ca="1"/>
        <v>#DIV/0!</v>
      </c>
      <c r="FQ82" s="157" t="e">
        <f ca="1"/>
        <v>#DIV/0!</v>
      </c>
      <c r="FR82" s="157" t="e">
        <f ca="1"/>
        <v>#DIV/0!</v>
      </c>
      <c r="FS82" s="157">
        <f ca="1"/>
        <v>2466.2292435620338</v>
      </c>
      <c r="FT82" s="468" t="e">
        <f ca="1"/>
        <v>#DIV/0!</v>
      </c>
      <c r="FU82" s="470" t="e">
        <f ca="1"/>
        <v>#DIV/0!</v>
      </c>
      <c r="FV82" s="470" t="e">
        <f ca="1"/>
        <v>#DIV/0!</v>
      </c>
      <c r="FW82" s="462" t="e">
        <f ca="1"/>
        <v>#DIV/0!</v>
      </c>
      <c r="FX82" s="464" t="e">
        <f ca="1"/>
        <v>#NUM!</v>
      </c>
      <c r="FY82" s="464" t="e">
        <f ca="1"/>
        <v>#NUM!</v>
      </c>
      <c r="FZ82" s="466" t="e">
        <f ca="1"/>
        <v>#NUM!</v>
      </c>
      <c r="GA82" s="157" t="e">
        <f ca="1"/>
        <v>#DIV/0!</v>
      </c>
      <c r="GB82" s="157" t="e">
        <f ca="1"/>
        <v>#NUM!</v>
      </c>
      <c r="GC82" s="157" t="e">
        <f ca="1"/>
        <v>#DIV/0!</v>
      </c>
      <c r="GD82" s="157">
        <f ca="1"/>
        <v>52.263579042269889</v>
      </c>
      <c r="GE82" s="468" t="e">
        <f ca="1"/>
        <v>#DIV/0!</v>
      </c>
      <c r="GF82" s="470" t="e">
        <f ca="1"/>
        <v>#DIV/0!</v>
      </c>
      <c r="GG82" s="470" t="e">
        <f ca="1"/>
        <v>#DIV/0!</v>
      </c>
      <c r="GH82" s="173" t="e">
        <f t="shared" ca="1" si="14"/>
        <v>#DIV/0!</v>
      </c>
      <c r="GI82" s="173" t="e">
        <f t="shared" ca="1" si="15"/>
        <v>#DIV/0!</v>
      </c>
    </row>
    <row r="83" spans="2:191" ht="15">
      <c r="B83" s="169"/>
      <c r="C83" s="87">
        <f>'Oil supply projection'!B83</f>
        <v>2092</v>
      </c>
      <c r="D83" s="460" t="e">
        <f ca="1"/>
        <v>#DIV/0!</v>
      </c>
      <c r="E83" s="460" t="e">
        <f ca="1"/>
        <v>#DIV/0!</v>
      </c>
      <c r="F83" s="462" t="e">
        <f ca="1"/>
        <v>#DIV/0!</v>
      </c>
      <c r="G83" s="464">
        <f ca="1"/>
        <v>0</v>
      </c>
      <c r="H83" s="464" t="e">
        <f ca="1"/>
        <v>#DIV/0!</v>
      </c>
      <c r="I83" s="466" t="e">
        <f ca="1"/>
        <v>#DIV/0!</v>
      </c>
      <c r="J83" s="157" t="e">
        <f ca="1"/>
        <v>#DIV/0!</v>
      </c>
      <c r="K83" s="157" t="e">
        <f ca="1"/>
        <v>#DIV/0!</v>
      </c>
      <c r="L83" s="157">
        <f ca="1"/>
        <v>66.000098502287798</v>
      </c>
      <c r="M83" s="157" t="e">
        <f ca="1"/>
        <v>#DIV/0!</v>
      </c>
      <c r="N83" s="157" t="e">
        <f ca="1"/>
        <v>#DIV/0!</v>
      </c>
      <c r="O83" s="468" t="e">
        <f ca="1"/>
        <v>#DIV/0!</v>
      </c>
      <c r="P83" s="470" t="e">
        <f ca="1"/>
        <v>#DIV/0!</v>
      </c>
      <c r="Q83" s="472" t="e">
        <f ca="1"/>
        <v>#DIV/0!</v>
      </c>
      <c r="R83" s="462" t="e">
        <f ca="1"/>
        <v>#DIV/0!</v>
      </c>
      <c r="S83" s="464">
        <f ca="1"/>
        <v>0</v>
      </c>
      <c r="T83" s="464" t="e">
        <f ca="1"/>
        <v>#DIV/0!</v>
      </c>
      <c r="U83" s="466" t="e">
        <f ca="1"/>
        <v>#DIV/0!</v>
      </c>
      <c r="V83" s="157" t="e">
        <f ca="1"/>
        <v>#DIV/0!</v>
      </c>
      <c r="W83" s="157" t="e">
        <f ca="1"/>
        <v>#DIV/0!</v>
      </c>
      <c r="X83" s="157">
        <f ca="1"/>
        <v>90.009201382529696</v>
      </c>
      <c r="Y83" s="157" t="e">
        <f ca="1"/>
        <v>#DIV/0!</v>
      </c>
      <c r="Z83" s="157" t="e">
        <f ca="1"/>
        <v>#DIV/0!</v>
      </c>
      <c r="AA83" s="468" t="e">
        <f ca="1"/>
        <v>#DIV/0!</v>
      </c>
      <c r="AB83" s="470" t="e">
        <f ca="1"/>
        <v>#DIV/0!</v>
      </c>
      <c r="AC83" s="472" t="e">
        <f ca="1"/>
        <v>#DIV/0!</v>
      </c>
      <c r="AD83" s="462" t="e">
        <f ca="1"/>
        <v>#DIV/0!</v>
      </c>
      <c r="AE83" s="464">
        <f ca="1"/>
        <v>0</v>
      </c>
      <c r="AF83" s="464" t="e">
        <f ca="1"/>
        <v>#DIV/0!</v>
      </c>
      <c r="AG83" s="466" t="e">
        <f ca="1"/>
        <v>#DIV/0!</v>
      </c>
      <c r="AH83" s="157" t="e">
        <f ca="1"/>
        <v>#DIV/0!</v>
      </c>
      <c r="AI83" s="157" t="e">
        <f ca="1"/>
        <v>#DIV/0!</v>
      </c>
      <c r="AJ83" s="157">
        <f ca="1"/>
        <v>1177.535966177928</v>
      </c>
      <c r="AK83" s="157" t="e">
        <f ca="1"/>
        <v>#DIV/0!</v>
      </c>
      <c r="AL83" s="157" t="e">
        <f ca="1"/>
        <v>#DIV/0!</v>
      </c>
      <c r="AM83" s="468" t="e">
        <f ca="1"/>
        <v>#DIV/0!</v>
      </c>
      <c r="AN83" s="470" t="e">
        <f ca="1"/>
        <v>#DIV/0!</v>
      </c>
      <c r="AO83" s="472" t="e">
        <f ca="1"/>
        <v>#DIV/0!</v>
      </c>
      <c r="AP83" s="462" t="e">
        <f ca="1"/>
        <v>#DIV/0!</v>
      </c>
      <c r="AQ83" s="464" t="e">
        <f ca="1"/>
        <v>#NUM!</v>
      </c>
      <c r="AR83" s="464" t="e">
        <f ca="1"/>
        <v>#NUM!</v>
      </c>
      <c r="AS83" s="466" t="e">
        <f ca="1"/>
        <v>#NUM!</v>
      </c>
      <c r="AT83" s="157" t="e">
        <f ca="1"/>
        <v>#DIV/0!</v>
      </c>
      <c r="AU83" s="157" t="e">
        <f ca="1"/>
        <v>#NUM!</v>
      </c>
      <c r="AV83" s="157">
        <f ca="1"/>
        <v>2122.3902802325042</v>
      </c>
      <c r="AW83" s="157" t="e">
        <f ca="1"/>
        <v>#DIV/0!</v>
      </c>
      <c r="AX83" s="157" t="e">
        <f ca="1"/>
        <v>#DIV/0!</v>
      </c>
      <c r="AY83" s="468" t="e">
        <f ca="1"/>
        <v>#DIV/0!</v>
      </c>
      <c r="AZ83" s="470" t="e">
        <f ca="1"/>
        <v>#DIV/0!</v>
      </c>
      <c r="BA83" s="472" t="e">
        <f ca="1"/>
        <v>#DIV/0!</v>
      </c>
      <c r="BB83" s="173" t="e">
        <f t="shared" ca="1" si="8"/>
        <v>#DIV/0!</v>
      </c>
      <c r="BC83" s="173" t="e">
        <f t="shared" ca="1" si="9"/>
        <v>#DIV/0!</v>
      </c>
      <c r="BD83" s="462" t="e">
        <f ca="1"/>
        <v>#DIV/0!</v>
      </c>
      <c r="BE83" s="464">
        <f ca="1"/>
        <v>0</v>
      </c>
      <c r="BF83" s="464" t="e">
        <f ca="1"/>
        <v>#DIV/0!</v>
      </c>
      <c r="BG83" s="466" t="e">
        <f ca="1"/>
        <v>#DIV/0!</v>
      </c>
      <c r="BH83" s="157" t="e">
        <f ca="1"/>
        <v>#DIV/0!</v>
      </c>
      <c r="BI83" s="157" t="e">
        <f ca="1"/>
        <v>#DIV/0!</v>
      </c>
      <c r="BJ83" s="157">
        <f ca="1"/>
        <v>23.42156798061513</v>
      </c>
      <c r="BK83" s="157" t="e">
        <f ca="1"/>
        <v>#DIV/0!</v>
      </c>
      <c r="BL83" s="157" t="e">
        <f ca="1"/>
        <v>#DIV/0!</v>
      </c>
      <c r="BM83" s="468" t="e">
        <f ca="1"/>
        <v>#DIV/0!</v>
      </c>
      <c r="BN83" s="470" t="e">
        <f ca="1"/>
        <v>#DIV/0!</v>
      </c>
      <c r="BO83" s="472" t="e">
        <f ca="1"/>
        <v>#DIV/0!</v>
      </c>
      <c r="BP83" s="462" t="e">
        <f ca="1"/>
        <v>#DIV/0!</v>
      </c>
      <c r="BQ83" s="464">
        <f ca="1"/>
        <v>0</v>
      </c>
      <c r="BR83" s="464" t="e">
        <f ca="1"/>
        <v>#DIV/0!</v>
      </c>
      <c r="BS83" s="466" t="e">
        <f ca="1"/>
        <v>#DIV/0!</v>
      </c>
      <c r="BT83" s="157" t="e">
        <f ca="1"/>
        <v>#DIV/0!</v>
      </c>
      <c r="BU83" s="157" t="e">
        <f ca="1"/>
        <v>#DIV/0!</v>
      </c>
      <c r="BV83" s="157">
        <f ca="1"/>
        <v>17.148796161294637</v>
      </c>
      <c r="BW83" s="157" t="e">
        <f ca="1"/>
        <v>#DIV/0!</v>
      </c>
      <c r="BX83" s="157" t="e">
        <f ca="1"/>
        <v>#DIV/0!</v>
      </c>
      <c r="BY83" s="468" t="e">
        <f ca="1"/>
        <v>#DIV/0!</v>
      </c>
      <c r="BZ83" s="470" t="e">
        <f ca="1"/>
        <v>#DIV/0!</v>
      </c>
      <c r="CA83" s="472" t="e">
        <f ca="1"/>
        <v>#DIV/0!</v>
      </c>
      <c r="CB83" s="462" t="e">
        <f ca="1"/>
        <v>#DIV/0!</v>
      </c>
      <c r="CC83" s="464">
        <f ca="1"/>
        <v>0</v>
      </c>
      <c r="CD83" s="464" t="e">
        <f ca="1"/>
        <v>#DIV/0!</v>
      </c>
      <c r="CE83" s="466" t="e">
        <f ca="1"/>
        <v>#DIV/0!</v>
      </c>
      <c r="CF83" s="157" t="e">
        <f ca="1"/>
        <v>#DIV/0!</v>
      </c>
      <c r="CG83" s="157" t="e">
        <f ca="1"/>
        <v>#DIV/0!</v>
      </c>
      <c r="CH83" s="157">
        <f ca="1"/>
        <v>59.2742666831207</v>
      </c>
      <c r="CI83" s="157" t="e">
        <f ca="1"/>
        <v>#DIV/0!</v>
      </c>
      <c r="CJ83" s="157" t="e">
        <f ca="1"/>
        <v>#DIV/0!</v>
      </c>
      <c r="CK83" s="468" t="e">
        <f ca="1"/>
        <v>#DIV/0!</v>
      </c>
      <c r="CL83" s="470" t="e">
        <f ca="1"/>
        <v>#DIV/0!</v>
      </c>
      <c r="CM83" s="472" t="e">
        <f ca="1"/>
        <v>#DIV/0!</v>
      </c>
      <c r="CN83" s="462" t="e">
        <f ca="1"/>
        <v>#DIV/0!</v>
      </c>
      <c r="CO83" s="464" t="e">
        <f ca="1"/>
        <v>#NUM!</v>
      </c>
      <c r="CP83" s="464" t="e">
        <f ca="1"/>
        <v>#NUM!</v>
      </c>
      <c r="CQ83" s="466" t="e">
        <f ca="1"/>
        <v>#NUM!</v>
      </c>
      <c r="CR83" s="157" t="e">
        <f ca="1"/>
        <v>#DIV/0!</v>
      </c>
      <c r="CS83" s="157" t="e">
        <f ca="1"/>
        <v>#NUM!</v>
      </c>
      <c r="CT83" s="157">
        <f ca="1"/>
        <v>8.8168557630170703</v>
      </c>
      <c r="CU83" s="157" t="e">
        <f ca="1"/>
        <v>#DIV/0!</v>
      </c>
      <c r="CV83" s="157" t="e">
        <f ca="1"/>
        <v>#DIV/0!</v>
      </c>
      <c r="CW83" s="468" t="e">
        <f ca="1"/>
        <v>#DIV/0!</v>
      </c>
      <c r="CX83" s="470" t="e">
        <f ca="1"/>
        <v>#DIV/0!</v>
      </c>
      <c r="CY83" s="472" t="e">
        <f ca="1"/>
        <v>#DIV/0!</v>
      </c>
      <c r="CZ83" s="173" t="e">
        <f t="shared" ca="1" si="10"/>
        <v>#DIV/0!</v>
      </c>
      <c r="DA83" s="173" t="e">
        <f t="shared" ca="1" si="11"/>
        <v>#DIV/0!</v>
      </c>
      <c r="DB83" s="462" t="e">
        <f ca="1"/>
        <v>#DIV/0!</v>
      </c>
      <c r="DC83" s="464">
        <f ca="1"/>
        <v>0</v>
      </c>
      <c r="DD83" s="464" t="e">
        <f ca="1"/>
        <v>#DIV/0!</v>
      </c>
      <c r="DE83" s="466" t="e">
        <f ca="1"/>
        <v>#DIV/0!</v>
      </c>
      <c r="DF83" s="157" t="e">
        <f ca="1"/>
        <v>#DIV/0!</v>
      </c>
      <c r="DG83" s="157" t="e">
        <f ca="1"/>
        <v>#DIV/0!</v>
      </c>
      <c r="DH83" s="157">
        <f ca="1"/>
        <v>28636.330975966768</v>
      </c>
      <c r="DI83" s="157" t="e">
        <f ca="1"/>
        <v>#DIV/0!</v>
      </c>
      <c r="DJ83" s="157" t="e">
        <f ca="1"/>
        <v>#DIV/0!</v>
      </c>
      <c r="DK83" s="468" t="e">
        <f ca="1"/>
        <v>#DIV/0!</v>
      </c>
      <c r="DL83" s="470" t="e">
        <f ca="1"/>
        <v>#DIV/0!</v>
      </c>
      <c r="DM83" s="472" t="e">
        <f ca="1"/>
        <v>#DIV/0!</v>
      </c>
      <c r="DN83" s="462" t="e">
        <f ca="1"/>
        <v>#DIV/0!</v>
      </c>
      <c r="DO83" s="464">
        <f ca="1"/>
        <v>0</v>
      </c>
      <c r="DP83" s="464" t="e">
        <f ca="1"/>
        <v>#DIV/0!</v>
      </c>
      <c r="DQ83" s="466" t="e">
        <f ca="1"/>
        <v>#DIV/0!</v>
      </c>
      <c r="DR83" s="157" t="e">
        <f ca="1"/>
        <v>#DIV/0!</v>
      </c>
      <c r="DS83" s="157" t="e">
        <f ca="1"/>
        <v>#DIV/0!</v>
      </c>
      <c r="DT83" s="157">
        <f ca="1"/>
        <v>23584.63225530658</v>
      </c>
      <c r="DU83" s="157" t="e">
        <f ca="1"/>
        <v>#DIV/0!</v>
      </c>
      <c r="DV83" s="157" t="e">
        <f ca="1"/>
        <v>#DIV/0!</v>
      </c>
      <c r="DW83" s="468" t="e">
        <f ca="1"/>
        <v>#DIV/0!</v>
      </c>
      <c r="DX83" s="470" t="e">
        <f ca="1"/>
        <v>#DIV/0!</v>
      </c>
      <c r="DY83" s="472" t="e">
        <f ca="1"/>
        <v>#DIV/0!</v>
      </c>
      <c r="DZ83" s="462" t="e">
        <f ca="1"/>
        <v>#DIV/0!</v>
      </c>
      <c r="EA83" s="464">
        <f ca="1"/>
        <v>0</v>
      </c>
      <c r="EB83" s="464" t="e">
        <f ca="1"/>
        <v>#DIV/0!</v>
      </c>
      <c r="EC83" s="466" t="e">
        <f ca="1"/>
        <v>#DIV/0!</v>
      </c>
      <c r="ED83" s="157" t="e">
        <f ca="1"/>
        <v>#DIV/0!</v>
      </c>
      <c r="EE83" s="157" t="e">
        <f ca="1"/>
        <v>#DIV/0!</v>
      </c>
      <c r="EF83" s="157">
        <f ca="1"/>
        <v>18530.438634073871</v>
      </c>
      <c r="EG83" s="157" t="e">
        <f ca="1"/>
        <v>#DIV/0!</v>
      </c>
      <c r="EH83" s="157" t="e">
        <f ca="1"/>
        <v>#DIV/0!</v>
      </c>
      <c r="EI83" s="468" t="e">
        <f ca="1"/>
        <v>#DIV/0!</v>
      </c>
      <c r="EJ83" s="470" t="e">
        <f ca="1"/>
        <v>#DIV/0!</v>
      </c>
      <c r="EK83" s="472" t="e">
        <f ca="1"/>
        <v>#DIV/0!</v>
      </c>
      <c r="EL83" s="462" t="e">
        <f ca="1"/>
        <v>#DIV/0!</v>
      </c>
      <c r="EM83" s="464" t="e">
        <f ca="1"/>
        <v>#NUM!</v>
      </c>
      <c r="EN83" s="464" t="e">
        <f ca="1"/>
        <v>#NUM!</v>
      </c>
      <c r="EO83" s="466" t="e">
        <f ca="1"/>
        <v>#NUM!</v>
      </c>
      <c r="EP83" s="157" t="e">
        <f ca="1"/>
        <v>#DIV/0!</v>
      </c>
      <c r="EQ83" s="157" t="e">
        <f ca="1"/>
        <v>#NUM!</v>
      </c>
      <c r="ER83" s="157">
        <f ca="1"/>
        <v>3520.7091023282919</v>
      </c>
      <c r="ES83" s="157" t="e">
        <f ca="1"/>
        <v>#DIV/0!</v>
      </c>
      <c r="ET83" s="157" t="e">
        <f ca="1"/>
        <v>#DIV/0!</v>
      </c>
      <c r="EU83" s="468" t="e">
        <f ca="1"/>
        <v>#DIV/0!</v>
      </c>
      <c r="EV83" s="470" t="e">
        <f ca="1"/>
        <v>#DIV/0!</v>
      </c>
      <c r="EW83" s="472" t="e">
        <f ca="1"/>
        <v>#DIV/0!</v>
      </c>
      <c r="EX83" s="462" t="e">
        <f ca="1"/>
        <v>#DIV/0!</v>
      </c>
      <c r="EY83" s="464" t="e">
        <f ca="1"/>
        <v>#NUM!</v>
      </c>
      <c r="EZ83" s="464" t="e">
        <f ca="1"/>
        <v>#NUM!</v>
      </c>
      <c r="FA83" s="466" t="e">
        <f ca="1"/>
        <v>#NUM!</v>
      </c>
      <c r="FB83" s="157" t="e">
        <f ca="1"/>
        <v>#DIV/0!</v>
      </c>
      <c r="FC83" s="157" t="e">
        <f ca="1"/>
        <v>#NUM!</v>
      </c>
      <c r="FD83" s="157">
        <f ca="1"/>
        <v>7211.7277772326015</v>
      </c>
      <c r="FE83" s="157" t="e">
        <f ca="1"/>
        <v>#DIV/0!</v>
      </c>
      <c r="FF83" s="157" t="e">
        <f ca="1"/>
        <v>#DIV/0!</v>
      </c>
      <c r="FG83" s="468" t="e">
        <f ca="1"/>
        <v>#DIV/0!</v>
      </c>
      <c r="FH83" s="470" t="e">
        <f ca="1"/>
        <v>#DIV/0!</v>
      </c>
      <c r="FI83" s="472" t="e">
        <f ca="1"/>
        <v>#DIV/0!</v>
      </c>
      <c r="FJ83" s="173" t="e">
        <f t="shared" ca="1" si="12"/>
        <v>#DIV/0!</v>
      </c>
      <c r="FK83" s="173" t="e">
        <f t="shared" ca="1" si="13"/>
        <v>#DIV/0!</v>
      </c>
      <c r="FL83" s="462" t="e">
        <f ca="1"/>
        <v>#DIV/0!</v>
      </c>
      <c r="FM83" s="464">
        <f ca="1"/>
        <v>0</v>
      </c>
      <c r="FN83" s="464" t="e">
        <f ca="1"/>
        <v>#DIV/0!</v>
      </c>
      <c r="FO83" s="466" t="e">
        <f ca="1"/>
        <v>#DIV/0!</v>
      </c>
      <c r="FP83" s="157" t="e">
        <f ca="1"/>
        <v>#DIV/0!</v>
      </c>
      <c r="FQ83" s="157" t="e">
        <f ca="1"/>
        <v>#DIV/0!</v>
      </c>
      <c r="FR83" s="157" t="e">
        <f ca="1"/>
        <v>#DIV/0!</v>
      </c>
      <c r="FS83" s="157">
        <f ca="1"/>
        <v>2479.9900283306752</v>
      </c>
      <c r="FT83" s="468" t="e">
        <f ca="1"/>
        <v>#DIV/0!</v>
      </c>
      <c r="FU83" s="470" t="e">
        <f ca="1"/>
        <v>#DIV/0!</v>
      </c>
      <c r="FV83" s="470" t="e">
        <f ca="1"/>
        <v>#DIV/0!</v>
      </c>
      <c r="FW83" s="462" t="e">
        <f ca="1"/>
        <v>#DIV/0!</v>
      </c>
      <c r="FX83" s="464" t="e">
        <f ca="1"/>
        <v>#NUM!</v>
      </c>
      <c r="FY83" s="464" t="e">
        <f ca="1"/>
        <v>#NUM!</v>
      </c>
      <c r="FZ83" s="466" t="e">
        <f ca="1"/>
        <v>#NUM!</v>
      </c>
      <c r="GA83" s="157" t="e">
        <f ca="1"/>
        <v>#DIV/0!</v>
      </c>
      <c r="GB83" s="157" t="e">
        <f ca="1"/>
        <v>#NUM!</v>
      </c>
      <c r="GC83" s="157" t="e">
        <f ca="1"/>
        <v>#DIV/0!</v>
      </c>
      <c r="GD83" s="157">
        <f ca="1"/>
        <v>52.555193402255661</v>
      </c>
      <c r="GE83" s="468" t="e">
        <f ca="1"/>
        <v>#DIV/0!</v>
      </c>
      <c r="GF83" s="470" t="e">
        <f ca="1"/>
        <v>#DIV/0!</v>
      </c>
      <c r="GG83" s="470" t="e">
        <f ca="1"/>
        <v>#DIV/0!</v>
      </c>
      <c r="GH83" s="173" t="e">
        <f t="shared" ca="1" si="14"/>
        <v>#DIV/0!</v>
      </c>
      <c r="GI83" s="173" t="e">
        <f t="shared" ca="1" si="15"/>
        <v>#DIV/0!</v>
      </c>
    </row>
    <row r="84" spans="2:191" ht="15">
      <c r="B84" s="169"/>
      <c r="C84" s="87">
        <f>'Oil supply projection'!B84</f>
        <v>2093</v>
      </c>
      <c r="D84" s="461" t="e">
        <f ca="1"/>
        <v>#DIV/0!</v>
      </c>
      <c r="E84" s="461" t="e">
        <f ca="1"/>
        <v>#DIV/0!</v>
      </c>
      <c r="F84" s="463" t="e">
        <f ca="1"/>
        <v>#DIV/0!</v>
      </c>
      <c r="G84" s="465">
        <f ca="1"/>
        <v>0</v>
      </c>
      <c r="H84" s="465" t="e">
        <f ca="1"/>
        <v>#DIV/0!</v>
      </c>
      <c r="I84" s="467" t="e">
        <f ca="1"/>
        <v>#DIV/0!</v>
      </c>
      <c r="J84" s="182" t="e">
        <f ca="1"/>
        <v>#DIV/0!</v>
      </c>
      <c r="K84" s="182" t="e">
        <f ca="1"/>
        <v>#DIV/0!</v>
      </c>
      <c r="L84" s="182">
        <f ca="1"/>
        <v>66.877727479689597</v>
      </c>
      <c r="M84" s="182" t="e">
        <f ca="1"/>
        <v>#DIV/0!</v>
      </c>
      <c r="N84" s="182" t="e">
        <f ca="1"/>
        <v>#DIV/0!</v>
      </c>
      <c r="O84" s="469" t="e">
        <f ca="1"/>
        <v>#DIV/0!</v>
      </c>
      <c r="P84" s="471" t="e">
        <f ca="1"/>
        <v>#DIV/0!</v>
      </c>
      <c r="Q84" s="473" t="e">
        <f ca="1"/>
        <v>#DIV/0!</v>
      </c>
      <c r="R84" s="463" t="e">
        <f ca="1"/>
        <v>#DIV/0!</v>
      </c>
      <c r="S84" s="465">
        <f ca="1"/>
        <v>0</v>
      </c>
      <c r="T84" s="465" t="e">
        <f ca="1"/>
        <v>#DIV/0!</v>
      </c>
      <c r="U84" s="467" t="e">
        <f ca="1"/>
        <v>#DIV/0!</v>
      </c>
      <c r="V84" s="182" t="e">
        <f ca="1"/>
        <v>#DIV/0!</v>
      </c>
      <c r="W84" s="182" t="e">
        <f ca="1"/>
        <v>#DIV/0!</v>
      </c>
      <c r="X84" s="182">
        <f ca="1"/>
        <v>91.206088738135136</v>
      </c>
      <c r="Y84" s="182" t="e">
        <f ca="1"/>
        <v>#DIV/0!</v>
      </c>
      <c r="Z84" s="182" t="e">
        <f ca="1"/>
        <v>#DIV/0!</v>
      </c>
      <c r="AA84" s="469" t="e">
        <f ca="1"/>
        <v>#DIV/0!</v>
      </c>
      <c r="AB84" s="471" t="e">
        <f ca="1"/>
        <v>#DIV/0!</v>
      </c>
      <c r="AC84" s="473" t="e">
        <f ca="1"/>
        <v>#DIV/0!</v>
      </c>
      <c r="AD84" s="463" t="e">
        <f ca="1"/>
        <v>#DIV/0!</v>
      </c>
      <c r="AE84" s="465">
        <f ca="1"/>
        <v>0</v>
      </c>
      <c r="AF84" s="465" t="e">
        <f ca="1"/>
        <v>#DIV/0!</v>
      </c>
      <c r="AG84" s="467" t="e">
        <f ca="1"/>
        <v>#DIV/0!</v>
      </c>
      <c r="AH84" s="182" t="e">
        <f ca="1"/>
        <v>#DIV/0!</v>
      </c>
      <c r="AI84" s="182" t="e">
        <f ca="1"/>
        <v>#DIV/0!</v>
      </c>
      <c r="AJ84" s="182">
        <f ca="1"/>
        <v>1193.1941198671191</v>
      </c>
      <c r="AK84" s="182" t="e">
        <f ca="1"/>
        <v>#DIV/0!</v>
      </c>
      <c r="AL84" s="182" t="e">
        <f ca="1"/>
        <v>#DIV/0!</v>
      </c>
      <c r="AM84" s="469" t="e">
        <f ca="1"/>
        <v>#DIV/0!</v>
      </c>
      <c r="AN84" s="471" t="e">
        <f ca="1"/>
        <v>#DIV/0!</v>
      </c>
      <c r="AO84" s="473" t="e">
        <f ca="1"/>
        <v>#DIV/0!</v>
      </c>
      <c r="AP84" s="463" t="e">
        <f ca="1"/>
        <v>#DIV/0!</v>
      </c>
      <c r="AQ84" s="465" t="e">
        <f ca="1"/>
        <v>#NUM!</v>
      </c>
      <c r="AR84" s="465" t="e">
        <f ca="1"/>
        <v>#NUM!</v>
      </c>
      <c r="AS84" s="467" t="e">
        <f ca="1"/>
        <v>#NUM!</v>
      </c>
      <c r="AT84" s="182" t="e">
        <f ca="1"/>
        <v>#DIV/0!</v>
      </c>
      <c r="AU84" s="182" t="e">
        <f ca="1"/>
        <v>#NUM!</v>
      </c>
      <c r="AV84" s="182">
        <f ca="1"/>
        <v>2150.6125291920785</v>
      </c>
      <c r="AW84" s="182" t="e">
        <f ca="1"/>
        <v>#DIV/0!</v>
      </c>
      <c r="AX84" s="182" t="e">
        <f ca="1"/>
        <v>#DIV/0!</v>
      </c>
      <c r="AY84" s="469" t="e">
        <f ca="1"/>
        <v>#DIV/0!</v>
      </c>
      <c r="AZ84" s="471" t="e">
        <f ca="1"/>
        <v>#DIV/0!</v>
      </c>
      <c r="BA84" s="473" t="e">
        <f ca="1"/>
        <v>#DIV/0!</v>
      </c>
      <c r="BB84" s="173" t="e">
        <f t="shared" ca="1" si="8"/>
        <v>#DIV/0!</v>
      </c>
      <c r="BC84" s="173" t="e">
        <f t="shared" ca="1" si="9"/>
        <v>#DIV/0!</v>
      </c>
      <c r="BD84" s="463" t="e">
        <f ca="1"/>
        <v>#DIV/0!</v>
      </c>
      <c r="BE84" s="465">
        <f ca="1"/>
        <v>0</v>
      </c>
      <c r="BF84" s="465" t="e">
        <f ca="1"/>
        <v>#DIV/0!</v>
      </c>
      <c r="BG84" s="467" t="e">
        <f ca="1"/>
        <v>#DIV/0!</v>
      </c>
      <c r="BH84" s="182" t="e">
        <f ca="1"/>
        <v>#DIV/0!</v>
      </c>
      <c r="BI84" s="182" t="e">
        <f ca="1"/>
        <v>#DIV/0!</v>
      </c>
      <c r="BJ84" s="182">
        <f ca="1"/>
        <v>23.559840043929366</v>
      </c>
      <c r="BK84" s="182" t="e">
        <f ca="1"/>
        <v>#DIV/0!</v>
      </c>
      <c r="BL84" s="182" t="e">
        <f ca="1"/>
        <v>#DIV/0!</v>
      </c>
      <c r="BM84" s="469" t="e">
        <f ca="1"/>
        <v>#DIV/0!</v>
      </c>
      <c r="BN84" s="471" t="e">
        <f ca="1"/>
        <v>#DIV/0!</v>
      </c>
      <c r="BO84" s="473" t="e">
        <f ca="1"/>
        <v>#DIV/0!</v>
      </c>
      <c r="BP84" s="463" t="e">
        <f ca="1"/>
        <v>#DIV/0!</v>
      </c>
      <c r="BQ84" s="465">
        <f ca="1"/>
        <v>0</v>
      </c>
      <c r="BR84" s="465" t="e">
        <f ca="1"/>
        <v>#DIV/0!</v>
      </c>
      <c r="BS84" s="467" t="e">
        <f ca="1"/>
        <v>#DIV/0!</v>
      </c>
      <c r="BT84" s="182" t="e">
        <f ca="1"/>
        <v>#DIV/0!</v>
      </c>
      <c r="BU84" s="182" t="e">
        <f ca="1"/>
        <v>#DIV/0!</v>
      </c>
      <c r="BV84" s="182">
        <f ca="1"/>
        <v>17.250036156436718</v>
      </c>
      <c r="BW84" s="182" t="e">
        <f ca="1"/>
        <v>#DIV/0!</v>
      </c>
      <c r="BX84" s="182" t="e">
        <f ca="1"/>
        <v>#DIV/0!</v>
      </c>
      <c r="BY84" s="469" t="e">
        <f ca="1"/>
        <v>#DIV/0!</v>
      </c>
      <c r="BZ84" s="471" t="e">
        <f ca="1"/>
        <v>#DIV/0!</v>
      </c>
      <c r="CA84" s="473" t="e">
        <f ca="1"/>
        <v>#DIV/0!</v>
      </c>
      <c r="CB84" s="463" t="e">
        <f ca="1"/>
        <v>#DIV/0!</v>
      </c>
      <c r="CC84" s="465">
        <f ca="1"/>
        <v>0</v>
      </c>
      <c r="CD84" s="465" t="e">
        <f ca="1"/>
        <v>#DIV/0!</v>
      </c>
      <c r="CE84" s="467" t="e">
        <f ca="1"/>
        <v>#DIV/0!</v>
      </c>
      <c r="CF84" s="182" t="e">
        <f ca="1"/>
        <v>#DIV/0!</v>
      </c>
      <c r="CG84" s="182" t="e">
        <f ca="1"/>
        <v>#DIV/0!</v>
      </c>
      <c r="CH84" s="182">
        <f ca="1"/>
        <v>59.62419949558214</v>
      </c>
      <c r="CI84" s="182" t="e">
        <f ca="1"/>
        <v>#DIV/0!</v>
      </c>
      <c r="CJ84" s="182" t="e">
        <f ca="1"/>
        <v>#DIV/0!</v>
      </c>
      <c r="CK84" s="469" t="e">
        <f ca="1"/>
        <v>#DIV/0!</v>
      </c>
      <c r="CL84" s="471" t="e">
        <f ca="1"/>
        <v>#DIV/0!</v>
      </c>
      <c r="CM84" s="473" t="e">
        <f ca="1"/>
        <v>#DIV/0!</v>
      </c>
      <c r="CN84" s="463" t="e">
        <f ca="1"/>
        <v>#DIV/0!</v>
      </c>
      <c r="CO84" s="465" t="e">
        <f ca="1"/>
        <v>#NUM!</v>
      </c>
      <c r="CP84" s="465" t="e">
        <f ca="1"/>
        <v>#NUM!</v>
      </c>
      <c r="CQ84" s="467" t="e">
        <f ca="1"/>
        <v>#NUM!</v>
      </c>
      <c r="CR84" s="182" t="e">
        <f ca="1"/>
        <v>#DIV/0!</v>
      </c>
      <c r="CS84" s="182" t="e">
        <f ca="1"/>
        <v>#NUM!</v>
      </c>
      <c r="CT84" s="182">
        <f ca="1"/>
        <v>8.8689071388816316</v>
      </c>
      <c r="CU84" s="182" t="e">
        <f ca="1"/>
        <v>#DIV/0!</v>
      </c>
      <c r="CV84" s="182" t="e">
        <f ca="1"/>
        <v>#DIV/0!</v>
      </c>
      <c r="CW84" s="469" t="e">
        <f ca="1"/>
        <v>#DIV/0!</v>
      </c>
      <c r="CX84" s="471" t="e">
        <f ca="1"/>
        <v>#DIV/0!</v>
      </c>
      <c r="CY84" s="473" t="e">
        <f ca="1"/>
        <v>#DIV/0!</v>
      </c>
      <c r="CZ84" s="173" t="e">
        <f t="shared" ca="1" si="3"/>
        <v>#DIV/0!</v>
      </c>
      <c r="DA84" s="173" t="e">
        <f t="shared" ca="1" si="3"/>
        <v>#DIV/0!</v>
      </c>
      <c r="DB84" s="463" t="e">
        <f ca="1"/>
        <v>#DIV/0!</v>
      </c>
      <c r="DC84" s="465">
        <f ca="1"/>
        <v>0</v>
      </c>
      <c r="DD84" s="465" t="e">
        <f ca="1"/>
        <v>#DIV/0!</v>
      </c>
      <c r="DE84" s="467" t="e">
        <f ca="1"/>
        <v>#DIV/0!</v>
      </c>
      <c r="DF84" s="182" t="e">
        <f ca="1"/>
        <v>#DIV/0!</v>
      </c>
      <c r="DG84" s="182" t="e">
        <f ca="1"/>
        <v>#DIV/0!</v>
      </c>
      <c r="DH84" s="182">
        <f ca="1"/>
        <v>28931.216762843469</v>
      </c>
      <c r="DI84" s="182" t="e">
        <f ca="1"/>
        <v>#DIV/0!</v>
      </c>
      <c r="DJ84" s="182" t="e">
        <f ca="1"/>
        <v>#DIV/0!</v>
      </c>
      <c r="DK84" s="469" t="e">
        <f ca="1"/>
        <v>#DIV/0!</v>
      </c>
      <c r="DL84" s="471" t="e">
        <f ca="1"/>
        <v>#DIV/0!</v>
      </c>
      <c r="DM84" s="473" t="e">
        <f ca="1"/>
        <v>#DIV/0!</v>
      </c>
      <c r="DN84" s="463" t="e">
        <f ca="1"/>
        <v>#DIV/0!</v>
      </c>
      <c r="DO84" s="465">
        <f ca="1"/>
        <v>0</v>
      </c>
      <c r="DP84" s="465" t="e">
        <f ca="1"/>
        <v>#DIV/0!</v>
      </c>
      <c r="DQ84" s="467" t="e">
        <f ca="1"/>
        <v>#DIV/0!</v>
      </c>
      <c r="DR84" s="182" t="e">
        <f ca="1"/>
        <v>#DIV/0!</v>
      </c>
      <c r="DS84" s="182" t="e">
        <f ca="1"/>
        <v>#DIV/0!</v>
      </c>
      <c r="DT84" s="182">
        <f ca="1"/>
        <v>23827.497615629472</v>
      </c>
      <c r="DU84" s="182" t="e">
        <f ca="1"/>
        <v>#DIV/0!</v>
      </c>
      <c r="DV84" s="182" t="e">
        <f ca="1"/>
        <v>#DIV/0!</v>
      </c>
      <c r="DW84" s="469" t="e">
        <f ca="1"/>
        <v>#DIV/0!</v>
      </c>
      <c r="DX84" s="471" t="e">
        <f ca="1"/>
        <v>#DIV/0!</v>
      </c>
      <c r="DY84" s="473" t="e">
        <f ca="1"/>
        <v>#DIV/0!</v>
      </c>
      <c r="DZ84" s="463" t="e">
        <f ca="1"/>
        <v>#DIV/0!</v>
      </c>
      <c r="EA84" s="465">
        <f ca="1"/>
        <v>0</v>
      </c>
      <c r="EB84" s="465" t="e">
        <f ca="1"/>
        <v>#DIV/0!</v>
      </c>
      <c r="EC84" s="467" t="e">
        <f ca="1"/>
        <v>#DIV/0!</v>
      </c>
      <c r="ED84" s="182" t="e">
        <f ca="1"/>
        <v>#DIV/0!</v>
      </c>
      <c r="EE84" s="182" t="e">
        <f ca="1"/>
        <v>#DIV/0!</v>
      </c>
      <c r="EF84" s="182">
        <f ca="1"/>
        <v>18721.257876328244</v>
      </c>
      <c r="EG84" s="182" t="e">
        <f ca="1"/>
        <v>#DIV/0!</v>
      </c>
      <c r="EH84" s="182" t="e">
        <f ca="1"/>
        <v>#DIV/0!</v>
      </c>
      <c r="EI84" s="469" t="e">
        <f ca="1"/>
        <v>#DIV/0!</v>
      </c>
      <c r="EJ84" s="471" t="e">
        <f ca="1"/>
        <v>#DIV/0!</v>
      </c>
      <c r="EK84" s="473" t="e">
        <f ca="1"/>
        <v>#DIV/0!</v>
      </c>
      <c r="EL84" s="463" t="e">
        <f ca="1"/>
        <v>#DIV/0!</v>
      </c>
      <c r="EM84" s="465" t="e">
        <f ca="1"/>
        <v>#NUM!</v>
      </c>
      <c r="EN84" s="465" t="e">
        <f ca="1"/>
        <v>#NUM!</v>
      </c>
      <c r="EO84" s="467" t="e">
        <f ca="1"/>
        <v>#NUM!</v>
      </c>
      <c r="EP84" s="182" t="e">
        <f ca="1"/>
        <v>#DIV/0!</v>
      </c>
      <c r="EQ84" s="182" t="e">
        <f ca="1"/>
        <v>#NUM!</v>
      </c>
      <c r="ER84" s="182">
        <f ca="1"/>
        <v>3556.9639938811019</v>
      </c>
      <c r="ES84" s="182" t="e">
        <f ca="1"/>
        <v>#DIV/0!</v>
      </c>
      <c r="ET84" s="182" t="e">
        <f ca="1"/>
        <v>#DIV/0!</v>
      </c>
      <c r="EU84" s="469" t="e">
        <f ca="1"/>
        <v>#DIV/0!</v>
      </c>
      <c r="EV84" s="471" t="e">
        <f ca="1"/>
        <v>#DIV/0!</v>
      </c>
      <c r="EW84" s="473" t="e">
        <f ca="1"/>
        <v>#DIV/0!</v>
      </c>
      <c r="EX84" s="463" t="e">
        <f ca="1"/>
        <v>#DIV/0!</v>
      </c>
      <c r="EY84" s="465" t="e">
        <f ca="1"/>
        <v>#NUM!</v>
      </c>
      <c r="EZ84" s="465" t="e">
        <f ca="1"/>
        <v>#NUM!</v>
      </c>
      <c r="FA84" s="467" t="e">
        <f ca="1"/>
        <v>#NUM!</v>
      </c>
      <c r="FB84" s="182" t="e">
        <f ca="1"/>
        <v>#DIV/0!</v>
      </c>
      <c r="FC84" s="182" t="e">
        <f ca="1"/>
        <v>#NUM!</v>
      </c>
      <c r="FD84" s="182">
        <f ca="1"/>
        <v>7285.9913420068251</v>
      </c>
      <c r="FE84" s="182" t="e">
        <f ca="1"/>
        <v>#DIV/0!</v>
      </c>
      <c r="FF84" s="182" t="e">
        <f ca="1"/>
        <v>#DIV/0!</v>
      </c>
      <c r="FG84" s="469" t="e">
        <f ca="1"/>
        <v>#DIV/0!</v>
      </c>
      <c r="FH84" s="471" t="e">
        <f ca="1"/>
        <v>#DIV/0!</v>
      </c>
      <c r="FI84" s="473" t="e">
        <f ca="1"/>
        <v>#DIV/0!</v>
      </c>
      <c r="FJ84" s="173" t="e">
        <f t="shared" ca="1" si="4"/>
        <v>#DIV/0!</v>
      </c>
      <c r="FK84" s="173" t="e">
        <f t="shared" ca="1" si="4"/>
        <v>#DIV/0!</v>
      </c>
      <c r="FL84" s="463" t="e">
        <f ca="1"/>
        <v>#DIV/0!</v>
      </c>
      <c r="FM84" s="465">
        <f ca="1"/>
        <v>0</v>
      </c>
      <c r="FN84" s="465" t="e">
        <f ca="1"/>
        <v>#DIV/0!</v>
      </c>
      <c r="FO84" s="467" t="e">
        <f ca="1"/>
        <v>#DIV/0!</v>
      </c>
      <c r="FP84" s="182" t="e">
        <f ca="1"/>
        <v>#DIV/0!</v>
      </c>
      <c r="FQ84" s="182" t="e">
        <f ca="1"/>
        <v>#DIV/0!</v>
      </c>
      <c r="FR84" s="182" t="e">
        <f ca="1"/>
        <v>#DIV/0!</v>
      </c>
      <c r="FS84" s="182">
        <f ca="1"/>
        <v>2493.8275939573582</v>
      </c>
      <c r="FT84" s="469" t="e">
        <f ca="1"/>
        <v>#DIV/0!</v>
      </c>
      <c r="FU84" s="471" t="e">
        <f ca="1"/>
        <v>#DIV/0!</v>
      </c>
      <c r="FV84" s="471" t="e">
        <f ca="1"/>
        <v>#DIV/0!</v>
      </c>
      <c r="FW84" s="463" t="e">
        <f ca="1"/>
        <v>#DIV/0!</v>
      </c>
      <c r="FX84" s="465" t="e">
        <f ca="1"/>
        <v>#NUM!</v>
      </c>
      <c r="FY84" s="465" t="e">
        <f ca="1"/>
        <v>#NUM!</v>
      </c>
      <c r="FZ84" s="467" t="e">
        <f ca="1"/>
        <v>#NUM!</v>
      </c>
      <c r="GA84" s="182" t="e">
        <f ca="1"/>
        <v>#DIV/0!</v>
      </c>
      <c r="GB84" s="182" t="e">
        <f ca="1"/>
        <v>#NUM!</v>
      </c>
      <c r="GC84" s="182" t="e">
        <f ca="1"/>
        <v>#DIV/0!</v>
      </c>
      <c r="GD84" s="182">
        <f ca="1"/>
        <v>52.848434878801541</v>
      </c>
      <c r="GE84" s="469" t="e">
        <f ca="1"/>
        <v>#DIV/0!</v>
      </c>
      <c r="GF84" s="471" t="e">
        <f ca="1"/>
        <v>#DIV/0!</v>
      </c>
      <c r="GG84" s="471" t="e">
        <f ca="1"/>
        <v>#DIV/0!</v>
      </c>
      <c r="GH84" s="170" t="e">
        <f t="shared" ca="1" si="7"/>
        <v>#DIV/0!</v>
      </c>
      <c r="GI84" s="170" t="e">
        <f t="shared" ca="1" si="7"/>
        <v>#DIV/0!</v>
      </c>
    </row>
    <row r="85" spans="2:191">
      <c r="D85" s="85" t="s">
        <v>825</v>
      </c>
    </row>
    <row r="86" spans="2:191">
      <c r="D86" s="85" t="s">
        <v>826</v>
      </c>
    </row>
    <row r="87" spans="2:191">
      <c r="D87" s="85" t="s">
        <v>827</v>
      </c>
    </row>
    <row r="88" spans="2:191">
      <c r="D88" s="85" t="s">
        <v>828</v>
      </c>
    </row>
    <row r="89" spans="2:191">
      <c r="D89" s="85" t="s">
        <v>829</v>
      </c>
    </row>
    <row r="90" spans="2:191">
      <c r="D90" s="85" t="s">
        <v>830</v>
      </c>
    </row>
  </sheetData>
  <mergeCells count="31">
    <mergeCell ref="FL8:FV8"/>
    <mergeCell ref="FL7:FV7"/>
    <mergeCell ref="FW7:GG7"/>
    <mergeCell ref="FW8:GG8"/>
    <mergeCell ref="EL8:EW8"/>
    <mergeCell ref="EL7:EW7"/>
    <mergeCell ref="DN7:DY7"/>
    <mergeCell ref="DN8:DY8"/>
    <mergeCell ref="EX7:FI7"/>
    <mergeCell ref="EX8:FI8"/>
    <mergeCell ref="CB8:CM8"/>
    <mergeCell ref="DZ7:EJ7"/>
    <mergeCell ref="DZ8:EJ8"/>
    <mergeCell ref="DB7:DM7"/>
    <mergeCell ref="DB8:DM8"/>
    <mergeCell ref="A1:C1"/>
    <mergeCell ref="CN8:CY8"/>
    <mergeCell ref="CN7:CY7"/>
    <mergeCell ref="F8:Q8"/>
    <mergeCell ref="F7:Q7"/>
    <mergeCell ref="AP8:BA8"/>
    <mergeCell ref="AP7:BA7"/>
    <mergeCell ref="AD7:AO7"/>
    <mergeCell ref="AD8:AO8"/>
    <mergeCell ref="R8:AC8"/>
    <mergeCell ref="R7:AC7"/>
    <mergeCell ref="BD7:BO7"/>
    <mergeCell ref="BD8:BO8"/>
    <mergeCell ref="BP8:CA8"/>
    <mergeCell ref="BP7:CA7"/>
    <mergeCell ref="CB7:CM7"/>
  </mergeCells>
  <phoneticPr fontId="29" type="noConversion"/>
  <conditionalFormatting sqref="FU11:FU84 GF11:GF84 D10:D84 FW11:GD84 FW10:GH10 FJ10:FU10 F10:BC84 CZ10:DA84 FJ11:FS84 GH11:GH84">
    <cfRule type="expression" dxfId="92" priority="95" stopIfTrue="1">
      <formula>ISERROR(D10)</formula>
    </cfRule>
  </conditionalFormatting>
  <conditionalFormatting sqref="BD10:BH84 BM10:BT10 BY10:CF10 CK10:CR10 CW10:CY10 BJ10:BK84 BV10:BW84 CH10:CI84 CT10:CU84 BP11:BT84 CB11:CF84 CN11:CR84">
    <cfRule type="expression" dxfId="91" priority="94" stopIfTrue="1">
      <formula>ISERROR(BD10)</formula>
    </cfRule>
  </conditionalFormatting>
  <conditionalFormatting sqref="DB10:DF84 DK10:DR10 DW10:ED10 EI10:EP10 EU10:EW10 DH10:DI84 DT10:DU84 EF10:EG84 ER10:ES84 DN11:DR84 DZ11:ED84 EL11:EP84">
    <cfRule type="expression" dxfId="90" priority="93" stopIfTrue="1">
      <formula>ISERROR(DB10)</formula>
    </cfRule>
  </conditionalFormatting>
  <conditionalFormatting sqref="EX10:FB84 FG10:FI10 FD10:FE84">
    <cfRule type="expression" dxfId="89" priority="92" stopIfTrue="1">
      <formula>ISERROR(EX10)</formula>
    </cfRule>
  </conditionalFormatting>
  <conditionalFormatting sqref="BL10:BL84">
    <cfRule type="expression" dxfId="88" priority="88" stopIfTrue="1">
      <formula>ISERROR(BL10)</formula>
    </cfRule>
  </conditionalFormatting>
  <conditionalFormatting sqref="BX10:BX84">
    <cfRule type="expression" dxfId="87" priority="87" stopIfTrue="1">
      <formula>ISERROR(BX10)</formula>
    </cfRule>
  </conditionalFormatting>
  <conditionalFormatting sqref="CJ10:CJ84">
    <cfRule type="expression" dxfId="86" priority="86" stopIfTrue="1">
      <formula>ISERROR(CJ10)</formula>
    </cfRule>
  </conditionalFormatting>
  <conditionalFormatting sqref="CV10:CV84">
    <cfRule type="expression" dxfId="85" priority="85" stopIfTrue="1">
      <formula>ISERROR(CV10)</formula>
    </cfRule>
  </conditionalFormatting>
  <conditionalFormatting sqref="FF10:FF84 ET10:ET84 EH10:EH84 DV10:DV84 DJ10:DJ84">
    <cfRule type="expression" dxfId="84" priority="84" stopIfTrue="1">
      <formula>ISERROR(DJ10)</formula>
    </cfRule>
  </conditionalFormatting>
  <conditionalFormatting sqref="BI10:BI84">
    <cfRule type="expression" dxfId="83" priority="83" stopIfTrue="1">
      <formula>ISERROR(BI10)</formula>
    </cfRule>
  </conditionalFormatting>
  <conditionalFormatting sqref="DG10:DG84 CS10:CS84 CG10:CG84 BU10:BU84">
    <cfRule type="expression" dxfId="82" priority="82" stopIfTrue="1">
      <formula>ISERROR(BU10)</formula>
    </cfRule>
  </conditionalFormatting>
  <conditionalFormatting sqref="FC10:FC84 EQ10:EQ84 EE10:EE84 DS10:DS84">
    <cfRule type="expression" dxfId="81" priority="81" stopIfTrue="1">
      <formula>ISERROR(DS10)</formula>
    </cfRule>
  </conditionalFormatting>
  <conditionalFormatting sqref="BN11:BO84 BZ11:CA84 CL11:CM84 CX11:CY84">
    <cfRule type="expression" dxfId="80" priority="80" stopIfTrue="1">
      <formula>ISERROR(BN11)</formula>
    </cfRule>
  </conditionalFormatting>
  <conditionalFormatting sqref="DL11:DM84 DX11:DY84 EJ11:EK84 EV11:EW84 FH11:FI84">
    <cfRule type="expression" dxfId="79" priority="79" stopIfTrue="1">
      <formula>ISERROR(DL11)</formula>
    </cfRule>
  </conditionalFormatting>
  <conditionalFormatting sqref="O11:O84">
    <cfRule type="cellIs" dxfId="78" priority="74" operator="equal">
      <formula>"Sec3."</formula>
    </cfRule>
    <cfRule type="cellIs" dxfId="77" priority="75" operator="equal">
      <formula>"Sec2."</formula>
    </cfRule>
    <cfRule type="cellIs" dxfId="76" priority="76" operator="equal">
      <formula>"Sec1."</formula>
    </cfRule>
    <cfRule type="cellIs" dxfId="75" priority="77" operator="equal">
      <formula>"Prim."</formula>
    </cfRule>
  </conditionalFormatting>
  <conditionalFormatting sqref="AA11:AA84">
    <cfRule type="cellIs" dxfId="74" priority="70" operator="equal">
      <formula>"Sec3."</formula>
    </cfRule>
    <cfRule type="cellIs" dxfId="73" priority="71" operator="equal">
      <formula>"Sec2."</formula>
    </cfRule>
    <cfRule type="cellIs" dxfId="72" priority="72" operator="equal">
      <formula>"Sec1."</formula>
    </cfRule>
    <cfRule type="cellIs" dxfId="71" priority="73" operator="equal">
      <formula>"Prim."</formula>
    </cfRule>
  </conditionalFormatting>
  <conditionalFormatting sqref="AM11:AM84">
    <cfRule type="cellIs" dxfId="70" priority="66" operator="equal">
      <formula>"Sec3."</formula>
    </cfRule>
    <cfRule type="cellIs" dxfId="69" priority="67" operator="equal">
      <formula>"Sec2."</formula>
    </cfRule>
    <cfRule type="cellIs" dxfId="68" priority="68" operator="equal">
      <formula>"Sec1."</formula>
    </cfRule>
    <cfRule type="cellIs" dxfId="67" priority="69" operator="equal">
      <formula>"Prim."</formula>
    </cfRule>
  </conditionalFormatting>
  <conditionalFormatting sqref="AY11:AY84">
    <cfRule type="cellIs" dxfId="66" priority="62" operator="equal">
      <formula>"Sec3."</formula>
    </cfRule>
    <cfRule type="cellIs" dxfId="65" priority="63" operator="equal">
      <formula>"Sec2."</formula>
    </cfRule>
    <cfRule type="cellIs" dxfId="64" priority="64" operator="equal">
      <formula>"Sec1."</formula>
    </cfRule>
    <cfRule type="cellIs" dxfId="63" priority="65" operator="equal">
      <formula>"Prim."</formula>
    </cfRule>
  </conditionalFormatting>
  <conditionalFormatting sqref="BM11:BM84">
    <cfRule type="expression" dxfId="62" priority="61" stopIfTrue="1">
      <formula>ISERROR(BM11)</formula>
    </cfRule>
  </conditionalFormatting>
  <conditionalFormatting sqref="BM11:BM84">
    <cfRule type="cellIs" dxfId="61" priority="57" operator="equal">
      <formula>"Sec3."</formula>
    </cfRule>
    <cfRule type="cellIs" dxfId="60" priority="58" operator="equal">
      <formula>"Sec2."</formula>
    </cfRule>
    <cfRule type="cellIs" dxfId="59" priority="59" operator="equal">
      <formula>"Sec1."</formula>
    </cfRule>
    <cfRule type="cellIs" dxfId="58" priority="60" operator="equal">
      <formula>"Prim."</formula>
    </cfRule>
  </conditionalFormatting>
  <conditionalFormatting sqref="BY11:BY84">
    <cfRule type="expression" dxfId="57" priority="56" stopIfTrue="1">
      <formula>ISERROR(BY11)</formula>
    </cfRule>
  </conditionalFormatting>
  <conditionalFormatting sqref="BY11:BY84">
    <cfRule type="cellIs" dxfId="56" priority="52" operator="equal">
      <formula>"Sec3."</formula>
    </cfRule>
    <cfRule type="cellIs" dxfId="55" priority="53" operator="equal">
      <formula>"Sec2."</formula>
    </cfRule>
    <cfRule type="cellIs" dxfId="54" priority="54" operator="equal">
      <formula>"Sec1."</formula>
    </cfRule>
    <cfRule type="cellIs" dxfId="53" priority="55" operator="equal">
      <formula>"Prim."</formula>
    </cfRule>
  </conditionalFormatting>
  <conditionalFormatting sqref="CK11:CK84">
    <cfRule type="expression" dxfId="52" priority="51" stopIfTrue="1">
      <formula>ISERROR(CK11)</formula>
    </cfRule>
  </conditionalFormatting>
  <conditionalFormatting sqref="CK11:CK84">
    <cfRule type="cellIs" dxfId="51" priority="47" operator="equal">
      <formula>"Sec3."</formula>
    </cfRule>
    <cfRule type="cellIs" dxfId="50" priority="48" operator="equal">
      <formula>"Sec2."</formula>
    </cfRule>
    <cfRule type="cellIs" dxfId="49" priority="49" operator="equal">
      <formula>"Sec1."</formula>
    </cfRule>
    <cfRule type="cellIs" dxfId="48" priority="50" operator="equal">
      <formula>"Prim."</formula>
    </cfRule>
  </conditionalFormatting>
  <conditionalFormatting sqref="CW11:CW84">
    <cfRule type="expression" dxfId="47" priority="46" stopIfTrue="1">
      <formula>ISERROR(CW11)</formula>
    </cfRule>
  </conditionalFormatting>
  <conditionalFormatting sqref="CW11:CW84">
    <cfRule type="cellIs" dxfId="46" priority="42" operator="equal">
      <formula>"Sec3."</formula>
    </cfRule>
    <cfRule type="cellIs" dxfId="45" priority="43" operator="equal">
      <formula>"Sec2."</formula>
    </cfRule>
    <cfRule type="cellIs" dxfId="44" priority="44" operator="equal">
      <formula>"Sec1."</formula>
    </cfRule>
    <cfRule type="cellIs" dxfId="43" priority="45" operator="equal">
      <formula>"Prim."</formula>
    </cfRule>
  </conditionalFormatting>
  <conditionalFormatting sqref="DK11:DK84">
    <cfRule type="expression" dxfId="42" priority="41" stopIfTrue="1">
      <formula>ISERROR(DK11)</formula>
    </cfRule>
  </conditionalFormatting>
  <conditionalFormatting sqref="DK11:DK84">
    <cfRule type="cellIs" dxfId="41" priority="37" operator="equal">
      <formula>"Sec3."</formula>
    </cfRule>
    <cfRule type="cellIs" dxfId="40" priority="38" operator="equal">
      <formula>"Sec2."</formula>
    </cfRule>
    <cfRule type="cellIs" dxfId="39" priority="39" operator="equal">
      <formula>"Sec1."</formula>
    </cfRule>
    <cfRule type="cellIs" dxfId="38" priority="40" operator="equal">
      <formula>"Prim."</formula>
    </cfRule>
  </conditionalFormatting>
  <conditionalFormatting sqref="DW11:DW84">
    <cfRule type="expression" dxfId="37" priority="36" stopIfTrue="1">
      <formula>ISERROR(DW11)</formula>
    </cfRule>
  </conditionalFormatting>
  <conditionalFormatting sqref="DW11:DW84">
    <cfRule type="cellIs" dxfId="36" priority="32" operator="equal">
      <formula>"Sec3."</formula>
    </cfRule>
    <cfRule type="cellIs" dxfId="35" priority="33" operator="equal">
      <formula>"Sec2."</formula>
    </cfRule>
    <cfRule type="cellIs" dxfId="34" priority="34" operator="equal">
      <formula>"Sec1."</formula>
    </cfRule>
    <cfRule type="cellIs" dxfId="33" priority="35" operator="equal">
      <formula>"Prim."</formula>
    </cfRule>
  </conditionalFormatting>
  <conditionalFormatting sqref="EI11:EI84">
    <cfRule type="expression" dxfId="32" priority="31" stopIfTrue="1">
      <formula>ISERROR(EI11)</formula>
    </cfRule>
  </conditionalFormatting>
  <conditionalFormatting sqref="EI11:EI84">
    <cfRule type="cellIs" dxfId="31" priority="27" operator="equal">
      <formula>"Sec3."</formula>
    </cfRule>
    <cfRule type="cellIs" dxfId="30" priority="28" operator="equal">
      <formula>"Sec2."</formula>
    </cfRule>
    <cfRule type="cellIs" dxfId="29" priority="29" operator="equal">
      <formula>"Sec1."</formula>
    </cfRule>
    <cfRule type="cellIs" dxfId="28" priority="30" operator="equal">
      <formula>"Prim."</formula>
    </cfRule>
  </conditionalFormatting>
  <conditionalFormatting sqref="EU11:EU84">
    <cfRule type="expression" dxfId="27" priority="26" stopIfTrue="1">
      <formula>ISERROR(EU11)</formula>
    </cfRule>
  </conditionalFormatting>
  <conditionalFormatting sqref="EU11:EU84">
    <cfRule type="cellIs" dxfId="26" priority="22" operator="equal">
      <formula>"Sec3."</formula>
    </cfRule>
    <cfRule type="cellIs" dxfId="25" priority="23" operator="equal">
      <formula>"Sec2."</formula>
    </cfRule>
    <cfRule type="cellIs" dxfId="24" priority="24" operator="equal">
      <formula>"Sec1."</formula>
    </cfRule>
    <cfRule type="cellIs" dxfId="23" priority="25" operator="equal">
      <formula>"Prim."</formula>
    </cfRule>
  </conditionalFormatting>
  <conditionalFormatting sqref="FG11:FG84">
    <cfRule type="expression" dxfId="22" priority="21" stopIfTrue="1">
      <formula>ISERROR(FG11)</formula>
    </cfRule>
  </conditionalFormatting>
  <conditionalFormatting sqref="FG11:FG84">
    <cfRule type="cellIs" dxfId="21" priority="17" operator="equal">
      <formula>"Sec3."</formula>
    </cfRule>
    <cfRule type="cellIs" dxfId="20" priority="18" operator="equal">
      <formula>"Sec2."</formula>
    </cfRule>
    <cfRule type="cellIs" dxfId="19" priority="19" operator="equal">
      <formula>"Sec1."</formula>
    </cfRule>
    <cfRule type="cellIs" dxfId="18" priority="20" operator="equal">
      <formula>"Prim."</formula>
    </cfRule>
  </conditionalFormatting>
  <conditionalFormatting sqref="FT11:FT84">
    <cfRule type="expression" dxfId="17" priority="16" stopIfTrue="1">
      <formula>ISERROR(FT11)</formula>
    </cfRule>
  </conditionalFormatting>
  <conditionalFormatting sqref="FT11:FT84">
    <cfRule type="cellIs" dxfId="16" priority="12" operator="equal">
      <formula>"Sec3."</formula>
    </cfRule>
    <cfRule type="cellIs" dxfId="15" priority="13" operator="equal">
      <formula>"Sec2."</formula>
    </cfRule>
    <cfRule type="cellIs" dxfId="14" priority="14" operator="equal">
      <formula>"Sec1."</formula>
    </cfRule>
    <cfRule type="cellIs" dxfId="13" priority="15" operator="equal">
      <formula>"Prim."</formula>
    </cfRule>
  </conditionalFormatting>
  <conditionalFormatting sqref="GE11:GE84">
    <cfRule type="expression" dxfId="12" priority="11" stopIfTrue="1">
      <formula>ISERROR(GE11)</formula>
    </cfRule>
  </conditionalFormatting>
  <conditionalFormatting sqref="GE11:GE84">
    <cfRule type="cellIs" dxfId="11" priority="7" operator="equal">
      <formula>"Sec3."</formula>
    </cfRule>
    <cfRule type="cellIs" dxfId="10" priority="8" operator="equal">
      <formula>"Sec2."</formula>
    </cfRule>
    <cfRule type="cellIs" dxfId="9" priority="9" operator="equal">
      <formula>"Sec1."</formula>
    </cfRule>
    <cfRule type="cellIs" dxfId="8" priority="10" operator="equal">
      <formula>"Prim."</formula>
    </cfRule>
  </conditionalFormatting>
  <conditionalFormatting sqref="GI10:GI84">
    <cfRule type="expression" dxfId="7" priority="6" stopIfTrue="1">
      <formula>ISERROR(GI10)</formula>
    </cfRule>
  </conditionalFormatting>
  <conditionalFormatting sqref="FV10:FV84">
    <cfRule type="expression" dxfId="6" priority="4" stopIfTrue="1">
      <formula>ISERROR(FV10)</formula>
    </cfRule>
  </conditionalFormatting>
  <conditionalFormatting sqref="GG11:GG84">
    <cfRule type="expression" dxfId="5" priority="3" stopIfTrue="1">
      <formula>ISERROR(GG11)</formula>
    </cfRule>
  </conditionalFormatting>
  <conditionalFormatting sqref="E10:E84">
    <cfRule type="expression" dxfId="4" priority="1" stopIfTrue="1">
      <formula>ISERROR(E10)</formula>
    </cfRule>
  </conditionalFormatting>
  <hyperlinks>
    <hyperlink ref="A1" location="'Table of Contents'!A1" tooltip="Click here to return to the Table of Contents tab" display="Return to Table of Contents" xr:uid="{00000000-0004-0000-2600-000000000000}"/>
  </hyperlinks>
  <pageMargins left="0.75" right="0.75" top="1" bottom="1" header="0.5" footer="0.5"/>
  <pageSetup orientation="portrait" r:id="rId1"/>
  <headerFooter alignWithMargins="0"/>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8">
    <tabColor indexed="47"/>
    <pageSetUpPr fitToPage="1"/>
  </sheetPr>
  <dimension ref="A1:BG96"/>
  <sheetViews>
    <sheetView zoomScale="85" workbookViewId="0">
      <selection activeCell="G35" sqref="G35:J35"/>
    </sheetView>
  </sheetViews>
  <sheetFormatPr defaultColWidth="9.28515625" defaultRowHeight="15"/>
  <cols>
    <col min="1" max="1" width="4.7109375" style="18" customWidth="1"/>
    <col min="2" max="2" width="12.28515625" style="1" customWidth="1"/>
    <col min="3" max="10" width="11.28515625" style="1" customWidth="1"/>
    <col min="11" max="11" width="13.42578125" style="1" customWidth="1"/>
    <col min="12" max="12" width="9.28515625" style="1" bestFit="1" customWidth="1"/>
    <col min="13" max="14" width="10.42578125" style="1" customWidth="1"/>
    <col min="15" max="15" width="10.42578125" style="1" bestFit="1" customWidth="1"/>
    <col min="16" max="16" width="9.7109375" style="1" bestFit="1" customWidth="1"/>
    <col min="17" max="17" width="9.28515625" style="1" bestFit="1" customWidth="1"/>
    <col min="18" max="18" width="10.7109375" style="1" bestFit="1" customWidth="1"/>
    <col min="19" max="20" width="9.5703125" style="1" bestFit="1" customWidth="1"/>
    <col min="21" max="21" width="9.5703125" style="1" customWidth="1"/>
    <col min="22" max="23" width="9.5703125" style="1" bestFit="1" customWidth="1"/>
    <col min="24" max="24" width="11.7109375" style="1" bestFit="1" customWidth="1"/>
    <col min="25" max="25" width="23.7109375" style="133" bestFit="1" customWidth="1"/>
    <col min="26" max="16384" width="9.28515625" style="1"/>
  </cols>
  <sheetData>
    <row r="1" spans="1:59" ht="15.75" thickBot="1">
      <c r="A1" s="1"/>
      <c r="B1" s="701" t="s">
        <v>27</v>
      </c>
      <c r="C1" s="809"/>
      <c r="D1" s="702"/>
      <c r="E1" s="2"/>
      <c r="F1" s="2"/>
      <c r="J1" s="1" t="s">
        <v>831</v>
      </c>
      <c r="K1" s="142">
        <v>0.49428240740740742</v>
      </c>
    </row>
    <row r="2" spans="1:59">
      <c r="A2" s="1"/>
      <c r="B2" s="2"/>
      <c r="C2" s="2"/>
      <c r="D2" s="2"/>
      <c r="E2" s="2"/>
      <c r="J2" s="1" t="s">
        <v>832</v>
      </c>
      <c r="K2" s="142">
        <v>0.49509259259259258</v>
      </c>
      <c r="T2" s="133"/>
      <c r="Y2" s="1"/>
    </row>
    <row r="3" spans="1:59">
      <c r="A3" s="1"/>
      <c r="B3" s="2"/>
      <c r="C3" s="2"/>
      <c r="D3" s="2"/>
      <c r="E3" s="2"/>
      <c r="J3" s="1" t="s">
        <v>833</v>
      </c>
      <c r="K3" s="240">
        <f>end_time-start_time</f>
        <v>8.101851851851638E-4</v>
      </c>
      <c r="T3" s="133"/>
      <c r="Y3" s="1"/>
    </row>
    <row r="4" spans="1:59">
      <c r="A4" s="1"/>
      <c r="B4" s="2"/>
      <c r="C4" s="2"/>
      <c r="D4" s="2"/>
      <c r="E4" s="2"/>
      <c r="J4" s="141"/>
      <c r="T4" s="133"/>
      <c r="Y4" s="1"/>
    </row>
    <row r="5" spans="1:59" ht="22.5" customHeight="1">
      <c r="A5" s="16"/>
      <c r="B5" s="71" t="s">
        <v>834</v>
      </c>
      <c r="C5" s="12"/>
      <c r="D5" s="12"/>
      <c r="E5" s="12"/>
      <c r="F5" s="59"/>
      <c r="G5" s="76"/>
      <c r="H5" s="76"/>
      <c r="I5" s="76"/>
      <c r="J5" s="77"/>
      <c r="L5" s="71" t="s">
        <v>835</v>
      </c>
      <c r="M5" s="12"/>
      <c r="N5" s="12"/>
      <c r="O5" s="12"/>
      <c r="P5" s="221"/>
      <c r="Q5" s="221"/>
      <c r="R5" s="221"/>
      <c r="S5" s="76"/>
      <c r="T5" s="76"/>
      <c r="U5" s="76"/>
      <c r="V5" s="76"/>
      <c r="W5" s="76"/>
      <c r="X5" s="76"/>
      <c r="Y5" s="77"/>
    </row>
    <row r="6" spans="1:59" ht="22.5" customHeight="1">
      <c r="A6" s="16"/>
      <c r="B6" s="61"/>
      <c r="C6" s="57"/>
      <c r="D6" s="329" t="str">
        <f>"All prices in constant "&amp;TEXT(dollars_year,"####")&amp;" dollars."</f>
        <v>All prices in constant 2019 dollars.</v>
      </c>
      <c r="E6" s="57"/>
      <c r="F6" s="62"/>
      <c r="G6" s="78"/>
      <c r="H6" s="78"/>
      <c r="I6" s="78"/>
      <c r="J6" s="79"/>
      <c r="L6" s="61"/>
      <c r="M6" s="57"/>
      <c r="N6" s="57"/>
      <c r="O6" s="57"/>
      <c r="P6" s="78"/>
      <c r="Q6" s="78"/>
      <c r="R6" s="78"/>
      <c r="S6" s="78"/>
      <c r="T6" s="78"/>
      <c r="U6" s="78"/>
      <c r="V6" s="78"/>
      <c r="W6" s="78"/>
      <c r="X6" s="78"/>
      <c r="Y6" s="79"/>
    </row>
    <row r="7" spans="1:59" ht="27" customHeight="1">
      <c r="A7" s="16"/>
      <c r="B7" s="72"/>
      <c r="C7" s="73" t="s">
        <v>836</v>
      </c>
      <c r="D7" s="74"/>
      <c r="E7" s="74"/>
      <c r="F7" s="74"/>
      <c r="G7" s="73" t="s">
        <v>837</v>
      </c>
      <c r="H7" s="74"/>
      <c r="I7" s="74"/>
      <c r="J7" s="75"/>
      <c r="L7" s="72"/>
      <c r="M7" s="109" t="s">
        <v>797</v>
      </c>
      <c r="N7" s="74"/>
      <c r="O7" s="74"/>
      <c r="P7" s="73" t="s">
        <v>12</v>
      </c>
      <c r="Q7" s="74"/>
      <c r="R7" s="74"/>
      <c r="S7" s="73" t="s">
        <v>14</v>
      </c>
      <c r="T7" s="74"/>
      <c r="U7" s="74"/>
      <c r="V7" s="73" t="s">
        <v>15</v>
      </c>
      <c r="W7" s="74"/>
      <c r="X7" s="74"/>
      <c r="Y7" s="136"/>
    </row>
    <row r="8" spans="1:59" ht="27" customHeight="1">
      <c r="A8" s="16"/>
      <c r="B8" s="72"/>
      <c r="C8" s="109" t="s">
        <v>797</v>
      </c>
      <c r="D8" s="110" t="s">
        <v>256</v>
      </c>
      <c r="E8" s="110" t="s">
        <v>15</v>
      </c>
      <c r="F8" s="110" t="s">
        <v>14</v>
      </c>
      <c r="G8" s="109" t="s">
        <v>797</v>
      </c>
      <c r="H8" s="110" t="s">
        <v>256</v>
      </c>
      <c r="I8" s="110" t="s">
        <v>15</v>
      </c>
      <c r="J8" s="110" t="s">
        <v>14</v>
      </c>
      <c r="L8" s="72"/>
      <c r="M8" s="110" t="s">
        <v>8</v>
      </c>
      <c r="N8" s="110" t="s">
        <v>9</v>
      </c>
      <c r="O8" s="110" t="s">
        <v>838</v>
      </c>
      <c r="P8" s="110" t="s">
        <v>8</v>
      </c>
      <c r="Q8" s="110" t="s">
        <v>9</v>
      </c>
      <c r="R8" s="110" t="s">
        <v>838</v>
      </c>
      <c r="S8" s="110" t="s">
        <v>8</v>
      </c>
      <c r="T8" s="110" t="s">
        <v>9</v>
      </c>
      <c r="U8" s="110" t="s">
        <v>838</v>
      </c>
      <c r="V8" s="110" t="s">
        <v>8</v>
      </c>
      <c r="W8" s="110" t="s">
        <v>9</v>
      </c>
      <c r="X8" s="110" t="s">
        <v>838</v>
      </c>
      <c r="Y8" s="137" t="s">
        <v>839</v>
      </c>
    </row>
    <row r="9" spans="1:59" ht="32.25" customHeight="1" thickBot="1">
      <c r="A9" s="16"/>
      <c r="B9" s="66" t="s">
        <v>268</v>
      </c>
      <c r="C9" s="328" t="s">
        <v>840</v>
      </c>
      <c r="D9" s="328" t="s">
        <v>841</v>
      </c>
      <c r="E9" s="328" t="s">
        <v>842</v>
      </c>
      <c r="F9" s="328" t="s">
        <v>843</v>
      </c>
      <c r="G9" s="328" t="s">
        <v>840</v>
      </c>
      <c r="H9" s="328" t="s">
        <v>841</v>
      </c>
      <c r="I9" s="328" t="s">
        <v>842</v>
      </c>
      <c r="J9" s="328" t="s">
        <v>843</v>
      </c>
      <c r="L9" s="66" t="s">
        <v>268</v>
      </c>
      <c r="M9" s="96" t="s">
        <v>314</v>
      </c>
      <c r="N9" s="96" t="s">
        <v>314</v>
      </c>
      <c r="O9" s="96"/>
      <c r="P9" s="96" t="s">
        <v>355</v>
      </c>
      <c r="Q9" s="96" t="s">
        <v>355</v>
      </c>
      <c r="R9" s="96"/>
      <c r="S9" s="96" t="s">
        <v>439</v>
      </c>
      <c r="T9" s="96" t="s">
        <v>439</v>
      </c>
      <c r="U9" s="96"/>
      <c r="V9" s="96" t="s">
        <v>395</v>
      </c>
      <c r="W9" s="96" t="s">
        <v>395</v>
      </c>
      <c r="X9" s="97"/>
      <c r="Y9" s="138"/>
    </row>
    <row r="10" spans="1:59" ht="15" customHeight="1" thickTop="1">
      <c r="A10" s="16"/>
      <c r="B10" s="22">
        <f>'Oil supply projection'!$B10</f>
        <v>2019</v>
      </c>
      <c r="C10" s="685">
        <v>64.425094999999999</v>
      </c>
      <c r="D10" s="685">
        <v>2.8582260000000002</v>
      </c>
      <c r="E10" s="685">
        <v>42.771107000000001</v>
      </c>
      <c r="F10" s="685">
        <v>11.914929000000001</v>
      </c>
      <c r="G10" s="685">
        <v>64.425094999999999</v>
      </c>
      <c r="H10" s="685">
        <v>2.8582260000000002</v>
      </c>
      <c r="I10" s="685">
        <v>42.771107000000001</v>
      </c>
      <c r="J10" s="685">
        <v>11.914929000000001</v>
      </c>
      <c r="L10" s="22">
        <f>'Oil supply projection'!$B10</f>
        <v>2019</v>
      </c>
      <c r="M10" s="30"/>
      <c r="N10" s="30"/>
      <c r="O10" s="30"/>
      <c r="P10" s="30"/>
      <c r="Q10" s="30"/>
      <c r="R10" s="30"/>
      <c r="S10" s="30"/>
      <c r="T10" s="30"/>
      <c r="U10" s="30"/>
      <c r="V10" s="30"/>
      <c r="W10" s="30"/>
      <c r="X10" s="30"/>
      <c r="Y10" s="139"/>
      <c r="AB10" s="646">
        <v>10.306001131355563</v>
      </c>
      <c r="AC10" s="646">
        <v>10.219181960921768</v>
      </c>
      <c r="AD10" s="646">
        <v>10.29668718410649</v>
      </c>
      <c r="AE10" s="646">
        <v>10.567833937616642</v>
      </c>
      <c r="AF10" s="646">
        <v>10.307133371042509</v>
      </c>
      <c r="AG10" s="646">
        <v>9.9230108939028057</v>
      </c>
      <c r="AH10" s="646">
        <v>9.5401677005652346</v>
      </c>
      <c r="AI10" s="646">
        <v>9.3289699678517675</v>
      </c>
      <c r="AJ10" s="646">
        <v>9.1714909102779352</v>
      </c>
      <c r="AK10" s="646">
        <v>9.0970969675775102</v>
      </c>
      <c r="AL10" s="646">
        <v>9.0257727870229765</v>
      </c>
      <c r="AM10" s="646">
        <v>9.0434613291146846</v>
      </c>
      <c r="AN10" s="646">
        <v>9.0651745551356218</v>
      </c>
      <c r="AO10" s="646">
        <v>9.079973247881199</v>
      </c>
      <c r="AP10" s="646">
        <v>9.2333765885681789</v>
      </c>
      <c r="AQ10" s="646">
        <v>9.3076096477072809</v>
      </c>
      <c r="AR10" s="646">
        <v>9.3245240457807927</v>
      </c>
      <c r="AS10" s="646">
        <v>9.3933969144386076</v>
      </c>
      <c r="AT10" s="646">
        <v>9.4599750299341103</v>
      </c>
      <c r="AU10" s="646">
        <v>9.5715884330847185</v>
      </c>
      <c r="AV10" s="646">
        <v>9.6647841283253602</v>
      </c>
      <c r="AW10" s="646">
        <v>9.743191510405028</v>
      </c>
      <c r="AX10" s="646">
        <v>9.7937651714104135</v>
      </c>
      <c r="AY10" s="646">
        <v>9.7896730201812758</v>
      </c>
      <c r="AZ10" s="646">
        <v>9.7505030627913971</v>
      </c>
      <c r="BA10" s="646">
        <v>9.7598343093481379</v>
      </c>
      <c r="BB10" s="646">
        <v>9.7739124859292943</v>
      </c>
      <c r="BC10" s="646">
        <v>9.7739695736446031</v>
      </c>
      <c r="BD10" s="646">
        <v>9.7564834334526243</v>
      </c>
      <c r="BE10" s="646">
        <v>9.7225897649018336</v>
      </c>
      <c r="BF10" s="646">
        <v>9.681587810829793</v>
      </c>
      <c r="BG10" s="646">
        <v>9.5900381447138674</v>
      </c>
    </row>
    <row r="11" spans="1:59" ht="15" customHeight="1">
      <c r="A11" s="17"/>
      <c r="B11" s="22">
        <f>'Oil supply projection'!$B11</f>
        <v>2020</v>
      </c>
      <c r="C11" s="685">
        <v>43.713425000000001</v>
      </c>
      <c r="D11" s="686">
        <v>2.231106</v>
      </c>
      <c r="E11" s="685">
        <v>35.842013999999999</v>
      </c>
      <c r="F11" s="685">
        <v>11.814556</v>
      </c>
      <c r="G11" s="685">
        <v>43.713425000000001</v>
      </c>
      <c r="H11" s="686">
        <v>2.231106</v>
      </c>
      <c r="I11" s="685">
        <v>35.842013999999999</v>
      </c>
      <c r="J11" s="685">
        <v>11.814556</v>
      </c>
      <c r="L11" s="22">
        <f>'Oil supply projection'!$B11</f>
        <v>2020</v>
      </c>
      <c r="M11" s="157">
        <f t="array" ref="M11:M84" ca="1">sim_sup_oil_tot+OFFSET(sim_sup_oil_ocs,1,0)</f>
        <v>100.01460900000001</v>
      </c>
      <c r="N11" s="157">
        <f t="array" ref="N11:N84" ca="1">sim_dem_oil_tot</f>
        <v>100.01460900000001</v>
      </c>
      <c r="O11" s="135">
        <f ca="1">(M11-N11)/AVERAGE(M11:N11)</f>
        <v>0</v>
      </c>
      <c r="P11" s="157">
        <f t="array" aca="1" ref="P11:P84" ca="1">sim_sup_gas_tot+OFFSET(sim_sup_gas_ocs,1,0)</f>
        <v>36.084779999999995</v>
      </c>
      <c r="Q11" s="157">
        <f t="array" aca="1" ref="Q11:Q84" ca="1">sim_dem_gas_tot</f>
        <v>36.084783000000002</v>
      </c>
      <c r="R11" s="135">
        <f ca="1">(P11-Q11)/AVERAGE(P11:Q11)</f>
        <v>-8.3137541144223998E-8</v>
      </c>
      <c r="S11" s="157">
        <f t="array" aca="1" ref="S11:S84" ca="1">sim_sup_ele_tot</f>
        <v>3739.6937250000001</v>
      </c>
      <c r="T11" s="157">
        <f t="array" ref="T11:T84" ca="1">sim_dem_ele_tot</f>
        <v>3739.6937249999996</v>
      </c>
      <c r="U11" s="135">
        <f ca="1">(S11-T11)/AVERAGE(S11:T11)</f>
        <v>1.2160015881687318E-16</v>
      </c>
      <c r="V11" s="157">
        <f t="array" aca="1" ref="V11:V84" ca="1">sim_sup_coa_tot</f>
        <v>548.85999799999991</v>
      </c>
      <c r="W11" s="157">
        <f t="array" aca="1" ref="W11:W84" ca="1">sim_dem_coa_tot</f>
        <v>548.86001999999996</v>
      </c>
      <c r="X11" s="135">
        <f ca="1">(V11-W11)/AVERAGE(V11:W11)</f>
        <v>-4.0083080744442025E-8</v>
      </c>
      <c r="Y11" s="140">
        <f ca="1">10000*X11^2+10000*R11^2+10000*O11^2+10000*U11^2</f>
        <v>8.518504109472997E-11</v>
      </c>
      <c r="AB11" s="646">
        <v>37.810599417371812</v>
      </c>
    </row>
    <row r="12" spans="1:59" ht="15" customHeight="1">
      <c r="B12" s="22">
        <f>'Oil supply projection'!$B12</f>
        <v>2021</v>
      </c>
      <c r="C12" s="687">
        <v>73.062674999999999</v>
      </c>
      <c r="D12" s="685">
        <v>4.2343460000000004</v>
      </c>
      <c r="E12" s="685">
        <v>40.649878999999999</v>
      </c>
      <c r="F12" s="685">
        <v>11.904161</v>
      </c>
      <c r="G12" s="687">
        <v>73.062674999999999</v>
      </c>
      <c r="H12" s="685">
        <v>4.2343460000000004</v>
      </c>
      <c r="I12" s="685">
        <v>40.649878999999999</v>
      </c>
      <c r="J12" s="685">
        <v>11.904161</v>
      </c>
      <c r="L12" s="22">
        <f>'Oil supply projection'!$B12</f>
        <v>2021</v>
      </c>
      <c r="M12" s="157">
        <f ca="1"/>
        <v>103.07451400000001</v>
      </c>
      <c r="N12" s="157">
        <f ca="1"/>
        <v>103.07451400000002</v>
      </c>
      <c r="O12" s="135">
        <f t="shared" ref="O12:O75" ca="1" si="0">(M12-N12)/AVERAGE(M12:N12)</f>
        <v>-1.3786972321016233E-16</v>
      </c>
      <c r="P12" s="157">
        <f ca="1"/>
        <v>37.599744999999999</v>
      </c>
      <c r="Q12" s="157">
        <f ca="1"/>
        <v>37.599745999999996</v>
      </c>
      <c r="R12" s="135">
        <f t="shared" ref="R12:R75" ca="1" si="1">(P12-Q12)/AVERAGE(P12:Q12)</f>
        <v>-2.6595924631331422E-8</v>
      </c>
      <c r="S12" s="157">
        <f ca="1"/>
        <v>3834.9167380000004</v>
      </c>
      <c r="T12" s="157">
        <f ca="1"/>
        <v>3834.9167379999999</v>
      </c>
      <c r="U12" s="135">
        <f t="shared" ref="U12:U84" ca="1" si="2">(S12-T12)/AVERAGE(S12:T12)</f>
        <v>1.1858076249228443E-16</v>
      </c>
      <c r="V12" s="157">
        <f ca="1"/>
        <v>590.73999000000003</v>
      </c>
      <c r="W12" s="157">
        <f ca="1"/>
        <v>590.73996299999999</v>
      </c>
      <c r="X12" s="135">
        <f t="shared" ref="X12:X75" ca="1" si="3">(V12-W12)/AVERAGE(V12:W12)</f>
        <v>4.5705388359676026E-8</v>
      </c>
      <c r="Y12" s="140">
        <f t="shared" ref="Y12:Y84" ca="1" si="4">10000*X12^2+10000*R12^2+10000*O12^2+10000*U12^2</f>
        <v>2.7963257321042705E-11</v>
      </c>
      <c r="AB12" s="646">
        <v>63.196684697815975</v>
      </c>
    </row>
    <row r="13" spans="1:59" ht="15" customHeight="1">
      <c r="B13" s="22">
        <f>'Oil supply projection'!$B13</f>
        <v>2022</v>
      </c>
      <c r="C13" s="687">
        <v>95.875998999999993</v>
      </c>
      <c r="D13" s="685">
        <v>6.523892</v>
      </c>
      <c r="E13" s="685">
        <v>37.847518999999998</v>
      </c>
      <c r="F13" s="685">
        <v>12.217638000000001</v>
      </c>
      <c r="G13" s="687">
        <v>95.875998999999993</v>
      </c>
      <c r="H13" s="685">
        <v>6.523892</v>
      </c>
      <c r="I13" s="685">
        <v>37.847518999999998</v>
      </c>
      <c r="J13" s="685">
        <v>12.217638000000001</v>
      </c>
      <c r="L13" s="22">
        <f>'Oil supply projection'!$B13</f>
        <v>2022</v>
      </c>
      <c r="M13" s="157">
        <f ca="1"/>
        <v>100.07172599999997</v>
      </c>
      <c r="N13" s="157">
        <f ca="1"/>
        <v>100.07172599999998</v>
      </c>
      <c r="O13" s="135">
        <f t="shared" ca="1" si="0"/>
        <v>-1.4200669143252318E-16</v>
      </c>
      <c r="P13" s="157">
        <f ca="1"/>
        <v>39.440511000000001</v>
      </c>
      <c r="Q13" s="157">
        <f ca="1"/>
        <v>39.440519999999992</v>
      </c>
      <c r="R13" s="135">
        <f t="shared" ca="1" si="1"/>
        <v>-2.2819174337333496E-7</v>
      </c>
      <c r="S13" s="157">
        <f ca="1"/>
        <v>3966.6800629999993</v>
      </c>
      <c r="T13" s="157">
        <f ca="1"/>
        <v>3966.6800629999993</v>
      </c>
      <c r="U13" s="135">
        <f t="shared" ca="1" si="2"/>
        <v>0</v>
      </c>
      <c r="V13" s="157">
        <f ca="1"/>
        <v>598.04401999999993</v>
      </c>
      <c r="W13" s="157">
        <f ca="1"/>
        <v>598.04400899999996</v>
      </c>
      <c r="X13" s="135">
        <f t="shared" ca="1" si="3"/>
        <v>1.8393294984189947E-8</v>
      </c>
      <c r="Y13" s="140">
        <f t="shared" ca="1" si="4"/>
        <v>5.2409785044137387E-10</v>
      </c>
      <c r="AB13" s="646">
        <v>82.929420239419358</v>
      </c>
    </row>
    <row r="14" spans="1:59" ht="15" customHeight="1">
      <c r="B14" s="22">
        <f>'Oil supply projection'!$B14</f>
        <v>2023</v>
      </c>
      <c r="C14" s="685">
        <v>85.781311000000002</v>
      </c>
      <c r="D14" s="685">
        <v>5.2641260000000001</v>
      </c>
      <c r="E14" s="685">
        <v>37.282364000000001</v>
      </c>
      <c r="F14" s="685">
        <v>11.916238</v>
      </c>
      <c r="G14" s="685">
        <v>85.781311000000002</v>
      </c>
      <c r="H14" s="685">
        <v>5.2641260000000001</v>
      </c>
      <c r="I14" s="685">
        <v>37.282364000000001</v>
      </c>
      <c r="J14" s="685">
        <v>11.916238</v>
      </c>
      <c r="L14" s="22">
        <f>'Oil supply projection'!$B14</f>
        <v>2023</v>
      </c>
      <c r="M14" s="157">
        <f ca="1"/>
        <v>101.067927</v>
      </c>
      <c r="N14" s="157">
        <f ca="1"/>
        <v>101.06792700000001</v>
      </c>
      <c r="O14" s="135">
        <f t="shared" ca="1" si="0"/>
        <v>-1.4060696738345096E-16</v>
      </c>
      <c r="P14" s="157">
        <f ca="1"/>
        <v>39.294440000000002</v>
      </c>
      <c r="Q14" s="157">
        <f ca="1"/>
        <v>39.294443000000001</v>
      </c>
      <c r="R14" s="135">
        <f t="shared" ca="1" si="1"/>
        <v>-7.6346676145814543E-8</v>
      </c>
      <c r="S14" s="157">
        <f ca="1"/>
        <v>3914.1334709999992</v>
      </c>
      <c r="T14" s="157">
        <f ca="1"/>
        <v>3914.1334709999992</v>
      </c>
      <c r="U14" s="135">
        <f t="shared" ca="1" si="2"/>
        <v>0</v>
      </c>
      <c r="V14" s="157">
        <f ca="1"/>
        <v>577.86575399999992</v>
      </c>
      <c r="W14" s="157">
        <f ca="1"/>
        <v>577.86575100000005</v>
      </c>
      <c r="X14" s="135">
        <f t="shared" ca="1" si="3"/>
        <v>5.1915170015874756E-9</v>
      </c>
      <c r="Y14" s="140">
        <f t="shared" ca="1" si="4"/>
        <v>5.8557668072916579E-11</v>
      </c>
      <c r="AB14" s="646">
        <v>74.197864562614129</v>
      </c>
    </row>
    <row r="15" spans="1:59" ht="15" customHeight="1">
      <c r="B15" s="22">
        <f>'Oil supply projection'!$B15</f>
        <v>2024</v>
      </c>
      <c r="C15" s="685">
        <v>92.619193999999993</v>
      </c>
      <c r="D15" s="685">
        <v>4.0742710000000004</v>
      </c>
      <c r="E15" s="685">
        <v>40.079124</v>
      </c>
      <c r="F15" s="685">
        <v>11.472148000000001</v>
      </c>
      <c r="G15" s="685">
        <v>92.619193999999993</v>
      </c>
      <c r="H15" s="685">
        <v>4.0742710000000004</v>
      </c>
      <c r="I15" s="685">
        <v>40.079124</v>
      </c>
      <c r="J15" s="685">
        <v>11.472148000000001</v>
      </c>
      <c r="L15" s="22">
        <f>'Oil supply projection'!$B15</f>
        <v>2024</v>
      </c>
      <c r="M15" s="157">
        <f ca="1"/>
        <v>102.495231</v>
      </c>
      <c r="N15" s="157">
        <f ca="1"/>
        <v>102.495231</v>
      </c>
      <c r="O15" s="135">
        <f t="shared" ca="1" si="0"/>
        <v>0</v>
      </c>
      <c r="P15" s="157">
        <f ca="1"/>
        <v>38.034349999999996</v>
      </c>
      <c r="Q15" s="157">
        <f ca="1"/>
        <v>38.034348000000001</v>
      </c>
      <c r="R15" s="135">
        <f t="shared" ca="1" si="1"/>
        <v>5.2584046987381996E-8</v>
      </c>
      <c r="S15" s="157">
        <f ca="1"/>
        <v>3948.3727640000006</v>
      </c>
      <c r="T15" s="157">
        <f ca="1"/>
        <v>3948.3727639999997</v>
      </c>
      <c r="U15" s="135">
        <f t="shared" ca="1" si="2"/>
        <v>2.3034671651709532E-16</v>
      </c>
      <c r="V15" s="157">
        <f ca="1"/>
        <v>589.23920399999997</v>
      </c>
      <c r="W15" s="157">
        <f ca="1"/>
        <v>589.23921399999995</v>
      </c>
      <c r="X15" s="135">
        <f t="shared" ca="1" si="3"/>
        <v>-1.6971036248119781E-8</v>
      </c>
      <c r="Y15" s="140">
        <f t="shared" ca="1" si="4"/>
        <v>3.053098068906193E-11</v>
      </c>
      <c r="AB15" s="646">
        <v>80.112396653747595</v>
      </c>
    </row>
    <row r="16" spans="1:59" ht="15" customHeight="1">
      <c r="B16" s="22">
        <f>'Oil supply projection'!$B16</f>
        <v>2025</v>
      </c>
      <c r="C16" s="685">
        <v>85.347260000000006</v>
      </c>
      <c r="D16" s="685">
        <v>3.4948079999999999</v>
      </c>
      <c r="E16" s="685">
        <v>40.834029999999998</v>
      </c>
      <c r="F16" s="685">
        <v>11.029536999999999</v>
      </c>
      <c r="G16" s="685">
        <v>85.347260000000006</v>
      </c>
      <c r="H16" s="685">
        <v>3.4948079999999999</v>
      </c>
      <c r="I16" s="685">
        <v>40.834029999999998</v>
      </c>
      <c r="J16" s="685">
        <v>11.029536999999999</v>
      </c>
      <c r="L16" s="22">
        <f>'Oil supply projection'!$B16</f>
        <v>2025</v>
      </c>
      <c r="M16" s="157">
        <f ca="1"/>
        <v>103.4879061642813</v>
      </c>
      <c r="N16" s="157">
        <f ca="1"/>
        <v>103.4879061642813</v>
      </c>
      <c r="O16" s="135">
        <f t="shared" ca="1" si="0"/>
        <v>0</v>
      </c>
      <c r="P16" s="157">
        <f ca="1"/>
        <v>38.053792999999992</v>
      </c>
      <c r="Q16" s="157">
        <f ca="1"/>
        <v>38.053792000000001</v>
      </c>
      <c r="R16" s="135">
        <f t="shared" ca="1" si="1"/>
        <v>2.6278589456486246E-8</v>
      </c>
      <c r="S16" s="157">
        <f ca="1"/>
        <v>3966.9386900000004</v>
      </c>
      <c r="T16" s="157">
        <f ca="1"/>
        <v>3966.9386900000004</v>
      </c>
      <c r="U16" s="135">
        <f t="shared" ca="1" si="2"/>
        <v>0</v>
      </c>
      <c r="V16" s="157">
        <f ca="1"/>
        <v>550.98599200000001</v>
      </c>
      <c r="W16" s="157">
        <f ca="1"/>
        <v>550.98600199999998</v>
      </c>
      <c r="X16" s="135">
        <f t="shared" ca="1" si="3"/>
        <v>-1.8149281522943E-8</v>
      </c>
      <c r="Y16" s="140">
        <f t="shared" ca="1" si="4"/>
        <v>1.0199606836215903E-11</v>
      </c>
      <c r="AB16" s="646">
        <v>73.822425472958955</v>
      </c>
    </row>
    <row r="17" spans="1:28" ht="15" customHeight="1">
      <c r="B17" s="22">
        <f>'Oil supply projection'!$B17</f>
        <v>2026</v>
      </c>
      <c r="C17" s="685">
        <v>84.981705000000005</v>
      </c>
      <c r="D17" s="685">
        <v>3.076298</v>
      </c>
      <c r="E17" s="685">
        <v>43.579540000000001</v>
      </c>
      <c r="F17" s="685">
        <v>10.785368</v>
      </c>
      <c r="G17" s="685">
        <v>84.981705000000005</v>
      </c>
      <c r="H17" s="685">
        <v>3.076298</v>
      </c>
      <c r="I17" s="685">
        <v>43.579540000000001</v>
      </c>
      <c r="J17" s="685">
        <v>10.785368</v>
      </c>
      <c r="L17" s="22">
        <f>'Oil supply projection'!$B17</f>
        <v>2026</v>
      </c>
      <c r="M17" s="157">
        <f ca="1"/>
        <v>104.42330432856255</v>
      </c>
      <c r="N17" s="157">
        <f ca="1"/>
        <v>104.42330432856254</v>
      </c>
      <c r="O17" s="135">
        <f t="shared" ca="1" si="0"/>
        <v>1.3608892006029881E-16</v>
      </c>
      <c r="P17" s="157">
        <f ca="1"/>
        <v>38.380904000000001</v>
      </c>
      <c r="Q17" s="157">
        <f ca="1"/>
        <v>38.380901999999999</v>
      </c>
      <c r="R17" s="135">
        <f t="shared" ca="1" si="1"/>
        <v>5.2109248238789811E-8</v>
      </c>
      <c r="S17" s="157">
        <f ca="1"/>
        <v>3999.9749190000002</v>
      </c>
      <c r="T17" s="157">
        <f ca="1"/>
        <v>3999.9749190000002</v>
      </c>
      <c r="U17" s="135">
        <f t="shared" ca="1" si="2"/>
        <v>0</v>
      </c>
      <c r="V17" s="157">
        <f ca="1"/>
        <v>499.33785799999998</v>
      </c>
      <c r="W17" s="157">
        <f ca="1"/>
        <v>499.33786499999997</v>
      </c>
      <c r="X17" s="135">
        <f t="shared" ca="1" si="3"/>
        <v>-1.4018564427097222E-8</v>
      </c>
      <c r="Y17" s="140">
        <f t="shared" ca="1" si="4"/>
        <v>2.9118939006084948E-11</v>
      </c>
      <c r="AB17" s="646">
        <v>73.506233052209097</v>
      </c>
    </row>
    <row r="18" spans="1:28" ht="15" customHeight="1">
      <c r="B18" s="22">
        <f>'Oil supply projection'!$B18</f>
        <v>2027</v>
      </c>
      <c r="C18" s="685">
        <v>85.562950000000001</v>
      </c>
      <c r="D18" s="685">
        <v>2.882282</v>
      </c>
      <c r="E18" s="685">
        <v>47.192532</v>
      </c>
      <c r="F18" s="685">
        <v>10.603304</v>
      </c>
      <c r="G18" s="685">
        <v>85.562950000000001</v>
      </c>
      <c r="H18" s="685">
        <v>2.882282</v>
      </c>
      <c r="I18" s="685">
        <v>47.192532</v>
      </c>
      <c r="J18" s="685">
        <v>10.603304</v>
      </c>
      <c r="L18" s="22">
        <f>'Oil supply projection'!$B18</f>
        <v>2027</v>
      </c>
      <c r="M18" s="157">
        <f ca="1"/>
        <v>105.29938349284384</v>
      </c>
      <c r="N18" s="157">
        <f ca="1"/>
        <v>105.29938349284383</v>
      </c>
      <c r="O18" s="135">
        <f t="shared" ca="1" si="0"/>
        <v>1.3495667537472122E-16</v>
      </c>
      <c r="P18" s="157">
        <f ca="1"/>
        <v>38.228559000000004</v>
      </c>
      <c r="Q18" s="157">
        <f ca="1"/>
        <v>38.228559000000004</v>
      </c>
      <c r="R18" s="135">
        <f t="shared" ca="1" si="1"/>
        <v>0</v>
      </c>
      <c r="S18" s="157">
        <f ca="1"/>
        <v>4027.7953379999999</v>
      </c>
      <c r="T18" s="157">
        <f ca="1"/>
        <v>4027.7953379999999</v>
      </c>
      <c r="U18" s="135">
        <f t="shared" ca="1" si="2"/>
        <v>0</v>
      </c>
      <c r="V18" s="157">
        <f ca="1"/>
        <v>439.99538200000001</v>
      </c>
      <c r="W18" s="157">
        <f ca="1"/>
        <v>439.995385</v>
      </c>
      <c r="X18" s="135">
        <f t="shared" ca="1" si="3"/>
        <v>-6.818253338391511E-9</v>
      </c>
      <c r="Y18" s="140">
        <f t="shared" ca="1" si="4"/>
        <v>4.6488578586487006E-13</v>
      </c>
      <c r="AB18" s="646">
        <v>74.008989856516934</v>
      </c>
    </row>
    <row r="19" spans="1:28" ht="15" customHeight="1">
      <c r="B19" s="22">
        <f>'Oil supply projection'!$B19</f>
        <v>2028</v>
      </c>
      <c r="C19" s="685">
        <v>86.821158999999994</v>
      </c>
      <c r="D19" s="685">
        <v>2.8332510000000002</v>
      </c>
      <c r="E19" s="685">
        <v>50.030090000000001</v>
      </c>
      <c r="F19" s="685">
        <v>10.517296</v>
      </c>
      <c r="G19" s="685">
        <v>86.821158999999994</v>
      </c>
      <c r="H19" s="685">
        <v>2.8332510000000002</v>
      </c>
      <c r="I19" s="685">
        <v>50.030090000000001</v>
      </c>
      <c r="J19" s="685">
        <v>10.517296</v>
      </c>
      <c r="L19" s="22">
        <f>'Oil supply projection'!$B19</f>
        <v>2028</v>
      </c>
      <c r="M19" s="157">
        <f ca="1"/>
        <v>106.14450465712511</v>
      </c>
      <c r="N19" s="157">
        <f ca="1"/>
        <v>106.14450465712511</v>
      </c>
      <c r="O19" s="135">
        <f t="shared" ca="1" si="0"/>
        <v>0</v>
      </c>
      <c r="P19" s="157">
        <f ca="1"/>
        <v>38.29017799999999</v>
      </c>
      <c r="Q19" s="157">
        <f ca="1"/>
        <v>38.290182999999999</v>
      </c>
      <c r="R19" s="135">
        <f t="shared" ca="1" si="1"/>
        <v>-1.3058178215410859E-7</v>
      </c>
      <c r="S19" s="157">
        <f ca="1"/>
        <v>4060.2774549999999</v>
      </c>
      <c r="T19" s="157">
        <f ca="1"/>
        <v>4060.2774549999999</v>
      </c>
      <c r="U19" s="135">
        <f t="shared" ca="1" si="2"/>
        <v>0</v>
      </c>
      <c r="V19" s="157">
        <f ca="1"/>
        <v>391.80470500000001</v>
      </c>
      <c r="W19" s="157">
        <f ca="1"/>
        <v>391.80469600000004</v>
      </c>
      <c r="X19" s="135">
        <f t="shared" ca="1" si="3"/>
        <v>2.2970627881165974E-8</v>
      </c>
      <c r="Y19" s="140">
        <f t="shared" ca="1" si="4"/>
        <v>1.7579251575798073E-10</v>
      </c>
      <c r="AB19" s="646">
        <v>75.097297086671787</v>
      </c>
    </row>
    <row r="20" spans="1:28" ht="15" customHeight="1">
      <c r="B20" s="22">
        <f>'Oil supply projection'!$B20</f>
        <v>2029</v>
      </c>
      <c r="C20" s="685">
        <v>87.380615000000006</v>
      </c>
      <c r="D20" s="685">
        <v>2.837558</v>
      </c>
      <c r="E20" s="685">
        <v>50.031959999999998</v>
      </c>
      <c r="F20" s="685">
        <v>10.434837</v>
      </c>
      <c r="G20" s="685">
        <v>87.380615000000006</v>
      </c>
      <c r="H20" s="685">
        <v>2.837558</v>
      </c>
      <c r="I20" s="685">
        <v>50.031959999999998</v>
      </c>
      <c r="J20" s="685">
        <v>10.434837</v>
      </c>
      <c r="L20" s="22">
        <f>'Oil supply projection'!$B20</f>
        <v>2029</v>
      </c>
      <c r="M20" s="157">
        <f ca="1"/>
        <v>106.94185082140638</v>
      </c>
      <c r="N20" s="157">
        <f ca="1"/>
        <v>106.94185082140638</v>
      </c>
      <c r="O20" s="135">
        <f t="shared" ca="1" si="0"/>
        <v>0</v>
      </c>
      <c r="P20" s="157">
        <f ca="1"/>
        <v>38.266649000000001</v>
      </c>
      <c r="Q20" s="157">
        <f ca="1"/>
        <v>38.266654000000003</v>
      </c>
      <c r="R20" s="135">
        <f t="shared" ca="1" si="1"/>
        <v>-1.3066207273419437E-7</v>
      </c>
      <c r="S20" s="157">
        <f ca="1"/>
        <v>4089.8826959999992</v>
      </c>
      <c r="T20" s="157">
        <f ca="1"/>
        <v>4089.8826959999992</v>
      </c>
      <c r="U20" s="135">
        <f t="shared" ca="1" si="2"/>
        <v>0</v>
      </c>
      <c r="V20" s="157">
        <f ca="1"/>
        <v>358.23490500000003</v>
      </c>
      <c r="W20" s="157">
        <f ca="1"/>
        <v>358.23489799999999</v>
      </c>
      <c r="X20" s="135">
        <f t="shared" ca="1" si="3"/>
        <v>1.9540251410065689E-8</v>
      </c>
      <c r="Y20" s="140">
        <f t="shared" ca="1" si="4"/>
        <v>1.7454398676364475E-10</v>
      </c>
      <c r="AB20" s="646">
        <v>75.581207160239472</v>
      </c>
    </row>
    <row r="21" spans="1:28" ht="15" customHeight="1">
      <c r="A21" s="17"/>
      <c r="B21" s="22">
        <f>'Oil supply projection'!$B21</f>
        <v>2030</v>
      </c>
      <c r="C21" s="685">
        <v>87.573929000000007</v>
      </c>
      <c r="D21" s="685">
        <v>2.9328460000000001</v>
      </c>
      <c r="E21" s="685">
        <v>52.861888999999998</v>
      </c>
      <c r="F21" s="685">
        <v>10.455287</v>
      </c>
      <c r="G21" s="685">
        <v>87.510865965157748</v>
      </c>
      <c r="H21" s="685">
        <v>2.9321564741845192</v>
      </c>
      <c r="I21" s="685">
        <v>52.861883957121108</v>
      </c>
      <c r="J21" s="685">
        <v>10.453876420967031</v>
      </c>
      <c r="L21" s="22">
        <f>'Oil supply projection'!$B21</f>
        <v>2030</v>
      </c>
      <c r="M21" s="157">
        <f ca="1"/>
        <v>107.67125171727895</v>
      </c>
      <c r="N21" s="157">
        <f ca="1"/>
        <v>107.67124733253374</v>
      </c>
      <c r="O21" s="135">
        <f t="shared" ca="1" si="0"/>
        <v>4.0723454309486363E-8</v>
      </c>
      <c r="P21" s="157">
        <f ca="1"/>
        <v>38.633214736099106</v>
      </c>
      <c r="Q21" s="157">
        <f ca="1"/>
        <v>38.633229963448912</v>
      </c>
      <c r="R21" s="135">
        <f t="shared" ca="1" si="1"/>
        <v>-3.9415168810161627E-7</v>
      </c>
      <c r="S21" s="157">
        <f ca="1"/>
        <v>4116.5717677909252</v>
      </c>
      <c r="T21" s="157">
        <f ca="1"/>
        <v>4116.5708201221887</v>
      </c>
      <c r="U21" s="135">
        <f t="shared" ca="1" si="2"/>
        <v>2.3020826527048862E-7</v>
      </c>
      <c r="V21" s="157">
        <f ca="1"/>
        <v>335.41838560583994</v>
      </c>
      <c r="W21" s="157">
        <f ca="1"/>
        <v>335.41859616491149</v>
      </c>
      <c r="X21" s="135">
        <f t="shared" ca="1" si="3"/>
        <v>-6.2775033955798846E-7</v>
      </c>
      <c r="Y21" s="140">
        <f t="shared" ca="1" si="4"/>
        <v>6.0408028717826808E-9</v>
      </c>
      <c r="AB21" s="646">
        <v>75.748417078377202</v>
      </c>
    </row>
    <row r="22" spans="1:28" ht="15" customHeight="1">
      <c r="A22" s="17"/>
      <c r="B22" s="22">
        <f>'Oil supply projection'!$B22</f>
        <v>2031</v>
      </c>
      <c r="C22" s="685">
        <v>88.343124000000003</v>
      </c>
      <c r="D22" s="685">
        <v>3.076803</v>
      </c>
      <c r="E22" s="685">
        <v>53.379489999999997</v>
      </c>
      <c r="F22" s="685">
        <v>10.48039</v>
      </c>
      <c r="G22" s="685">
        <v>88.334044082053282</v>
      </c>
      <c r="H22" s="685">
        <v>3.0766285483404383</v>
      </c>
      <c r="I22" s="685">
        <v>53.379535623998727</v>
      </c>
      <c r="J22" s="685">
        <v>10.480183289367076</v>
      </c>
      <c r="L22" s="22">
        <f>'Oil supply projection'!$B22</f>
        <v>2031</v>
      </c>
      <c r="M22" s="157">
        <f ca="1"/>
        <v>107.65612709359516</v>
      </c>
      <c r="N22" s="157">
        <f ca="1"/>
        <v>107.65612710759109</v>
      </c>
      <c r="O22" s="135">
        <f t="shared" ca="1" si="0"/>
        <v>-1.3000588192636346E-10</v>
      </c>
      <c r="P22" s="157">
        <f ca="1"/>
        <v>39.152051886982818</v>
      </c>
      <c r="Q22" s="157">
        <f ca="1"/>
        <v>39.152051591006675</v>
      </c>
      <c r="R22" s="135">
        <f t="shared" ca="1" si="1"/>
        <v>7.5596585620317315E-9</v>
      </c>
      <c r="S22" s="157">
        <f ca="1"/>
        <v>4144.4528258230948</v>
      </c>
      <c r="T22" s="157">
        <f ca="1"/>
        <v>4144.4528282570964</v>
      </c>
      <c r="U22" s="135">
        <f t="shared" ca="1" si="2"/>
        <v>-5.8729140996259336E-10</v>
      </c>
      <c r="V22" s="157">
        <f ca="1"/>
        <v>333.81052252548005</v>
      </c>
      <c r="W22" s="157">
        <f ca="1"/>
        <v>333.81052255523701</v>
      </c>
      <c r="X22" s="135">
        <f t="shared" ca="1" si="3"/>
        <v>-8.9143269400222985E-11</v>
      </c>
      <c r="Y22" s="140">
        <f t="shared" ca="1" si="4"/>
        <v>5.7518196826530337E-13</v>
      </c>
      <c r="AB22" s="646">
        <v>76.413744126505904</v>
      </c>
    </row>
    <row r="23" spans="1:28" ht="15" customHeight="1">
      <c r="A23" s="17"/>
      <c r="B23" s="22">
        <f>'Oil supply projection'!$B23</f>
        <v>2032</v>
      </c>
      <c r="C23" s="685">
        <v>88.962669000000005</v>
      </c>
      <c r="D23" s="685">
        <v>3.2764509999999998</v>
      </c>
      <c r="E23" s="685">
        <v>53.073498000000001</v>
      </c>
      <c r="F23" s="685">
        <v>10.497498999999999</v>
      </c>
      <c r="G23" s="685">
        <v>88.788283066047285</v>
      </c>
      <c r="H23" s="685">
        <v>3.2748290752476432</v>
      </c>
      <c r="I23" s="685">
        <v>53.072692560350688</v>
      </c>
      <c r="J23" s="685">
        <v>10.493440268646649</v>
      </c>
      <c r="L23" s="22">
        <f>'Oil supply projection'!$B23</f>
        <v>2032</v>
      </c>
      <c r="M23" s="157">
        <f ca="1"/>
        <v>107.68902892703007</v>
      </c>
      <c r="N23" s="157">
        <f ca="1"/>
        <v>107.68903260139429</v>
      </c>
      <c r="O23" s="135">
        <f t="shared" ca="1" si="0"/>
        <v>-3.4120134581823934E-8</v>
      </c>
      <c r="P23" s="157">
        <f ca="1"/>
        <v>39.873948625357365</v>
      </c>
      <c r="Q23" s="157">
        <f ca="1"/>
        <v>39.873948582887323</v>
      </c>
      <c r="R23" s="135">
        <f t="shared" ca="1" si="1"/>
        <v>1.0651074998191892E-9</v>
      </c>
      <c r="S23" s="157">
        <f ca="1"/>
        <v>4180.4974218170228</v>
      </c>
      <c r="T23" s="157">
        <f ca="1"/>
        <v>4180.4975598615529</v>
      </c>
      <c r="U23" s="135">
        <f t="shared" ca="1" si="2"/>
        <v>-3.3021077134071865E-8</v>
      </c>
      <c r="V23" s="157">
        <f ca="1"/>
        <v>339.07869330708093</v>
      </c>
      <c r="W23" s="157">
        <f ca="1"/>
        <v>339.0787097338997</v>
      </c>
      <c r="X23" s="135">
        <f t="shared" ca="1" si="3"/>
        <v>-4.844544555851237E-8</v>
      </c>
      <c r="Y23" s="140">
        <f t="shared" ca="1" si="4"/>
        <v>4.6026707683250579E-11</v>
      </c>
      <c r="AB23" s="646">
        <v>76.949629105000156</v>
      </c>
    </row>
    <row r="24" spans="1:28" ht="15" customHeight="1">
      <c r="A24" s="17"/>
      <c r="B24" s="22">
        <f>'Oil supply projection'!$B24</f>
        <v>2033</v>
      </c>
      <c r="C24" s="685">
        <v>89.614563000000004</v>
      </c>
      <c r="D24" s="685">
        <v>3.475406</v>
      </c>
      <c r="E24" s="685">
        <v>53.036586999999997</v>
      </c>
      <c r="F24" s="685">
        <v>10.674851</v>
      </c>
      <c r="G24" s="685">
        <v>89.582830417004075</v>
      </c>
      <c r="H24" s="685">
        <v>3.4748292843814617</v>
      </c>
      <c r="I24" s="685">
        <v>53.036418787581972</v>
      </c>
      <c r="J24" s="685">
        <v>10.674333409314176</v>
      </c>
      <c r="L24" s="22">
        <f>'Oil supply projection'!$B24</f>
        <v>2033</v>
      </c>
      <c r="M24" s="157">
        <f ca="1"/>
        <v>107.73307722772763</v>
      </c>
      <c r="N24" s="157">
        <f ca="1"/>
        <v>107.7330774124151</v>
      </c>
      <c r="O24" s="135">
        <f t="shared" ca="1" si="0"/>
        <v>-1.7143060415175542E-9</v>
      </c>
      <c r="P24" s="157">
        <f ca="1"/>
        <v>40.402611361237163</v>
      </c>
      <c r="Q24" s="157">
        <f ca="1"/>
        <v>40.402610339990218</v>
      </c>
      <c r="R24" s="135">
        <f t="shared" ca="1" si="1"/>
        <v>2.5276756211718387E-8</v>
      </c>
      <c r="S24" s="157">
        <f ca="1"/>
        <v>4204.2202952843036</v>
      </c>
      <c r="T24" s="157">
        <f ca="1"/>
        <v>4204.2202924266066</v>
      </c>
      <c r="U24" s="135">
        <f t="shared" ca="1" si="2"/>
        <v>6.7972102491178762E-10</v>
      </c>
      <c r="V24" s="157">
        <f ca="1"/>
        <v>338.53808782851939</v>
      </c>
      <c r="W24" s="157">
        <f ca="1"/>
        <v>338.53808775693733</v>
      </c>
      <c r="X24" s="135">
        <f t="shared" ca="1" si="3"/>
        <v>2.1144464183291277E-10</v>
      </c>
      <c r="Y24" s="140">
        <f t="shared" ca="1" si="4"/>
        <v>6.4235997929889465E-12</v>
      </c>
      <c r="AB24" s="646">
        <v>77.513494848683891</v>
      </c>
    </row>
    <row r="25" spans="1:28" ht="15" customHeight="1">
      <c r="A25" s="17"/>
      <c r="B25" s="22">
        <f>'Oil supply projection'!$B25</f>
        <v>2034</v>
      </c>
      <c r="C25" s="685">
        <v>90.277618000000004</v>
      </c>
      <c r="D25" s="685">
        <v>3.6293449999999998</v>
      </c>
      <c r="E25" s="685">
        <v>53.560257</v>
      </c>
      <c r="F25" s="685">
        <v>10.760673000000001</v>
      </c>
      <c r="G25" s="685">
        <v>90.245649375428698</v>
      </c>
      <c r="H25" s="685">
        <v>3.6287632177541469</v>
      </c>
      <c r="I25" s="685">
        <v>53.560061726242743</v>
      </c>
      <c r="J25" s="685">
        <v>10.760101817463443</v>
      </c>
      <c r="L25" s="22">
        <f>'Oil supply projection'!$B25</f>
        <v>2034</v>
      </c>
      <c r="M25" s="157">
        <f ca="1"/>
        <v>107.72444512400497</v>
      </c>
      <c r="N25" s="157">
        <f ca="1"/>
        <v>107.72444331709241</v>
      </c>
      <c r="O25" s="135">
        <f t="shared" ca="1" si="0"/>
        <v>1.6773468431753155E-8</v>
      </c>
      <c r="P25" s="157">
        <f ca="1"/>
        <v>40.876094255345294</v>
      </c>
      <c r="Q25" s="157">
        <f ca="1"/>
        <v>40.876094439815375</v>
      </c>
      <c r="R25" s="135">
        <f t="shared" ca="1" si="1"/>
        <v>-4.5129087017927736E-9</v>
      </c>
      <c r="S25" s="157">
        <f ca="1"/>
        <v>4230.5939559594708</v>
      </c>
      <c r="T25" s="157">
        <f ca="1"/>
        <v>4230.5947807005068</v>
      </c>
      <c r="U25" s="135">
        <f t="shared" ca="1" si="2"/>
        <v>-1.9494684770222346E-7</v>
      </c>
      <c r="V25" s="157">
        <f ca="1"/>
        <v>331.38714636434412</v>
      </c>
      <c r="W25" s="157">
        <f ca="1"/>
        <v>331.38719809449486</v>
      </c>
      <c r="X25" s="135">
        <f t="shared" ca="1" si="3"/>
        <v>-1.5610185028079694E-7</v>
      </c>
      <c r="Y25" s="140">
        <f t="shared" ca="1" si="4"/>
        <v>6.2673776678303994E-10</v>
      </c>
      <c r="AB25" s="646">
        <v>78.087014471012409</v>
      </c>
    </row>
    <row r="26" spans="1:28" ht="15" customHeight="1">
      <c r="A26" s="17"/>
      <c r="B26" s="22">
        <f>'Oil supply projection'!$B26</f>
        <v>2035</v>
      </c>
      <c r="C26" s="685">
        <v>90.453620999999998</v>
      </c>
      <c r="D26" s="685">
        <v>3.7222360000000001</v>
      </c>
      <c r="E26" s="685">
        <v>53.510432999999999</v>
      </c>
      <c r="F26" s="685">
        <v>10.780227999999999</v>
      </c>
      <c r="G26" s="685">
        <v>90.421918062571848</v>
      </c>
      <c r="H26" s="685">
        <v>3.7216557576647444</v>
      </c>
      <c r="I26" s="685">
        <v>53.510295235954175</v>
      </c>
      <c r="J26" s="685">
        <v>10.779559418840034</v>
      </c>
      <c r="L26" s="22">
        <f>'Oil supply projection'!$B26</f>
        <v>2035</v>
      </c>
      <c r="M26" s="157">
        <f ca="1"/>
        <v>107.79911874415077</v>
      </c>
      <c r="N26" s="157">
        <f ca="1"/>
        <v>107.79911897491843</v>
      </c>
      <c r="O26" s="135">
        <f t="shared" ca="1" si="0"/>
        <v>-2.1407192963753324E-9</v>
      </c>
      <c r="P26" s="157">
        <f ca="1"/>
        <v>41.339040158214253</v>
      </c>
      <c r="Q26" s="157">
        <f ca="1"/>
        <v>41.339038157760235</v>
      </c>
      <c r="R26" s="135">
        <f t="shared" ca="1" si="1"/>
        <v>4.8391400920146146E-8</v>
      </c>
      <c r="S26" s="157">
        <f ca="1"/>
        <v>4263.1574688010342</v>
      </c>
      <c r="T26" s="157">
        <f ca="1"/>
        <v>4263.1574963600569</v>
      </c>
      <c r="U26" s="135">
        <f t="shared" ca="1" si="2"/>
        <v>-6.4644627592482658E-9</v>
      </c>
      <c r="V26" s="157">
        <f ca="1"/>
        <v>333.65281824229686</v>
      </c>
      <c r="W26" s="157">
        <f ca="1"/>
        <v>333.65281825304862</v>
      </c>
      <c r="X26" s="135">
        <f t="shared" ca="1" si="3"/>
        <v>-3.2224400811996588E-11</v>
      </c>
      <c r="Y26" s="140">
        <f t="shared" ca="1" si="4"/>
        <v>2.3881006792979106E-11</v>
      </c>
      <c r="AB26" s="646">
        <v>78.239250973397091</v>
      </c>
    </row>
    <row r="27" spans="1:28" ht="15" customHeight="1">
      <c r="A27" s="17"/>
      <c r="B27" s="22">
        <f>'Oil supply projection'!$B27</f>
        <v>2036</v>
      </c>
      <c r="C27" s="685">
        <v>91.295738</v>
      </c>
      <c r="D27" s="685">
        <v>3.7230189999999999</v>
      </c>
      <c r="E27" s="685">
        <v>54.565548</v>
      </c>
      <c r="F27" s="685">
        <v>10.859852999999999</v>
      </c>
      <c r="G27" s="685">
        <v>91.263568038314418</v>
      </c>
      <c r="H27" s="685">
        <v>3.7224510366515666</v>
      </c>
      <c r="I27" s="685">
        <v>54.565429729197341</v>
      </c>
      <c r="J27" s="685">
        <v>10.859126655250588</v>
      </c>
      <c r="L27" s="22">
        <f>'Oil supply projection'!$B27</f>
        <v>2036</v>
      </c>
      <c r="M27" s="157">
        <f ca="1"/>
        <v>107.75985514026512</v>
      </c>
      <c r="N27" s="157">
        <f ca="1"/>
        <v>107.75986358059708</v>
      </c>
      <c r="O27" s="135">
        <f t="shared" ca="1" si="0"/>
        <v>-7.8325380319327381E-8</v>
      </c>
      <c r="P27" s="157">
        <f ca="1"/>
        <v>41.63436025679308</v>
      </c>
      <c r="Q27" s="157">
        <f ca="1"/>
        <v>41.634361887049096</v>
      </c>
      <c r="R27" s="135">
        <f t="shared" ca="1" si="1"/>
        <v>-3.9156503751807989E-8</v>
      </c>
      <c r="S27" s="157">
        <f ca="1"/>
        <v>4290.7022387513998</v>
      </c>
      <c r="T27" s="157">
        <f ca="1"/>
        <v>4290.7036904868264</v>
      </c>
      <c r="U27" s="135">
        <f t="shared" ca="1" si="2"/>
        <v>-3.3834442481103193E-7</v>
      </c>
      <c r="V27" s="157">
        <f ca="1"/>
        <v>326.9667977003009</v>
      </c>
      <c r="W27" s="157">
        <f ca="1"/>
        <v>326.96665821319874</v>
      </c>
      <c r="X27" s="135">
        <f t="shared" ca="1" si="3"/>
        <v>4.2660946889594487E-7</v>
      </c>
      <c r="Y27" s="140">
        <f t="shared" ca="1" si="4"/>
        <v>3.0414068574062083E-9</v>
      </c>
      <c r="AB27" s="646">
        <v>78.96765302721829</v>
      </c>
    </row>
    <row r="28" spans="1:28" ht="15" customHeight="1">
      <c r="A28" s="19"/>
      <c r="B28" s="22">
        <f>'Oil supply projection'!$B28</f>
        <v>2037</v>
      </c>
      <c r="C28" s="685">
        <v>92.218245999999994</v>
      </c>
      <c r="D28" s="685">
        <v>3.7828330000000001</v>
      </c>
      <c r="E28" s="685">
        <v>56.125988</v>
      </c>
      <c r="F28" s="685">
        <v>10.936825000000001</v>
      </c>
      <c r="G28" s="685">
        <v>92.18599505601216</v>
      </c>
      <c r="H28" s="685">
        <v>3.782280155243698</v>
      </c>
      <c r="I28" s="685">
        <v>56.1256685115086</v>
      </c>
      <c r="J28" s="685">
        <v>10.936146720008958</v>
      </c>
      <c r="L28" s="22">
        <f>'Oil supply projection'!$B28</f>
        <v>2037</v>
      </c>
      <c r="M28" s="157">
        <f ca="1"/>
        <v>107.69227166342378</v>
      </c>
      <c r="N28" s="157">
        <f ca="1"/>
        <v>107.69227185101872</v>
      </c>
      <c r="O28" s="135">
        <f t="shared" ca="1" si="0"/>
        <v>-1.7419535504315687E-9</v>
      </c>
      <c r="P28" s="157">
        <f ca="1"/>
        <v>42.006406982118989</v>
      </c>
      <c r="Q28" s="157">
        <f ca="1"/>
        <v>42.006403927773789</v>
      </c>
      <c r="R28" s="135">
        <f t="shared" ca="1" si="1"/>
        <v>7.2711415480358927E-8</v>
      </c>
      <c r="S28" s="157">
        <f ca="1"/>
        <v>4318.4684207221289</v>
      </c>
      <c r="T28" s="157">
        <f ca="1"/>
        <v>4318.4684608499902</v>
      </c>
      <c r="U28" s="135">
        <f t="shared" ca="1" si="2"/>
        <v>-9.2921510859424674E-9</v>
      </c>
      <c r="V28" s="157">
        <f ca="1"/>
        <v>314.9053838603885</v>
      </c>
      <c r="W28" s="157">
        <f ca="1"/>
        <v>314.905385464853</v>
      </c>
      <c r="X28" s="135">
        <f t="shared" ca="1" si="3"/>
        <v>-5.0950684839322588E-9</v>
      </c>
      <c r="Y28" s="140">
        <f t="shared" ca="1" si="4"/>
        <v>5.4022881379891834E-11</v>
      </c>
      <c r="AB28" s="646">
        <v>79.765590513181024</v>
      </c>
    </row>
    <row r="29" spans="1:28" ht="15" customHeight="1">
      <c r="A29" s="17"/>
      <c r="B29" s="22">
        <f>'Oil supply projection'!$B29</f>
        <v>2038</v>
      </c>
      <c r="C29" s="685">
        <v>92.910865999999999</v>
      </c>
      <c r="D29" s="685">
        <v>3.9132980000000002</v>
      </c>
      <c r="E29" s="685">
        <v>58.319446999999997</v>
      </c>
      <c r="F29" s="685">
        <v>11.065863</v>
      </c>
      <c r="G29" s="685">
        <v>92.877993909259644</v>
      </c>
      <c r="H29" s="685">
        <v>3.9127341824183719</v>
      </c>
      <c r="I29" s="685">
        <v>58.319373204801579</v>
      </c>
      <c r="J29" s="685">
        <v>11.065142226297908</v>
      </c>
      <c r="L29" s="22">
        <f>'Oil supply projection'!$B29</f>
        <v>2038</v>
      </c>
      <c r="M29" s="157">
        <f ca="1"/>
        <v>107.65665456713522</v>
      </c>
      <c r="N29" s="157">
        <f ca="1"/>
        <v>107.65669732678424</v>
      </c>
      <c r="O29" s="135">
        <f t="shared" ca="1" si="0"/>
        <v>-3.9718529894841359E-7</v>
      </c>
      <c r="P29" s="157">
        <f ca="1"/>
        <v>42.284349010726899</v>
      </c>
      <c r="Q29" s="157">
        <f ca="1"/>
        <v>42.28434544070015</v>
      </c>
      <c r="R29" s="135">
        <f t="shared" ca="1" si="1"/>
        <v>8.4429037767389453E-8</v>
      </c>
      <c r="S29" s="157">
        <f ca="1"/>
        <v>4346.7912500831053</v>
      </c>
      <c r="T29" s="157">
        <f ca="1"/>
        <v>4346.7916261379742</v>
      </c>
      <c r="U29" s="135">
        <f t="shared" ca="1" si="2"/>
        <v>-8.6513207320918177E-8</v>
      </c>
      <c r="V29" s="157">
        <f ca="1"/>
        <v>304.70216364892718</v>
      </c>
      <c r="W29" s="157">
        <f ca="1"/>
        <v>304.70198806096687</v>
      </c>
      <c r="X29" s="135">
        <f t="shared" ca="1" si="3"/>
        <v>5.7626112267575737E-7</v>
      </c>
      <c r="Y29" s="140">
        <f t="shared" ca="1" si="4"/>
        <v>5.0444584066754436E-9</v>
      </c>
      <c r="AB29" s="646">
        <v>80.36468283707147</v>
      </c>
    </row>
    <row r="30" spans="1:28" ht="15" customHeight="1">
      <c r="A30" s="17"/>
      <c r="B30" s="22">
        <f>'Oil supply projection'!$B30</f>
        <v>2039</v>
      </c>
      <c r="C30" s="685">
        <v>93.234779000000003</v>
      </c>
      <c r="D30" s="685">
        <v>3.8219609999999999</v>
      </c>
      <c r="E30" s="685">
        <v>58.486378000000002</v>
      </c>
      <c r="F30" s="685">
        <v>11.173608</v>
      </c>
      <c r="G30" s="685">
        <v>93.20276547354112</v>
      </c>
      <c r="H30" s="685">
        <v>3.8214060764035942</v>
      </c>
      <c r="I30" s="685">
        <v>58.486102433969855</v>
      </c>
      <c r="J30" s="685">
        <v>11.172960388482718</v>
      </c>
      <c r="L30" s="22">
        <f>'Oil supply projection'!$B30</f>
        <v>2039</v>
      </c>
      <c r="M30" s="157">
        <f ca="1"/>
        <v>107.5917322701397</v>
      </c>
      <c r="N30" s="157">
        <f ca="1"/>
        <v>107.59173239869183</v>
      </c>
      <c r="O30" s="135">
        <f t="shared" ca="1" si="0"/>
        <v>-1.1948142104320601E-9</v>
      </c>
      <c r="P30" s="157">
        <f ca="1"/>
        <v>42.418695792983712</v>
      </c>
      <c r="Q30" s="157">
        <f ca="1"/>
        <v>42.418695648411791</v>
      </c>
      <c r="R30" s="135">
        <f t="shared" ca="1" si="1"/>
        <v>3.4082123035823808E-9</v>
      </c>
      <c r="S30" s="157">
        <f ca="1"/>
        <v>4369.7403274245116</v>
      </c>
      <c r="T30" s="157">
        <f ca="1"/>
        <v>4369.7403266069405</v>
      </c>
      <c r="U30" s="135">
        <f t="shared" ca="1" si="2"/>
        <v>1.8709834030993535E-10</v>
      </c>
      <c r="V30" s="157">
        <f ca="1"/>
        <v>298.32461732897605</v>
      </c>
      <c r="W30" s="157">
        <f ca="1"/>
        <v>298.32461741882798</v>
      </c>
      <c r="X30" s="135">
        <f t="shared" ca="1" si="3"/>
        <v>-3.011884779636317E-10</v>
      </c>
      <c r="Y30" s="140">
        <f t="shared" ca="1" si="4"/>
        <v>1.3169212391945487E-13</v>
      </c>
      <c r="AB30" s="646">
        <v>80.644856369323378</v>
      </c>
    </row>
    <row r="31" spans="1:28" ht="15" customHeight="1">
      <c r="A31" s="17"/>
      <c r="B31" s="22">
        <f>'Oil supply projection'!$B31</f>
        <v>2040</v>
      </c>
      <c r="C31" s="685">
        <v>93.458427</v>
      </c>
      <c r="D31" s="685">
        <v>3.9645039999999998</v>
      </c>
      <c r="E31" s="685">
        <v>59.382854000000002</v>
      </c>
      <c r="F31" s="685">
        <v>11.264256</v>
      </c>
      <c r="G31" s="685">
        <v>93.426080323284197</v>
      </c>
      <c r="H31" s="685">
        <v>3.963953757903933</v>
      </c>
      <c r="I31" s="685">
        <v>59.382651107379395</v>
      </c>
      <c r="J31" s="685">
        <v>11.263564793302741</v>
      </c>
      <c r="L31" s="22">
        <f>'Oil supply projection'!$B31</f>
        <v>2040</v>
      </c>
      <c r="M31" s="157">
        <f ca="1"/>
        <v>107.58267326695221</v>
      </c>
      <c r="N31" s="157">
        <f ca="1"/>
        <v>107.58267340454866</v>
      </c>
      <c r="O31" s="135">
        <f t="shared" ca="1" si="0"/>
        <v>-1.2789833176121432E-9</v>
      </c>
      <c r="P31" s="157">
        <f ca="1"/>
        <v>42.611441603555519</v>
      </c>
      <c r="Q31" s="157">
        <f ca="1"/>
        <v>42.611441348245179</v>
      </c>
      <c r="R31" s="135">
        <f t="shared" ca="1" si="1"/>
        <v>5.9915912519620356E-9</v>
      </c>
      <c r="S31" s="157">
        <f ca="1"/>
        <v>4395.4320552801119</v>
      </c>
      <c r="T31" s="157">
        <f ca="1"/>
        <v>4395.4320575792117</v>
      </c>
      <c r="U31" s="135">
        <f t="shared" ca="1" si="2"/>
        <v>-5.2306571997115207E-10</v>
      </c>
      <c r="V31" s="157">
        <f ca="1"/>
        <v>295.21244414908546</v>
      </c>
      <c r="W31" s="157">
        <f ca="1"/>
        <v>295.21244443942629</v>
      </c>
      <c r="X31" s="135">
        <f t="shared" ca="1" si="3"/>
        <v>-9.8349795691036272E-10</v>
      </c>
      <c r="Y31" s="140">
        <f t="shared" ca="1" si="4"/>
        <v>3.8775830035973959E-13</v>
      </c>
      <c r="AB31" s="646">
        <v>80.838304147402908</v>
      </c>
    </row>
    <row r="32" spans="1:28" ht="15" customHeight="1">
      <c r="A32" s="17"/>
      <c r="B32" s="22">
        <f>'Oil supply projection'!$B32</f>
        <v>2041</v>
      </c>
      <c r="C32" s="685">
        <v>94.037589999999994</v>
      </c>
      <c r="D32" s="685">
        <v>4.0389530000000002</v>
      </c>
      <c r="E32" s="685">
        <v>59.355839000000003</v>
      </c>
      <c r="F32" s="685">
        <v>11.322725</v>
      </c>
      <c r="G32" s="685">
        <v>94.004815295687251</v>
      </c>
      <c r="H32" s="685">
        <v>4.0383829737884644</v>
      </c>
      <c r="I32" s="685">
        <v>59.355590229087127</v>
      </c>
      <c r="J32" s="685">
        <v>11.322072792473726</v>
      </c>
      <c r="L32" s="22">
        <f>'Oil supply projection'!$B32</f>
        <v>2041</v>
      </c>
      <c r="M32" s="157">
        <f ca="1"/>
        <v>107.51621612343037</v>
      </c>
      <c r="N32" s="157">
        <f ca="1"/>
        <v>107.51623611672579</v>
      </c>
      <c r="O32" s="135">
        <f t="shared" ca="1" si="0"/>
        <v>-1.8595607515316225E-7</v>
      </c>
      <c r="P32" s="157">
        <f ca="1"/>
        <v>42.715029007759512</v>
      </c>
      <c r="Q32" s="157">
        <f ca="1"/>
        <v>42.715027366067147</v>
      </c>
      <c r="R32" s="135">
        <f t="shared" ca="1" si="1"/>
        <v>3.8433601333234342E-8</v>
      </c>
      <c r="S32" s="157">
        <f ca="1"/>
        <v>4426.8225558015492</v>
      </c>
      <c r="T32" s="157">
        <f ca="1"/>
        <v>4426.8215125676325</v>
      </c>
      <c r="U32" s="135">
        <f t="shared" ca="1" si="2"/>
        <v>2.356620412415874E-7</v>
      </c>
      <c r="V32" s="157">
        <f ca="1"/>
        <v>295.56361303436603</v>
      </c>
      <c r="W32" s="157">
        <f ca="1"/>
        <v>295.56364512981872</v>
      </c>
      <c r="X32" s="135">
        <f t="shared" ca="1" si="3"/>
        <v>-1.0859067062897312E-7</v>
      </c>
      <c r="Y32" s="140">
        <f t="shared" ca="1" si="4"/>
        <v>1.0338533502761227E-9</v>
      </c>
      <c r="AB32" s="646">
        <v>81.339260093782386</v>
      </c>
    </row>
    <row r="33" spans="1:28" ht="15" customHeight="1">
      <c r="A33" s="17"/>
      <c r="B33" s="22">
        <f>'Oil supply projection'!$B33</f>
        <v>2042</v>
      </c>
      <c r="C33" s="685">
        <v>94.603583999999998</v>
      </c>
      <c r="D33" s="685">
        <v>4.0540890000000003</v>
      </c>
      <c r="E33" s="685">
        <v>59.492610999999997</v>
      </c>
      <c r="F33" s="685">
        <v>11.317994000000001</v>
      </c>
      <c r="G33" s="685">
        <v>94.571333448705829</v>
      </c>
      <c r="H33" s="685">
        <v>4.0535325457852975</v>
      </c>
      <c r="I33" s="685">
        <v>59.49240473263729</v>
      </c>
      <c r="J33" s="685">
        <v>11.317324154999257</v>
      </c>
      <c r="L33" s="22">
        <f>'Oil supply projection'!$B33</f>
        <v>2042</v>
      </c>
      <c r="M33" s="157">
        <f ca="1"/>
        <v>107.53696912627947</v>
      </c>
      <c r="N33" s="157">
        <f ca="1"/>
        <v>107.53696928704986</v>
      </c>
      <c r="O33" s="135">
        <f t="shared" ca="1" si="0"/>
        <v>-1.495024314509011E-9</v>
      </c>
      <c r="P33" s="157">
        <f ca="1"/>
        <v>42.827071420106812</v>
      </c>
      <c r="Q33" s="157">
        <f ca="1"/>
        <v>42.827071473146262</v>
      </c>
      <c r="R33" s="135">
        <f t="shared" ca="1" si="1"/>
        <v>-1.238456153400918E-9</v>
      </c>
      <c r="S33" s="157">
        <f ca="1"/>
        <v>4461.3433546343331</v>
      </c>
      <c r="T33" s="157">
        <f ca="1"/>
        <v>4461.3433577061451</v>
      </c>
      <c r="U33" s="135">
        <f t="shared" ca="1" si="2"/>
        <v>-6.8853969388540749E-10</v>
      </c>
      <c r="V33" s="157">
        <f ca="1"/>
        <v>296.07169596984744</v>
      </c>
      <c r="W33" s="157">
        <f ca="1"/>
        <v>296.07169591106526</v>
      </c>
      <c r="X33" s="135">
        <f t="shared" ca="1" si="3"/>
        <v>1.9854034733436798E-10</v>
      </c>
      <c r="Y33" s="140">
        <f t="shared" ca="1" si="4"/>
        <v>4.2823765244451988E-14</v>
      </c>
      <c r="AB33" s="646">
        <v>81.828825311027117</v>
      </c>
    </row>
    <row r="34" spans="1:28" ht="15" customHeight="1">
      <c r="A34" s="17"/>
      <c r="B34" s="22">
        <f>'Oil supply projection'!$B34</f>
        <v>2043</v>
      </c>
      <c r="C34" s="685">
        <v>94.882439000000005</v>
      </c>
      <c r="D34" s="685">
        <v>4.022214</v>
      </c>
      <c r="E34" s="685">
        <v>60.498859000000003</v>
      </c>
      <c r="F34" s="685">
        <v>11.272709000000001</v>
      </c>
      <c r="G34" s="685">
        <v>94.85001635889374</v>
      </c>
      <c r="H34" s="685">
        <v>4.0216715753027046</v>
      </c>
      <c r="I34" s="685">
        <v>60.498621522624816</v>
      </c>
      <c r="J34" s="685">
        <v>11.272034753460289</v>
      </c>
      <c r="L34" s="22">
        <f>'Oil supply projection'!$B34</f>
        <v>2043</v>
      </c>
      <c r="M34" s="157">
        <f ca="1"/>
        <v>107.61442848728633</v>
      </c>
      <c r="N34" s="157">
        <f ca="1"/>
        <v>107.61442863415773</v>
      </c>
      <c r="O34" s="135">
        <f t="shared" ca="1" si="0"/>
        <v>-1.3647928287987449E-9</v>
      </c>
      <c r="P34" s="157">
        <f ca="1"/>
        <v>43.015021496153537</v>
      </c>
      <c r="Q34" s="157">
        <f ca="1"/>
        <v>43.015020754532834</v>
      </c>
      <c r="R34" s="135">
        <f t="shared" ca="1" si="1"/>
        <v>1.7240970322104338E-8</v>
      </c>
      <c r="S34" s="157">
        <f ca="1"/>
        <v>4500.8835784348785</v>
      </c>
      <c r="T34" s="157">
        <f ca="1"/>
        <v>4500.8835843784982</v>
      </c>
      <c r="U34" s="135">
        <f t="shared" ca="1" si="2"/>
        <v>-1.3205450926837639E-9</v>
      </c>
      <c r="V34" s="157">
        <f ca="1"/>
        <v>291.7698788386345</v>
      </c>
      <c r="W34" s="157">
        <f ca="1"/>
        <v>291.76987944734606</v>
      </c>
      <c r="X34" s="135">
        <f t="shared" ca="1" si="3"/>
        <v>-2.0862727885687942E-9</v>
      </c>
      <c r="Y34" s="140">
        <f t="shared" ca="1" si="4"/>
        <v>3.0521009060335681E-12</v>
      </c>
      <c r="AB34" s="646">
        <v>82.070025233031203</v>
      </c>
    </row>
    <row r="35" spans="1:28" ht="15" customHeight="1">
      <c r="A35" s="17"/>
      <c r="B35" s="22">
        <f>'Oil supply projection'!$B35</f>
        <v>2044</v>
      </c>
      <c r="C35" s="685">
        <v>95.519722000000002</v>
      </c>
      <c r="D35" s="685">
        <v>4.0117760000000002</v>
      </c>
      <c r="E35" s="685">
        <v>61.138843999999999</v>
      </c>
      <c r="F35" s="685">
        <v>11.283497000000001</v>
      </c>
      <c r="G35" s="685">
        <v>95.486220315195311</v>
      </c>
      <c r="H35" s="685">
        <v>4.0112415647288993</v>
      </c>
      <c r="I35" s="685">
        <v>61.13865797833558</v>
      </c>
      <c r="J35" s="685">
        <v>11.282876967583526</v>
      </c>
      <c r="L35" s="22">
        <f>'Oil supply projection'!$B35</f>
        <v>2044</v>
      </c>
      <c r="M35" s="157">
        <f ca="1"/>
        <v>107.66764547886824</v>
      </c>
      <c r="N35" s="157">
        <f ca="1"/>
        <v>107.66772314123276</v>
      </c>
      <c r="O35" s="135">
        <f t="shared" ca="1" si="0"/>
        <v>-7.2131545333845036E-7</v>
      </c>
      <c r="P35" s="157">
        <f ca="1"/>
        <v>43.140738322865111</v>
      </c>
      <c r="Q35" s="157">
        <f ca="1"/>
        <v>43.140737488943898</v>
      </c>
      <c r="R35" s="135">
        <f t="shared" ca="1" si="1"/>
        <v>1.9330249167076006E-8</v>
      </c>
      <c r="S35" s="157">
        <f ca="1"/>
        <v>4536.8403022011862</v>
      </c>
      <c r="T35" s="157">
        <f ca="1"/>
        <v>4536.8405868043674</v>
      </c>
      <c r="U35" s="135">
        <f t="shared" ca="1" si="2"/>
        <v>-6.2731582618528076E-8</v>
      </c>
      <c r="V35" s="157">
        <f ca="1"/>
        <v>289.65370814491195</v>
      </c>
      <c r="W35" s="157">
        <f ca="1"/>
        <v>289.65364004513526</v>
      </c>
      <c r="X35" s="135">
        <f t="shared" ca="1" si="3"/>
        <v>2.3510758804046168E-7</v>
      </c>
      <c r="Y35" s="140">
        <f t="shared" ca="1" si="4"/>
        <v>5.7988047116974408E-9</v>
      </c>
      <c r="AB35" s="646">
        <v>82.621252967497227</v>
      </c>
    </row>
    <row r="36" spans="1:28" ht="15" customHeight="1">
      <c r="A36" s="17"/>
      <c r="B36" s="22">
        <f>'Oil supply projection'!$B36</f>
        <v>2045</v>
      </c>
      <c r="C36" s="685">
        <v>95.922606999999999</v>
      </c>
      <c r="D36" s="685">
        <v>3.9678689999999999</v>
      </c>
      <c r="E36" s="685">
        <v>61.855389000000002</v>
      </c>
      <c r="F36" s="685">
        <v>11.299773</v>
      </c>
      <c r="G36" s="685"/>
      <c r="H36" s="685"/>
      <c r="I36" s="685"/>
      <c r="J36" s="685"/>
      <c r="L36" s="22">
        <f>'Oil supply projection'!$B36</f>
        <v>2045</v>
      </c>
      <c r="M36" s="157">
        <f ca="1"/>
        <v>0</v>
      </c>
      <c r="N36" s="157" t="e">
        <f ca="1"/>
        <v>#DIV/0!</v>
      </c>
      <c r="O36" s="135" t="e">
        <f t="shared" ca="1" si="0"/>
        <v>#DIV/0!</v>
      </c>
      <c r="P36" s="157">
        <f ca="1"/>
        <v>0</v>
      </c>
      <c r="Q36" s="157" t="e">
        <f ca="1"/>
        <v>#DIV/0!</v>
      </c>
      <c r="R36" s="135" t="e">
        <f t="shared" ca="1" si="1"/>
        <v>#DIV/0!</v>
      </c>
      <c r="S36" s="157" t="e">
        <f ca="1"/>
        <v>#DIV/0!</v>
      </c>
      <c r="T36" s="157" t="e">
        <f ca="1"/>
        <v>#DIV/0!</v>
      </c>
      <c r="U36" s="135" t="e">
        <f t="shared" ca="1" si="2"/>
        <v>#DIV/0!</v>
      </c>
      <c r="V36" s="157">
        <f ca="1"/>
        <v>0</v>
      </c>
      <c r="W36" s="157" t="e">
        <f ca="1"/>
        <v>#DIV/0!</v>
      </c>
      <c r="X36" s="135" t="e">
        <f t="shared" ca="1" si="3"/>
        <v>#DIV/0!</v>
      </c>
      <c r="Y36" s="140" t="e">
        <f t="shared" ca="1" si="4"/>
        <v>#DIV/0!</v>
      </c>
      <c r="AB36" s="646">
        <v>82.969734546011566</v>
      </c>
    </row>
    <row r="37" spans="1:28" ht="15" customHeight="1">
      <c r="A37" s="17"/>
      <c r="B37" s="22">
        <f>'Oil supply projection'!$B37</f>
        <v>2046</v>
      </c>
      <c r="C37" s="685">
        <v>95.753287999999998</v>
      </c>
      <c r="D37" s="685">
        <v>4.0126809999999997</v>
      </c>
      <c r="E37" s="685">
        <v>63.117213999999997</v>
      </c>
      <c r="F37" s="685">
        <v>11.299839</v>
      </c>
      <c r="G37" s="685"/>
      <c r="H37" s="685"/>
      <c r="I37" s="685"/>
      <c r="J37" s="685"/>
      <c r="L37" s="22">
        <f>'Oil supply projection'!$B37</f>
        <v>2046</v>
      </c>
      <c r="M37" s="157">
        <f ca="1"/>
        <v>0</v>
      </c>
      <c r="N37" s="157" t="e">
        <f ca="1"/>
        <v>#DIV/0!</v>
      </c>
      <c r="O37" s="135" t="e">
        <f t="shared" ca="1" si="0"/>
        <v>#DIV/0!</v>
      </c>
      <c r="P37" s="157">
        <f ca="1"/>
        <v>0</v>
      </c>
      <c r="Q37" s="157" t="e">
        <f ca="1"/>
        <v>#DIV/0!</v>
      </c>
      <c r="R37" s="135" t="e">
        <f t="shared" ca="1" si="1"/>
        <v>#DIV/0!</v>
      </c>
      <c r="S37" s="157" t="e">
        <f ca="1"/>
        <v>#DIV/0!</v>
      </c>
      <c r="T37" s="157" t="e">
        <f ca="1"/>
        <v>#DIV/0!</v>
      </c>
      <c r="U37" s="135" t="e">
        <f t="shared" ca="1" si="2"/>
        <v>#DIV/0!</v>
      </c>
      <c r="V37" s="157">
        <f ca="1"/>
        <v>0</v>
      </c>
      <c r="W37" s="157" t="e">
        <f ca="1"/>
        <v>#DIV/0!</v>
      </c>
      <c r="X37" s="135" t="e">
        <f t="shared" ca="1" si="3"/>
        <v>#DIV/0!</v>
      </c>
      <c r="Y37" s="140" t="e">
        <f t="shared" ca="1" si="4"/>
        <v>#DIV/0!</v>
      </c>
      <c r="AB37" s="646">
        <v>82.823279472249894</v>
      </c>
    </row>
    <row r="38" spans="1:28" ht="15" customHeight="1">
      <c r="A38" s="17"/>
      <c r="B38" s="22">
        <f>'Oil supply projection'!$B38</f>
        <v>2047</v>
      </c>
      <c r="C38" s="685">
        <v>96.582626000000005</v>
      </c>
      <c r="D38" s="685">
        <v>3.9409800000000001</v>
      </c>
      <c r="E38" s="685">
        <v>63.763134000000001</v>
      </c>
      <c r="F38" s="685">
        <v>11.279623000000001</v>
      </c>
      <c r="G38" s="685"/>
      <c r="H38" s="685"/>
      <c r="I38" s="685"/>
      <c r="J38" s="685"/>
      <c r="L38" s="22">
        <f>'Oil supply projection'!$B38</f>
        <v>2047</v>
      </c>
      <c r="M38" s="157">
        <f ca="1"/>
        <v>0</v>
      </c>
      <c r="N38" s="157" t="e">
        <f ca="1"/>
        <v>#DIV/0!</v>
      </c>
      <c r="O38" s="135" t="e">
        <f t="shared" ca="1" si="0"/>
        <v>#DIV/0!</v>
      </c>
      <c r="P38" s="157">
        <f ca="1"/>
        <v>0</v>
      </c>
      <c r="Q38" s="157" t="e">
        <f ca="1"/>
        <v>#DIV/0!</v>
      </c>
      <c r="R38" s="135" t="e">
        <f t="shared" ca="1" si="1"/>
        <v>#DIV/0!</v>
      </c>
      <c r="S38" s="157" t="e">
        <f ca="1"/>
        <v>#DIV/0!</v>
      </c>
      <c r="T38" s="157" t="e">
        <f ca="1"/>
        <v>#DIV/0!</v>
      </c>
      <c r="U38" s="135" t="e">
        <f t="shared" ca="1" si="2"/>
        <v>#DIV/0!</v>
      </c>
      <c r="V38" s="157">
        <f ca="1"/>
        <v>0</v>
      </c>
      <c r="W38" s="157" t="e">
        <f ca="1"/>
        <v>#DIV/0!</v>
      </c>
      <c r="X38" s="135" t="e">
        <f t="shared" ca="1" si="3"/>
        <v>#DIV/0!</v>
      </c>
      <c r="Y38" s="140" t="e">
        <f t="shared" ca="1" si="4"/>
        <v>#DIV/0!</v>
      </c>
      <c r="AB38" s="646">
        <v>83.540628133435902</v>
      </c>
    </row>
    <row r="39" spans="1:28" ht="15" customHeight="1">
      <c r="A39" s="19"/>
      <c r="B39" s="22">
        <f>'Oil supply projection'!$B39</f>
        <v>2048</v>
      </c>
      <c r="C39" s="685">
        <v>97.975700000000003</v>
      </c>
      <c r="D39" s="685">
        <v>3.9083749999999999</v>
      </c>
      <c r="E39" s="685">
        <v>64.113715999999997</v>
      </c>
      <c r="F39" s="685">
        <v>11.240437999999999</v>
      </c>
      <c r="G39" s="685"/>
      <c r="H39" s="685"/>
      <c r="I39" s="685"/>
      <c r="J39" s="685"/>
      <c r="L39" s="22">
        <f>'Oil supply projection'!$B39</f>
        <v>2048</v>
      </c>
      <c r="M39" s="157">
        <f ca="1"/>
        <v>0</v>
      </c>
      <c r="N39" s="157" t="e">
        <f ca="1"/>
        <v>#DIV/0!</v>
      </c>
      <c r="O39" s="135" t="e">
        <f t="shared" ca="1" si="0"/>
        <v>#DIV/0!</v>
      </c>
      <c r="P39" s="157">
        <f ca="1"/>
        <v>0</v>
      </c>
      <c r="Q39" s="157" t="e">
        <f ca="1"/>
        <v>#DIV/0!</v>
      </c>
      <c r="R39" s="135" t="e">
        <f t="shared" ca="1" si="1"/>
        <v>#DIV/0!</v>
      </c>
      <c r="S39" s="157" t="e">
        <f ca="1"/>
        <v>#DIV/0!</v>
      </c>
      <c r="T39" s="157" t="e">
        <f ca="1"/>
        <v>#DIV/0!</v>
      </c>
      <c r="U39" s="135" t="e">
        <f t="shared" ca="1" si="2"/>
        <v>#DIV/0!</v>
      </c>
      <c r="V39" s="157">
        <f ca="1"/>
        <v>0</v>
      </c>
      <c r="W39" s="157" t="e">
        <f ca="1"/>
        <v>#DIV/0!</v>
      </c>
      <c r="X39" s="135" t="e">
        <f t="shared" ca="1" si="3"/>
        <v>#DIV/0!</v>
      </c>
      <c r="Y39" s="140" t="e">
        <f t="shared" ca="1" si="4"/>
        <v>#DIV/0!</v>
      </c>
      <c r="AB39" s="646">
        <v>84.745588920030769</v>
      </c>
    </row>
    <row r="40" spans="1:28" ht="15" customHeight="1">
      <c r="A40" s="17"/>
      <c r="B40" s="22">
        <f>'Oil supply projection'!$B40</f>
        <v>2049</v>
      </c>
      <c r="C40" s="685">
        <v>98.504554999999996</v>
      </c>
      <c r="D40" s="685">
        <v>3.8743539999999999</v>
      </c>
      <c r="E40" s="685">
        <v>64.811370999999994</v>
      </c>
      <c r="F40" s="685">
        <v>11.193035</v>
      </c>
      <c r="G40" s="685"/>
      <c r="H40" s="685"/>
      <c r="I40" s="685"/>
      <c r="J40" s="685"/>
      <c r="L40" s="22">
        <f>'Oil supply projection'!$B40</f>
        <v>2049</v>
      </c>
      <c r="M40" s="157">
        <f ca="1"/>
        <v>0</v>
      </c>
      <c r="N40" s="157" t="e">
        <f ca="1"/>
        <v>#DIV/0!</v>
      </c>
      <c r="O40" s="135" t="e">
        <f t="shared" ca="1" si="0"/>
        <v>#DIV/0!</v>
      </c>
      <c r="P40" s="157">
        <f ca="1"/>
        <v>0</v>
      </c>
      <c r="Q40" s="157" t="e">
        <f ca="1"/>
        <v>#DIV/0!</v>
      </c>
      <c r="R40" s="135" t="e">
        <f t="shared" ca="1" si="1"/>
        <v>#DIV/0!</v>
      </c>
      <c r="S40" s="157" t="e">
        <f ca="1"/>
        <v>#DIV/0!</v>
      </c>
      <c r="T40" s="157" t="e">
        <f ca="1"/>
        <v>#DIV/0!</v>
      </c>
      <c r="U40" s="135" t="e">
        <f t="shared" ca="1" si="2"/>
        <v>#DIV/0!</v>
      </c>
      <c r="V40" s="157">
        <f ca="1"/>
        <v>0</v>
      </c>
      <c r="W40" s="157" t="e">
        <f ca="1"/>
        <v>#DIV/0!</v>
      </c>
      <c r="X40" s="135" t="e">
        <f t="shared" ca="1" si="3"/>
        <v>#DIV/0!</v>
      </c>
      <c r="Y40" s="140" t="e">
        <f t="shared" ca="1" si="4"/>
        <v>#DIV/0!</v>
      </c>
      <c r="AB40" s="646">
        <v>85.203030187899245</v>
      </c>
    </row>
    <row r="41" spans="1:28" ht="15" customHeight="1">
      <c r="A41" s="17"/>
      <c r="B41" s="22">
        <f>'Oil supply projection'!$B41</f>
        <v>2050</v>
      </c>
      <c r="C41" s="685">
        <v>99.090767</v>
      </c>
      <c r="D41" s="685">
        <v>3.8889559999999999</v>
      </c>
      <c r="E41" s="685">
        <v>66.498474000000002</v>
      </c>
      <c r="F41" s="685">
        <v>11.087192999999999</v>
      </c>
      <c r="G41" s="685"/>
      <c r="H41" s="685"/>
      <c r="I41" s="685"/>
      <c r="J41" s="685"/>
      <c r="L41" s="22">
        <f>'Oil supply projection'!$B41</f>
        <v>2050</v>
      </c>
      <c r="M41" s="157">
        <f ca="1"/>
        <v>0</v>
      </c>
      <c r="N41" s="157" t="e">
        <f ca="1"/>
        <v>#DIV/0!</v>
      </c>
      <c r="O41" s="135" t="e">
        <f t="shared" ca="1" si="0"/>
        <v>#DIV/0!</v>
      </c>
      <c r="P41" s="157">
        <f ca="1"/>
        <v>0</v>
      </c>
      <c r="Q41" s="157" t="e">
        <f ca="1"/>
        <v>#DIV/0!</v>
      </c>
      <c r="R41" s="135" t="e">
        <f t="shared" ca="1" si="1"/>
        <v>#DIV/0!</v>
      </c>
      <c r="S41" s="157" t="e">
        <f ca="1"/>
        <v>#DIV/0!</v>
      </c>
      <c r="T41" s="157" t="e">
        <f ca="1"/>
        <v>#DIV/0!</v>
      </c>
      <c r="U41" s="135" t="e">
        <f t="shared" ca="1" si="2"/>
        <v>#DIV/0!</v>
      </c>
      <c r="V41" s="157">
        <f ca="1"/>
        <v>0</v>
      </c>
      <c r="W41" s="157" t="e">
        <f ca="1"/>
        <v>#DIV/0!</v>
      </c>
      <c r="X41" s="135" t="e">
        <f t="shared" ca="1" si="3"/>
        <v>#DIV/0!</v>
      </c>
      <c r="Y41" s="140" t="e">
        <f t="shared" ca="1" si="4"/>
        <v>#DIV/0!</v>
      </c>
      <c r="AB41" s="646">
        <v>85.710083275266726</v>
      </c>
    </row>
    <row r="42" spans="1:28" ht="15" customHeight="1">
      <c r="A42" s="17"/>
      <c r="B42" s="22">
        <f>'Oil supply projection'!$B42</f>
        <v>2051</v>
      </c>
      <c r="C42" s="685">
        <f t="shared" ref="C42:C84" si="5">C41*(1+$C$92)</f>
        <v>99.695067610320336</v>
      </c>
      <c r="D42" s="685">
        <f t="shared" ref="D42:D84" si="6">D41*(1+$D$92)</f>
        <v>3.9003325537460234</v>
      </c>
      <c r="E42" s="685">
        <v>67.468837441892717</v>
      </c>
      <c r="F42" s="685">
        <v>11.107965400421076</v>
      </c>
      <c r="G42" s="685"/>
      <c r="H42" s="685"/>
      <c r="I42" s="685"/>
      <c r="J42" s="685"/>
      <c r="L42" s="22">
        <f>'Oil supply projection'!$B42</f>
        <v>2051</v>
      </c>
      <c r="M42" s="157">
        <f ca="1"/>
        <v>0</v>
      </c>
      <c r="N42" s="157" t="e">
        <f ca="1"/>
        <v>#DIV/0!</v>
      </c>
      <c r="O42" s="135" t="e">
        <f t="shared" ca="1" si="0"/>
        <v>#DIV/0!</v>
      </c>
      <c r="P42" s="157">
        <f ca="1"/>
        <v>0</v>
      </c>
      <c r="Q42" s="157" t="e">
        <f ca="1"/>
        <v>#DIV/0!</v>
      </c>
      <c r="R42" s="135" t="e">
        <f t="shared" ca="1" si="1"/>
        <v>#DIV/0!</v>
      </c>
      <c r="S42" s="157" t="e">
        <f ca="1"/>
        <v>#DIV/0!</v>
      </c>
      <c r="T42" s="157" t="e">
        <f ca="1"/>
        <v>#DIV/0!</v>
      </c>
      <c r="U42" s="135" t="e">
        <f t="shared" ca="1" si="2"/>
        <v>#DIV/0!</v>
      </c>
      <c r="V42" s="157">
        <f ca="1"/>
        <v>0</v>
      </c>
      <c r="W42" s="157" t="e">
        <f ca="1"/>
        <v>#DIV/0!</v>
      </c>
      <c r="X42" s="135" t="e">
        <f t="shared" ca="1" si="3"/>
        <v>#DIV/0!</v>
      </c>
      <c r="Y42" s="140" t="e">
        <f t="shared" ca="1" si="4"/>
        <v>#DIV/0!</v>
      </c>
    </row>
    <row r="43" spans="1:28" ht="15" customHeight="1">
      <c r="A43" s="17"/>
      <c r="B43" s="22">
        <f>'Oil supply projection'!$B43</f>
        <v>2052</v>
      </c>
      <c r="C43" s="685">
        <f t="shared" si="5"/>
        <v>100.30305352088295</v>
      </c>
      <c r="D43" s="685">
        <f t="shared" si="6"/>
        <v>3.9117423878827577</v>
      </c>
      <c r="E43" s="685">
        <v>68.45336068554812</v>
      </c>
      <c r="F43" s="685">
        <v>11.128776718954182</v>
      </c>
      <c r="G43" s="685"/>
      <c r="H43" s="685"/>
      <c r="I43" s="685"/>
      <c r="J43" s="685"/>
      <c r="L43" s="22">
        <f>'Oil supply projection'!$B43</f>
        <v>2052</v>
      </c>
      <c r="M43" s="157">
        <f ca="1"/>
        <v>0</v>
      </c>
      <c r="N43" s="157" t="e">
        <f ca="1"/>
        <v>#DIV/0!</v>
      </c>
      <c r="O43" s="135" t="e">
        <f t="shared" ca="1" si="0"/>
        <v>#DIV/0!</v>
      </c>
      <c r="P43" s="157">
        <f ca="1"/>
        <v>0</v>
      </c>
      <c r="Q43" s="157" t="e">
        <f ca="1"/>
        <v>#DIV/0!</v>
      </c>
      <c r="R43" s="135" t="e">
        <f t="shared" ca="1" si="1"/>
        <v>#DIV/0!</v>
      </c>
      <c r="S43" s="157" t="e">
        <f ca="1"/>
        <v>#DIV/0!</v>
      </c>
      <c r="T43" s="157" t="e">
        <f ca="1"/>
        <v>#DIV/0!</v>
      </c>
      <c r="U43" s="135" t="e">
        <f t="shared" ca="1" si="2"/>
        <v>#DIV/0!</v>
      </c>
      <c r="V43" s="157">
        <f ca="1"/>
        <v>0</v>
      </c>
      <c r="W43" s="157" t="e">
        <f ca="1"/>
        <v>#DIV/0!</v>
      </c>
      <c r="X43" s="135" t="e">
        <f t="shared" ca="1" si="3"/>
        <v>#DIV/0!</v>
      </c>
      <c r="Y43" s="140" t="e">
        <f t="shared" ca="1" si="4"/>
        <v>#DIV/0!</v>
      </c>
    </row>
    <row r="44" spans="1:28" ht="15" customHeight="1">
      <c r="A44" s="17"/>
      <c r="B44" s="22">
        <f>'Oil supply projection'!$B44</f>
        <v>2053</v>
      </c>
      <c r="C44" s="685">
        <f t="shared" si="5"/>
        <v>100.91474720632655</v>
      </c>
      <c r="D44" s="685">
        <f t="shared" si="6"/>
        <v>3.923185599766962</v>
      </c>
      <c r="E44" s="685">
        <v>69.452250354564455</v>
      </c>
      <c r="F44" s="685">
        <v>11.14962702851431</v>
      </c>
      <c r="G44" s="685"/>
      <c r="H44" s="685"/>
      <c r="I44" s="685"/>
      <c r="J44" s="685"/>
      <c r="L44" s="22">
        <f>'Oil supply projection'!$B44</f>
        <v>2053</v>
      </c>
      <c r="M44" s="157">
        <f ca="1"/>
        <v>0</v>
      </c>
      <c r="N44" s="157" t="e">
        <f ca="1"/>
        <v>#DIV/0!</v>
      </c>
      <c r="O44" s="135" t="e">
        <f t="shared" ca="1" si="0"/>
        <v>#DIV/0!</v>
      </c>
      <c r="P44" s="157">
        <f ca="1"/>
        <v>0</v>
      </c>
      <c r="Q44" s="157" t="e">
        <f ca="1"/>
        <v>#DIV/0!</v>
      </c>
      <c r="R44" s="135" t="e">
        <f t="shared" ca="1" si="1"/>
        <v>#DIV/0!</v>
      </c>
      <c r="S44" s="157" t="e">
        <f ca="1"/>
        <v>#DIV/0!</v>
      </c>
      <c r="T44" s="157" t="e">
        <f ca="1"/>
        <v>#DIV/0!</v>
      </c>
      <c r="U44" s="135" t="e">
        <f t="shared" ca="1" si="2"/>
        <v>#DIV/0!</v>
      </c>
      <c r="V44" s="157">
        <f ca="1"/>
        <v>0</v>
      </c>
      <c r="W44" s="157" t="e">
        <f ca="1"/>
        <v>#DIV/0!</v>
      </c>
      <c r="X44" s="135" t="e">
        <f t="shared" ca="1" si="3"/>
        <v>#DIV/0!</v>
      </c>
      <c r="Y44" s="140" t="e">
        <f t="shared" ca="1" si="4"/>
        <v>#DIV/0!</v>
      </c>
    </row>
    <row r="45" spans="1:28" ht="15" customHeight="1">
      <c r="A45" s="17"/>
      <c r="B45" s="22">
        <f>'Oil supply projection'!$B45</f>
        <v>2054</v>
      </c>
      <c r="C45" s="685">
        <f t="shared" si="5"/>
        <v>101.53017127835039</v>
      </c>
      <c r="D45" s="685">
        <f t="shared" si="6"/>
        <v>3.9346622870401982</v>
      </c>
      <c r="E45" s="685">
        <v>70.465716087646527</v>
      </c>
      <c r="F45" s="685">
        <v>11.170516402153062</v>
      </c>
      <c r="G45" s="685"/>
      <c r="H45" s="685"/>
      <c r="I45" s="685"/>
      <c r="J45" s="685"/>
      <c r="L45" s="22">
        <f>'Oil supply projection'!$B45</f>
        <v>2054</v>
      </c>
      <c r="M45" s="157">
        <f ca="1"/>
        <v>0</v>
      </c>
      <c r="N45" s="157" t="e">
        <f ca="1"/>
        <v>#DIV/0!</v>
      </c>
      <c r="O45" s="135" t="e">
        <f t="shared" ca="1" si="0"/>
        <v>#DIV/0!</v>
      </c>
      <c r="P45" s="157">
        <f ca="1"/>
        <v>0</v>
      </c>
      <c r="Q45" s="157" t="e">
        <f ca="1"/>
        <v>#DIV/0!</v>
      </c>
      <c r="R45" s="135" t="e">
        <f t="shared" ca="1" si="1"/>
        <v>#DIV/0!</v>
      </c>
      <c r="S45" s="157" t="e">
        <f ca="1"/>
        <v>#DIV/0!</v>
      </c>
      <c r="T45" s="157" t="e">
        <f ca="1"/>
        <v>#DIV/0!</v>
      </c>
      <c r="U45" s="135" t="e">
        <f t="shared" ca="1" si="2"/>
        <v>#DIV/0!</v>
      </c>
      <c r="V45" s="157">
        <f ca="1"/>
        <v>0</v>
      </c>
      <c r="W45" s="157" t="e">
        <f ca="1"/>
        <v>#DIV/0!</v>
      </c>
      <c r="X45" s="135" t="e">
        <f t="shared" ca="1" si="3"/>
        <v>#DIV/0!</v>
      </c>
      <c r="Y45" s="140" t="e">
        <f t="shared" ca="1" si="4"/>
        <v>#DIV/0!</v>
      </c>
    </row>
    <row r="46" spans="1:28" ht="15" customHeight="1">
      <c r="A46" s="17"/>
      <c r="B46" s="22">
        <f>'Oil supply projection'!$B46</f>
        <v>2055</v>
      </c>
      <c r="C46" s="685">
        <f t="shared" si="5"/>
        <v>102.14934848655018</v>
      </c>
      <c r="D46" s="685">
        <f t="shared" si="6"/>
        <v>3.9461725476296636</v>
      </c>
      <c r="E46" s="685">
        <v>71.493970582602955</v>
      </c>
      <c r="F46" s="685">
        <v>11.191444913058909</v>
      </c>
      <c r="G46" s="685"/>
      <c r="H46" s="685"/>
      <c r="I46" s="685"/>
      <c r="J46" s="685"/>
      <c r="L46" s="22">
        <f>'Oil supply projection'!$B46</f>
        <v>2055</v>
      </c>
      <c r="M46" s="157">
        <f ca="1"/>
        <v>0</v>
      </c>
      <c r="N46" s="157" t="e">
        <f ca="1"/>
        <v>#DIV/0!</v>
      </c>
      <c r="O46" s="135" t="e">
        <f t="shared" ca="1" si="0"/>
        <v>#DIV/0!</v>
      </c>
      <c r="P46" s="157">
        <f ca="1"/>
        <v>0</v>
      </c>
      <c r="Q46" s="157" t="e">
        <f ca="1"/>
        <v>#DIV/0!</v>
      </c>
      <c r="R46" s="135" t="e">
        <f t="shared" ca="1" si="1"/>
        <v>#DIV/0!</v>
      </c>
      <c r="S46" s="157" t="e">
        <f ca="1"/>
        <v>#DIV/0!</v>
      </c>
      <c r="T46" s="157" t="e">
        <f ca="1"/>
        <v>#DIV/0!</v>
      </c>
      <c r="U46" s="135" t="e">
        <f t="shared" ca="1" si="2"/>
        <v>#DIV/0!</v>
      </c>
      <c r="V46" s="157">
        <f ca="1"/>
        <v>0</v>
      </c>
      <c r="W46" s="157" t="e">
        <f ca="1"/>
        <v>#DIV/0!</v>
      </c>
      <c r="X46" s="135" t="e">
        <f t="shared" ca="1" si="3"/>
        <v>#DIV/0!</v>
      </c>
      <c r="Y46" s="140" t="e">
        <f t="shared" ca="1" si="4"/>
        <v>#DIV/0!</v>
      </c>
    </row>
    <row r="47" spans="1:28" ht="15" customHeight="1">
      <c r="A47" s="17"/>
      <c r="B47" s="22">
        <f>'Oil supply projection'!$B47</f>
        <v>2056</v>
      </c>
      <c r="C47" s="685">
        <f t="shared" si="5"/>
        <v>102.772301719259</v>
      </c>
      <c r="D47" s="685">
        <f t="shared" si="6"/>
        <v>3.9577164797490272</v>
      </c>
      <c r="E47" s="685">
        <v>72.537229640985416</v>
      </c>
      <c r="F47" s="685">
        <v>11.212412634557442</v>
      </c>
      <c r="G47" s="685"/>
      <c r="H47" s="685"/>
      <c r="I47" s="685"/>
      <c r="J47" s="685"/>
      <c r="L47" s="22">
        <f>'Oil supply projection'!$B47</f>
        <v>2056</v>
      </c>
      <c r="M47" s="157">
        <f ca="1"/>
        <v>0</v>
      </c>
      <c r="N47" s="157" t="e">
        <f ca="1"/>
        <v>#DIV/0!</v>
      </c>
      <c r="O47" s="135" t="e">
        <f t="shared" ca="1" si="0"/>
        <v>#DIV/0!</v>
      </c>
      <c r="P47" s="157">
        <f ca="1"/>
        <v>0</v>
      </c>
      <c r="Q47" s="157" t="e">
        <f ca="1"/>
        <v>#DIV/0!</v>
      </c>
      <c r="R47" s="135" t="e">
        <f t="shared" ca="1" si="1"/>
        <v>#DIV/0!</v>
      </c>
      <c r="S47" s="157" t="e">
        <f ca="1"/>
        <v>#DIV/0!</v>
      </c>
      <c r="T47" s="157" t="e">
        <f ca="1"/>
        <v>#DIV/0!</v>
      </c>
      <c r="U47" s="135" t="e">
        <f t="shared" ca="1" si="2"/>
        <v>#DIV/0!</v>
      </c>
      <c r="V47" s="157">
        <f ca="1"/>
        <v>0</v>
      </c>
      <c r="W47" s="157" t="e">
        <f ca="1"/>
        <v>#DIV/0!</v>
      </c>
      <c r="X47" s="135" t="e">
        <f t="shared" ca="1" si="3"/>
        <v>#DIV/0!</v>
      </c>
      <c r="Y47" s="140" t="e">
        <f t="shared" ca="1" si="4"/>
        <v>#DIV/0!</v>
      </c>
    </row>
    <row r="48" spans="1:28" ht="15" customHeight="1">
      <c r="A48" s="17"/>
      <c r="B48" s="22">
        <f>'Oil supply projection'!$B48</f>
        <v>2057</v>
      </c>
      <c r="C48" s="31">
        <f t="shared" si="5"/>
        <v>103.39905400439345</v>
      </c>
      <c r="D48" s="31">
        <f t="shared" si="6"/>
        <v>3.9692941818992669</v>
      </c>
      <c r="E48" s="31">
        <v>73.595712213379315</v>
      </c>
      <c r="F48" s="31">
        <v>11.233419640111631</v>
      </c>
      <c r="G48" s="31"/>
      <c r="H48" s="31"/>
      <c r="I48" s="31"/>
      <c r="J48" s="31"/>
      <c r="L48" s="22">
        <f>'Oil supply projection'!$B48</f>
        <v>2057</v>
      </c>
      <c r="M48" s="157">
        <f ca="1"/>
        <v>0</v>
      </c>
      <c r="N48" s="157" t="e">
        <f ca="1"/>
        <v>#DIV/0!</v>
      </c>
      <c r="O48" s="135" t="e">
        <f t="shared" ca="1" si="0"/>
        <v>#DIV/0!</v>
      </c>
      <c r="P48" s="157">
        <f ca="1"/>
        <v>0</v>
      </c>
      <c r="Q48" s="157" t="e">
        <f ca="1"/>
        <v>#DIV/0!</v>
      </c>
      <c r="R48" s="135" t="e">
        <f t="shared" ca="1" si="1"/>
        <v>#DIV/0!</v>
      </c>
      <c r="S48" s="157" t="e">
        <f ca="1"/>
        <v>#DIV/0!</v>
      </c>
      <c r="T48" s="157" t="e">
        <f ca="1"/>
        <v>#DIV/0!</v>
      </c>
      <c r="U48" s="135" t="e">
        <f t="shared" ca="1" si="2"/>
        <v>#DIV/0!</v>
      </c>
      <c r="V48" s="157">
        <f ca="1"/>
        <v>0</v>
      </c>
      <c r="W48" s="157" t="e">
        <f ca="1"/>
        <v>#DIV/0!</v>
      </c>
      <c r="X48" s="135" t="e">
        <f t="shared" ca="1" si="3"/>
        <v>#DIV/0!</v>
      </c>
      <c r="Y48" s="140" t="e">
        <f t="shared" ca="1" si="4"/>
        <v>#DIV/0!</v>
      </c>
    </row>
    <row r="49" spans="1:25" ht="15" customHeight="1">
      <c r="A49" s="17"/>
      <c r="B49" s="22">
        <f>'Oil supply projection'!$B49</f>
        <v>2058</v>
      </c>
      <c r="C49" s="31">
        <f t="shared" si="5"/>
        <v>104.02962851030479</v>
      </c>
      <c r="D49" s="31">
        <f t="shared" si="6"/>
        <v>3.9809057528695106</v>
      </c>
      <c r="E49" s="31">
        <v>74.669640445355284</v>
      </c>
      <c r="F49" s="31">
        <v>11.254466003322083</v>
      </c>
      <c r="G49" s="31"/>
      <c r="H49" s="31"/>
      <c r="I49" s="31"/>
      <c r="J49" s="31"/>
      <c r="L49" s="22">
        <f>'Oil supply projection'!$B49</f>
        <v>2058</v>
      </c>
      <c r="M49" s="157">
        <f ca="1"/>
        <v>0</v>
      </c>
      <c r="N49" s="157" t="e">
        <f ca="1"/>
        <v>#DIV/0!</v>
      </c>
      <c r="O49" s="135" t="e">
        <f t="shared" ca="1" si="0"/>
        <v>#DIV/0!</v>
      </c>
      <c r="P49" s="157">
        <f ca="1"/>
        <v>0</v>
      </c>
      <c r="Q49" s="157" t="e">
        <f ca="1"/>
        <v>#DIV/0!</v>
      </c>
      <c r="R49" s="135" t="e">
        <f t="shared" ca="1" si="1"/>
        <v>#DIV/0!</v>
      </c>
      <c r="S49" s="157" t="e">
        <f ca="1"/>
        <v>#DIV/0!</v>
      </c>
      <c r="T49" s="157" t="e">
        <f ca="1"/>
        <v>#DIV/0!</v>
      </c>
      <c r="U49" s="135" t="e">
        <f t="shared" ca="1" si="2"/>
        <v>#DIV/0!</v>
      </c>
      <c r="V49" s="157">
        <f ca="1"/>
        <v>0</v>
      </c>
      <c r="W49" s="157" t="e">
        <f ca="1"/>
        <v>#DIV/0!</v>
      </c>
      <c r="X49" s="135" t="e">
        <f t="shared" ca="1" si="3"/>
        <v>#DIV/0!</v>
      </c>
      <c r="Y49" s="140" t="e">
        <f t="shared" ca="1" si="4"/>
        <v>#DIV/0!</v>
      </c>
    </row>
    <row r="50" spans="1:25" ht="15" customHeight="1">
      <c r="A50" s="17"/>
      <c r="B50" s="22">
        <f>'Oil supply projection'!$B50</f>
        <v>2059</v>
      </c>
      <c r="C50" s="31">
        <f t="shared" si="5"/>
        <v>104.66404854663547</v>
      </c>
      <c r="D50" s="31">
        <f t="shared" si="6"/>
        <v>3.9925512917378789</v>
      </c>
      <c r="E50" s="31">
        <v>75.759239724091302</v>
      </c>
      <c r="F50" s="31">
        <v>11.275551797927301</v>
      </c>
      <c r="G50" s="31"/>
      <c r="H50" s="31"/>
      <c r="I50" s="31"/>
      <c r="J50" s="31"/>
      <c r="L50" s="22">
        <f>'Oil supply projection'!$B50</f>
        <v>2059</v>
      </c>
      <c r="M50" s="157">
        <f ca="1"/>
        <v>0</v>
      </c>
      <c r="N50" s="157" t="e">
        <f ca="1"/>
        <v>#DIV/0!</v>
      </c>
      <c r="O50" s="135" t="e">
        <f t="shared" ca="1" si="0"/>
        <v>#DIV/0!</v>
      </c>
      <c r="P50" s="157">
        <f ca="1"/>
        <v>0</v>
      </c>
      <c r="Q50" s="157" t="e">
        <f ca="1"/>
        <v>#DIV/0!</v>
      </c>
      <c r="R50" s="135" t="e">
        <f t="shared" ca="1" si="1"/>
        <v>#DIV/0!</v>
      </c>
      <c r="S50" s="157" t="e">
        <f ca="1"/>
        <v>#DIV/0!</v>
      </c>
      <c r="T50" s="157" t="e">
        <f ca="1"/>
        <v>#DIV/0!</v>
      </c>
      <c r="U50" s="135" t="e">
        <f t="shared" ca="1" si="2"/>
        <v>#DIV/0!</v>
      </c>
      <c r="V50" s="157">
        <f ca="1"/>
        <v>0</v>
      </c>
      <c r="W50" s="157" t="e">
        <f ca="1"/>
        <v>#DIV/0!</v>
      </c>
      <c r="X50" s="135" t="e">
        <f t="shared" ca="1" si="3"/>
        <v>#DIV/0!</v>
      </c>
      <c r="Y50" s="140" t="e">
        <f t="shared" ca="1" si="4"/>
        <v>#DIV/0!</v>
      </c>
    </row>
    <row r="51" spans="1:25" ht="15" customHeight="1">
      <c r="A51" s="17"/>
      <c r="B51" s="22">
        <f>'Oil supply projection'!$B51</f>
        <v>2060</v>
      </c>
      <c r="C51" s="31">
        <f t="shared" si="5"/>
        <v>105.30233756518075</v>
      </c>
      <c r="D51" s="31">
        <f t="shared" si="6"/>
        <v>4.0042308978723309</v>
      </c>
      <c r="E51" s="31">
        <v>76.864738725675068</v>
      </c>
      <c r="F51" s="31">
        <v>11.296677097803938</v>
      </c>
      <c r="G51" s="31"/>
      <c r="H51" s="31"/>
      <c r="I51" s="31"/>
      <c r="J51" s="31"/>
      <c r="L51" s="22">
        <f>'Oil supply projection'!$B51</f>
        <v>2060</v>
      </c>
      <c r="M51" s="157">
        <f ca="1"/>
        <v>0</v>
      </c>
      <c r="N51" s="157" t="e">
        <f ca="1"/>
        <v>#DIV/0!</v>
      </c>
      <c r="O51" s="135" t="e">
        <f t="shared" ca="1" si="0"/>
        <v>#DIV/0!</v>
      </c>
      <c r="P51" s="157">
        <f ca="1"/>
        <v>0</v>
      </c>
      <c r="Q51" s="157" t="e">
        <f ca="1"/>
        <v>#DIV/0!</v>
      </c>
      <c r="R51" s="135" t="e">
        <f t="shared" ca="1" si="1"/>
        <v>#DIV/0!</v>
      </c>
      <c r="S51" s="157" t="e">
        <f ca="1"/>
        <v>#DIV/0!</v>
      </c>
      <c r="T51" s="157" t="e">
        <f ca="1"/>
        <v>#DIV/0!</v>
      </c>
      <c r="U51" s="135" t="e">
        <f t="shared" ca="1" si="2"/>
        <v>#DIV/0!</v>
      </c>
      <c r="V51" s="157">
        <f ca="1"/>
        <v>0</v>
      </c>
      <c r="W51" s="157" t="e">
        <f ca="1"/>
        <v>#DIV/0!</v>
      </c>
      <c r="X51" s="135" t="e">
        <f t="shared" ca="1" si="3"/>
        <v>#DIV/0!</v>
      </c>
      <c r="Y51" s="140" t="e">
        <f t="shared" ca="1" si="4"/>
        <v>#DIV/0!</v>
      </c>
    </row>
    <row r="52" spans="1:25" ht="15" customHeight="1">
      <c r="A52" s="17"/>
      <c r="B52" s="22">
        <f>'Oil supply projection'!$B52</f>
        <v>2061</v>
      </c>
      <c r="C52" s="31">
        <f t="shared" si="5"/>
        <v>105.94451916075562</v>
      </c>
      <c r="D52" s="31">
        <f t="shared" si="6"/>
        <v>4.0159446709315096</v>
      </c>
      <c r="E52" s="31">
        <v>77.986369463096651</v>
      </c>
      <c r="F52" s="31">
        <v>11.317841976967058</v>
      </c>
      <c r="G52" s="31"/>
      <c r="H52" s="31"/>
      <c r="I52" s="31"/>
      <c r="J52" s="31"/>
      <c r="L52" s="22">
        <f>'Oil supply projection'!$B52</f>
        <v>2061</v>
      </c>
      <c r="M52" s="157">
        <f ca="1"/>
        <v>0</v>
      </c>
      <c r="N52" s="157" t="e">
        <f ca="1"/>
        <v>#DIV/0!</v>
      </c>
      <c r="O52" s="135" t="e">
        <f t="shared" ca="1" si="0"/>
        <v>#DIV/0!</v>
      </c>
      <c r="P52" s="157">
        <f ca="1"/>
        <v>0</v>
      </c>
      <c r="Q52" s="157" t="e">
        <f ca="1"/>
        <v>#DIV/0!</v>
      </c>
      <c r="R52" s="135" t="e">
        <f t="shared" ca="1" si="1"/>
        <v>#DIV/0!</v>
      </c>
      <c r="S52" s="157" t="e">
        <f ca="1"/>
        <v>#DIV/0!</v>
      </c>
      <c r="T52" s="157" t="e">
        <f ca="1"/>
        <v>#DIV/0!</v>
      </c>
      <c r="U52" s="135" t="e">
        <f t="shared" ca="1" si="2"/>
        <v>#DIV/0!</v>
      </c>
      <c r="V52" s="157">
        <f ca="1"/>
        <v>0</v>
      </c>
      <c r="W52" s="157" t="e">
        <f ca="1"/>
        <v>#DIV/0!</v>
      </c>
      <c r="X52" s="135" t="e">
        <f t="shared" ca="1" si="3"/>
        <v>#DIV/0!</v>
      </c>
      <c r="Y52" s="140" t="e">
        <f t="shared" ca="1" si="4"/>
        <v>#DIV/0!</v>
      </c>
    </row>
    <row r="53" spans="1:25" ht="15" customHeight="1">
      <c r="A53" s="16"/>
      <c r="B53" s="22">
        <f>'Oil supply projection'!$B53</f>
        <v>2062</v>
      </c>
      <c r="C53" s="31">
        <f t="shared" si="5"/>
        <v>106.59061707206696</v>
      </c>
      <c r="D53" s="31">
        <f t="shared" si="6"/>
        <v>4.0276927108655975</v>
      </c>
      <c r="E53" s="31">
        <v>79.124367334941454</v>
      </c>
      <c r="F53" s="31">
        <v>11.3390465095704</v>
      </c>
      <c r="G53" s="31"/>
      <c r="H53" s="31"/>
      <c r="I53" s="31"/>
      <c r="J53" s="31"/>
      <c r="L53" s="22">
        <f>'Oil supply projection'!$B53</f>
        <v>2062</v>
      </c>
      <c r="M53" s="157">
        <f ca="1"/>
        <v>0</v>
      </c>
      <c r="N53" s="157" t="e">
        <f ca="1"/>
        <v>#DIV/0!</v>
      </c>
      <c r="O53" s="135" t="e">
        <f t="shared" ca="1" si="0"/>
        <v>#DIV/0!</v>
      </c>
      <c r="P53" s="157">
        <f ca="1"/>
        <v>0</v>
      </c>
      <c r="Q53" s="157" t="e">
        <f ca="1"/>
        <v>#DIV/0!</v>
      </c>
      <c r="R53" s="135" t="e">
        <f t="shared" ca="1" si="1"/>
        <v>#DIV/0!</v>
      </c>
      <c r="S53" s="157" t="e">
        <f ca="1"/>
        <v>#DIV/0!</v>
      </c>
      <c r="T53" s="157" t="e">
        <f ca="1"/>
        <v>#DIV/0!</v>
      </c>
      <c r="U53" s="135" t="e">
        <f t="shared" ca="1" si="2"/>
        <v>#DIV/0!</v>
      </c>
      <c r="V53" s="157">
        <f ca="1"/>
        <v>0</v>
      </c>
      <c r="W53" s="157" t="e">
        <f ca="1"/>
        <v>#DIV/0!</v>
      </c>
      <c r="X53" s="135" t="e">
        <f t="shared" ca="1" si="3"/>
        <v>#DIV/0!</v>
      </c>
      <c r="Y53" s="140" t="e">
        <f t="shared" ca="1" si="4"/>
        <v>#DIV/0!</v>
      </c>
    </row>
    <row r="54" spans="1:25" ht="15" customHeight="1">
      <c r="A54" s="16"/>
      <c r="B54" s="22">
        <f>'Oil supply projection'!$B54</f>
        <v>2063</v>
      </c>
      <c r="C54" s="31">
        <f t="shared" si="5"/>
        <v>107.24065518259114</v>
      </c>
      <c r="D54" s="31">
        <f t="shared" si="6"/>
        <v>4.0394751179171635</v>
      </c>
      <c r="E54" s="31">
        <v>80.278971174793739</v>
      </c>
      <c r="F54" s="31">
        <v>11.360290769906628</v>
      </c>
      <c r="G54" s="31"/>
      <c r="H54" s="31"/>
      <c r="I54" s="31"/>
      <c r="J54" s="31"/>
      <c r="L54" s="22">
        <f>'Oil supply projection'!$B54</f>
        <v>2063</v>
      </c>
      <c r="M54" s="157">
        <f ca="1"/>
        <v>0</v>
      </c>
      <c r="N54" s="157" t="e">
        <f ca="1"/>
        <v>#DIV/0!</v>
      </c>
      <c r="O54" s="135" t="e">
        <f t="shared" ca="1" si="0"/>
        <v>#DIV/0!</v>
      </c>
      <c r="P54" s="157">
        <f ca="1"/>
        <v>0</v>
      </c>
      <c r="Q54" s="157" t="e">
        <f ca="1"/>
        <v>#DIV/0!</v>
      </c>
      <c r="R54" s="135" t="e">
        <f t="shared" ca="1" si="1"/>
        <v>#DIV/0!</v>
      </c>
      <c r="S54" s="157" t="e">
        <f ca="1"/>
        <v>#DIV/0!</v>
      </c>
      <c r="T54" s="157" t="e">
        <f ca="1"/>
        <v>#DIV/0!</v>
      </c>
      <c r="U54" s="135" t="e">
        <f t="shared" ca="1" si="2"/>
        <v>#DIV/0!</v>
      </c>
      <c r="V54" s="157">
        <f ca="1"/>
        <v>0</v>
      </c>
      <c r="W54" s="157" t="e">
        <f ca="1"/>
        <v>#DIV/0!</v>
      </c>
      <c r="X54" s="135" t="e">
        <f t="shared" ca="1" si="3"/>
        <v>#DIV/0!</v>
      </c>
      <c r="Y54" s="140" t="e">
        <f t="shared" ca="1" si="4"/>
        <v>#DIV/0!</v>
      </c>
    </row>
    <row r="55" spans="1:25" ht="15" customHeight="1">
      <c r="A55" s="16"/>
      <c r="B55" s="22">
        <f>'Oil supply projection'!$B55</f>
        <v>2064</v>
      </c>
      <c r="C55" s="31">
        <f t="shared" si="5"/>
        <v>107.89465752145681</v>
      </c>
      <c r="D55" s="31">
        <f t="shared" si="6"/>
        <v>4.0512919926220228</v>
      </c>
      <c r="E55" s="31">
        <v>81.450423301361013</v>
      </c>
      <c r="F55" s="31">
        <v>11.381574832407603</v>
      </c>
      <c r="G55" s="31"/>
      <c r="H55" s="31"/>
      <c r="I55" s="31"/>
      <c r="J55" s="31"/>
      <c r="L55" s="22">
        <f>'Oil supply projection'!$B55</f>
        <v>2064</v>
      </c>
      <c r="M55" s="157">
        <f ca="1"/>
        <v>0</v>
      </c>
      <c r="N55" s="157" t="e">
        <f ca="1"/>
        <v>#DIV/0!</v>
      </c>
      <c r="O55" s="135" t="e">
        <f t="shared" ca="1" si="0"/>
        <v>#DIV/0!</v>
      </c>
      <c r="P55" s="157">
        <f ca="1"/>
        <v>0</v>
      </c>
      <c r="Q55" s="157" t="e">
        <f ca="1"/>
        <v>#DIV/0!</v>
      </c>
      <c r="R55" s="135" t="e">
        <f t="shared" ca="1" si="1"/>
        <v>#DIV/0!</v>
      </c>
      <c r="S55" s="157" t="e">
        <f ca="1"/>
        <v>#DIV/0!</v>
      </c>
      <c r="T55" s="157" t="e">
        <f ca="1"/>
        <v>#DIV/0!</v>
      </c>
      <c r="U55" s="135" t="e">
        <f t="shared" ca="1" si="2"/>
        <v>#DIV/0!</v>
      </c>
      <c r="V55" s="157">
        <f ca="1"/>
        <v>0</v>
      </c>
      <c r="W55" s="157" t="e">
        <f ca="1"/>
        <v>#DIV/0!</v>
      </c>
      <c r="X55" s="135" t="e">
        <f t="shared" ca="1" si="3"/>
        <v>#DIV/0!</v>
      </c>
      <c r="Y55" s="140" t="e">
        <f t="shared" ca="1" si="4"/>
        <v>#DIV/0!</v>
      </c>
    </row>
    <row r="56" spans="1:25" ht="15" customHeight="1">
      <c r="A56" s="16"/>
      <c r="B56" s="22">
        <f>'Oil supply projection'!$B56</f>
        <v>2065</v>
      </c>
      <c r="C56" s="31">
        <f t="shared" si="5"/>
        <v>108.55264826433319</v>
      </c>
      <c r="D56" s="31">
        <f t="shared" si="6"/>
        <v>4.0631434358100913</v>
      </c>
      <c r="E56" s="31">
        <v>82.638969569329916</v>
      </c>
      <c r="F56" s="31">
        <v>11.402898771644633</v>
      </c>
      <c r="G56" s="31"/>
      <c r="H56" s="31"/>
      <c r="I56" s="31"/>
      <c r="J56" s="31"/>
      <c r="L56" s="22">
        <f>'Oil supply projection'!$B56</f>
        <v>2065</v>
      </c>
      <c r="M56" s="157">
        <f ca="1"/>
        <v>0</v>
      </c>
      <c r="N56" s="157" t="e">
        <f ca="1"/>
        <v>#DIV/0!</v>
      </c>
      <c r="O56" s="135" t="e">
        <f t="shared" ca="1" si="0"/>
        <v>#DIV/0!</v>
      </c>
      <c r="P56" s="157">
        <f ca="1"/>
        <v>0</v>
      </c>
      <c r="Q56" s="157" t="e">
        <f ca="1"/>
        <v>#DIV/0!</v>
      </c>
      <c r="R56" s="135" t="e">
        <f t="shared" ca="1" si="1"/>
        <v>#DIV/0!</v>
      </c>
      <c r="S56" s="157" t="e">
        <f ca="1"/>
        <v>#DIV/0!</v>
      </c>
      <c r="T56" s="157" t="e">
        <f ca="1"/>
        <v>#DIV/0!</v>
      </c>
      <c r="U56" s="135" t="e">
        <f t="shared" ca="1" si="2"/>
        <v>#DIV/0!</v>
      </c>
      <c r="V56" s="157">
        <f ca="1"/>
        <v>0</v>
      </c>
      <c r="W56" s="157" t="e">
        <f ca="1"/>
        <v>#DIV/0!</v>
      </c>
      <c r="X56" s="135" t="e">
        <f t="shared" ca="1" si="3"/>
        <v>#DIV/0!</v>
      </c>
      <c r="Y56" s="140" t="e">
        <f t="shared" ca="1" si="4"/>
        <v>#DIV/0!</v>
      </c>
    </row>
    <row r="57" spans="1:25" ht="15" customHeight="1">
      <c r="A57" s="16"/>
      <c r="B57" s="22">
        <f>'Oil supply projection'!$B57</f>
        <v>2066</v>
      </c>
      <c r="C57" s="31">
        <f t="shared" si="5"/>
        <v>109.21465173432374</v>
      </c>
      <c r="D57" s="31">
        <f t="shared" si="6"/>
        <v>4.07502954860625</v>
      </c>
      <c r="E57" s="31">
        <v>83.844859420964141</v>
      </c>
      <c r="F57" s="31">
        <v>11.424262662328742</v>
      </c>
      <c r="G57" s="31"/>
      <c r="H57" s="31"/>
      <c r="I57" s="31"/>
      <c r="J57" s="31"/>
      <c r="L57" s="22">
        <f>'Oil supply projection'!$B57</f>
        <v>2066</v>
      </c>
      <c r="M57" s="157">
        <f ca="1"/>
        <v>0</v>
      </c>
      <c r="N57" s="157" t="e">
        <f ca="1"/>
        <v>#DIV/0!</v>
      </c>
      <c r="O57" s="135" t="e">
        <f t="shared" ca="1" si="0"/>
        <v>#DIV/0!</v>
      </c>
      <c r="P57" s="157">
        <f ca="1"/>
        <v>0</v>
      </c>
      <c r="Q57" s="157" t="e">
        <f ca="1"/>
        <v>#DIV/0!</v>
      </c>
      <c r="R57" s="135" t="e">
        <f t="shared" ca="1" si="1"/>
        <v>#DIV/0!</v>
      </c>
      <c r="S57" s="157" t="e">
        <f ca="1"/>
        <v>#DIV/0!</v>
      </c>
      <c r="T57" s="157" t="e">
        <f ca="1"/>
        <v>#DIV/0!</v>
      </c>
      <c r="U57" s="135" t="e">
        <f t="shared" ca="1" si="2"/>
        <v>#DIV/0!</v>
      </c>
      <c r="V57" s="157">
        <f ca="1"/>
        <v>0</v>
      </c>
      <c r="W57" s="157" t="e">
        <f ca="1"/>
        <v>#DIV/0!</v>
      </c>
      <c r="X57" s="135" t="e">
        <f t="shared" ca="1" si="3"/>
        <v>#DIV/0!</v>
      </c>
      <c r="Y57" s="140" t="e">
        <f t="shared" ca="1" si="4"/>
        <v>#DIV/0!</v>
      </c>
    </row>
    <row r="58" spans="1:25" ht="15" customHeight="1">
      <c r="A58" s="16"/>
      <c r="B58" s="22">
        <f>'Oil supply projection'!$B58</f>
        <v>2067</v>
      </c>
      <c r="C58" s="31">
        <f t="shared" si="5"/>
        <v>109.88069240286529</v>
      </c>
      <c r="D58" s="31">
        <f t="shared" si="6"/>
        <v>4.0869504324312027</v>
      </c>
      <c r="E58" s="31">
        <v>85.068345938455309</v>
      </c>
      <c r="F58" s="31">
        <v>11.445666579310926</v>
      </c>
      <c r="G58" s="31"/>
      <c r="H58" s="31"/>
      <c r="I58" s="31"/>
      <c r="J58" s="31"/>
      <c r="L58" s="22">
        <f>'Oil supply projection'!$B58</f>
        <v>2067</v>
      </c>
      <c r="M58" s="157">
        <f ca="1"/>
        <v>0</v>
      </c>
      <c r="N58" s="157" t="e">
        <f ca="1"/>
        <v>#DIV/0!</v>
      </c>
      <c r="O58" s="135" t="e">
        <f t="shared" ca="1" si="0"/>
        <v>#DIV/0!</v>
      </c>
      <c r="P58" s="157">
        <f ca="1"/>
        <v>0</v>
      </c>
      <c r="Q58" s="157" t="e">
        <f ca="1"/>
        <v>#DIV/0!</v>
      </c>
      <c r="R58" s="135" t="e">
        <f t="shared" ca="1" si="1"/>
        <v>#DIV/0!</v>
      </c>
      <c r="S58" s="157" t="e">
        <f ca="1"/>
        <v>#DIV/0!</v>
      </c>
      <c r="T58" s="157" t="e">
        <f ca="1"/>
        <v>#DIV/0!</v>
      </c>
      <c r="U58" s="135" t="e">
        <f t="shared" ca="1" si="2"/>
        <v>#DIV/0!</v>
      </c>
      <c r="V58" s="157">
        <f ca="1"/>
        <v>0</v>
      </c>
      <c r="W58" s="157" t="e">
        <f ca="1"/>
        <v>#DIV/0!</v>
      </c>
      <c r="X58" s="135" t="e">
        <f t="shared" ca="1" si="3"/>
        <v>#DIV/0!</v>
      </c>
      <c r="Y58" s="140" t="e">
        <f t="shared" ca="1" si="4"/>
        <v>#DIV/0!</v>
      </c>
    </row>
    <row r="59" spans="1:25" ht="15" customHeight="1">
      <c r="A59" s="16"/>
      <c r="B59" s="22">
        <f>'Oil supply projection'!$B59</f>
        <v>2068</v>
      </c>
      <c r="C59" s="31">
        <f t="shared" si="5"/>
        <v>110.55079489063262</v>
      </c>
      <c r="D59" s="31">
        <f t="shared" si="6"/>
        <v>4.0989061890023466</v>
      </c>
      <c r="E59" s="31">
        <v>86.309685897037809</v>
      </c>
      <c r="F59" s="31">
        <v>11.467110597582421</v>
      </c>
      <c r="G59" s="31"/>
      <c r="H59" s="31"/>
      <c r="I59" s="31"/>
      <c r="J59" s="31"/>
      <c r="L59" s="22">
        <f>'Oil supply projection'!$B59</f>
        <v>2068</v>
      </c>
      <c r="M59" s="157">
        <f ca="1"/>
        <v>0</v>
      </c>
      <c r="N59" s="157" t="e">
        <f ca="1"/>
        <v>#DIV/0!</v>
      </c>
      <c r="O59" s="135" t="e">
        <f t="shared" ca="1" si="0"/>
        <v>#DIV/0!</v>
      </c>
      <c r="P59" s="157">
        <f ca="1"/>
        <v>0</v>
      </c>
      <c r="Q59" s="157" t="e">
        <f ca="1"/>
        <v>#DIV/0!</v>
      </c>
      <c r="R59" s="135" t="e">
        <f t="shared" ca="1" si="1"/>
        <v>#DIV/0!</v>
      </c>
      <c r="S59" s="157" t="e">
        <f ca="1"/>
        <v>#DIV/0!</v>
      </c>
      <c r="T59" s="157" t="e">
        <f ca="1"/>
        <v>#DIV/0!</v>
      </c>
      <c r="U59" s="135" t="e">
        <f t="shared" ca="1" si="2"/>
        <v>#DIV/0!</v>
      </c>
      <c r="V59" s="157">
        <f ca="1"/>
        <v>0</v>
      </c>
      <c r="W59" s="157" t="e">
        <f ca="1"/>
        <v>#DIV/0!</v>
      </c>
      <c r="X59" s="135" t="e">
        <f t="shared" ca="1" si="3"/>
        <v>#DIV/0!</v>
      </c>
      <c r="Y59" s="140" t="e">
        <f t="shared" ca="1" si="4"/>
        <v>#DIV/0!</v>
      </c>
    </row>
    <row r="60" spans="1:25" ht="15" customHeight="1">
      <c r="A60" s="16"/>
      <c r="B60" s="22">
        <f>'Oil supply projection'!$B60</f>
        <v>2069</v>
      </c>
      <c r="C60" s="31">
        <f t="shared" si="5"/>
        <v>111.2249839684486</v>
      </c>
      <c r="D60" s="31">
        <f t="shared" si="6"/>
        <v>4.1108969203346355</v>
      </c>
      <c r="E60" s="31">
        <v>87.569139818878611</v>
      </c>
      <c r="F60" s="31">
        <v>11.488594792274959</v>
      </c>
      <c r="G60" s="31"/>
      <c r="H60" s="31"/>
      <c r="I60" s="31"/>
      <c r="J60" s="31"/>
      <c r="L60" s="22">
        <f>'Oil supply projection'!$B60</f>
        <v>2069</v>
      </c>
      <c r="M60" s="157">
        <f ca="1"/>
        <v>0</v>
      </c>
      <c r="N60" s="157" t="e">
        <f ca="1"/>
        <v>#DIV/0!</v>
      </c>
      <c r="O60" s="135" t="e">
        <f t="shared" ca="1" si="0"/>
        <v>#DIV/0!</v>
      </c>
      <c r="P60" s="157">
        <f ca="1"/>
        <v>0</v>
      </c>
      <c r="Q60" s="157" t="e">
        <f ca="1"/>
        <v>#DIV/0!</v>
      </c>
      <c r="R60" s="135" t="e">
        <f t="shared" ca="1" si="1"/>
        <v>#DIV/0!</v>
      </c>
      <c r="S60" s="157" t="e">
        <f ca="1"/>
        <v>#DIV/0!</v>
      </c>
      <c r="T60" s="157" t="e">
        <f ca="1"/>
        <v>#DIV/0!</v>
      </c>
      <c r="U60" s="135" t="e">
        <f t="shared" ca="1" si="2"/>
        <v>#DIV/0!</v>
      </c>
      <c r="V60" s="157">
        <f ca="1"/>
        <v>0</v>
      </c>
      <c r="W60" s="157" t="e">
        <f ca="1"/>
        <v>#DIV/0!</v>
      </c>
      <c r="X60" s="135" t="e">
        <f t="shared" ca="1" si="3"/>
        <v>#DIV/0!</v>
      </c>
      <c r="Y60" s="140" t="e">
        <f t="shared" ca="1" si="4"/>
        <v>#DIV/0!</v>
      </c>
    </row>
    <row r="61" spans="1:25" ht="15" customHeight="1">
      <c r="A61" s="16"/>
      <c r="B61" s="22">
        <f>'Oil supply projection'!$B61</f>
        <v>2070</v>
      </c>
      <c r="C61" s="31">
        <f t="shared" si="5"/>
        <v>111.90328455819984</v>
      </c>
      <c r="D61" s="31">
        <f t="shared" si="6"/>
        <v>4.1229227287414547</v>
      </c>
      <c r="E61" s="31">
        <v>88.846972027753523</v>
      </c>
      <c r="F61" s="31">
        <v>11.510119238661041</v>
      </c>
      <c r="G61" s="31"/>
      <c r="H61" s="31"/>
      <c r="I61" s="31"/>
      <c r="J61" s="31"/>
      <c r="L61" s="22">
        <f>'Oil supply projection'!$B61</f>
        <v>2070</v>
      </c>
      <c r="M61" s="157">
        <f ca="1"/>
        <v>0</v>
      </c>
      <c r="N61" s="157" t="e">
        <f ca="1"/>
        <v>#DIV/0!</v>
      </c>
      <c r="O61" s="135" t="e">
        <f t="shared" ca="1" si="0"/>
        <v>#DIV/0!</v>
      </c>
      <c r="P61" s="157">
        <f ca="1"/>
        <v>0</v>
      </c>
      <c r="Q61" s="157" t="e">
        <f ca="1"/>
        <v>#DIV/0!</v>
      </c>
      <c r="R61" s="135" t="e">
        <f t="shared" ca="1" si="1"/>
        <v>#DIV/0!</v>
      </c>
      <c r="S61" s="157" t="e">
        <f ca="1"/>
        <v>#DIV/0!</v>
      </c>
      <c r="T61" s="157" t="e">
        <f ca="1"/>
        <v>#DIV/0!</v>
      </c>
      <c r="U61" s="135" t="e">
        <f t="shared" ca="1" si="2"/>
        <v>#DIV/0!</v>
      </c>
      <c r="V61" s="157">
        <f ca="1"/>
        <v>0</v>
      </c>
      <c r="W61" s="157" t="e">
        <f ca="1"/>
        <v>#DIV/0!</v>
      </c>
      <c r="X61" s="135" t="e">
        <f t="shared" ca="1" si="3"/>
        <v>#DIV/0!</v>
      </c>
      <c r="Y61" s="140" t="e">
        <f t="shared" ca="1" si="4"/>
        <v>#DIV/0!</v>
      </c>
    </row>
    <row r="62" spans="1:25" ht="15" customHeight="1">
      <c r="A62" s="16"/>
      <c r="B62" s="22">
        <f>'Oil supply projection'!$B62</f>
        <v>2071</v>
      </c>
      <c r="C62" s="31">
        <f t="shared" si="5"/>
        <v>112.58572173375799</v>
      </c>
      <c r="D62" s="31">
        <f t="shared" si="6"/>
        <v>4.1349837168354906</v>
      </c>
      <c r="E62" s="31">
        <v>90.1434507045213</v>
      </c>
      <c r="F62" s="31">
        <v>11.531684012154189</v>
      </c>
      <c r="G62" s="31"/>
      <c r="H62" s="31"/>
      <c r="I62" s="31"/>
      <c r="J62" s="31"/>
      <c r="L62" s="22">
        <f>'Oil supply projection'!$B62</f>
        <v>2071</v>
      </c>
      <c r="M62" s="157">
        <f ca="1"/>
        <v>0</v>
      </c>
      <c r="N62" s="157" t="e">
        <f ca="1"/>
        <v>#DIV/0!</v>
      </c>
      <c r="O62" s="135" t="e">
        <f t="shared" ca="1" si="0"/>
        <v>#DIV/0!</v>
      </c>
      <c r="P62" s="157">
        <f ca="1"/>
        <v>0</v>
      </c>
      <c r="Q62" s="157" t="e">
        <f ca="1"/>
        <v>#DIV/0!</v>
      </c>
      <c r="R62" s="135" t="e">
        <f t="shared" ca="1" si="1"/>
        <v>#DIV/0!</v>
      </c>
      <c r="S62" s="157" t="e">
        <f ca="1"/>
        <v>#DIV/0!</v>
      </c>
      <c r="T62" s="157" t="e">
        <f ca="1"/>
        <v>#DIV/0!</v>
      </c>
      <c r="U62" s="135" t="e">
        <f t="shared" ca="1" si="2"/>
        <v>#DIV/0!</v>
      </c>
      <c r="V62" s="157">
        <f ca="1"/>
        <v>0</v>
      </c>
      <c r="W62" s="157" t="e">
        <f ca="1"/>
        <v>#DIV/0!</v>
      </c>
      <c r="X62" s="135" t="e">
        <f t="shared" ca="1" si="3"/>
        <v>#DIV/0!</v>
      </c>
      <c r="Y62" s="140" t="e">
        <f t="shared" ca="1" si="4"/>
        <v>#DIV/0!</v>
      </c>
    </row>
    <row r="63" spans="1:25" ht="15" customHeight="1">
      <c r="A63" s="16"/>
      <c r="B63" s="22">
        <f>'Oil supply projection'!$B63</f>
        <v>2072</v>
      </c>
      <c r="C63" s="31">
        <f t="shared" si="5"/>
        <v>113.27232072190657</v>
      </c>
      <c r="D63" s="31">
        <f t="shared" si="6"/>
        <v>4.147079987529608</v>
      </c>
      <c r="E63" s="31">
        <v>91.458847943407193</v>
      </c>
      <c r="F63" s="31">
        <v>11.553289188309218</v>
      </c>
      <c r="G63" s="31"/>
      <c r="H63" s="31"/>
      <c r="I63" s="31"/>
      <c r="J63" s="31"/>
      <c r="L63" s="22">
        <f>'Oil supply projection'!$B63</f>
        <v>2072</v>
      </c>
      <c r="M63" s="157">
        <f ca="1"/>
        <v>0</v>
      </c>
      <c r="N63" s="157" t="e">
        <f ca="1"/>
        <v>#DIV/0!</v>
      </c>
      <c r="O63" s="135" t="e">
        <f t="shared" ca="1" si="0"/>
        <v>#DIV/0!</v>
      </c>
      <c r="P63" s="157">
        <f ca="1"/>
        <v>0</v>
      </c>
      <c r="Q63" s="157" t="e">
        <f ca="1"/>
        <v>#DIV/0!</v>
      </c>
      <c r="R63" s="135" t="e">
        <f t="shared" ca="1" si="1"/>
        <v>#DIV/0!</v>
      </c>
      <c r="S63" s="157" t="e">
        <f ca="1"/>
        <v>#DIV/0!</v>
      </c>
      <c r="T63" s="157" t="e">
        <f ca="1"/>
        <v>#DIV/0!</v>
      </c>
      <c r="U63" s="135" t="e">
        <f t="shared" ca="1" si="2"/>
        <v>#DIV/0!</v>
      </c>
      <c r="V63" s="157">
        <f ca="1"/>
        <v>0</v>
      </c>
      <c r="W63" s="157" t="e">
        <f ca="1"/>
        <v>#DIV/0!</v>
      </c>
      <c r="X63" s="135" t="e">
        <f t="shared" ca="1" si="3"/>
        <v>#DIV/0!</v>
      </c>
      <c r="Y63" s="140" t="e">
        <f t="shared" ca="1" si="4"/>
        <v>#DIV/0!</v>
      </c>
    </row>
    <row r="64" spans="1:25" ht="15" customHeight="1">
      <c r="A64" s="16"/>
      <c r="B64" s="22">
        <f>'Oil supply projection'!$B64</f>
        <v>2073</v>
      </c>
      <c r="C64" s="31">
        <f t="shared" si="5"/>
        <v>113.96310690327348</v>
      </c>
      <c r="D64" s="31">
        <f t="shared" si="6"/>
        <v>4.1592116440377271</v>
      </c>
      <c r="E64" s="31">
        <v>92.793439809107852</v>
      </c>
      <c r="F64" s="31">
        <v>11.574934842822499</v>
      </c>
      <c r="G64" s="31"/>
      <c r="H64" s="31"/>
      <c r="I64" s="31"/>
      <c r="J64" s="31"/>
      <c r="L64" s="22">
        <f>'Oil supply projection'!$B64</f>
        <v>2073</v>
      </c>
      <c r="M64" s="157">
        <f ca="1"/>
        <v>0</v>
      </c>
      <c r="N64" s="157" t="e">
        <f ca="1"/>
        <v>#DIV/0!</v>
      </c>
      <c r="O64" s="135" t="e">
        <f t="shared" ca="1" si="0"/>
        <v>#DIV/0!</v>
      </c>
      <c r="P64" s="157">
        <f ca="1"/>
        <v>0</v>
      </c>
      <c r="Q64" s="157" t="e">
        <f ca="1"/>
        <v>#DIV/0!</v>
      </c>
      <c r="R64" s="135" t="e">
        <f t="shared" ca="1" si="1"/>
        <v>#DIV/0!</v>
      </c>
      <c r="S64" s="157" t="e">
        <f ca="1"/>
        <v>#DIV/0!</v>
      </c>
      <c r="T64" s="157" t="e">
        <f ca="1"/>
        <v>#DIV/0!</v>
      </c>
      <c r="U64" s="135" t="e">
        <f t="shared" ca="1" si="2"/>
        <v>#DIV/0!</v>
      </c>
      <c r="V64" s="157">
        <f ca="1"/>
        <v>0</v>
      </c>
      <c r="W64" s="157" t="e">
        <f ca="1"/>
        <v>#DIV/0!</v>
      </c>
      <c r="X64" s="135" t="e">
        <f t="shared" ca="1" si="3"/>
        <v>#DIV/0!</v>
      </c>
      <c r="Y64" s="140" t="e">
        <f t="shared" ca="1" si="4"/>
        <v>#DIV/0!</v>
      </c>
    </row>
    <row r="65" spans="1:25" ht="15" customHeight="1">
      <c r="A65" s="16"/>
      <c r="B65" s="22">
        <f>'Oil supply projection'!$B65</f>
        <v>2074</v>
      </c>
      <c r="C65" s="31">
        <f t="shared" si="5"/>
        <v>114.6581058132693</v>
      </c>
      <c r="D65" s="31">
        <f t="shared" si="6"/>
        <v>4.171378789875706</v>
      </c>
      <c r="E65" s="31">
        <v>94.147506394729504</v>
      </c>
      <c r="F65" s="31">
        <v>11.596621051532223</v>
      </c>
      <c r="G65" s="31"/>
      <c r="H65" s="31"/>
      <c r="I65" s="31"/>
      <c r="J65" s="31"/>
      <c r="L65" s="22">
        <f>'Oil supply projection'!$B65</f>
        <v>2074</v>
      </c>
      <c r="M65" s="157">
        <f ca="1"/>
        <v>0</v>
      </c>
      <c r="N65" s="157" t="e">
        <f ca="1"/>
        <v>#DIV/0!</v>
      </c>
      <c r="O65" s="135" t="e">
        <f t="shared" ca="1" si="0"/>
        <v>#DIV/0!</v>
      </c>
      <c r="P65" s="157">
        <f ca="1"/>
        <v>0</v>
      </c>
      <c r="Q65" s="157" t="e">
        <f ca="1"/>
        <v>#DIV/0!</v>
      </c>
      <c r="R65" s="135" t="e">
        <f t="shared" ca="1" si="1"/>
        <v>#DIV/0!</v>
      </c>
      <c r="S65" s="157" t="e">
        <f ca="1"/>
        <v>#DIV/0!</v>
      </c>
      <c r="T65" s="157" t="e">
        <f ca="1"/>
        <v>#DIV/0!</v>
      </c>
      <c r="U65" s="135" t="e">
        <f t="shared" ca="1" si="2"/>
        <v>#DIV/0!</v>
      </c>
      <c r="V65" s="157">
        <f ca="1"/>
        <v>0</v>
      </c>
      <c r="W65" s="157" t="e">
        <f ca="1"/>
        <v>#DIV/0!</v>
      </c>
      <c r="X65" s="135" t="e">
        <f t="shared" ca="1" si="3"/>
        <v>#DIV/0!</v>
      </c>
      <c r="Y65" s="140" t="e">
        <f t="shared" ca="1" si="4"/>
        <v>#DIV/0!</v>
      </c>
    </row>
    <row r="66" spans="1:25" ht="15" customHeight="1">
      <c r="A66" s="16"/>
      <c r="B66" s="22">
        <f>'Oil supply projection'!$B66</f>
        <v>2075</v>
      </c>
      <c r="C66" s="31">
        <f t="shared" si="5"/>
        <v>115.35734314303114</v>
      </c>
      <c r="D66" s="31">
        <f t="shared" si="6"/>
        <v>4.1835815288622218</v>
      </c>
      <c r="E66" s="31">
        <v>95.521331880571566</v>
      </c>
      <c r="F66" s="31">
        <v>11.618347890418667</v>
      </c>
      <c r="G66" s="31"/>
      <c r="H66" s="31"/>
      <c r="I66" s="31"/>
      <c r="J66" s="31"/>
      <c r="L66" s="22">
        <f>'Oil supply projection'!$B66</f>
        <v>2075</v>
      </c>
      <c r="M66" s="157">
        <f ca="1"/>
        <v>0</v>
      </c>
      <c r="N66" s="157" t="e">
        <f ca="1"/>
        <v>#DIV/0!</v>
      </c>
      <c r="O66" s="135" t="e">
        <f t="shared" ca="1" si="0"/>
        <v>#DIV/0!</v>
      </c>
      <c r="P66" s="157">
        <f ca="1"/>
        <v>0</v>
      </c>
      <c r="Q66" s="157" t="e">
        <f ca="1"/>
        <v>#DIV/0!</v>
      </c>
      <c r="R66" s="135" t="e">
        <f t="shared" ca="1" si="1"/>
        <v>#DIV/0!</v>
      </c>
      <c r="S66" s="157" t="e">
        <f ca="1"/>
        <v>#DIV/0!</v>
      </c>
      <c r="T66" s="157" t="e">
        <f ca="1"/>
        <v>#DIV/0!</v>
      </c>
      <c r="U66" s="135" t="e">
        <f t="shared" ca="1" si="2"/>
        <v>#DIV/0!</v>
      </c>
      <c r="V66" s="157">
        <f ca="1"/>
        <v>0</v>
      </c>
      <c r="W66" s="157" t="e">
        <f ca="1"/>
        <v>#DIV/0!</v>
      </c>
      <c r="X66" s="135" t="e">
        <f t="shared" ca="1" si="3"/>
        <v>#DIV/0!</v>
      </c>
      <c r="Y66" s="140" t="e">
        <f t="shared" ca="1" si="4"/>
        <v>#DIV/0!</v>
      </c>
    </row>
    <row r="67" spans="1:25" ht="15" customHeight="1">
      <c r="A67" s="16"/>
      <c r="B67" s="22">
        <f>'Oil supply projection'!$B67</f>
        <v>2076</v>
      </c>
      <c r="C67" s="31">
        <f t="shared" si="5"/>
        <v>116.06084474037236</v>
      </c>
      <c r="D67" s="31">
        <f t="shared" si="6"/>
        <v>4.1958199651196573</v>
      </c>
      <c r="E67" s="31">
        <v>96.915204593768081</v>
      </c>
      <c r="F67" s="31">
        <v>11.640115435604464</v>
      </c>
      <c r="G67" s="31"/>
      <c r="H67" s="31"/>
      <c r="I67" s="31"/>
      <c r="J67" s="31"/>
      <c r="L67" s="22">
        <f>'Oil supply projection'!$B67</f>
        <v>2076</v>
      </c>
      <c r="M67" s="157">
        <f ca="1"/>
        <v>0</v>
      </c>
      <c r="N67" s="157" t="e">
        <f ca="1"/>
        <v>#DIV/0!</v>
      </c>
      <c r="O67" s="135" t="e">
        <f t="shared" ca="1" si="0"/>
        <v>#DIV/0!</v>
      </c>
      <c r="P67" s="157">
        <f ca="1"/>
        <v>0</v>
      </c>
      <c r="Q67" s="157" t="e">
        <f ca="1"/>
        <v>#DIV/0!</v>
      </c>
      <c r="R67" s="135" t="e">
        <f t="shared" ca="1" si="1"/>
        <v>#DIV/0!</v>
      </c>
      <c r="S67" s="157" t="e">
        <f ca="1"/>
        <v>#DIV/0!</v>
      </c>
      <c r="T67" s="157" t="e">
        <f ca="1"/>
        <v>#DIV/0!</v>
      </c>
      <c r="U67" s="135" t="e">
        <f t="shared" ca="1" si="2"/>
        <v>#DIV/0!</v>
      </c>
      <c r="V67" s="157">
        <f ca="1"/>
        <v>0</v>
      </c>
      <c r="W67" s="157" t="e">
        <f ca="1"/>
        <v>#DIV/0!</v>
      </c>
      <c r="X67" s="135" t="e">
        <f t="shared" ca="1" si="3"/>
        <v>#DIV/0!</v>
      </c>
      <c r="Y67" s="140" t="e">
        <f t="shared" ca="1" si="4"/>
        <v>#DIV/0!</v>
      </c>
    </row>
    <row r="68" spans="1:25" ht="15" customHeight="1">
      <c r="A68" s="16"/>
      <c r="B68" s="22">
        <f>'Oil supply projection'!$B68</f>
        <v>2077</v>
      </c>
      <c r="C68" s="31">
        <f t="shared" si="5"/>
        <v>116.76863661073806</v>
      </c>
      <c r="D68" s="31">
        <f t="shared" si="6"/>
        <v>4.2080942030749906</v>
      </c>
      <c r="E68" s="31">
        <v>98.329417068799387</v>
      </c>
      <c r="F68" s="31">
        <v>11.661923763354864</v>
      </c>
      <c r="G68" s="31"/>
      <c r="H68" s="31"/>
      <c r="I68" s="31"/>
      <c r="J68" s="31"/>
      <c r="L68" s="22">
        <f>'Oil supply projection'!$B68</f>
        <v>2077</v>
      </c>
      <c r="M68" s="157">
        <f ca="1"/>
        <v>0</v>
      </c>
      <c r="N68" s="157" t="e">
        <f ca="1"/>
        <v>#DIV/0!</v>
      </c>
      <c r="O68" s="135" t="e">
        <f t="shared" ca="1" si="0"/>
        <v>#DIV/0!</v>
      </c>
      <c r="P68" s="157">
        <f ca="1"/>
        <v>0</v>
      </c>
      <c r="Q68" s="157" t="e">
        <f ca="1"/>
        <v>#DIV/0!</v>
      </c>
      <c r="R68" s="135" t="e">
        <f t="shared" ca="1" si="1"/>
        <v>#DIV/0!</v>
      </c>
      <c r="S68" s="157" t="e">
        <f ca="1"/>
        <v>#DIV/0!</v>
      </c>
      <c r="T68" s="157" t="e">
        <f ca="1"/>
        <v>#DIV/0!</v>
      </c>
      <c r="U68" s="135" t="e">
        <f t="shared" ca="1" si="2"/>
        <v>#DIV/0!</v>
      </c>
      <c r="V68" s="157">
        <f ca="1"/>
        <v>0</v>
      </c>
      <c r="W68" s="157" t="e">
        <f ca="1"/>
        <v>#DIV/0!</v>
      </c>
      <c r="X68" s="135" t="e">
        <f t="shared" ca="1" si="3"/>
        <v>#DIV/0!</v>
      </c>
      <c r="Y68" s="140" t="e">
        <f t="shared" ca="1" si="4"/>
        <v>#DIV/0!</v>
      </c>
    </row>
    <row r="69" spans="1:25" ht="15" customHeight="1">
      <c r="A69" s="16"/>
      <c r="B69" s="22">
        <f>'Oil supply projection'!$B69</f>
        <v>2078</v>
      </c>
      <c r="C69" s="31">
        <f t="shared" si="5"/>
        <v>117.48074491816637</v>
      </c>
      <c r="D69" s="31">
        <f t="shared" si="6"/>
        <v>4.2204043474606854</v>
      </c>
      <c r="E69" s="31">
        <v>99.7642661088869</v>
      </c>
      <c r="F69" s="31">
        <v>11.683772950078003</v>
      </c>
      <c r="G69" s="31"/>
      <c r="H69" s="31"/>
      <c r="I69" s="31"/>
      <c r="J69" s="31"/>
      <c r="L69" s="22">
        <f>'Oil supply projection'!$B69</f>
        <v>2078</v>
      </c>
      <c r="M69" s="157">
        <f ca="1"/>
        <v>0</v>
      </c>
      <c r="N69" s="157" t="e">
        <f ca="1"/>
        <v>#DIV/0!</v>
      </c>
      <c r="O69" s="135" t="e">
        <f t="shared" ca="1" si="0"/>
        <v>#DIV/0!</v>
      </c>
      <c r="P69" s="157">
        <f ca="1"/>
        <v>0</v>
      </c>
      <c r="Q69" s="157" t="e">
        <f ca="1"/>
        <v>#DIV/0!</v>
      </c>
      <c r="R69" s="135" t="e">
        <f t="shared" ca="1" si="1"/>
        <v>#DIV/0!</v>
      </c>
      <c r="S69" s="157" t="e">
        <f ca="1"/>
        <v>#DIV/0!</v>
      </c>
      <c r="T69" s="157" t="e">
        <f ca="1"/>
        <v>#DIV/0!</v>
      </c>
      <c r="U69" s="135" t="e">
        <f t="shared" ca="1" si="2"/>
        <v>#DIV/0!</v>
      </c>
      <c r="V69" s="157">
        <f ca="1"/>
        <v>0</v>
      </c>
      <c r="W69" s="157" t="e">
        <f ca="1"/>
        <v>#DIV/0!</v>
      </c>
      <c r="X69" s="135" t="e">
        <f t="shared" ca="1" si="3"/>
        <v>#DIV/0!</v>
      </c>
      <c r="Y69" s="140" t="e">
        <f t="shared" ca="1" si="4"/>
        <v>#DIV/0!</v>
      </c>
    </row>
    <row r="70" spans="1:25" ht="15" customHeight="1">
      <c r="A70" s="16"/>
      <c r="B70" s="22">
        <f>'Oil supply projection'!$B70</f>
        <v>2079</v>
      </c>
      <c r="C70" s="31">
        <f t="shared" si="5"/>
        <v>118.19719598625565</v>
      </c>
      <c r="D70" s="31">
        <f t="shared" si="6"/>
        <v>4.2327505033155823</v>
      </c>
      <c r="E70" s="31">
        <v>101.22005284828366</v>
      </c>
      <c r="F70" s="31">
        <v>11.705663072325173</v>
      </c>
      <c r="G70" s="31"/>
      <c r="H70" s="31"/>
      <c r="I70" s="31"/>
      <c r="J70" s="31"/>
      <c r="L70" s="22">
        <f>'Oil supply projection'!$B70</f>
        <v>2079</v>
      </c>
      <c r="M70" s="157">
        <f ca="1"/>
        <v>0</v>
      </c>
      <c r="N70" s="157" t="e">
        <f ca="1"/>
        <v>#DIV/0!</v>
      </c>
      <c r="O70" s="135" t="e">
        <f t="shared" ca="1" si="0"/>
        <v>#DIV/0!</v>
      </c>
      <c r="P70" s="157">
        <f ca="1"/>
        <v>0</v>
      </c>
      <c r="Q70" s="157" t="e">
        <f ca="1"/>
        <v>#DIV/0!</v>
      </c>
      <c r="R70" s="135" t="e">
        <f t="shared" ca="1" si="1"/>
        <v>#DIV/0!</v>
      </c>
      <c r="S70" s="157" t="e">
        <f ca="1"/>
        <v>#DIV/0!</v>
      </c>
      <c r="T70" s="157" t="e">
        <f ca="1"/>
        <v>#DIV/0!</v>
      </c>
      <c r="U70" s="135" t="e">
        <f t="shared" ca="1" si="2"/>
        <v>#DIV/0!</v>
      </c>
      <c r="V70" s="157">
        <f ca="1"/>
        <v>0</v>
      </c>
      <c r="W70" s="157" t="e">
        <f ca="1"/>
        <v>#DIV/0!</v>
      </c>
      <c r="X70" s="135" t="e">
        <f t="shared" ca="1" si="3"/>
        <v>#DIV/0!</v>
      </c>
      <c r="Y70" s="140" t="e">
        <f t="shared" ca="1" si="4"/>
        <v>#DIV/0!</v>
      </c>
    </row>
    <row r="71" spans="1:25" ht="15" customHeight="1">
      <c r="A71" s="16"/>
      <c r="B71" s="22">
        <f>'Oil supply projection'!$B71</f>
        <v>2080</v>
      </c>
      <c r="C71" s="31">
        <f t="shared" si="5"/>
        <v>118.91801629913755</v>
      </c>
      <c r="D71" s="31">
        <f t="shared" si="6"/>
        <v>4.2451327759858</v>
      </c>
      <c r="E71" s="31">
        <v>102.69708281547392</v>
      </c>
      <c r="F71" s="31">
        <v>11.727594206791087</v>
      </c>
      <c r="G71" s="31"/>
      <c r="H71" s="31"/>
      <c r="I71" s="31"/>
      <c r="J71" s="31"/>
      <c r="L71" s="22">
        <f>'Oil supply projection'!$B71</f>
        <v>2080</v>
      </c>
      <c r="M71" s="157">
        <f ca="1"/>
        <v>0</v>
      </c>
      <c r="N71" s="157" t="e">
        <f ca="1"/>
        <v>#DIV/0!</v>
      </c>
      <c r="O71" s="135" t="e">
        <f t="shared" ca="1" si="0"/>
        <v>#DIV/0!</v>
      </c>
      <c r="P71" s="157">
        <f ca="1"/>
        <v>0</v>
      </c>
      <c r="Q71" s="157" t="e">
        <f ca="1"/>
        <v>#DIV/0!</v>
      </c>
      <c r="R71" s="135" t="e">
        <f t="shared" ca="1" si="1"/>
        <v>#DIV/0!</v>
      </c>
      <c r="S71" s="157" t="e">
        <f ca="1"/>
        <v>#DIV/0!</v>
      </c>
      <c r="T71" s="157" t="e">
        <f ca="1"/>
        <v>#DIV/0!</v>
      </c>
      <c r="U71" s="135" t="e">
        <f t="shared" ca="1" si="2"/>
        <v>#DIV/0!</v>
      </c>
      <c r="V71" s="157">
        <f ca="1"/>
        <v>0</v>
      </c>
      <c r="W71" s="157" t="e">
        <f ca="1"/>
        <v>#DIV/0!</v>
      </c>
      <c r="X71" s="135" t="e">
        <f t="shared" ca="1" si="3"/>
        <v>#DIV/0!</v>
      </c>
      <c r="Y71" s="140" t="e">
        <f t="shared" ca="1" si="4"/>
        <v>#DIV/0!</v>
      </c>
    </row>
    <row r="72" spans="1:25" ht="15" customHeight="1">
      <c r="A72" s="16"/>
      <c r="B72" s="22">
        <f>'Oil supply projection'!$B72</f>
        <v>2081</v>
      </c>
      <c r="C72" s="31">
        <f t="shared" si="5"/>
        <v>119.64323250245599</v>
      </c>
      <c r="D72" s="31">
        <f t="shared" si="6"/>
        <v>4.2575512711256289</v>
      </c>
      <c r="E72" s="31">
        <v>104.19566599729497</v>
      </c>
      <c r="F72" s="31">
        <v>11.749566430314152</v>
      </c>
      <c r="G72" s="31"/>
      <c r="H72" s="31"/>
      <c r="I72" s="31"/>
      <c r="J72" s="31"/>
      <c r="L72" s="22">
        <f>'Oil supply projection'!$B72</f>
        <v>2081</v>
      </c>
      <c r="M72" s="157">
        <f ca="1"/>
        <v>0</v>
      </c>
      <c r="N72" s="157" t="e">
        <f ca="1"/>
        <v>#DIV/0!</v>
      </c>
      <c r="O72" s="135" t="e">
        <f t="shared" ca="1" si="0"/>
        <v>#DIV/0!</v>
      </c>
      <c r="P72" s="157">
        <f ca="1"/>
        <v>0</v>
      </c>
      <c r="Q72" s="157" t="e">
        <f ca="1"/>
        <v>#DIV/0!</v>
      </c>
      <c r="R72" s="135" t="e">
        <f t="shared" ca="1" si="1"/>
        <v>#DIV/0!</v>
      </c>
      <c r="S72" s="157" t="e">
        <f ca="1"/>
        <v>#DIV/0!</v>
      </c>
      <c r="T72" s="157" t="e">
        <f ca="1"/>
        <v>#DIV/0!</v>
      </c>
      <c r="U72" s="135" t="e">
        <f t="shared" ca="1" si="2"/>
        <v>#DIV/0!</v>
      </c>
      <c r="V72" s="157">
        <f ca="1"/>
        <v>0</v>
      </c>
      <c r="W72" s="157" t="e">
        <f ca="1"/>
        <v>#DIV/0!</v>
      </c>
      <c r="X72" s="135" t="e">
        <f t="shared" ca="1" si="3"/>
        <v>#DIV/0!</v>
      </c>
      <c r="Y72" s="140" t="e">
        <f t="shared" ca="1" si="4"/>
        <v>#DIV/0!</v>
      </c>
    </row>
    <row r="73" spans="1:25" ht="15" customHeight="1">
      <c r="A73" s="16"/>
      <c r="B73" s="22">
        <f>'Oil supply projection'!$B73</f>
        <v>2082</v>
      </c>
      <c r="C73" s="31">
        <f t="shared" si="5"/>
        <v>120.37287140435218</v>
      </c>
      <c r="D73" s="31">
        <f t="shared" si="6"/>
        <v>4.2700060946984371</v>
      </c>
      <c r="E73" s="31">
        <v>105.71611690399455</v>
      </c>
      <c r="F73" s="31">
        <v>11.771579819876735</v>
      </c>
      <c r="G73" s="31"/>
      <c r="H73" s="31"/>
      <c r="I73" s="31"/>
      <c r="J73" s="31"/>
      <c r="L73" s="22">
        <f>'Oil supply projection'!$B73</f>
        <v>2082</v>
      </c>
      <c r="M73" s="157">
        <f ca="1"/>
        <v>0</v>
      </c>
      <c r="N73" s="157" t="e">
        <f ca="1"/>
        <v>#DIV/0!</v>
      </c>
      <c r="O73" s="135" t="e">
        <f t="shared" ca="1" si="0"/>
        <v>#DIV/0!</v>
      </c>
      <c r="P73" s="157">
        <f ca="1"/>
        <v>0</v>
      </c>
      <c r="Q73" s="157" t="e">
        <f ca="1"/>
        <v>#DIV/0!</v>
      </c>
      <c r="R73" s="135" t="e">
        <f t="shared" ca="1" si="1"/>
        <v>#DIV/0!</v>
      </c>
      <c r="S73" s="157" t="e">
        <f ca="1"/>
        <v>#DIV/0!</v>
      </c>
      <c r="T73" s="157" t="e">
        <f ca="1"/>
        <v>#DIV/0!</v>
      </c>
      <c r="U73" s="135" t="e">
        <f t="shared" ca="1" si="2"/>
        <v>#DIV/0!</v>
      </c>
      <c r="V73" s="157">
        <f ca="1"/>
        <v>0</v>
      </c>
      <c r="W73" s="157" t="e">
        <f ca="1"/>
        <v>#DIV/0!</v>
      </c>
      <c r="X73" s="135" t="e">
        <f t="shared" ca="1" si="3"/>
        <v>#DIV/0!</v>
      </c>
      <c r="Y73" s="140" t="e">
        <f t="shared" ca="1" si="4"/>
        <v>#DIV/0!</v>
      </c>
    </row>
    <row r="74" spans="1:25" ht="15" customHeight="1">
      <c r="A74" s="16"/>
      <c r="B74" s="22">
        <f>'Oil supply projection'!$B74</f>
        <v>2083</v>
      </c>
      <c r="C74" s="31">
        <f t="shared" si="5"/>
        <v>121.10695997645558</v>
      </c>
      <c r="D74" s="31">
        <f t="shared" si="6"/>
        <v>4.2824973529775701</v>
      </c>
      <c r="E74" s="31">
        <v>107.25875463523771</v>
      </c>
      <c r="F74" s="31">
        <v>11.79363445260543</v>
      </c>
      <c r="G74" s="31"/>
      <c r="H74" s="31"/>
      <c r="I74" s="31"/>
      <c r="J74" s="31"/>
      <c r="L74" s="22">
        <f>'Oil supply projection'!$B74</f>
        <v>2083</v>
      </c>
      <c r="M74" s="157">
        <f ca="1"/>
        <v>0</v>
      </c>
      <c r="N74" s="157" t="e">
        <f ca="1"/>
        <v>#DIV/0!</v>
      </c>
      <c r="O74" s="135" t="e">
        <f t="shared" ca="1" si="0"/>
        <v>#DIV/0!</v>
      </c>
      <c r="P74" s="157">
        <f ca="1"/>
        <v>0</v>
      </c>
      <c r="Q74" s="157" t="e">
        <f ca="1"/>
        <v>#DIV/0!</v>
      </c>
      <c r="R74" s="135" t="e">
        <f t="shared" ca="1" si="1"/>
        <v>#DIV/0!</v>
      </c>
      <c r="S74" s="157" t="e">
        <f ca="1"/>
        <v>#DIV/0!</v>
      </c>
      <c r="T74" s="157" t="e">
        <f ca="1"/>
        <v>#DIV/0!</v>
      </c>
      <c r="U74" s="135" t="e">
        <f t="shared" ca="1" si="2"/>
        <v>#DIV/0!</v>
      </c>
      <c r="V74" s="157">
        <f ca="1"/>
        <v>0</v>
      </c>
      <c r="W74" s="157" t="e">
        <f ca="1"/>
        <v>#DIV/0!</v>
      </c>
      <c r="X74" s="135" t="e">
        <f t="shared" ca="1" si="3"/>
        <v>#DIV/0!</v>
      </c>
      <c r="Y74" s="140" t="e">
        <f t="shared" ca="1" si="4"/>
        <v>#DIV/0!</v>
      </c>
    </row>
    <row r="75" spans="1:25" ht="15" customHeight="1">
      <c r="A75" s="16"/>
      <c r="B75" s="22">
        <f>'Oil supply projection'!$B75</f>
        <v>2084</v>
      </c>
      <c r="C75" s="31">
        <f t="shared" si="5"/>
        <v>121.84552535488093</v>
      </c>
      <c r="D75" s="31">
        <f t="shared" si="6"/>
        <v>4.2950251525472627</v>
      </c>
      <c r="E75" s="31">
        <v>108.82390294707679</v>
      </c>
      <c r="F75" s="31">
        <v>11.815730405771333</v>
      </c>
      <c r="G75" s="31"/>
      <c r="H75" s="31"/>
      <c r="I75" s="31"/>
      <c r="J75" s="31"/>
      <c r="L75" s="22">
        <f>'Oil supply projection'!$B75</f>
        <v>2084</v>
      </c>
      <c r="M75" s="157">
        <f ca="1"/>
        <v>0</v>
      </c>
      <c r="N75" s="157" t="e">
        <f ca="1"/>
        <v>#DIV/0!</v>
      </c>
      <c r="O75" s="135" t="e">
        <f t="shared" ca="1" si="0"/>
        <v>#DIV/0!</v>
      </c>
      <c r="P75" s="157">
        <f ca="1"/>
        <v>0</v>
      </c>
      <c r="Q75" s="157" t="e">
        <f ca="1"/>
        <v>#DIV/0!</v>
      </c>
      <c r="R75" s="135" t="e">
        <f t="shared" ca="1" si="1"/>
        <v>#DIV/0!</v>
      </c>
      <c r="S75" s="157" t="e">
        <f ca="1"/>
        <v>#DIV/0!</v>
      </c>
      <c r="T75" s="157" t="e">
        <f ca="1"/>
        <v>#DIV/0!</v>
      </c>
      <c r="U75" s="135" t="e">
        <f t="shared" ca="1" si="2"/>
        <v>#DIV/0!</v>
      </c>
      <c r="V75" s="157">
        <f ca="1"/>
        <v>0</v>
      </c>
      <c r="W75" s="157" t="e">
        <f ca="1"/>
        <v>#DIV/0!</v>
      </c>
      <c r="X75" s="135" t="e">
        <f t="shared" ca="1" si="3"/>
        <v>#DIV/0!</v>
      </c>
      <c r="Y75" s="140" t="e">
        <f t="shared" ca="1" si="4"/>
        <v>#DIV/0!</v>
      </c>
    </row>
    <row r="76" spans="1:25" ht="15" customHeight="1">
      <c r="A76" s="16"/>
      <c r="B76" s="22">
        <f>'Oil supply projection'!$B76</f>
        <v>2085</v>
      </c>
      <c r="C76" s="31">
        <f t="shared" si="5"/>
        <v>122.58859484123133</v>
      </c>
      <c r="D76" s="31">
        <f t="shared" si="6"/>
        <v>4.3075896003035439</v>
      </c>
      <c r="E76" s="31">
        <v>110.41189031989866</v>
      </c>
      <c r="F76" s="31">
        <v>11.837867756790313</v>
      </c>
      <c r="G76" s="31"/>
      <c r="H76" s="31"/>
      <c r="I76" s="31"/>
      <c r="J76" s="31"/>
      <c r="L76" s="22">
        <f>'Oil supply projection'!$B76</f>
        <v>2085</v>
      </c>
      <c r="M76" s="157">
        <f ca="1"/>
        <v>0</v>
      </c>
      <c r="N76" s="157" t="e">
        <f ca="1"/>
        <v>#DIV/0!</v>
      </c>
      <c r="O76" s="135" t="e">
        <f t="shared" ref="O76:O84" ca="1" si="7">(M76-N76)/AVERAGE(M76:N76)</f>
        <v>#DIV/0!</v>
      </c>
      <c r="P76" s="157">
        <f ca="1"/>
        <v>0</v>
      </c>
      <c r="Q76" s="157" t="e">
        <f ca="1"/>
        <v>#DIV/0!</v>
      </c>
      <c r="R76" s="135" t="e">
        <f t="shared" ref="R76:R84" ca="1" si="8">(P76-Q76)/AVERAGE(P76:Q76)</f>
        <v>#DIV/0!</v>
      </c>
      <c r="S76" s="157" t="e">
        <f ca="1"/>
        <v>#DIV/0!</v>
      </c>
      <c r="T76" s="157" t="e">
        <f ca="1"/>
        <v>#DIV/0!</v>
      </c>
      <c r="U76" s="135" t="e">
        <f t="shared" ca="1" si="2"/>
        <v>#DIV/0!</v>
      </c>
      <c r="V76" s="157">
        <f ca="1"/>
        <v>0</v>
      </c>
      <c r="W76" s="157" t="e">
        <f ca="1"/>
        <v>#DIV/0!</v>
      </c>
      <c r="X76" s="135" t="e">
        <f t="shared" ref="X76:X84" ca="1" si="9">(V76-W76)/AVERAGE(V76:W76)</f>
        <v>#DIV/0!</v>
      </c>
      <c r="Y76" s="140" t="e">
        <f t="shared" ca="1" si="4"/>
        <v>#DIV/0!</v>
      </c>
    </row>
    <row r="77" spans="1:25" ht="15" customHeight="1">
      <c r="A77" s="16"/>
      <c r="B77" s="22">
        <f>'Oil supply projection'!$B77</f>
        <v>2086</v>
      </c>
      <c r="C77" s="31">
        <f t="shared" si="5"/>
        <v>123.33619590360749</v>
      </c>
      <c r="D77" s="31">
        <f t="shared" si="6"/>
        <v>4.3201908034551524</v>
      </c>
      <c r="E77" s="31">
        <v>112.02305002736348</v>
      </c>
      <c r="F77" s="31">
        <v>11.86004658322328</v>
      </c>
      <c r="G77" s="31"/>
      <c r="H77" s="31"/>
      <c r="I77" s="31"/>
      <c r="J77" s="31"/>
      <c r="L77" s="22">
        <f>'Oil supply projection'!$B77</f>
        <v>2086</v>
      </c>
      <c r="M77" s="157">
        <f ca="1"/>
        <v>0</v>
      </c>
      <c r="N77" s="157" t="e">
        <f ca="1"/>
        <v>#DIV/0!</v>
      </c>
      <c r="O77" s="135" t="e">
        <f t="shared" ca="1" si="7"/>
        <v>#DIV/0!</v>
      </c>
      <c r="P77" s="157">
        <f ca="1"/>
        <v>0</v>
      </c>
      <c r="Q77" s="157" t="e">
        <f ca="1"/>
        <v>#DIV/0!</v>
      </c>
      <c r="R77" s="135" t="e">
        <f t="shared" ca="1" si="8"/>
        <v>#DIV/0!</v>
      </c>
      <c r="S77" s="157" t="e">
        <f ca="1"/>
        <v>#DIV/0!</v>
      </c>
      <c r="T77" s="157" t="e">
        <f ca="1"/>
        <v>#DIV/0!</v>
      </c>
      <c r="U77" s="135" t="e">
        <f t="shared" ca="1" si="2"/>
        <v>#DIV/0!</v>
      </c>
      <c r="V77" s="157">
        <f ca="1"/>
        <v>0</v>
      </c>
      <c r="W77" s="157" t="e">
        <f ca="1"/>
        <v>#DIV/0!</v>
      </c>
      <c r="X77" s="135" t="e">
        <f t="shared" ca="1" si="9"/>
        <v>#DIV/0!</v>
      </c>
      <c r="Y77" s="140" t="e">
        <f t="shared" ca="1" si="4"/>
        <v>#DIV/0!</v>
      </c>
    </row>
    <row r="78" spans="1:25" ht="15" customHeight="1">
      <c r="A78" s="16"/>
      <c r="B78" s="22">
        <f>'Oil supply projection'!$B78</f>
        <v>2087</v>
      </c>
      <c r="C78" s="31">
        <f t="shared" si="5"/>
        <v>124.08835617762311</v>
      </c>
      <c r="D78" s="31">
        <f t="shared" si="6"/>
        <v>4.3328288695244481</v>
      </c>
      <c r="E78" s="31">
        <v>113.65772020634942</v>
      </c>
      <c r="F78" s="31">
        <v>11.882266962776459</v>
      </c>
      <c r="G78" s="31"/>
      <c r="H78" s="31"/>
      <c r="I78" s="31"/>
      <c r="J78" s="31"/>
      <c r="L78" s="22">
        <f>'Oil supply projection'!$B78</f>
        <v>2087</v>
      </c>
      <c r="M78" s="157">
        <f ca="1"/>
        <v>0</v>
      </c>
      <c r="N78" s="157" t="e">
        <f ca="1"/>
        <v>#DIV/0!</v>
      </c>
      <c r="O78" s="135" t="e">
        <f t="shared" ca="1" si="7"/>
        <v>#DIV/0!</v>
      </c>
      <c r="P78" s="157">
        <f ca="1"/>
        <v>0</v>
      </c>
      <c r="Q78" s="157" t="e">
        <f ca="1"/>
        <v>#DIV/0!</v>
      </c>
      <c r="R78" s="135" t="e">
        <f t="shared" ca="1" si="8"/>
        <v>#DIV/0!</v>
      </c>
      <c r="S78" s="157" t="e">
        <f ca="1"/>
        <v>#DIV/0!</v>
      </c>
      <c r="T78" s="157" t="e">
        <f ca="1"/>
        <v>#DIV/0!</v>
      </c>
      <c r="U78" s="135" t="e">
        <f t="shared" ca="1" si="2"/>
        <v>#DIV/0!</v>
      </c>
      <c r="V78" s="157">
        <f ca="1"/>
        <v>0</v>
      </c>
      <c r="W78" s="157" t="e">
        <f ca="1"/>
        <v>#DIV/0!</v>
      </c>
      <c r="X78" s="135" t="e">
        <f t="shared" ca="1" si="9"/>
        <v>#DIV/0!</v>
      </c>
      <c r="Y78" s="140" t="e">
        <f t="shared" ca="1" si="4"/>
        <v>#DIV/0!</v>
      </c>
    </row>
    <row r="79" spans="1:25" ht="15" customHeight="1">
      <c r="A79" s="16"/>
      <c r="B79" s="22">
        <f>'Oil supply projection'!$B79</f>
        <v>2088</v>
      </c>
      <c r="C79" s="31">
        <f t="shared" si="5"/>
        <v>124.84510346742645</v>
      </c>
      <c r="D79" s="31">
        <f t="shared" si="6"/>
        <v>4.3455039063483332</v>
      </c>
      <c r="E79" s="31">
        <v>115.31624392791801</v>
      </c>
      <c r="F79" s="31">
        <v>11.904528973301659</v>
      </c>
      <c r="G79" s="31"/>
      <c r="H79" s="31"/>
      <c r="I79" s="31"/>
      <c r="J79" s="31"/>
      <c r="L79" s="22">
        <f>'Oil supply projection'!$B79</f>
        <v>2088</v>
      </c>
      <c r="M79" s="157">
        <f ca="1"/>
        <v>0</v>
      </c>
      <c r="N79" s="157" t="e">
        <f ca="1"/>
        <v>#DIV/0!</v>
      </c>
      <c r="O79" s="135" t="e">
        <f t="shared" ca="1" si="7"/>
        <v>#DIV/0!</v>
      </c>
      <c r="P79" s="157">
        <f ca="1"/>
        <v>0</v>
      </c>
      <c r="Q79" s="157" t="e">
        <f ca="1"/>
        <v>#DIV/0!</v>
      </c>
      <c r="R79" s="135" t="e">
        <f t="shared" ca="1" si="8"/>
        <v>#DIV/0!</v>
      </c>
      <c r="S79" s="157" t="e">
        <f ca="1"/>
        <v>#DIV/0!</v>
      </c>
      <c r="T79" s="157" t="e">
        <f ca="1"/>
        <v>#DIV/0!</v>
      </c>
      <c r="U79" s="135" t="e">
        <f t="shared" ca="1" si="2"/>
        <v>#DIV/0!</v>
      </c>
      <c r="V79" s="157">
        <f ca="1"/>
        <v>0</v>
      </c>
      <c r="W79" s="157" t="e">
        <f ca="1"/>
        <v>#DIV/0!</v>
      </c>
      <c r="X79" s="135" t="e">
        <f t="shared" ca="1" si="9"/>
        <v>#DIV/0!</v>
      </c>
      <c r="Y79" s="140" t="e">
        <f t="shared" ca="1" si="4"/>
        <v>#DIV/0!</v>
      </c>
    </row>
    <row r="80" spans="1:25" ht="15" customHeight="1">
      <c r="A80" s="16"/>
      <c r="B80" s="22">
        <f>'Oil supply projection'!$B80</f>
        <v>2089</v>
      </c>
      <c r="C80" s="31">
        <f t="shared" si="5"/>
        <v>125.60646574672813</v>
      </c>
      <c r="D80" s="31">
        <f t="shared" si="6"/>
        <v>4.3582160220791684</v>
      </c>
      <c r="E80" s="31">
        <v>116.99896926931508</v>
      </c>
      <c r="F80" s="31">
        <v>11.926832692796552</v>
      </c>
      <c r="G80" s="31"/>
      <c r="H80" s="31"/>
      <c r="I80" s="31"/>
      <c r="J80" s="31"/>
      <c r="L80" s="22">
        <f>'Oil supply projection'!$B80</f>
        <v>2089</v>
      </c>
      <c r="M80" s="157">
        <f ca="1"/>
        <v>0</v>
      </c>
      <c r="N80" s="157" t="e">
        <f ca="1"/>
        <v>#DIV/0!</v>
      </c>
      <c r="O80" s="135" t="e">
        <f t="shared" ca="1" si="7"/>
        <v>#DIV/0!</v>
      </c>
      <c r="P80" s="157">
        <f ca="1"/>
        <v>0</v>
      </c>
      <c r="Q80" s="157" t="e">
        <f ca="1"/>
        <v>#DIV/0!</v>
      </c>
      <c r="R80" s="135" t="e">
        <f t="shared" ca="1" si="8"/>
        <v>#DIV/0!</v>
      </c>
      <c r="S80" s="157" t="e">
        <f ca="1"/>
        <v>#DIV/0!</v>
      </c>
      <c r="T80" s="157" t="e">
        <f ca="1"/>
        <v>#DIV/0!</v>
      </c>
      <c r="U80" s="135" t="e">
        <f t="shared" ca="1" si="2"/>
        <v>#DIV/0!</v>
      </c>
      <c r="V80" s="157">
        <f ca="1"/>
        <v>0</v>
      </c>
      <c r="W80" s="157" t="e">
        <f ca="1"/>
        <v>#DIV/0!</v>
      </c>
      <c r="X80" s="135" t="e">
        <f t="shared" ca="1" si="9"/>
        <v>#DIV/0!</v>
      </c>
      <c r="Y80" s="140" t="e">
        <f t="shared" ca="1" si="4"/>
        <v>#DIV/0!</v>
      </c>
    </row>
    <row r="81" spans="1:25" ht="15" customHeight="1">
      <c r="A81" s="16"/>
      <c r="B81" s="22">
        <f>'Oil supply projection'!$B81</f>
        <v>2090</v>
      </c>
      <c r="C81" s="31">
        <f t="shared" si="5"/>
        <v>126.37247115983517</v>
      </c>
      <c r="D81" s="31">
        <f t="shared" si="6"/>
        <v>4.3709653251856997</v>
      </c>
      <c r="E81" s="31">
        <v>118.70624938702232</v>
      </c>
      <c r="F81" s="31">
        <v>11.949178199404939</v>
      </c>
      <c r="G81" s="31"/>
      <c r="H81" s="31"/>
      <c r="I81" s="31"/>
      <c r="J81" s="31"/>
      <c r="L81" s="22">
        <f>'Oil supply projection'!$B81</f>
        <v>2090</v>
      </c>
      <c r="M81" s="157">
        <f ca="1"/>
        <v>0</v>
      </c>
      <c r="N81" s="157" t="e">
        <f ca="1"/>
        <v>#DIV/0!</v>
      </c>
      <c r="O81" s="135" t="e">
        <f t="shared" ca="1" si="7"/>
        <v>#DIV/0!</v>
      </c>
      <c r="P81" s="157">
        <f ca="1"/>
        <v>0</v>
      </c>
      <c r="Q81" s="157" t="e">
        <f ca="1"/>
        <v>#DIV/0!</v>
      </c>
      <c r="R81" s="135" t="e">
        <f t="shared" ca="1" si="8"/>
        <v>#DIV/0!</v>
      </c>
      <c r="S81" s="157" t="e">
        <f ca="1"/>
        <v>#DIV/0!</v>
      </c>
      <c r="T81" s="157" t="e">
        <f ca="1"/>
        <v>#DIV/0!</v>
      </c>
      <c r="U81" s="135" t="e">
        <f t="shared" ca="1" si="2"/>
        <v>#DIV/0!</v>
      </c>
      <c r="V81" s="157">
        <f ca="1"/>
        <v>0</v>
      </c>
      <c r="W81" s="157" t="e">
        <f ca="1"/>
        <v>#DIV/0!</v>
      </c>
      <c r="X81" s="135" t="e">
        <f t="shared" ca="1" si="9"/>
        <v>#DIV/0!</v>
      </c>
      <c r="Y81" s="140" t="e">
        <f t="shared" ca="1" si="4"/>
        <v>#DIV/0!</v>
      </c>
    </row>
    <row r="82" spans="1:25" ht="15" customHeight="1">
      <c r="A82" s="16"/>
      <c r="B82" s="22">
        <f>'Oil supply projection'!$B82</f>
        <v>2091</v>
      </c>
      <c r="C82" s="31">
        <f t="shared" si="5"/>
        <v>127.14314802269141</v>
      </c>
      <c r="D82" s="31">
        <f t="shared" si="6"/>
        <v>4.383751924453982</v>
      </c>
      <c r="E82" s="31">
        <v>120.43844259087487</v>
      </c>
      <c r="F82" s="31">
        <v>11.971565571417029</v>
      </c>
      <c r="G82" s="31"/>
      <c r="H82" s="31"/>
      <c r="I82" s="31"/>
      <c r="J82" s="31"/>
      <c r="L82" s="22">
        <f>'Oil supply projection'!$B82</f>
        <v>2091</v>
      </c>
      <c r="M82" s="157">
        <f ca="1"/>
        <v>0</v>
      </c>
      <c r="N82" s="157" t="e">
        <f ca="1"/>
        <v>#DIV/0!</v>
      </c>
      <c r="O82" s="135" t="e">
        <f t="shared" ca="1" si="7"/>
        <v>#DIV/0!</v>
      </c>
      <c r="P82" s="157">
        <f ca="1"/>
        <v>0</v>
      </c>
      <c r="Q82" s="157" t="e">
        <f ca="1"/>
        <v>#DIV/0!</v>
      </c>
      <c r="R82" s="135" t="e">
        <f t="shared" ca="1" si="8"/>
        <v>#DIV/0!</v>
      </c>
      <c r="S82" s="157" t="e">
        <f ca="1"/>
        <v>#DIV/0!</v>
      </c>
      <c r="T82" s="157" t="e">
        <f ca="1"/>
        <v>#DIV/0!</v>
      </c>
      <c r="U82" s="135" t="e">
        <f t="shared" ca="1" si="2"/>
        <v>#DIV/0!</v>
      </c>
      <c r="V82" s="157">
        <f ca="1"/>
        <v>0</v>
      </c>
      <c r="W82" s="157" t="e">
        <f ca="1"/>
        <v>#DIV/0!</v>
      </c>
      <c r="X82" s="135" t="e">
        <f t="shared" ca="1" si="9"/>
        <v>#DIV/0!</v>
      </c>
      <c r="Y82" s="140" t="e">
        <f t="shared" ca="1" si="4"/>
        <v>#DIV/0!</v>
      </c>
    </row>
    <row r="83" spans="1:25" ht="15" customHeight="1">
      <c r="A83" s="16"/>
      <c r="B83" s="22">
        <f>'Oil supply projection'!$B83</f>
        <v>2092</v>
      </c>
      <c r="C83" s="31">
        <f t="shared" si="5"/>
        <v>127.91852482392417</v>
      </c>
      <c r="D83" s="31">
        <f t="shared" si="6"/>
        <v>4.3965759289883053</v>
      </c>
      <c r="E83" s="31">
        <v>122.1959124192604</v>
      </c>
      <c r="F83" s="31">
        <v>11.993994887269713</v>
      </c>
      <c r="G83" s="31"/>
      <c r="H83" s="31"/>
      <c r="I83" s="31"/>
      <c r="J83" s="31"/>
      <c r="L83" s="22">
        <f>'Oil supply projection'!$B83</f>
        <v>2092</v>
      </c>
      <c r="M83" s="157">
        <f ca="1"/>
        <v>0</v>
      </c>
      <c r="N83" s="157" t="e">
        <f ca="1"/>
        <v>#DIV/0!</v>
      </c>
      <c r="O83" s="135" t="e">
        <f t="shared" ca="1" si="7"/>
        <v>#DIV/0!</v>
      </c>
      <c r="P83" s="157">
        <f ca="1"/>
        <v>0</v>
      </c>
      <c r="Q83" s="157" t="e">
        <f ca="1"/>
        <v>#DIV/0!</v>
      </c>
      <c r="R83" s="135" t="e">
        <f t="shared" ca="1" si="8"/>
        <v>#DIV/0!</v>
      </c>
      <c r="S83" s="157" t="e">
        <f ca="1"/>
        <v>#DIV/0!</v>
      </c>
      <c r="T83" s="157" t="e">
        <f ca="1"/>
        <v>#DIV/0!</v>
      </c>
      <c r="U83" s="135" t="e">
        <f t="shared" ca="1" si="2"/>
        <v>#DIV/0!</v>
      </c>
      <c r="V83" s="157">
        <f ca="1"/>
        <v>0</v>
      </c>
      <c r="W83" s="157" t="e">
        <f ca="1"/>
        <v>#DIV/0!</v>
      </c>
      <c r="X83" s="135" t="e">
        <f t="shared" ca="1" si="9"/>
        <v>#DIV/0!</v>
      </c>
      <c r="Y83" s="140" t="e">
        <f t="shared" ca="1" si="4"/>
        <v>#DIV/0!</v>
      </c>
    </row>
    <row r="84" spans="1:25" ht="15" customHeight="1">
      <c r="A84" s="16"/>
      <c r="B84" s="22">
        <f>'Oil supply projection'!$B84</f>
        <v>2093</v>
      </c>
      <c r="C84" s="31">
        <f t="shared" si="5"/>
        <v>128.69863022589743</v>
      </c>
      <c r="D84" s="31">
        <f t="shared" si="6"/>
        <v>4.4094374482121301</v>
      </c>
      <c r="E84" s="31">
        <v>123.97902771541553</v>
      </c>
      <c r="F84" s="31">
        <v>12.016466225546832</v>
      </c>
      <c r="G84" s="31"/>
      <c r="H84" s="31"/>
      <c r="I84" s="31"/>
      <c r="J84" s="31"/>
      <c r="L84" s="22">
        <f>'Oil supply projection'!$B84</f>
        <v>2093</v>
      </c>
      <c r="M84" s="157">
        <f ca="1"/>
        <v>0</v>
      </c>
      <c r="N84" s="157" t="e">
        <f ca="1"/>
        <v>#DIV/0!</v>
      </c>
      <c r="O84" s="135" t="e">
        <f t="shared" ca="1" si="7"/>
        <v>#DIV/0!</v>
      </c>
      <c r="P84" s="157">
        <f ca="1"/>
        <v>0</v>
      </c>
      <c r="Q84" s="157" t="e">
        <f ca="1"/>
        <v>#DIV/0!</v>
      </c>
      <c r="R84" s="135" t="e">
        <f t="shared" ca="1" si="8"/>
        <v>#DIV/0!</v>
      </c>
      <c r="S84" s="157" t="e">
        <f ca="1"/>
        <v>#DIV/0!</v>
      </c>
      <c r="T84" s="157" t="e">
        <f ca="1"/>
        <v>#DIV/0!</v>
      </c>
      <c r="U84" s="135" t="e">
        <f t="shared" ca="1" si="2"/>
        <v>#DIV/0!</v>
      </c>
      <c r="V84" s="157">
        <f ca="1"/>
        <v>0</v>
      </c>
      <c r="W84" s="157" t="e">
        <f ca="1"/>
        <v>#DIV/0!</v>
      </c>
      <c r="X84" s="135" t="e">
        <f t="shared" ca="1" si="9"/>
        <v>#DIV/0!</v>
      </c>
      <c r="Y84" s="140" t="e">
        <f t="shared" ca="1" si="4"/>
        <v>#DIV/0!</v>
      </c>
    </row>
    <row r="85" spans="1:25" ht="15" customHeight="1">
      <c r="A85" s="16"/>
      <c r="B85" s="194" t="s">
        <v>292</v>
      </c>
      <c r="C85" s="589" t="s">
        <v>316</v>
      </c>
      <c r="D85" s="589" t="s">
        <v>316</v>
      </c>
      <c r="E85" s="589" t="s">
        <v>316</v>
      </c>
      <c r="F85" s="589" t="s">
        <v>316</v>
      </c>
      <c r="G85" s="81"/>
      <c r="H85" s="81"/>
      <c r="I85" s="81"/>
      <c r="J85" s="81"/>
      <c r="L85" s="1" t="s">
        <v>844</v>
      </c>
    </row>
    <row r="86" spans="1:25">
      <c r="A86" s="16"/>
      <c r="B86" s="194" t="s">
        <v>294</v>
      </c>
      <c r="C86" s="107" t="s">
        <v>319</v>
      </c>
      <c r="D86" s="107" t="s">
        <v>319</v>
      </c>
      <c r="E86" s="107" t="s">
        <v>319</v>
      </c>
      <c r="F86" s="107" t="s">
        <v>319</v>
      </c>
      <c r="G86" s="81"/>
      <c r="H86" s="81"/>
      <c r="I86" s="81"/>
      <c r="J86" s="81"/>
      <c r="L86" s="1" t="s">
        <v>845</v>
      </c>
    </row>
    <row r="87" spans="1:25">
      <c r="B87" s="194" t="s">
        <v>296</v>
      </c>
      <c r="C87" s="590" t="s">
        <v>321</v>
      </c>
      <c r="D87" s="590" t="s">
        <v>321</v>
      </c>
      <c r="E87" s="590" t="s">
        <v>321</v>
      </c>
      <c r="F87" s="590" t="s">
        <v>321</v>
      </c>
      <c r="G87" s="81"/>
      <c r="H87" s="81"/>
      <c r="I87" s="81"/>
      <c r="J87" s="81"/>
    </row>
    <row r="88" spans="1:25">
      <c r="B88" s="194" t="s">
        <v>298</v>
      </c>
      <c r="C88" s="590" t="s">
        <v>846</v>
      </c>
      <c r="D88" s="590" t="s">
        <v>846</v>
      </c>
      <c r="E88" s="590" t="s">
        <v>846</v>
      </c>
      <c r="F88" s="590" t="s">
        <v>846</v>
      </c>
      <c r="G88" s="81"/>
      <c r="H88" s="81"/>
      <c r="I88" s="81"/>
      <c r="J88" s="81"/>
    </row>
    <row r="89" spans="1:25">
      <c r="B89" s="194" t="s">
        <v>300</v>
      </c>
      <c r="C89" s="590">
        <v>95</v>
      </c>
      <c r="D89" s="590" t="s">
        <v>847</v>
      </c>
      <c r="E89" s="590">
        <v>100</v>
      </c>
      <c r="F89" s="590">
        <v>97</v>
      </c>
      <c r="G89" s="81"/>
      <c r="H89" s="81"/>
      <c r="I89" s="81"/>
      <c r="J89" s="81"/>
    </row>
    <row r="90" spans="1:25">
      <c r="B90" s="194" t="s">
        <v>301</v>
      </c>
      <c r="C90" s="81" t="s">
        <v>848</v>
      </c>
      <c r="D90" s="81" t="s">
        <v>849</v>
      </c>
      <c r="E90" s="81" t="s">
        <v>850</v>
      </c>
      <c r="F90" s="81" t="s">
        <v>851</v>
      </c>
      <c r="G90" s="81"/>
      <c r="H90" s="81"/>
      <c r="I90" s="81"/>
      <c r="J90" s="81"/>
    </row>
    <row r="92" spans="1:25" ht="45">
      <c r="B92" s="98" t="s">
        <v>852</v>
      </c>
      <c r="C92" s="1">
        <v>6.0984552710177109E-3</v>
      </c>
      <c r="D92" s="1">
        <v>2.9253490515253056E-3</v>
      </c>
      <c r="E92" s="1">
        <v>1.4592266311144408E-2</v>
      </c>
      <c r="F92" s="1">
        <v>1.873549095887217E-3</v>
      </c>
    </row>
    <row r="94" spans="1:25" ht="75">
      <c r="B94" s="98" t="s">
        <v>853</v>
      </c>
      <c r="C94" s="1">
        <v>15</v>
      </c>
      <c r="D94" s="1">
        <v>15</v>
      </c>
      <c r="E94" s="1">
        <v>15</v>
      </c>
      <c r="F94" s="1">
        <v>15</v>
      </c>
    </row>
    <row r="96" spans="1:25">
      <c r="C96" s="1">
        <f>(INDEX(aeo_price_oil,MATCH(baseline_aeo_end_year,$B$10:$B$84,0),1)/INDEX(aeo_price_oil,MATCH(baseline_aeo_end_year-C$94,$B$10:$B$84,0),1))^(1/C$94)-1</f>
        <v>6.0984552710177109E-3</v>
      </c>
      <c r="D96" s="1">
        <f t="array" ref="D96">(INDEX(aeo_price_gas,MATCH(baseline_aeo_end_year,$B$10:$B$84,0),1)/INDEX(aeo_price_gas,MATCH(baseline_aeo_end_year-D$94,$B$10:$B$84,0),1))^(1/D$94)-1</f>
        <v>2.9253490515253056E-3</v>
      </c>
      <c r="E96" s="1">
        <f t="array" ref="E96">(INDEX(aeo_price_coa,MATCH(baseline_aeo_end_year,$B$10:$B$84,0),1)/INDEX(aeo_price_coa,MATCH(baseline_aeo_end_year-E$94,$B$10:$B$84,0),1))^(1/E$94)-1</f>
        <v>1.4592266311144408E-2</v>
      </c>
      <c r="F96" s="1">
        <f t="array" ref="F96">(INDEX(aeo_price_ele,MATCH(baseline_aeo_end_year,$B$10:$B$84,0),1)/INDEX(aeo_price_ele,MATCH(baseline_aeo_end_year-F$94,$B$10:$B$84,0),1))^(1/F$94)-1</f>
        <v>1.873549095887217E-3</v>
      </c>
    </row>
  </sheetData>
  <mergeCells count="1">
    <mergeCell ref="B1:D1"/>
  </mergeCells>
  <phoneticPr fontId="29" type="noConversion"/>
  <conditionalFormatting sqref="M10:Y84">
    <cfRule type="expression" dxfId="3" priority="1" stopIfTrue="1">
      <formula>ISERROR(M10)</formula>
    </cfRule>
  </conditionalFormatting>
  <hyperlinks>
    <hyperlink ref="B1" location="'Table of Contents'!A1" tooltip="Click here to return to the Table of Contents tab" display="Return to Table of Contents" xr:uid="{00000000-0004-0000-27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6561" r:id="rId4" name="Button 1">
              <controlPr defaultSize="0" print="0" autoFill="0" autoPict="0" macro="[0]!Prices">
                <anchor moveWithCells="1" sizeWithCells="1">
                  <from>
                    <xdr:col>6</xdr:col>
                    <xdr:colOff>104775</xdr:colOff>
                    <xdr:row>0</xdr:row>
                    <xdr:rowOff>95250</xdr:rowOff>
                  </from>
                  <to>
                    <xdr:col>8</xdr:col>
                    <xdr:colOff>38100</xdr:colOff>
                    <xdr:row>2</xdr:row>
                    <xdr:rowOff>133350</xdr:rowOff>
                  </to>
                </anchor>
              </controlPr>
            </control>
          </mc:Choice>
        </mc:AlternateContent>
      </controls>
    </mc:Choice>
  </mc:AlternateContent>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1">
    <tabColor indexed="47"/>
    <pageSetUpPr fitToPage="1"/>
  </sheetPr>
  <dimension ref="A1:M58"/>
  <sheetViews>
    <sheetView zoomScale="70" workbookViewId="0"/>
  </sheetViews>
  <sheetFormatPr defaultColWidth="9.28515625" defaultRowHeight="15"/>
  <cols>
    <col min="1" max="1" width="4.7109375" style="18" customWidth="1"/>
    <col min="2" max="2" width="27.28515625" style="1" bestFit="1" customWidth="1"/>
    <col min="3" max="3" width="17.28515625" style="1" customWidth="1"/>
    <col min="4" max="6" width="16.28515625" style="1" customWidth="1"/>
    <col min="7" max="7" width="16.42578125" style="1" customWidth="1"/>
    <col min="8" max="8" width="21.7109375" style="1" bestFit="1" customWidth="1"/>
    <col min="9" max="9" width="17.28515625" style="1" customWidth="1"/>
    <col min="10" max="13" width="16.28515625" style="1" customWidth="1"/>
    <col min="14" max="16384" width="9.28515625" style="1"/>
  </cols>
  <sheetData>
    <row r="1" spans="1:13" ht="15.75" thickBot="1">
      <c r="A1" s="1"/>
      <c r="B1" s="701" t="s">
        <v>27</v>
      </c>
      <c r="C1" s="809"/>
      <c r="D1" s="702"/>
      <c r="E1" s="2"/>
      <c r="F1" s="2"/>
    </row>
    <row r="2" spans="1:13">
      <c r="A2" s="1"/>
      <c r="B2" s="2"/>
      <c r="C2" s="2"/>
      <c r="D2" s="2"/>
      <c r="E2" s="2"/>
      <c r="F2" s="2"/>
    </row>
    <row r="3" spans="1:13">
      <c r="A3" s="1"/>
      <c r="B3" s="2"/>
      <c r="C3" s="2"/>
      <c r="D3" s="2"/>
      <c r="E3" s="2"/>
      <c r="F3" s="2"/>
    </row>
    <row r="4" spans="1:13">
      <c r="A4" s="1"/>
      <c r="B4" s="2"/>
      <c r="C4" s="2"/>
      <c r="D4" s="2"/>
      <c r="E4" s="2"/>
      <c r="F4" s="2"/>
    </row>
    <row r="5" spans="1:13" ht="22.5" customHeight="1">
      <c r="A5" s="16"/>
      <c r="B5" s="71" t="s">
        <v>854</v>
      </c>
      <c r="C5" s="12"/>
      <c r="D5" s="12"/>
      <c r="E5" s="12"/>
      <c r="F5" s="60"/>
      <c r="H5" s="121" t="s">
        <v>855</v>
      </c>
      <c r="I5" s="122"/>
      <c r="J5" s="122"/>
      <c r="K5" s="122"/>
      <c r="L5" s="123"/>
    </row>
    <row r="6" spans="1:13" ht="30.75" customHeight="1" thickBot="1">
      <c r="A6" s="16"/>
      <c r="B6" s="82"/>
      <c r="C6" s="82" t="s">
        <v>133</v>
      </c>
      <c r="D6" s="82" t="s">
        <v>856</v>
      </c>
      <c r="E6" s="82" t="s">
        <v>135</v>
      </c>
      <c r="F6" s="83" t="s">
        <v>136</v>
      </c>
      <c r="G6" s="21"/>
      <c r="H6" s="124"/>
      <c r="I6" s="125" t="s">
        <v>133</v>
      </c>
      <c r="J6" s="125" t="s">
        <v>856</v>
      </c>
      <c r="K6" s="125" t="s">
        <v>135</v>
      </c>
      <c r="L6" s="126" t="s">
        <v>136</v>
      </c>
    </row>
    <row r="7" spans="1:13" ht="30" customHeight="1">
      <c r="A7" s="16"/>
      <c r="B7" s="72" t="s">
        <v>281</v>
      </c>
      <c r="C7" s="358">
        <v>0.06</v>
      </c>
      <c r="D7" s="359">
        <v>0.05</v>
      </c>
      <c r="E7" s="360">
        <v>0.1</v>
      </c>
      <c r="F7" s="361"/>
      <c r="G7" s="112"/>
      <c r="H7" s="127" t="s">
        <v>281</v>
      </c>
      <c r="I7" s="129" t="str">
        <f>IF(g_dem_oil_res=def_g_dem_oil_res,sou_g_dem_oil_res,"")</f>
        <v>EIA</v>
      </c>
      <c r="J7" s="129" t="str">
        <f>IF(g_dem_gas_res=def_g_dem_gas_res,sou_g_dem_gas_res,"")</f>
        <v>EIA (2018)</v>
      </c>
      <c r="K7" s="129" t="str">
        <f>IF(g_dem_ele_res=def_g_dem_ele_res,sou_g_dem_ele_res,"")</f>
        <v>Expert input from Dr. Stephen Brown</v>
      </c>
      <c r="L7" s="364"/>
    </row>
    <row r="8" spans="1:13" ht="30" customHeight="1">
      <c r="A8" s="17"/>
      <c r="B8" s="653" t="s">
        <v>282</v>
      </c>
      <c r="C8" s="358">
        <v>0.04</v>
      </c>
      <c r="D8" s="359">
        <v>0.04</v>
      </c>
      <c r="E8" s="360">
        <v>0.1</v>
      </c>
      <c r="F8" s="362"/>
      <c r="G8" s="112"/>
      <c r="H8" s="128" t="s">
        <v>282</v>
      </c>
      <c r="I8" s="129" t="str">
        <f>IF(g_dem_oil_com=def_g_dem_oil_com,sou_g_dem_oil_com,"")</f>
        <v>EIA</v>
      </c>
      <c r="J8" s="129" t="str">
        <f>IF(g_dem_gas_com=def_g_dem_gas_com,sou_g_dem_gas_com,"")</f>
        <v>EIA (2018)</v>
      </c>
      <c r="K8" s="129" t="str">
        <f>IF(g_dem_ele_com=def_g_dem_ele_com,sou_g_dem_ele_com,"")</f>
        <v>Expert input from Dr. Stephen Brown</v>
      </c>
      <c r="L8" s="365"/>
    </row>
    <row r="9" spans="1:13" ht="30" customHeight="1">
      <c r="B9" s="653" t="s">
        <v>283</v>
      </c>
      <c r="C9" s="358">
        <v>0.04</v>
      </c>
      <c r="D9" s="359">
        <v>0.04</v>
      </c>
      <c r="E9" s="358">
        <v>0.2</v>
      </c>
      <c r="F9" s="358">
        <v>0.04</v>
      </c>
      <c r="G9" s="112"/>
      <c r="H9" s="128" t="s">
        <v>283</v>
      </c>
      <c r="I9" s="129" t="str">
        <f>IF(g_dem_oil_ind=def_g_dem_oil_ind,sou_g_dem_oil_ind,"")</f>
        <v>IEA</v>
      </c>
      <c r="J9" s="129" t="str">
        <f>IF(g_dem_gas_ind=def_g_dem_gas_ind,sou_g_dem_gas_ind,"")</f>
        <v>IEA</v>
      </c>
      <c r="K9" s="129" t="str">
        <f>IF(g_dem_ele_ind=def_g_dem_ele_ind,sou_g_dem_ele_ind,"")</f>
        <v>Expert input from Dr. Stephen Brown</v>
      </c>
      <c r="L9" s="129" t="str">
        <f>IF(g_dem_coa_ind=def_g_dem_coa_ind,sou_g_dem_coa_ind,"")</f>
        <v>IEA</v>
      </c>
    </row>
    <row r="10" spans="1:13" ht="30" customHeight="1">
      <c r="B10" s="653" t="s">
        <v>284</v>
      </c>
      <c r="C10" s="369">
        <v>0.09</v>
      </c>
      <c r="D10" s="370">
        <v>8.3333333333333329E-2</v>
      </c>
      <c r="E10" s="360">
        <v>0.1</v>
      </c>
      <c r="F10" s="363"/>
      <c r="G10" s="112"/>
      <c r="H10" s="128" t="s">
        <v>284</v>
      </c>
      <c r="I10" s="129" t="str">
        <f>IF(g_dem_oil_tra=def_g_dem_oil_tra,sou_g_dem_oil_tra,"")</f>
        <v>BTS</v>
      </c>
      <c r="J10" s="129" t="str">
        <f>IF(g_dem_gas_tra=def_g_dem_gas_tra,sou_g_dem_gas_tra,"")</f>
        <v>EIA, Scott Institute</v>
      </c>
      <c r="K10" s="129" t="str">
        <f>IF(g_dem_ele_tra=def_g_dem_ele_tra,sou_g_dem_ele_tra,"")</f>
        <v>Assumed value</v>
      </c>
      <c r="L10" s="365"/>
    </row>
    <row r="11" spans="1:13" ht="30" customHeight="1">
      <c r="B11" s="653" t="s">
        <v>279</v>
      </c>
      <c r="C11" s="361"/>
      <c r="D11" s="359">
        <v>0.04</v>
      </c>
      <c r="E11" s="363"/>
      <c r="F11" s="360">
        <v>0.04</v>
      </c>
      <c r="G11" s="112"/>
      <c r="H11" s="128" t="s">
        <v>279</v>
      </c>
      <c r="I11" s="364"/>
      <c r="J11" s="129" t="str">
        <f>IF(g_dem_gas_exp=def_g_dem_gas_exp,sou_g_dem_gas_exp,"")</f>
        <v>Assumed same as industrial</v>
      </c>
      <c r="K11" s="365"/>
      <c r="L11" s="129" t="str">
        <f>IF(g_dem_coa_exp=def_g_dem_coa_exp,sou_g_dem_coa_exp,"")</f>
        <v>Assumed same as industrial</v>
      </c>
    </row>
    <row r="12" spans="1:13" ht="30" customHeight="1">
      <c r="B12" s="661" t="s">
        <v>200</v>
      </c>
      <c r="C12" s="362"/>
      <c r="D12" s="362"/>
      <c r="E12" s="360">
        <v>0.1</v>
      </c>
      <c r="F12" s="360">
        <v>0.04</v>
      </c>
      <c r="G12" s="112"/>
      <c r="H12" s="129" t="s">
        <v>200</v>
      </c>
      <c r="I12" s="365"/>
      <c r="J12" s="365"/>
      <c r="K12" s="129" t="str">
        <f>IF(g_dem_ele_oth=def_g_dem_ele_oth,sou_g_dem_ele_oth,"")</f>
        <v>Assumed value</v>
      </c>
      <c r="L12" s="129" t="str">
        <f>IF(g_dem_coa_oth=def_g_dem_coa_oth,sou_g_dem_coa_oth,"")</f>
        <v>Assumed same as industrial</v>
      </c>
    </row>
    <row r="13" spans="1:13" ht="30" customHeight="1">
      <c r="B13" s="661" t="s">
        <v>402</v>
      </c>
      <c r="C13" s="358">
        <v>0.09</v>
      </c>
      <c r="D13" s="362"/>
      <c r="E13" s="362"/>
      <c r="F13" s="362"/>
      <c r="G13" s="112"/>
      <c r="H13" s="129" t="s">
        <v>402</v>
      </c>
      <c r="I13" s="129" t="str">
        <f>IF(g_dem_oil_row_crude=def_g_dem_oil_row_crude,sou_g_dem_oil_row_crude,"")</f>
        <v>Assume same as transportation</v>
      </c>
      <c r="J13" s="365"/>
      <c r="K13" s="365"/>
      <c r="L13" s="365"/>
    </row>
    <row r="14" spans="1:13" ht="30" customHeight="1">
      <c r="B14" s="661" t="s">
        <v>403</v>
      </c>
      <c r="C14" s="358">
        <v>0.09</v>
      </c>
      <c r="D14" s="362"/>
      <c r="E14" s="362"/>
      <c r="F14" s="362"/>
      <c r="G14" s="112"/>
      <c r="H14" s="129" t="s">
        <v>403</v>
      </c>
      <c r="I14" s="129" t="str">
        <f>IF(g_dem_oil_row_ref=def_g_dem_oil_row_ref,sou_g_dem_oil_row_ref,"")</f>
        <v>Assume same as transportation</v>
      </c>
      <c r="J14" s="365"/>
      <c r="K14" s="365"/>
      <c r="L14" s="365"/>
    </row>
    <row r="15" spans="1:13" ht="30" customHeight="1">
      <c r="B15" s="661" t="s">
        <v>857</v>
      </c>
      <c r="C15" s="358">
        <v>0.09</v>
      </c>
      <c r="D15" s="362"/>
      <c r="E15" s="362"/>
      <c r="F15" s="362"/>
      <c r="G15" s="112"/>
      <c r="H15" s="129" t="s">
        <v>857</v>
      </c>
      <c r="I15" s="129" t="str">
        <f>IF(g_dem_oil_row_non_us=def_g_dem_oil_row_non_us,sou_g_dem_oil_row_non_us,"")</f>
        <v>Assume same as transportation</v>
      </c>
      <c r="J15" s="365"/>
      <c r="K15" s="365"/>
      <c r="L15" s="365"/>
    </row>
    <row r="16" spans="1:13" ht="30" customHeight="1">
      <c r="H16" s="533"/>
      <c r="I16" s="533"/>
      <c r="J16" s="533"/>
      <c r="K16" s="533"/>
      <c r="L16" s="533"/>
      <c r="M16" s="533"/>
    </row>
    <row r="17" spans="1:11" ht="22.5" customHeight="1">
      <c r="G17" s="21"/>
      <c r="H17" s="21"/>
    </row>
    <row r="18" spans="1:11" ht="15" customHeight="1">
      <c r="G18" s="21"/>
      <c r="H18" s="21"/>
    </row>
    <row r="19" spans="1:11" ht="20.25" customHeight="1">
      <c r="B19" s="235" t="s">
        <v>858</v>
      </c>
      <c r="C19" s="237"/>
      <c r="D19" s="237"/>
      <c r="E19" s="237"/>
      <c r="F19" s="237"/>
      <c r="G19" s="237"/>
      <c r="H19" s="238"/>
      <c r="I19" s="236"/>
      <c r="J19" s="236"/>
    </row>
    <row r="20" spans="1:11" ht="45" customHeight="1">
      <c r="A20" s="17"/>
      <c r="B20" s="652" t="s">
        <v>167</v>
      </c>
      <c r="C20" s="652" t="s">
        <v>172</v>
      </c>
      <c r="D20" s="652" t="s">
        <v>187</v>
      </c>
      <c r="E20" s="652" t="s">
        <v>174</v>
      </c>
      <c r="F20" s="652" t="s">
        <v>192</v>
      </c>
      <c r="G20" s="652" t="s">
        <v>200</v>
      </c>
      <c r="H20" s="652" t="s">
        <v>788</v>
      </c>
      <c r="I20" s="652" t="s">
        <v>202</v>
      </c>
      <c r="J20" s="652" t="s">
        <v>859</v>
      </c>
    </row>
    <row r="21" spans="1:11" ht="15" customHeight="1">
      <c r="A21" s="17"/>
      <c r="B21" s="366">
        <v>0.15</v>
      </c>
      <c r="C21" s="366">
        <v>0.15</v>
      </c>
      <c r="D21" s="366">
        <v>0.15</v>
      </c>
      <c r="E21" s="366">
        <v>0.15</v>
      </c>
      <c r="F21" s="366">
        <v>0.15</v>
      </c>
      <c r="G21" s="366">
        <v>0.15</v>
      </c>
      <c r="H21" s="366">
        <v>0.15</v>
      </c>
      <c r="I21" s="366">
        <v>0.15</v>
      </c>
      <c r="J21" s="366">
        <v>0.15</v>
      </c>
    </row>
    <row r="22" spans="1:11" ht="36.75" customHeight="1">
      <c r="A22" s="17"/>
      <c r="B22" s="367" t="str" cm="1">
        <f t="array" ref="B22">IF(g_sup_oil_l48_t=def_g_sup_oil_l48_t,sou_g_sup_oil_l48_t,"")</f>
        <v>Expert input from Dr. Stephen Brown</v>
      </c>
      <c r="C22" s="367" t="str">
        <f>IF(g_sup_oil_l48=def_g_sup_oil_l48,sou_g_sup_oil_l48,"")</f>
        <v>Expert input from Dr. Stephen Brown</v>
      </c>
      <c r="D22" s="367" t="str">
        <f>IF(g_sup_oil_ala_on=def_g_sup_oil_ala_on,sou_g_sup_oil_ala_on,"")</f>
        <v>Expert input from Dr. Stephen Brown</v>
      </c>
      <c r="E22" s="367" t="str">
        <f>IF(g_sup_oil_ala_on=def_g_sup_oil_ala_on,sou_g_sup_oil_ala_on,"")</f>
        <v>Expert input from Dr. Stephen Brown</v>
      </c>
      <c r="F22" s="367" t="str">
        <f>IF(g_sup_oil_ala_off=def_g_sup_oil_ala_off,sou_g_sup_oil_ala_off,"")</f>
        <v>Expert input from Dr. Stephen Brown</v>
      </c>
      <c r="G22" s="367" t="str">
        <f>IF(g_sup_oil_oth=def_g_sup_oil_oth,sou_g_sup_oil_oth,"")</f>
        <v>Expert input from Dr. Stephen Brown</v>
      </c>
      <c r="H22" s="367" t="str">
        <f>IF(g_sup_oil_bio=def_g_sup_oil_bio,sou_g_sup_oil_bio,"")</f>
        <v>Expert input from Dr. Stephen Brown</v>
      </c>
      <c r="I22" s="367" t="str">
        <f>IF(g_sup_oil_row=def_g_sup_oil_row,sou_g_sup_oil_row,"")</f>
        <v>Expert input from Dr. Stephen Brown</v>
      </c>
      <c r="J22" s="367" t="str">
        <f>IF(g_sup_oil_can=def_g_sup_oil_can,sou_g_sup_oil_can,"")</f>
        <v>Assumed same as other oil categories</v>
      </c>
    </row>
    <row r="23" spans="1:11" ht="15" customHeight="1">
      <c r="A23" s="17"/>
      <c r="B23" s="234"/>
      <c r="C23" s="234"/>
      <c r="D23" s="234"/>
    </row>
    <row r="24" spans="1:11" ht="15" customHeight="1">
      <c r="A24" s="17"/>
      <c r="B24" s="234"/>
      <c r="C24" s="234"/>
      <c r="D24" s="234"/>
    </row>
    <row r="25" spans="1:11" ht="21.75" customHeight="1">
      <c r="A25" s="17"/>
      <c r="B25" s="235" t="s">
        <v>860</v>
      </c>
      <c r="C25" s="237"/>
      <c r="D25" s="237"/>
      <c r="E25" s="237"/>
      <c r="F25" s="237"/>
      <c r="G25" s="237"/>
      <c r="H25" s="238"/>
      <c r="I25" s="236"/>
    </row>
    <row r="26" spans="1:11" ht="39.75" customHeight="1">
      <c r="A26" s="17"/>
      <c r="B26" s="652" t="s">
        <v>348</v>
      </c>
      <c r="C26" s="652" t="s">
        <v>349</v>
      </c>
      <c r="D26" s="652" t="s">
        <v>350</v>
      </c>
      <c r="E26" s="652" t="s">
        <v>351</v>
      </c>
      <c r="F26" s="652" t="s">
        <v>352</v>
      </c>
      <c r="G26" s="652" t="s">
        <v>200</v>
      </c>
      <c r="H26" s="652" t="s">
        <v>353</v>
      </c>
      <c r="I26" s="652" t="s">
        <v>354</v>
      </c>
    </row>
    <row r="27" spans="1:11" ht="15" customHeight="1">
      <c r="A27" s="17"/>
      <c r="B27" s="366">
        <v>0.15</v>
      </c>
      <c r="C27" s="366">
        <v>0.3</v>
      </c>
      <c r="D27" s="366">
        <v>0.15</v>
      </c>
      <c r="E27" s="366">
        <v>0.15</v>
      </c>
      <c r="F27" s="366">
        <v>0.15</v>
      </c>
      <c r="G27" s="366">
        <v>0.15</v>
      </c>
      <c r="H27" s="366">
        <v>0.15</v>
      </c>
      <c r="I27" s="366">
        <v>0.15</v>
      </c>
    </row>
    <row r="28" spans="1:11" ht="36.75" customHeight="1">
      <c r="A28" s="17"/>
      <c r="B28" s="367" t="str">
        <f>IF(g_sup_gas_con=def_g_sup_gas_con,sou_g_sup_gas_con,"")</f>
        <v>Encana as cited by NPS</v>
      </c>
      <c r="C28" s="367" t="str">
        <f>IF(g_sup_gas_unc=def_g_sup_gas_unc,sou_g_sup_gas_unc,"")</f>
        <v>Expert input from Dr. Stephen Brown</v>
      </c>
      <c r="D28" s="367" t="str">
        <f>IF(g_sup_gas_off=def_g_sup_gas_off,sou_g_sup_gas_off,"")</f>
        <v>Assumed same as conventional gas</v>
      </c>
      <c r="E28" s="367" t="str">
        <f>IF(g_sup_gas_ala_on=def_g_sup_gas_ala_on,sou_g_sup_gas_ala_on,"")</f>
        <v>Assumed same as conventional gas</v>
      </c>
      <c r="F28" s="367" t="str">
        <f>IF(g_sup_gas_ala_off=def_g_sup_gas_ala_off,sou_g_sup_gas_ala_off,"")</f>
        <v>Assumed same as conventional gas</v>
      </c>
      <c r="G28" s="367" t="str">
        <f>IF(g_sup_gas_oth=def_g_sup_gas_oth,sou_g_sup_gas_oth,"")</f>
        <v>Assumed same as conventional gas</v>
      </c>
      <c r="H28" s="367" t="str">
        <f>IF(g_sup_gas_pip=def_g_sup_gas_pip,sou_g_sup_gas_pip,"")</f>
        <v>Assumed same as conventional gas</v>
      </c>
      <c r="I28" s="367" t="str">
        <f>IF(g_sup_gas_lng=def_g_sup_gas_lng,sou_g_sup_gas_lng,"")</f>
        <v>Assumed same as conventional gas</v>
      </c>
    </row>
    <row r="29" spans="1:11" ht="15" customHeight="1">
      <c r="A29" s="17"/>
      <c r="B29" s="234"/>
      <c r="C29" s="234"/>
      <c r="D29" s="234"/>
    </row>
    <row r="30" spans="1:11" ht="15" customHeight="1">
      <c r="A30" s="17"/>
    </row>
    <row r="31" spans="1:11" ht="19.5" customHeight="1">
      <c r="A31" s="17"/>
      <c r="B31" s="71" t="s">
        <v>861</v>
      </c>
      <c r="C31" s="12"/>
      <c r="D31" s="12"/>
      <c r="E31" s="12"/>
      <c r="F31" s="12"/>
      <c r="G31" s="12"/>
      <c r="H31" s="12"/>
      <c r="I31" s="12"/>
      <c r="J31" s="12"/>
      <c r="K31" s="13"/>
    </row>
    <row r="32" spans="1:11" ht="39.75" customHeight="1">
      <c r="A32" s="17"/>
      <c r="B32" s="668" t="s">
        <v>11</v>
      </c>
      <c r="C32" s="668" t="s">
        <v>256</v>
      </c>
      <c r="D32" s="668" t="s">
        <v>15</v>
      </c>
      <c r="E32" s="668" t="s">
        <v>260</v>
      </c>
      <c r="F32" s="668" t="s">
        <v>261</v>
      </c>
      <c r="G32" s="668" t="s">
        <v>862</v>
      </c>
      <c r="H32" s="668" t="s">
        <v>863</v>
      </c>
      <c r="I32" s="668" t="s">
        <v>262</v>
      </c>
      <c r="J32" s="668" t="s">
        <v>265</v>
      </c>
      <c r="K32" s="668" t="s">
        <v>394</v>
      </c>
    </row>
    <row r="33" spans="1:11" ht="15" customHeight="1">
      <c r="A33" s="17"/>
      <c r="B33" s="356">
        <v>3.3333333333333326E-2</v>
      </c>
      <c r="C33" s="356">
        <v>3.3333333333333326E-2</v>
      </c>
      <c r="D33" s="356">
        <v>3.3333333333333326E-2</v>
      </c>
      <c r="E33" s="356">
        <v>1.6666666666666718E-2</v>
      </c>
      <c r="F33" s="356">
        <v>1.3333333333333308E-2</v>
      </c>
      <c r="G33" s="356">
        <v>0.05</v>
      </c>
      <c r="H33" s="356">
        <v>0.05</v>
      </c>
      <c r="I33" s="356">
        <v>0.04</v>
      </c>
      <c r="J33" s="356">
        <v>3.1428571428571361E-2</v>
      </c>
      <c r="K33" s="356">
        <v>2.6000000000000002E-2</v>
      </c>
    </row>
    <row r="34" spans="1:11" ht="15" customHeight="1">
      <c r="A34" s="17"/>
      <c r="B34" s="130" t="str">
        <f>IF(g_sup_ele_oil=def_g_sup_ele_oil,sou_g_sup_ele_oil,"")</f>
        <v>USDOE</v>
      </c>
      <c r="C34" s="130" t="str">
        <f>IF(g_sup_ele_gas=def_g_sup_ele_gas,sou_g_sup_ele_gas,"")</f>
        <v>USDOE and NETL</v>
      </c>
      <c r="D34" s="130" t="str">
        <f>IF(g_sup_ele_coa=def_g_sup_ele_coa,sou_g_sup_ele_coa,"")</f>
        <v>USDOE and NETL</v>
      </c>
      <c r="E34" s="130" t="str">
        <f>IF(g_sup_ele_nuc=def_g_sup_ele_nuc,sou_g_sup_ele_nuc,"")</f>
        <v>USDOE</v>
      </c>
      <c r="F34" s="130" t="str">
        <f>IF(g_sup_ele_hyd=def_g_sup_ele_hyd,sou_g_sup_ele_hyd,"")</f>
        <v>USGS</v>
      </c>
      <c r="G34" s="130" t="str">
        <f>IF(g_sup_ele_wof=def_g_sup_ele_wof,sou_g_sup_ele_wof,"")</f>
        <v>AWEA, DOE</v>
      </c>
      <c r="H34" s="130" t="str">
        <f>IF(g_sup_ele_won=def_g_sup_ele_won,sou_g_sup_ele_won,"")</f>
        <v>AWEA, DOE</v>
      </c>
      <c r="I34" s="130" t="str">
        <f>IF(g_sup_ele_sol=def_g_sup_ele_sol,sou_g_sup_ele_sol,"")</f>
        <v>Jordan &amp; Kurtz (2012)</v>
      </c>
      <c r="J34" s="130" t="str">
        <f>IF(g_sup_ele_oth=def_g_sup_ele_oth,sou_g_sup_ele_oth,"")</f>
        <v>Average</v>
      </c>
      <c r="K34" s="130" t="str">
        <f>IF(g_sup_ele_imp=def_g_sup_ele_imp,sou_g_sup_ele_imp,"")</f>
        <v>Average (excluding solar, wind)</v>
      </c>
    </row>
    <row r="35" spans="1:11" ht="15" customHeight="1">
      <c r="A35" s="17"/>
      <c r="B35" s="227" t="str">
        <f>IF(g_sup_ele_oil=def_g_sup_ele_oil,sou_g_sup_ele_oil,"")</f>
        <v>USDOE</v>
      </c>
      <c r="C35" s="227" t="str">
        <f>IF(g_sup_ele_gas=def_g_sup_ele_gas,sou_g_sup_ele_gas,"")</f>
        <v>USDOE and NETL</v>
      </c>
      <c r="D35" s="227" t="str">
        <f>IF(g_sup_ele_coa=def_g_sup_ele_coa,sou_g_sup_ele_coa,"")</f>
        <v>USDOE and NETL</v>
      </c>
      <c r="E35" s="227" t="str">
        <f>IF(g_sup_ele_nuc=def_g_sup_ele_nuc,sou_g_sup_ele_nuc,"")</f>
        <v>USDOE</v>
      </c>
      <c r="F35" s="227"/>
      <c r="G35" s="227" t="str">
        <f>IF(g_sup_ele_wof=def_g_sup_ele_wof,sou_g_sup_ele_wof,"")</f>
        <v>AWEA, DOE</v>
      </c>
      <c r="H35" s="227" t="str">
        <f>IF(g_sup_ele_won=def_g_sup_ele_won,sou_g_sup_ele_won,"")</f>
        <v>AWEA, DOE</v>
      </c>
      <c r="I35" s="227" t="str">
        <f>IF(g_sup_ele_sol=def_g_sup_ele_sol,sou_g_sup_ele_sol,"")</f>
        <v>Jordan &amp; Kurtz (2012)</v>
      </c>
      <c r="J35" s="227" t="str">
        <f>IF(g_sup_ele_oth=def_g_sup_ele_oth,sou_g_sup_ele_oth,"")</f>
        <v>Average</v>
      </c>
      <c r="K35" s="227" t="str">
        <f>IF(g_sup_ele_imp=def_g_sup_ele_imp,sou_g_sup_ele_imp,"")</f>
        <v>Average (excluding solar, wind)</v>
      </c>
    </row>
    <row r="36" spans="1:11" ht="15" customHeight="1">
      <c r="A36" s="17"/>
    </row>
    <row r="37" spans="1:11" ht="17.25" customHeight="1">
      <c r="A37" s="17"/>
      <c r="B37" s="236" t="s">
        <v>864</v>
      </c>
      <c r="C37" s="236"/>
      <c r="D37" s="236"/>
      <c r="E37" s="236"/>
    </row>
    <row r="38" spans="1:11" ht="15" customHeight="1">
      <c r="A38" s="17"/>
      <c r="B38" s="241" t="s">
        <v>393</v>
      </c>
      <c r="C38" s="241"/>
      <c r="D38" s="241" t="s">
        <v>394</v>
      </c>
      <c r="E38" s="241"/>
    </row>
    <row r="39" spans="1:11" ht="15" customHeight="1">
      <c r="A39" s="17"/>
      <c r="B39" s="827">
        <v>0.1</v>
      </c>
      <c r="C39" s="828"/>
      <c r="D39" s="827">
        <v>0.1</v>
      </c>
      <c r="E39" s="828"/>
    </row>
    <row r="40" spans="1:11" ht="15" customHeight="1">
      <c r="A40" s="17"/>
      <c r="B40" s="829" t="str">
        <f>IF(g_sup_coa_dom=def_g_sup_coa_dom,sou_g_sup_coa_dom,"")</f>
        <v>Expert input from Dr. Stephen Brown</v>
      </c>
      <c r="C40" s="830"/>
      <c r="D40" s="829" t="str">
        <f>IF(g_sup_coa_imp=def_g_sup_coa_imp,sou_g_sup_coa_imp,"")</f>
        <v>Expert input from Dr. Stephen Brown</v>
      </c>
      <c r="E40" s="830"/>
    </row>
    <row r="41" spans="1:11" ht="15" customHeight="1">
      <c r="A41" s="17"/>
    </row>
    <row r="42" spans="1:11" ht="15" customHeight="1">
      <c r="A42" s="17"/>
    </row>
    <row r="43" spans="1:11" ht="15" customHeight="1">
      <c r="A43" s="17"/>
    </row>
    <row r="44" spans="1:11" ht="15" customHeight="1">
      <c r="A44" s="17"/>
    </row>
    <row r="45" spans="1:11" ht="15" customHeight="1">
      <c r="A45" s="16"/>
    </row>
    <row r="46" spans="1:11" ht="15" customHeight="1">
      <c r="A46" s="16"/>
    </row>
    <row r="47" spans="1:11" ht="15" customHeight="1">
      <c r="A47" s="16"/>
    </row>
    <row r="48" spans="1:11" ht="15" customHeight="1">
      <c r="A48" s="16"/>
    </row>
    <row r="49" spans="1:1" ht="15" customHeight="1">
      <c r="A49" s="16"/>
    </row>
    <row r="50" spans="1:1" ht="15" customHeight="1">
      <c r="A50" s="16"/>
    </row>
    <row r="51" spans="1:1" ht="15" customHeight="1">
      <c r="A51" s="16"/>
    </row>
    <row r="52" spans="1:1" ht="15" customHeight="1">
      <c r="A52" s="16"/>
    </row>
    <row r="53" spans="1:1" ht="15" customHeight="1">
      <c r="A53" s="16"/>
    </row>
    <row r="54" spans="1:1" ht="15" customHeight="1">
      <c r="A54" s="16"/>
    </row>
    <row r="55" spans="1:1" ht="15" customHeight="1">
      <c r="A55" s="16"/>
    </row>
    <row r="56" spans="1:1" ht="15" customHeight="1">
      <c r="A56" s="16"/>
    </row>
    <row r="57" spans="1:1" ht="15" customHeight="1">
      <c r="A57" s="16"/>
    </row>
    <row r="58" spans="1:1">
      <c r="A58" s="16"/>
    </row>
  </sheetData>
  <mergeCells count="5">
    <mergeCell ref="B1:D1"/>
    <mergeCell ref="D39:E39"/>
    <mergeCell ref="B39:C39"/>
    <mergeCell ref="D40:E40"/>
    <mergeCell ref="B40:C40"/>
  </mergeCells>
  <phoneticPr fontId="29" type="noConversion"/>
  <hyperlinks>
    <hyperlink ref="B1" location="'Table of Contents'!A1" tooltip="Click here to return to the Table of Contents tab" display="Return to Table of Contents" xr:uid="{00000000-0004-0000-28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70657" r:id="rId4" name="Button 1">
              <controlPr defaultSize="0" print="0" autoFill="0" autoPict="0" macro="[0]!default_persistence">
                <anchor moveWithCells="1" sizeWithCells="1">
                  <from>
                    <xdr:col>4</xdr:col>
                    <xdr:colOff>723900</xdr:colOff>
                    <xdr:row>0</xdr:row>
                    <xdr:rowOff>152400</xdr:rowOff>
                  </from>
                  <to>
                    <xdr:col>5</xdr:col>
                    <xdr:colOff>1009650</xdr:colOff>
                    <xdr:row>3</xdr:row>
                    <xdr:rowOff>38100</xdr:rowOff>
                  </to>
                </anchor>
              </controlPr>
            </control>
          </mc:Choice>
        </mc:AlternateContent>
      </controls>
    </mc:Choice>
  </mc:AlternateConten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20">
    <tabColor indexed="47"/>
    <pageSetUpPr fitToPage="1"/>
  </sheetPr>
  <dimension ref="A1:Z87"/>
  <sheetViews>
    <sheetView workbookViewId="0">
      <pane xSplit="2" ySplit="9" topLeftCell="C10" activePane="bottomRight" state="frozen"/>
      <selection pane="topRight" activeCell="C10" sqref="C10"/>
      <selection pane="bottomLeft" activeCell="C10" sqref="C10"/>
      <selection pane="bottomRight" sqref="A1:B1"/>
    </sheetView>
  </sheetViews>
  <sheetFormatPr defaultColWidth="9.28515625" defaultRowHeight="15"/>
  <cols>
    <col min="1" max="1" width="15.5703125" style="18" customWidth="1"/>
    <col min="2" max="2" width="10.42578125" style="1" customWidth="1"/>
    <col min="3" max="7" width="11.28515625" style="1" customWidth="1"/>
    <col min="8" max="8" width="12.42578125" style="1" bestFit="1" customWidth="1"/>
    <col min="9" max="9" width="14.42578125" style="1" bestFit="1" customWidth="1"/>
    <col min="10" max="10" width="21" style="1" bestFit="1" customWidth="1"/>
    <col min="11" max="11" width="17" style="1" bestFit="1" customWidth="1"/>
    <col min="12" max="25" width="11.28515625" style="1" customWidth="1"/>
    <col min="26" max="26" width="16.5703125" style="1" bestFit="1" customWidth="1"/>
    <col min="27" max="16384" width="9.28515625" style="1"/>
  </cols>
  <sheetData>
    <row r="1" spans="1:26" ht="15.75" thickBot="1">
      <c r="A1" s="701" t="s">
        <v>27</v>
      </c>
      <c r="B1" s="809"/>
      <c r="D1" s="2"/>
      <c r="E1" s="2"/>
    </row>
    <row r="2" spans="1:26">
      <c r="A2" s="1"/>
      <c r="B2" s="2"/>
      <c r="C2" s="2"/>
      <c r="D2" s="2"/>
      <c r="E2" s="2"/>
      <c r="F2" s="2"/>
      <c r="H2" s="2"/>
      <c r="I2" s="2"/>
      <c r="J2" s="2"/>
      <c r="K2" s="2"/>
      <c r="L2" s="2"/>
      <c r="M2" s="2"/>
      <c r="N2" s="2"/>
      <c r="O2" s="2"/>
      <c r="Q2" s="2"/>
      <c r="R2" s="2"/>
      <c r="S2" s="2"/>
      <c r="T2" s="2"/>
      <c r="U2" s="2"/>
      <c r="V2" s="2"/>
      <c r="W2" s="2"/>
      <c r="Y2" s="2"/>
      <c r="Z2" s="2"/>
    </row>
    <row r="3" spans="1:26">
      <c r="A3" s="1"/>
      <c r="B3" s="2"/>
      <c r="C3" s="2"/>
      <c r="D3" s="2"/>
      <c r="E3" s="2"/>
      <c r="F3" s="2"/>
      <c r="H3" s="2"/>
      <c r="I3" s="2"/>
      <c r="J3" s="2"/>
      <c r="K3" s="2"/>
      <c r="L3" s="2"/>
      <c r="M3" s="2"/>
      <c r="N3" s="2"/>
      <c r="O3" s="2"/>
      <c r="Q3" s="2"/>
      <c r="R3" s="2"/>
      <c r="S3" s="2"/>
      <c r="T3" s="2"/>
      <c r="U3" s="2"/>
      <c r="V3" s="2"/>
      <c r="W3" s="2"/>
      <c r="Y3" s="2"/>
      <c r="Z3" s="2"/>
    </row>
    <row r="4" spans="1:26">
      <c r="A4" s="1"/>
      <c r="B4" s="2"/>
      <c r="C4" s="2"/>
      <c r="D4" s="2"/>
      <c r="E4" s="2"/>
      <c r="F4" s="2"/>
      <c r="G4" s="2"/>
      <c r="H4" s="2"/>
      <c r="I4" s="2"/>
      <c r="J4" s="2"/>
      <c r="K4" s="2"/>
    </row>
    <row r="5" spans="1:26">
      <c r="A5" s="1"/>
      <c r="B5" s="2"/>
      <c r="C5" s="2"/>
      <c r="D5" s="2"/>
      <c r="E5" s="2"/>
      <c r="F5" s="2"/>
      <c r="L5" s="2"/>
      <c r="M5" s="2"/>
      <c r="N5" s="2"/>
      <c r="O5" s="2"/>
      <c r="R5" s="2"/>
      <c r="S5" s="2"/>
      <c r="T5" s="2"/>
      <c r="U5" s="2"/>
    </row>
    <row r="6" spans="1:26" ht="22.5" customHeight="1">
      <c r="A6" s="16"/>
      <c r="B6" s="71" t="s">
        <v>865</v>
      </c>
      <c r="C6" s="12"/>
      <c r="D6" s="12"/>
      <c r="E6" s="12"/>
      <c r="F6" s="59"/>
      <c r="G6" s="59"/>
      <c r="H6" s="59"/>
      <c r="I6" s="59"/>
      <c r="J6" s="59"/>
      <c r="K6" s="59"/>
      <c r="L6" s="76"/>
      <c r="M6" s="76"/>
      <c r="N6" s="76"/>
      <c r="O6" s="76"/>
      <c r="P6" s="76"/>
      <c r="Q6" s="76"/>
      <c r="R6" s="76"/>
      <c r="S6" s="76"/>
      <c r="T6" s="76"/>
      <c r="U6" s="76"/>
      <c r="V6" s="76"/>
      <c r="W6" s="76"/>
      <c r="X6" s="76"/>
      <c r="Y6" s="77"/>
    </row>
    <row r="7" spans="1:26" ht="22.5" customHeight="1">
      <c r="A7" s="16"/>
      <c r="B7" s="61"/>
      <c r="C7" s="57"/>
      <c r="D7" s="57"/>
      <c r="E7" s="57"/>
      <c r="F7" s="62"/>
      <c r="G7" s="62"/>
      <c r="H7" s="62"/>
      <c r="I7" s="62"/>
      <c r="J7" s="62"/>
      <c r="K7" s="62"/>
      <c r="L7" s="78"/>
      <c r="M7" s="78"/>
      <c r="N7" s="78"/>
      <c r="O7" s="78"/>
      <c r="P7" s="78"/>
      <c r="Q7" s="78"/>
      <c r="R7" s="78"/>
      <c r="S7" s="78"/>
      <c r="T7" s="78"/>
      <c r="U7" s="78"/>
      <c r="V7" s="78"/>
      <c r="W7" s="78"/>
      <c r="X7" s="78"/>
      <c r="Y7" s="79"/>
    </row>
    <row r="8" spans="1:26" ht="27" customHeight="1">
      <c r="A8" s="16"/>
      <c r="B8" s="72"/>
      <c r="C8" s="73" t="s">
        <v>133</v>
      </c>
      <c r="D8" s="74"/>
      <c r="E8" s="74"/>
      <c r="F8" s="74"/>
      <c r="G8" s="74"/>
      <c r="H8" s="75"/>
      <c r="I8" s="74"/>
      <c r="J8" s="74"/>
      <c r="K8" s="73" t="s">
        <v>856</v>
      </c>
      <c r="L8" s="74"/>
      <c r="M8" s="74"/>
      <c r="N8" s="74"/>
      <c r="O8" s="74"/>
      <c r="P8" s="75"/>
      <c r="Q8" s="73" t="s">
        <v>135</v>
      </c>
      <c r="R8" s="74"/>
      <c r="S8" s="74"/>
      <c r="T8" s="74"/>
      <c r="U8" s="74"/>
      <c r="V8" s="73" t="s">
        <v>136</v>
      </c>
      <c r="W8" s="74"/>
      <c r="X8" s="74"/>
      <c r="Y8" s="75"/>
    </row>
    <row r="9" spans="1:26" ht="32.25" customHeight="1" thickBot="1">
      <c r="A9" s="16"/>
      <c r="B9" s="66" t="s">
        <v>268</v>
      </c>
      <c r="C9" s="67" t="s">
        <v>281</v>
      </c>
      <c r="D9" s="67" t="s">
        <v>282</v>
      </c>
      <c r="E9" s="67" t="s">
        <v>283</v>
      </c>
      <c r="F9" s="67" t="s">
        <v>284</v>
      </c>
      <c r="G9" s="67" t="s">
        <v>401</v>
      </c>
      <c r="H9" s="97" t="s">
        <v>402</v>
      </c>
      <c r="I9" s="97" t="s">
        <v>403</v>
      </c>
      <c r="J9" s="97" t="s">
        <v>404</v>
      </c>
      <c r="K9" s="67" t="s">
        <v>281</v>
      </c>
      <c r="L9" s="67" t="s">
        <v>282</v>
      </c>
      <c r="M9" s="67" t="s">
        <v>283</v>
      </c>
      <c r="N9" s="67" t="s">
        <v>284</v>
      </c>
      <c r="O9" s="67" t="s">
        <v>401</v>
      </c>
      <c r="P9" s="68" t="s">
        <v>279</v>
      </c>
      <c r="Q9" s="67" t="s">
        <v>281</v>
      </c>
      <c r="R9" s="67" t="s">
        <v>282</v>
      </c>
      <c r="S9" s="67" t="s">
        <v>283</v>
      </c>
      <c r="T9" s="67" t="s">
        <v>284</v>
      </c>
      <c r="U9" s="67" t="s">
        <v>200</v>
      </c>
      <c r="V9" s="67" t="s">
        <v>283</v>
      </c>
      <c r="W9" s="67" t="s">
        <v>14</v>
      </c>
      <c r="X9" s="67" t="s">
        <v>200</v>
      </c>
      <c r="Y9" s="67" t="s">
        <v>279</v>
      </c>
    </row>
    <row r="10" spans="1:26" ht="15.75" thickTop="1">
      <c r="A10" s="16"/>
      <c r="B10" s="22">
        <f>'Oil supply projection'!$B10</f>
        <v>2019</v>
      </c>
      <c r="C10" s="156" t="e">
        <f t="array" aca="1" ref="C10:C84" ca="1">(aeo_dem_oil_res-(1-g_dem_oil_res)*OFFSET(aeo_dem_oil_res,-1,0))/((aeo_price_oil^e_dem_oil_res)*(aeo_price_gas^e_oil_res_gas)*(aeo_price_ele^e_oil_res_ele))</f>
        <v>#VALUE!</v>
      </c>
      <c r="D10" s="156" t="e">
        <f t="array" aca="1" ref="D10:D84" ca="1">(aeo_dem_oil_com-(1-g_dem_oil_com)*OFFSET(aeo_dem_oil_com,-1,0))/((aeo_price_oil^e_dem_oil_com)*(aeo_price_gas^e_oil_com_gas)*(aeo_price_ele^e_oil_com_ele))</f>
        <v>#VALUE!</v>
      </c>
      <c r="E10" s="156" t="e">
        <f t="array" aca="1" ref="E10:E84" ca="1">(aeo_dem_oil_ind-(1-g_dem_oil_ind)*OFFSET(aeo_dem_oil_ind,-1,0))/((aeo_price_oil^e_dem_oil_ind)*(aeo_price_gas^e_oil_ind_gas)*(aeo_price_coa^e_oil_ind_coa)*(aeo_price_ele^e_oil_ind_ele))</f>
        <v>#VALUE!</v>
      </c>
      <c r="F10" s="156" t="e">
        <f t="array" aca="1" ref="F10:F84" ca="1">(aeo_dem_oil_tra-(1-g_dem_oil_tra)*OFFSET(aeo_dem_oil_tra,-1,0))/((aeo_price_oil^e_dem_oil_tra)*(aeo_price_gas^e_oil_tra_gas)*(aeo_price_ele^e_oil_tra_ele))</f>
        <v>#VALUE!</v>
      </c>
      <c r="G10" s="158">
        <f t="array" ref="G10:G84">aeo_dem_oil_ele/aeo_sup_ele_oil</f>
        <v>5.6204968408366304E-3</v>
      </c>
      <c r="H10" s="161" t="e">
        <f t="array" aca="1" ref="H10:H84" ca="1">(aeo_dem_oil_row_crude-(1-g_dem_oil_row_crude)*OFFSET(aeo_dem_oil_row_crude,-1,0))/(aeo_price_oil^e_dem_oil_row_crude)</f>
        <v>#VALUE!</v>
      </c>
      <c r="I10" s="161" t="e">
        <f t="array" aca="1" ref="I10:I84" ca="1">(aeo_dem_oil_row_ref-(1-g_dem_oil_row_ref)*OFFSET(aeo_dem_oil_row_ref,-1,0))/(aeo_price_oil^e_dem_oil_row_ref)</f>
        <v>#VALUE!</v>
      </c>
      <c r="J10" s="161" t="e">
        <f t="array" aca="1" ref="J10:J84" ca="1">(aeo_dem_oil_row_non_us-(1-g_dem_oil_row_non_us)*OFFSET(aeo_dem_oil_row_non_us,-1,0))/(aeo_price_oil^e_dem_oil_row_non_us)</f>
        <v>#VALUE!</v>
      </c>
      <c r="K10" s="156" t="e">
        <f t="array" aca="1" ref="K10:K84" ca="1">(aeo_dem_gas_res-(1-g_dem_gas_res)*OFFSET(aeo_dem_gas_res,-1,0))/((aeo_price_gas^e_dem_gas_res)*(aeo_price_oil^e_gas_res_oil)*(aeo_price_ele^e_gas_res_ele))</f>
        <v>#VALUE!</v>
      </c>
      <c r="L10" s="156" t="e">
        <f t="array" aca="1" ref="L10:L84" ca="1">(aeo_dem_gas_com-(1-g_dem_gas_com)*OFFSET(aeo_dem_gas_com,-1,0))/((aeo_price_gas^e_dem_gas_com)*(aeo_price_oil^e_gas_com_oil)*(aeo_price_ele^e_gas_com_ele))</f>
        <v>#VALUE!</v>
      </c>
      <c r="M10" s="156" t="e">
        <f t="array" aca="1" ref="M10:M84" ca="1">(aeo_dem_gas_ind-(1-g_dem_gas_ind)*OFFSET(aeo_dem_gas_ind,-1,0))/((aeo_price_gas^e_dem_gas_ind)*(aeo_price_oil^e_gas_ind_oil)*(aeo_price_coa^e_gas_ind_coa)*(aeo_price_ele^e_gas_ind_ele))</f>
        <v>#VALUE!</v>
      </c>
      <c r="N10" s="156" t="e">
        <f t="array" aca="1" ref="N10:N84" ca="1">(aeo_dem_gas_tra-(1-g_dem_gas_tra)*OFFSET(aeo_dem_gas_tra,-1,0))/((aeo_price_gas^e_dem_gas_tra)*(aeo_price_oil^e_gas_tra_oil)*(aeo_price_ele^e_gas_tra_ele))</f>
        <v>#VALUE!</v>
      </c>
      <c r="O10" s="158">
        <f t="array" ref="O10:O84">aeo_dem_gas_ele/aeo_sup_ele_gas</f>
        <v>8.9308290100623411E-3</v>
      </c>
      <c r="P10" s="161" t="e">
        <f t="array" aca="1" ref="P10:P84" ca="1">(aeo_dem_gas_exp-(1-g_dem_gas_exp)*OFFSET(aeo_dem_gas_exp,-1,0))/(aeo_price_gas^e_dem_gas_exp)</f>
        <v>#VALUE!</v>
      </c>
      <c r="Q10" s="156" t="e">
        <f t="array" aca="1" ref="Q10:Q84" ca="1">(aeo_dem_ele_res-(1-g_dem_ele_res)*OFFSET(aeo_dem_ele_res,-1,0))/((aeo_price_ele^e_dem_ele_res)*(aeo_price_oil^e_ele_res_oil)*(aeo_price_gas^e_ele_res_gas))</f>
        <v>#VALUE!</v>
      </c>
      <c r="R10" s="156" t="e">
        <f t="array" aca="1" ref="R10:R84" ca="1">(aeo_dem_ele_com-(1-g_dem_ele_com)*OFFSET(aeo_dem_ele_com,-1,0))/((aeo_price_ele^e_dem_ele_com)*(aeo_price_oil^e_ele_com_oil)*(aeo_price_gas^e_ele_com_gas))</f>
        <v>#VALUE!</v>
      </c>
      <c r="S10" s="156" t="e">
        <f t="array" aca="1" ref="S10:S84" ca="1">(aeo_dem_ele_ind-(1-g_dem_ele_ind)*OFFSET(aeo_dem_ele_ind,-1,0))/((aeo_price_ele^e_dem_ele_ind)*(aeo_price_oil^e_ele_ind_oil)*(aeo_price_coa^e_ele_ind_coa)*(aeo_price_gas^e_ele_ind_gas))</f>
        <v>#VALUE!</v>
      </c>
      <c r="T10" s="156" t="e">
        <f t="array" aca="1" ref="T10:T84" ca="1">(aeo_dem_ele_tra-(1-g_dem_ele_tra)*OFFSET(aeo_dem_ele_tra,-1,0))/((aeo_price_ele^e_dem_ele_tra)*(aeo_price_oil^e_ele_tra_oil)*(aeo_price_gas^e_ele_tra_gas))</f>
        <v>#VALUE!</v>
      </c>
      <c r="U10" s="156" t="e">
        <f t="array" aca="1" ref="U10:U84" ca="1">(aeo_dem_ele_oth-(1-g_dem_ele_oth)*OFFSET(aeo_dem_ele_oth,-1,0))/((aeo_price_ele^e_dem_ele_oth)*(aeo_price_coa^e_ele_oth_coa)*(aeo_price_gas^e_ele_oth_gas)*(aeo_price_oil^e_ele_oth_oil))</f>
        <v>#VALUE!</v>
      </c>
      <c r="V10" s="156" t="e">
        <f t="array" aca="1" ref="V10:V84" ca="1">(aeo_dem_coa_ind-(1-g_dem_coa_ind)*OFFSET(aeo_dem_coa_ind,-1,0))/((aeo_price_coa^e_dem_coa_ind)*(aeo_price_oil^e_coa_ind_oil)*(aeo_price_gas^e_coa_ind_gas)*(aeo_price_ele^e_coa_ind_ele))</f>
        <v>#VALUE!</v>
      </c>
      <c r="W10" s="163">
        <f t="array" ref="W10:W84">aeo_dem_coa_ele/aeo_sup_ele_coa</f>
        <v>0.5829945316739471</v>
      </c>
      <c r="X10" s="156" t="e">
        <f t="array" aca="1" ref="X10:X84" ca="1">(aeo_dem_coa_oth-(1-g_dem_coa_oth)*OFFSET(aeo_dem_coa_oth,-1,0))/((aeo_price_coa^e_dem_coa_oth)*(aeo_price_ele^e_coa_oth_ele)*(aeo_price_gas^e_coa_oth_gas)*(aeo_price_oil^e_coa_oth_oil))</f>
        <v>#VALUE!</v>
      </c>
      <c r="Y10" s="156" t="e">
        <f t="array" aca="1" ref="Y10:Y84" ca="1">(aeo_dem_coa_exp-(1-g_dem_coa_exp)*OFFSET(aeo_dem_coa_exp,-1,0))/(aeo_price_coa^e_dem_coa_exp)</f>
        <v>#VALUE!</v>
      </c>
    </row>
    <row r="11" spans="1:26" ht="15" customHeight="1">
      <c r="A11" s="17"/>
      <c r="B11" s="22">
        <f>'Oil supply projection'!$B11</f>
        <v>2020</v>
      </c>
      <c r="C11" s="157">
        <f ca="1"/>
        <v>-8.0254832815168098E-2</v>
      </c>
      <c r="D11" s="157">
        <f ca="1"/>
        <v>1.1636742794433412E-2</v>
      </c>
      <c r="E11" s="157">
        <f ca="1"/>
        <v>0.21851785646825311</v>
      </c>
      <c r="F11" s="157">
        <f ca="1"/>
        <v>-2.5663886392729856</v>
      </c>
      <c r="G11" s="159">
        <v>6.0970549756514426E-3</v>
      </c>
      <c r="H11" s="161">
        <f ca="1"/>
        <v>0.86774601775978999</v>
      </c>
      <c r="I11" s="161">
        <f ca="1"/>
        <v>0.54810855230405786</v>
      </c>
      <c r="J11" s="162">
        <f ca="1"/>
        <v>13.61788085759366</v>
      </c>
      <c r="K11" s="157">
        <f ca="1"/>
        <v>-2.5869361626693736E-2</v>
      </c>
      <c r="L11" s="157">
        <f ca="1"/>
        <v>-7.0202739980535889E-2</v>
      </c>
      <c r="M11" s="157">
        <f ca="1"/>
        <v>4.8892773034043456E-2</v>
      </c>
      <c r="N11" s="157">
        <f ca="1"/>
        <v>0.17023636260799999</v>
      </c>
      <c r="O11" s="159">
        <v>8.4764330056441902E-3</v>
      </c>
      <c r="P11" s="162">
        <f ca="1"/>
        <v>1.6578622237792089</v>
      </c>
      <c r="Q11" s="157">
        <f ca="1"/>
        <v>134.27420161933833</v>
      </c>
      <c r="R11" s="157">
        <f ca="1"/>
        <v>53.222334183082296</v>
      </c>
      <c r="S11" s="157">
        <f ca="1"/>
        <v>142.61564953256371</v>
      </c>
      <c r="T11" s="157">
        <f ca="1"/>
        <v>9.2286598935532691</v>
      </c>
      <c r="U11" s="157">
        <f ca="1"/>
        <v>25.438739312640063</v>
      </c>
      <c r="V11" s="157">
        <f ca="1"/>
        <v>-35.517928881464364</v>
      </c>
      <c r="W11" s="164">
        <v>0.5761732016970551</v>
      </c>
      <c r="X11" s="157">
        <f ca="1"/>
        <v>-682.37723954548267</v>
      </c>
      <c r="Y11" s="157">
        <f ca="1"/>
        <v>-719.27456636587976</v>
      </c>
    </row>
    <row r="12" spans="1:26" ht="15" customHeight="1">
      <c r="B12" s="22">
        <f>'Oil supply projection'!$B12</f>
        <v>2021</v>
      </c>
      <c r="C12" s="157">
        <f ca="1"/>
        <v>0.1104992690038272</v>
      </c>
      <c r="D12" s="157">
        <f ca="1"/>
        <v>0.13232712821807041</v>
      </c>
      <c r="E12" s="157">
        <f ca="1"/>
        <v>0.61684921736039955</v>
      </c>
      <c r="F12" s="157">
        <f ca="1"/>
        <v>8.5674406032341057</v>
      </c>
      <c r="G12" s="159">
        <v>5.9759424033760476E-3</v>
      </c>
      <c r="H12" s="161">
        <f ca="1"/>
        <v>8.668568025138193E-2</v>
      </c>
      <c r="I12" s="161">
        <f ca="1"/>
        <v>1.441982218217654</v>
      </c>
      <c r="J12" s="162">
        <f ca="1"/>
        <v>15.406415683912138</v>
      </c>
      <c r="K12" s="157">
        <f ca="1"/>
        <v>8.5591645678650283E-2</v>
      </c>
      <c r="L12" s="157">
        <f ca="1"/>
        <v>9.883298755631878E-2</v>
      </c>
      <c r="M12" s="157">
        <f ca="1"/>
        <v>0.3315280307819129</v>
      </c>
      <c r="N12" s="157">
        <f ca="1"/>
        <v>0.97435477219500022</v>
      </c>
      <c r="O12" s="159">
        <v>8.4413437279480738E-3</v>
      </c>
      <c r="P12" s="162">
        <f ca="1"/>
        <v>5.7136207979982263</v>
      </c>
      <c r="Q12" s="157">
        <f ca="1"/>
        <v>114.23773025970775</v>
      </c>
      <c r="R12" s="157">
        <f ca="1"/>
        <v>144.21813394114042</v>
      </c>
      <c r="S12" s="157">
        <f ca="1"/>
        <v>188.25889409978393</v>
      </c>
      <c r="T12" s="157">
        <f ca="1"/>
        <v>37.822471886732849</v>
      </c>
      <c r="U12" s="157">
        <f ca="1"/>
        <v>40.519796900722675</v>
      </c>
      <c r="V12" s="157">
        <f ca="1"/>
        <v>20.586224329428379</v>
      </c>
      <c r="W12" s="164">
        <v>0.56811393457715587</v>
      </c>
      <c r="X12" s="157">
        <f ca="1"/>
        <v>-10996.453295969946</v>
      </c>
      <c r="Y12" s="157">
        <f ca="1"/>
        <v>998.47464465180531</v>
      </c>
    </row>
    <row r="13" spans="1:26" ht="15" customHeight="1">
      <c r="B13" s="22">
        <f>'Oil supply projection'!$B13</f>
        <v>2022</v>
      </c>
      <c r="C13" s="157">
        <f ca="1"/>
        <v>0.1181306356535816</v>
      </c>
      <c r="D13" s="157">
        <f ca="1"/>
        <v>2.8435375517632529E-2</v>
      </c>
      <c r="E13" s="157">
        <f ca="1"/>
        <v>0.6836567269927305</v>
      </c>
      <c r="F13" s="157">
        <f ca="1"/>
        <v>6.2507015569745148</v>
      </c>
      <c r="G13" s="159">
        <v>5.1759746479123651E-3</v>
      </c>
      <c r="H13" s="161">
        <f ca="1"/>
        <v>1.5133831800686337</v>
      </c>
      <c r="I13" s="161">
        <f ca="1"/>
        <v>2.1269190451749664</v>
      </c>
      <c r="J13" s="162">
        <f ca="1"/>
        <v>4.1026653870752439</v>
      </c>
      <c r="K13" s="157">
        <f ca="1"/>
        <v>0.17476755244147257</v>
      </c>
      <c r="L13" s="157">
        <f ca="1"/>
        <v>0.13357711867176908</v>
      </c>
      <c r="M13" s="157">
        <f ca="1"/>
        <v>0.40525331030606582</v>
      </c>
      <c r="N13" s="157">
        <f ca="1"/>
        <v>1.1335398264416676</v>
      </c>
      <c r="O13" s="159">
        <v>8.3672879093680402E-3</v>
      </c>
      <c r="P13" s="162">
        <f ca="1"/>
        <v>3.757841103188384</v>
      </c>
      <c r="Q13" s="157">
        <f ca="1"/>
        <v>125.85492634949985</v>
      </c>
      <c r="R13" s="157">
        <f ca="1"/>
        <v>136.59010105312777</v>
      </c>
      <c r="S13" s="157">
        <f ca="1"/>
        <v>189.66100573018556</v>
      </c>
      <c r="T13" s="157">
        <f ca="1"/>
        <v>61.305478181647061</v>
      </c>
      <c r="U13" s="157">
        <f ca="1"/>
        <v>52.378126312028456</v>
      </c>
      <c r="V13" s="157">
        <f ca="1"/>
        <v>-2.9767908868387116</v>
      </c>
      <c r="W13" s="164">
        <v>0.55038119811058417</v>
      </c>
      <c r="X13" s="157">
        <f ca="1"/>
        <v>11885.344649085386</v>
      </c>
      <c r="Y13" s="157">
        <f ca="1"/>
        <v>-82.933648510886627</v>
      </c>
    </row>
    <row r="14" spans="1:26" ht="15" customHeight="1">
      <c r="B14" s="22">
        <f>'Oil supply projection'!$B14</f>
        <v>2023</v>
      </c>
      <c r="C14" s="157">
        <f ca="1"/>
        <v>7.9416732398655349E-2</v>
      </c>
      <c r="D14" s="157">
        <f ca="1"/>
        <v>5.7443864628755517E-2</v>
      </c>
      <c r="E14" s="157">
        <f ca="1"/>
        <v>0.43487431309139513</v>
      </c>
      <c r="F14" s="157">
        <f ca="1"/>
        <v>4.6273994081881122</v>
      </c>
      <c r="G14" s="159">
        <v>5.1502741795780259E-3</v>
      </c>
      <c r="H14" s="161">
        <f ca="1"/>
        <v>0.33222961950994923</v>
      </c>
      <c r="I14" s="161">
        <f ca="1"/>
        <v>1.7549741055510422</v>
      </c>
      <c r="J14" s="162">
        <f ca="1"/>
        <v>13.778920342557793</v>
      </c>
      <c r="K14" s="157">
        <f ca="1"/>
        <v>9.9391338665363094E-2</v>
      </c>
      <c r="L14" s="157">
        <f ca="1"/>
        <v>6.183864417534813E-2</v>
      </c>
      <c r="M14" s="157">
        <f ca="1"/>
        <v>9.0124640964306571E-2</v>
      </c>
      <c r="N14" s="157">
        <f ca="1"/>
        <v>0.40707749564299983</v>
      </c>
      <c r="O14" s="159">
        <v>8.4629386650518345E-3</v>
      </c>
      <c r="P14" s="162">
        <f ca="1"/>
        <v>4.6726233263540715</v>
      </c>
      <c r="Q14" s="157">
        <f ca="1"/>
        <v>77.649472908263817</v>
      </c>
      <c r="R14" s="157">
        <f ca="1"/>
        <v>89.528936763969256</v>
      </c>
      <c r="S14" s="157">
        <f ca="1"/>
        <v>168.97779146269113</v>
      </c>
      <c r="T14" s="157">
        <f ca="1"/>
        <v>59.994194077647521</v>
      </c>
      <c r="U14" s="157">
        <f ca="1"/>
        <v>42.202885820351263</v>
      </c>
      <c r="V14" s="157">
        <f ca="1"/>
        <v>-2.0946495689245888</v>
      </c>
      <c r="W14" s="164">
        <v>0.54809634431486953</v>
      </c>
      <c r="X14" s="157">
        <f ca="1"/>
        <v>2217.5328262384569</v>
      </c>
      <c r="Y14" s="157">
        <f ca="1"/>
        <v>139.54265102550568</v>
      </c>
    </row>
    <row r="15" spans="1:26" ht="15" customHeight="1">
      <c r="B15" s="22">
        <f>'Oil supply projection'!$B15</f>
        <v>2024</v>
      </c>
      <c r="C15" s="157">
        <f ca="1"/>
        <v>-7.8262492482752091E-2</v>
      </c>
      <c r="D15" s="157">
        <f ca="1"/>
        <v>5.1834091974338733E-2</v>
      </c>
      <c r="E15" s="157">
        <f ca="1"/>
        <v>0.15888034445452959</v>
      </c>
      <c r="F15" s="157">
        <f ca="1"/>
        <v>4.1191303514958229</v>
      </c>
      <c r="G15" s="159">
        <v>5.1525101028842349E-3</v>
      </c>
      <c r="H15" s="161">
        <f ca="1"/>
        <v>0.40675758327946249</v>
      </c>
      <c r="I15" s="161">
        <f ca="1"/>
        <v>2.8257756284384232</v>
      </c>
      <c r="J15" s="162">
        <f ca="1"/>
        <v>14.609610206835983</v>
      </c>
      <c r="K15" s="157">
        <f ca="1"/>
        <v>5.4877258690514442E-3</v>
      </c>
      <c r="L15" s="157">
        <f ca="1"/>
        <v>1.4144893903983782E-2</v>
      </c>
      <c r="M15" s="157">
        <f ca="1"/>
        <v>0.14935369785067709</v>
      </c>
      <c r="N15" s="157">
        <f ca="1"/>
        <v>0.25518788981400031</v>
      </c>
      <c r="O15" s="159">
        <v>8.4714936016157295E-3</v>
      </c>
      <c r="P15" s="162">
        <f ca="1"/>
        <v>1.0911390513859818</v>
      </c>
      <c r="Q15" s="157">
        <f ca="1"/>
        <v>109.60800012025831</v>
      </c>
      <c r="R15" s="157">
        <f ca="1"/>
        <v>114.46958563107545</v>
      </c>
      <c r="S15" s="157">
        <f ca="1"/>
        <v>165.68176551416013</v>
      </c>
      <c r="T15" s="157">
        <f ca="1"/>
        <v>70.242749555946745</v>
      </c>
      <c r="U15" s="157">
        <f ca="1"/>
        <v>60.116434615167641</v>
      </c>
      <c r="V15" s="157">
        <f ca="1"/>
        <v>8.1280187044521401</v>
      </c>
      <c r="W15" s="164">
        <v>0.54629965627585342</v>
      </c>
      <c r="X15" s="157">
        <f ca="1"/>
        <v>-7262.2566548396553</v>
      </c>
      <c r="Y15" s="157">
        <f ca="1"/>
        <v>1094.3444732178743</v>
      </c>
    </row>
    <row r="16" spans="1:26" ht="15" customHeight="1">
      <c r="B16" s="22">
        <f>'Oil supply projection'!$B16</f>
        <v>2025</v>
      </c>
      <c r="C16" s="157">
        <f ca="1"/>
        <v>9.9925064957544316E-2</v>
      </c>
      <c r="D16" s="157">
        <f ca="1"/>
        <v>8.6619073060082111E-2</v>
      </c>
      <c r="E16" s="157">
        <f ca="1"/>
        <v>0.53430503952296171</v>
      </c>
      <c r="F16" s="157">
        <f ca="1"/>
        <v>4.0197192813630513</v>
      </c>
      <c r="G16" s="159">
        <v>5.1451494065381511E-3</v>
      </c>
      <c r="H16" s="161">
        <f ca="1"/>
        <v>0.56857402688935821</v>
      </c>
      <c r="I16" s="161">
        <f ca="1"/>
        <v>1.5438588275271583</v>
      </c>
      <c r="J16" s="162">
        <f ca="1"/>
        <v>14.396780655103457</v>
      </c>
      <c r="K16" s="157">
        <f ca="1"/>
        <v>8.5431309281030793E-2</v>
      </c>
      <c r="L16" s="157">
        <f ca="1"/>
        <v>6.6615848204265998E-2</v>
      </c>
      <c r="M16" s="157">
        <f ca="1"/>
        <v>0.24094369337201357</v>
      </c>
      <c r="N16" s="157">
        <f ca="1"/>
        <v>0.31139787722400053</v>
      </c>
      <c r="O16" s="159">
        <v>8.4838849518463245E-3</v>
      </c>
      <c r="P16" s="162">
        <f ca="1"/>
        <v>2.1397071240344618</v>
      </c>
      <c r="Q16" s="157">
        <f ca="1"/>
        <v>107.79576358137477</v>
      </c>
      <c r="R16" s="157">
        <f ca="1"/>
        <v>106.84844379955433</v>
      </c>
      <c r="S16" s="157">
        <f ca="1"/>
        <v>177.29387893379595</v>
      </c>
      <c r="T16" s="157">
        <f ca="1"/>
        <v>78.069897145397633</v>
      </c>
      <c r="U16" s="157">
        <f ca="1"/>
        <v>44.940667450004362</v>
      </c>
      <c r="V16" s="157">
        <f ca="1"/>
        <v>5.4858703481144584</v>
      </c>
      <c r="W16" s="164">
        <v>0.54057127017478035</v>
      </c>
      <c r="X16" s="157">
        <f ca="1"/>
        <v>1153.4186787958511</v>
      </c>
      <c r="Y16" s="157">
        <f ca="1"/>
        <v>106.76459603699757</v>
      </c>
    </row>
    <row r="17" spans="1:25" ht="15" customHeight="1">
      <c r="B17" s="22">
        <f>'Oil supply projection'!$B17</f>
        <v>2026</v>
      </c>
      <c r="C17" s="157">
        <f ca="1"/>
        <v>0.10678100009948387</v>
      </c>
      <c r="D17" s="157">
        <f ca="1"/>
        <v>8.5864940492069039E-2</v>
      </c>
      <c r="E17" s="157">
        <f ca="1"/>
        <v>0.57090044619628633</v>
      </c>
      <c r="F17" s="157">
        <f ca="1"/>
        <v>4.0953551770094103</v>
      </c>
      <c r="G17" s="159">
        <v>5.1142861378484141E-3</v>
      </c>
      <c r="H17" s="161">
        <f ca="1"/>
        <v>0.54447489178075414</v>
      </c>
      <c r="I17" s="161">
        <f ca="1"/>
        <v>1.7618334931454489</v>
      </c>
      <c r="J17" s="162">
        <f ca="1"/>
        <v>14.182656942003311</v>
      </c>
      <c r="K17" s="157">
        <f ca="1"/>
        <v>8.2413729153795648E-2</v>
      </c>
      <c r="L17" s="157">
        <f ca="1"/>
        <v>6.5070978662375087E-2</v>
      </c>
      <c r="M17" s="157">
        <f ca="1"/>
        <v>0.27213620466351685</v>
      </c>
      <c r="N17" s="157">
        <f ca="1"/>
        <v>0.3637296830443334</v>
      </c>
      <c r="O17" s="159">
        <v>8.513584799324448E-3</v>
      </c>
      <c r="P17" s="162">
        <f ca="1"/>
        <v>2.261127191673229</v>
      </c>
      <c r="Q17" s="157">
        <f ca="1"/>
        <v>109.8044301482829</v>
      </c>
      <c r="R17" s="157">
        <f ca="1"/>
        <v>111.67683140675778</v>
      </c>
      <c r="S17" s="157">
        <f ca="1"/>
        <v>185.3747570570753</v>
      </c>
      <c r="T17" s="157">
        <f ca="1"/>
        <v>92.007743926502499</v>
      </c>
      <c r="U17" s="157">
        <f ca="1"/>
        <v>45.387720353446056</v>
      </c>
      <c r="V17" s="157">
        <f ca="1"/>
        <v>8.2708933251576155</v>
      </c>
      <c r="W17" s="164">
        <v>0.52835129994963659</v>
      </c>
      <c r="X17" s="157">
        <f ca="1"/>
        <v>609.72983835650621</v>
      </c>
      <c r="Y17" s="157">
        <f ca="1"/>
        <v>634.20954705452846</v>
      </c>
    </row>
    <row r="18" spans="1:25" ht="15" customHeight="1">
      <c r="B18" s="22">
        <f>'Oil supply projection'!$B18</f>
        <v>2027</v>
      </c>
      <c r="C18" s="157">
        <f ca="1"/>
        <v>0.11062646881926415</v>
      </c>
      <c r="D18" s="157">
        <f ca="1"/>
        <v>8.7252763437061967E-2</v>
      </c>
      <c r="E18" s="157">
        <f ca="1"/>
        <v>0.53479030041582543</v>
      </c>
      <c r="F18" s="157">
        <f ca="1"/>
        <v>4.0982095575021376</v>
      </c>
      <c r="G18" s="159">
        <v>5.0933988535983368E-3</v>
      </c>
      <c r="H18" s="161">
        <f ca="1"/>
        <v>0.69051272523469243</v>
      </c>
      <c r="I18" s="161">
        <f ca="1"/>
        <v>1.4091644718355743</v>
      </c>
      <c r="J18" s="162">
        <f ca="1"/>
        <v>14.496142378346894</v>
      </c>
      <c r="K18" s="157">
        <f ca="1"/>
        <v>7.8862406583125377E-2</v>
      </c>
      <c r="L18" s="157">
        <f ca="1"/>
        <v>5.8242351198428466E-2</v>
      </c>
      <c r="M18" s="157">
        <f ca="1"/>
        <v>0.21946845379664165</v>
      </c>
      <c r="N18" s="157">
        <f ca="1"/>
        <v>0.26607161788566686</v>
      </c>
      <c r="O18" s="159">
        <v>8.5576818778286112E-3</v>
      </c>
      <c r="P18" s="162">
        <f ca="1"/>
        <v>1.969413470382027</v>
      </c>
      <c r="Q18" s="157">
        <f ca="1"/>
        <v>110.49210913488578</v>
      </c>
      <c r="R18" s="157">
        <f ca="1"/>
        <v>109.88632701533471</v>
      </c>
      <c r="S18" s="157">
        <f ca="1"/>
        <v>183.80607659899422</v>
      </c>
      <c r="T18" s="157">
        <f ca="1"/>
        <v>107.21257601628888</v>
      </c>
      <c r="U18" s="157">
        <f ca="1"/>
        <v>45.543418195292048</v>
      </c>
      <c r="V18" s="157">
        <f ca="1"/>
        <v>8.309347212708623</v>
      </c>
      <c r="W18" s="164">
        <v>0.51965176733346397</v>
      </c>
      <c r="X18" s="157">
        <f ca="1"/>
        <v>-647.84750967879256</v>
      </c>
      <c r="Y18" s="157">
        <f ca="1"/>
        <v>158.45184835158187</v>
      </c>
    </row>
    <row r="19" spans="1:25" ht="15" customHeight="1">
      <c r="B19" s="22">
        <f>'Oil supply projection'!$B19</f>
        <v>2028</v>
      </c>
      <c r="C19" s="157">
        <f ca="1"/>
        <v>0.11075001334861986</v>
      </c>
      <c r="D19" s="157">
        <f ca="1"/>
        <v>9.9456843228151542E-2</v>
      </c>
      <c r="E19" s="157">
        <f ca="1"/>
        <v>0.49825770897764615</v>
      </c>
      <c r="F19" s="157">
        <f ca="1"/>
        <v>3.9784790764110562</v>
      </c>
      <c r="G19" s="159">
        <v>5.0652744062018879E-3</v>
      </c>
      <c r="H19" s="161">
        <f ca="1"/>
        <v>0.64399580693692215</v>
      </c>
      <c r="I19" s="161">
        <f ca="1"/>
        <v>1.2809279395779503</v>
      </c>
      <c r="J19" s="162">
        <f ca="1"/>
        <v>14.904107178724159</v>
      </c>
      <c r="K19" s="157">
        <f ca="1"/>
        <v>7.6508619311584661E-2</v>
      </c>
      <c r="L19" s="157">
        <f ca="1"/>
        <v>6.1566836652285024E-2</v>
      </c>
      <c r="M19" s="157">
        <f ca="1"/>
        <v>0.202832994354889</v>
      </c>
      <c r="N19" s="157">
        <f ca="1"/>
        <v>0.26183819662450025</v>
      </c>
      <c r="O19" s="159">
        <v>8.5509633263087612E-3</v>
      </c>
      <c r="P19" s="162">
        <f ca="1"/>
        <v>1.9372593887219478</v>
      </c>
      <c r="Q19" s="157">
        <f ca="1"/>
        <v>109.62775008074706</v>
      </c>
      <c r="R19" s="157">
        <f ca="1"/>
        <v>116.30843448182291</v>
      </c>
      <c r="S19" s="157">
        <f ca="1"/>
        <v>181.91450885551643</v>
      </c>
      <c r="T19" s="157">
        <f ca="1"/>
        <v>123.48559617066121</v>
      </c>
      <c r="U19" s="157">
        <f ca="1"/>
        <v>46.979921708181038</v>
      </c>
      <c r="V19" s="157">
        <f ca="1"/>
        <v>8.0899658450740315</v>
      </c>
      <c r="W19" s="164">
        <v>0.52126212821238227</v>
      </c>
      <c r="X19" s="157">
        <f ca="1"/>
        <v>791.50055284067537</v>
      </c>
      <c r="Y19" s="157">
        <f ca="1"/>
        <v>242.8292607581854</v>
      </c>
    </row>
    <row r="20" spans="1:25" ht="15" customHeight="1">
      <c r="B20" s="22">
        <f>'Oil supply projection'!$B20</f>
        <v>2029</v>
      </c>
      <c r="C20" s="157">
        <f ca="1"/>
        <v>0.1106470579320796</v>
      </c>
      <c r="D20" s="157">
        <f ca="1"/>
        <v>9.6876742079202369E-2</v>
      </c>
      <c r="E20" s="157">
        <f ca="1"/>
        <v>0.49755397600956419</v>
      </c>
      <c r="F20" s="157">
        <f ca="1"/>
        <v>3.8981668267237697</v>
      </c>
      <c r="G20" s="159">
        <v>5.0521557795945625E-3</v>
      </c>
      <c r="H20" s="161">
        <f ca="1"/>
        <v>0.64389215638974096</v>
      </c>
      <c r="I20" s="161">
        <f ca="1"/>
        <v>1.4293290677234791</v>
      </c>
      <c r="J20" s="162">
        <f ca="1"/>
        <v>14.867995649738653</v>
      </c>
      <c r="K20" s="157">
        <f ca="1"/>
        <v>7.3447203393865096E-2</v>
      </c>
      <c r="L20" s="157">
        <f ca="1"/>
        <v>5.8184632366859314E-2</v>
      </c>
      <c r="M20" s="157">
        <f ca="1"/>
        <v>0.19209778213388778</v>
      </c>
      <c r="N20" s="157">
        <f ca="1"/>
        <v>0.35403667300716668</v>
      </c>
      <c r="O20" s="159">
        <v>8.6778061512596972E-3</v>
      </c>
      <c r="P20" s="162">
        <f ca="1"/>
        <v>1.871200643947758</v>
      </c>
      <c r="Q20" s="157">
        <f ca="1"/>
        <v>107.6969074761631</v>
      </c>
      <c r="R20" s="157">
        <f ca="1"/>
        <v>116.00969950354913</v>
      </c>
      <c r="S20" s="157">
        <f ca="1"/>
        <v>181.79717204079515</v>
      </c>
      <c r="T20" s="157">
        <f ca="1"/>
        <v>140.88640292404344</v>
      </c>
      <c r="U20" s="157">
        <f ca="1"/>
        <v>48.654313356881367</v>
      </c>
      <c r="V20" s="157">
        <f ca="1"/>
        <v>7.3675326539161237</v>
      </c>
      <c r="W20" s="164">
        <v>0.54271003612557234</v>
      </c>
      <c r="X20" s="157">
        <f ca="1"/>
        <v>-2071.7453777558967</v>
      </c>
      <c r="Y20" s="157">
        <f ca="1"/>
        <v>202.06857572584389</v>
      </c>
    </row>
    <row r="21" spans="1:25" ht="15" customHeight="1">
      <c r="A21" s="17"/>
      <c r="B21" s="22">
        <f>'Oil supply projection'!$B21</f>
        <v>2030</v>
      </c>
      <c r="C21" s="157">
        <f ca="1"/>
        <v>0.10872998824545155</v>
      </c>
      <c r="D21" s="157">
        <f ca="1"/>
        <v>9.352908231697292E-2</v>
      </c>
      <c r="E21" s="157">
        <f ca="1"/>
        <v>0.48573766896958964</v>
      </c>
      <c r="F21" s="157">
        <f ca="1"/>
        <v>3.8212826963433595</v>
      </c>
      <c r="G21" s="159">
        <v>5.0542992309436565E-3</v>
      </c>
      <c r="H21" s="161">
        <f ca="1"/>
        <v>0.70275071245568133</v>
      </c>
      <c r="I21" s="161">
        <f ca="1"/>
        <v>1.5348039946219414</v>
      </c>
      <c r="J21" s="162">
        <f ca="1"/>
        <v>14.757356224626209</v>
      </c>
      <c r="K21" s="157">
        <f ca="1"/>
        <v>7.2043754845268093E-2</v>
      </c>
      <c r="L21" s="157">
        <f ca="1"/>
        <v>5.697129041644431E-2</v>
      </c>
      <c r="M21" s="157">
        <f ca="1"/>
        <v>0.18858710297546871</v>
      </c>
      <c r="N21" s="157">
        <f ca="1"/>
        <v>0.44397251665316728</v>
      </c>
      <c r="O21" s="159">
        <v>8.7458160770563231E-3</v>
      </c>
      <c r="P21" s="162">
        <f ca="1"/>
        <v>2.7076812946206523</v>
      </c>
      <c r="Q21" s="157">
        <f ca="1"/>
        <v>106.61751423478653</v>
      </c>
      <c r="R21" s="157">
        <f ca="1"/>
        <v>115.46330800169399</v>
      </c>
      <c r="S21" s="157">
        <f ca="1"/>
        <v>180.10666983679511</v>
      </c>
      <c r="T21" s="157">
        <f ca="1"/>
        <v>159.96039491478584</v>
      </c>
      <c r="U21" s="157">
        <f ca="1"/>
        <v>49.722633146475793</v>
      </c>
      <c r="V21" s="157">
        <f ca="1"/>
        <v>7.1410412135776431</v>
      </c>
      <c r="W21" s="164">
        <v>0.55115590120624725</v>
      </c>
      <c r="X21" s="157">
        <f ca="1"/>
        <v>794.33565431707575</v>
      </c>
      <c r="Y21" s="157">
        <f ca="1"/>
        <v>166.64469457036139</v>
      </c>
    </row>
    <row r="22" spans="1:25" ht="15" customHeight="1">
      <c r="A22" s="17"/>
      <c r="B22" s="22">
        <f>'Oil supply projection'!$B22</f>
        <v>2031</v>
      </c>
      <c r="C22" s="157">
        <f ca="1"/>
        <v>0.10580073037407682</v>
      </c>
      <c r="D22" s="157">
        <f ca="1"/>
        <v>9.2326476895554566E-2</v>
      </c>
      <c r="E22" s="157">
        <f ca="1"/>
        <v>0.48531444387368933</v>
      </c>
      <c r="F22" s="157">
        <f ca="1"/>
        <v>3.8760759106717937</v>
      </c>
      <c r="G22" s="159">
        <v>5.0403828532679367E-3</v>
      </c>
      <c r="H22" s="161">
        <f ca="1"/>
        <v>0.57623557564304873</v>
      </c>
      <c r="I22" s="161">
        <f ca="1"/>
        <v>1.4584814311431753</v>
      </c>
      <c r="J22" s="162">
        <f ca="1"/>
        <v>13.623396471643886</v>
      </c>
      <c r="K22" s="157">
        <f ca="1"/>
        <v>7.1296353446400118E-2</v>
      </c>
      <c r="L22" s="157">
        <f ca="1"/>
        <v>5.7214397512464918E-2</v>
      </c>
      <c r="M22" s="157">
        <f ca="1"/>
        <v>0.19368325867517208</v>
      </c>
      <c r="N22" s="157">
        <f ca="1"/>
        <v>0.48775275957750047</v>
      </c>
      <c r="O22" s="159">
        <v>8.7733912894382461E-3</v>
      </c>
      <c r="P22" s="162">
        <f ca="1"/>
        <v>3.0408732507319902</v>
      </c>
      <c r="Q22" s="157">
        <f ca="1"/>
        <v>106.01774826524915</v>
      </c>
      <c r="R22" s="157">
        <f ca="1"/>
        <v>116.72204384725218</v>
      </c>
      <c r="S22" s="157">
        <f ca="1"/>
        <v>180.44210544042321</v>
      </c>
      <c r="T22" s="157">
        <f ca="1"/>
        <v>162.6299850961779</v>
      </c>
      <c r="U22" s="157">
        <f ca="1"/>
        <v>50.634990303587117</v>
      </c>
      <c r="V22" s="157">
        <f ca="1"/>
        <v>7.3422529055384738</v>
      </c>
      <c r="W22" s="164">
        <v>0.55150027279012281</v>
      </c>
      <c r="X22" s="157">
        <f ca="1"/>
        <v>300.28509905409101</v>
      </c>
      <c r="Y22" s="157">
        <f ca="1"/>
        <v>339.22028970925362</v>
      </c>
    </row>
    <row r="23" spans="1:25" ht="15" customHeight="1">
      <c r="A23" s="17"/>
      <c r="B23" s="22">
        <f>'Oil supply projection'!$B23</f>
        <v>2032</v>
      </c>
      <c r="C23" s="157">
        <f ca="1"/>
        <v>0.10306124793494893</v>
      </c>
      <c r="D23" s="157">
        <f ca="1"/>
        <v>9.1196917824197241E-2</v>
      </c>
      <c r="E23" s="157">
        <f ca="1"/>
        <v>0.50566104627209585</v>
      </c>
      <c r="F23" s="157">
        <f ca="1"/>
        <v>3.9280256827375299</v>
      </c>
      <c r="G23" s="159">
        <v>5.0428471062810452E-3</v>
      </c>
      <c r="H23" s="161">
        <f ca="1"/>
        <v>0.55841796722561521</v>
      </c>
      <c r="I23" s="161">
        <f ca="1"/>
        <v>1.5712237331355454</v>
      </c>
      <c r="J23" s="162">
        <f ca="1"/>
        <v>13.570159250028569</v>
      </c>
      <c r="K23" s="157">
        <f ca="1"/>
        <v>7.1882459007887978E-2</v>
      </c>
      <c r="L23" s="157">
        <f ca="1"/>
        <v>5.6776294334171952E-2</v>
      </c>
      <c r="M23" s="157">
        <f ca="1"/>
        <v>0.22172568037325543</v>
      </c>
      <c r="N23" s="157">
        <f ca="1"/>
        <v>0.55938629492933312</v>
      </c>
      <c r="O23" s="159">
        <v>8.8054697286858059E-3</v>
      </c>
      <c r="P23" s="162">
        <f ca="1"/>
        <v>3.2711121611363034</v>
      </c>
      <c r="Q23" s="157">
        <f ca="1"/>
        <v>106.65322633147937</v>
      </c>
      <c r="R23" s="157">
        <f ca="1"/>
        <v>118.01261390491979</v>
      </c>
      <c r="S23" s="157">
        <f ca="1"/>
        <v>184.06563466017784</v>
      </c>
      <c r="T23" s="157">
        <f ca="1"/>
        <v>176.09708665011431</v>
      </c>
      <c r="U23" s="157">
        <f ca="1"/>
        <v>51.966848321302209</v>
      </c>
      <c r="V23" s="157">
        <f ca="1"/>
        <v>8.2130115913553574</v>
      </c>
      <c r="W23" s="164">
        <v>0.54845358821850598</v>
      </c>
      <c r="X23" s="157">
        <f ca="1"/>
        <v>-305.65900359930475</v>
      </c>
      <c r="Y23" s="157">
        <f ca="1"/>
        <v>379.09668905479572</v>
      </c>
    </row>
    <row r="24" spans="1:25" ht="15" customHeight="1">
      <c r="A24" s="17"/>
      <c r="B24" s="22">
        <f>'Oil supply projection'!$B24</f>
        <v>2033</v>
      </c>
      <c r="C24" s="157">
        <f ca="1"/>
        <v>0.10115485740736559</v>
      </c>
      <c r="D24" s="157">
        <f ca="1"/>
        <v>8.8323757135111938E-2</v>
      </c>
      <c r="E24" s="157">
        <f ca="1"/>
        <v>0.47696799896216058</v>
      </c>
      <c r="F24" s="157">
        <f ca="1"/>
        <v>3.9660298580285631</v>
      </c>
      <c r="G24" s="159">
        <v>5.0476468003662987E-3</v>
      </c>
      <c r="H24" s="161">
        <f ca="1"/>
        <v>0.54019764316200991</v>
      </c>
      <c r="I24" s="161">
        <f ca="1"/>
        <v>1.5137506479043059</v>
      </c>
      <c r="J24" s="162">
        <f ca="1"/>
        <v>13.701458870709109</v>
      </c>
      <c r="K24" s="157">
        <f ca="1"/>
        <v>7.5186479361311315E-2</v>
      </c>
      <c r="L24" s="157">
        <f ca="1"/>
        <v>5.5545845360927527E-2</v>
      </c>
      <c r="M24" s="157">
        <f ca="1"/>
        <v>0.2117720951956121</v>
      </c>
      <c r="N24" s="157">
        <f ca="1"/>
        <v>0.59936098871366661</v>
      </c>
      <c r="O24" s="159">
        <v>8.8808890856937831E-3</v>
      </c>
      <c r="P24" s="162">
        <f ca="1"/>
        <v>3.4879545604296971</v>
      </c>
      <c r="Q24" s="157">
        <f ca="1"/>
        <v>105.37064725876616</v>
      </c>
      <c r="R24" s="157">
        <f ca="1"/>
        <v>114.36326183698976</v>
      </c>
      <c r="S24" s="157">
        <f ca="1"/>
        <v>179.25080895582747</v>
      </c>
      <c r="T24" s="157">
        <f ca="1"/>
        <v>187.98492223825835</v>
      </c>
      <c r="U24" s="157">
        <f ca="1"/>
        <v>54.42377576301152</v>
      </c>
      <c r="V24" s="157">
        <f ca="1"/>
        <v>5.8124119148138078</v>
      </c>
      <c r="W24" s="164">
        <v>0.54514711530904347</v>
      </c>
      <c r="X24" s="157">
        <f ca="1"/>
        <v>156.22774903193854</v>
      </c>
      <c r="Y24" s="157">
        <f ca="1"/>
        <v>59.242741721953962</v>
      </c>
    </row>
    <row r="25" spans="1:25" ht="15" customHeight="1">
      <c r="A25" s="17"/>
      <c r="B25" s="22">
        <f>'Oil supply projection'!$B25</f>
        <v>2034</v>
      </c>
      <c r="C25" s="157">
        <f ca="1"/>
        <v>9.8337617622991327E-2</v>
      </c>
      <c r="D25" s="157">
        <f ca="1"/>
        <v>8.6902981106507904E-2</v>
      </c>
      <c r="E25" s="157">
        <f ca="1"/>
        <v>0.49112551376866609</v>
      </c>
      <c r="F25" s="157">
        <f ca="1"/>
        <v>3.9568198199290343</v>
      </c>
      <c r="G25" s="159">
        <v>5.0477142068200169E-3</v>
      </c>
      <c r="H25" s="161">
        <f ca="1"/>
        <v>0.59034300694849828</v>
      </c>
      <c r="I25" s="161">
        <f ca="1"/>
        <v>1.6876126027316769</v>
      </c>
      <c r="J25" s="162">
        <f ca="1"/>
        <v>13.382494653453644</v>
      </c>
      <c r="K25" s="157">
        <f ca="1"/>
        <v>7.4705716713780734E-2</v>
      </c>
      <c r="L25" s="157">
        <f ca="1"/>
        <v>5.4986436068748729E-2</v>
      </c>
      <c r="M25" s="157">
        <f ca="1"/>
        <v>0.22231777072227582</v>
      </c>
      <c r="N25" s="157">
        <f ca="1"/>
        <v>0.61053053301791704</v>
      </c>
      <c r="O25" s="159">
        <v>8.9617471597181527E-3</v>
      </c>
      <c r="P25" s="162">
        <f ca="1"/>
        <v>3.3889259617129008</v>
      </c>
      <c r="Q25" s="157">
        <f ca="1"/>
        <v>105.67821275149008</v>
      </c>
      <c r="R25" s="157">
        <f ca="1"/>
        <v>114.34841424801481</v>
      </c>
      <c r="S25" s="157">
        <f ca="1"/>
        <v>180.2550096356708</v>
      </c>
      <c r="T25" s="157">
        <f ca="1"/>
        <v>202.8222511829936</v>
      </c>
      <c r="U25" s="157">
        <f ca="1"/>
        <v>55.832064846450002</v>
      </c>
      <c r="V25" s="157">
        <f ca="1"/>
        <v>5.2147347103402275</v>
      </c>
      <c r="W25" s="164">
        <v>0.54864767031687134</v>
      </c>
      <c r="X25" s="157">
        <f ca="1"/>
        <v>-518.08174778538523</v>
      </c>
      <c r="Y25" s="157">
        <f ca="1"/>
        <v>191.06694449580795</v>
      </c>
    </row>
    <row r="26" spans="1:25" ht="15" customHeight="1">
      <c r="A26" s="17"/>
      <c r="B26" s="22">
        <f>'Oil supply projection'!$B26</f>
        <v>2035</v>
      </c>
      <c r="C26" s="157">
        <f ca="1"/>
        <v>9.7353622294054004E-2</v>
      </c>
      <c r="D26" s="157">
        <f ca="1"/>
        <v>8.629128653141982E-2</v>
      </c>
      <c r="E26" s="157">
        <f ca="1"/>
        <v>0.46849371120934463</v>
      </c>
      <c r="F26" s="157">
        <f ca="1"/>
        <v>3.9518616808227276</v>
      </c>
      <c r="G26" s="159">
        <v>5.0544327955642059E-3</v>
      </c>
      <c r="H26" s="161">
        <f ca="1"/>
        <v>0.62287677712715039</v>
      </c>
      <c r="I26" s="161">
        <f ca="1"/>
        <v>1.6069672007367768</v>
      </c>
      <c r="J26" s="162">
        <f ca="1"/>
        <v>13.619750658041335</v>
      </c>
      <c r="K26" s="157">
        <f ca="1"/>
        <v>7.5340180332452378E-2</v>
      </c>
      <c r="L26" s="157">
        <f ca="1"/>
        <v>5.4769460844387663E-2</v>
      </c>
      <c r="M26" s="157">
        <f ca="1"/>
        <v>0.22634743966789858</v>
      </c>
      <c r="N26" s="157">
        <f ca="1"/>
        <v>0.56947201992566676</v>
      </c>
      <c r="O26" s="159">
        <v>9.0394954261763059E-3</v>
      </c>
      <c r="P26" s="162">
        <f ca="1"/>
        <v>2.9630658806774401</v>
      </c>
      <c r="Q26" s="157">
        <f ca="1"/>
        <v>108.64914377759251</v>
      </c>
      <c r="R26" s="157">
        <f ca="1"/>
        <v>115.872618866595</v>
      </c>
      <c r="S26" s="157">
        <f ca="1"/>
        <v>181.6584767384247</v>
      </c>
      <c r="T26" s="157">
        <f ca="1"/>
        <v>212.0054953699495</v>
      </c>
      <c r="U26" s="157">
        <f ca="1"/>
        <v>55.394500331488238</v>
      </c>
      <c r="V26" s="157">
        <f ca="1"/>
        <v>5.3029059646147738</v>
      </c>
      <c r="W26" s="164">
        <v>0.55232579439156526</v>
      </c>
      <c r="X26" s="157">
        <f ca="1"/>
        <v>455.87100604415502</v>
      </c>
      <c r="Y26" s="157">
        <f ca="1"/>
        <v>319.0618750163901</v>
      </c>
    </row>
    <row r="27" spans="1:25" ht="15" customHeight="1">
      <c r="A27" s="17"/>
      <c r="B27" s="22">
        <f>'Oil supply projection'!$B27</f>
        <v>2036</v>
      </c>
      <c r="C27" s="157">
        <f ca="1"/>
        <v>9.7748797235001558E-2</v>
      </c>
      <c r="D27" s="157">
        <f ca="1"/>
        <v>8.562146933881716E-2</v>
      </c>
      <c r="E27" s="157">
        <f ca="1"/>
        <v>0.45934647669719331</v>
      </c>
      <c r="F27" s="157">
        <f ca="1"/>
        <v>3.9355026967182312</v>
      </c>
      <c r="G27" s="159">
        <v>5.0711494588678739E-3</v>
      </c>
      <c r="H27" s="161">
        <f ca="1"/>
        <v>0.51074513063277249</v>
      </c>
      <c r="I27" s="161">
        <f ca="1"/>
        <v>1.6866020297453412</v>
      </c>
      <c r="J27" s="162">
        <f ca="1"/>
        <v>13.485621279986328</v>
      </c>
      <c r="K27" s="157">
        <f ca="1"/>
        <v>7.5718063218040157E-2</v>
      </c>
      <c r="L27" s="157">
        <f ca="1"/>
        <v>5.5079491379455572E-2</v>
      </c>
      <c r="M27" s="157">
        <f ca="1"/>
        <v>0.23841672360116048</v>
      </c>
      <c r="N27" s="157">
        <f ca="1"/>
        <v>0.55962156771441773</v>
      </c>
      <c r="O27" s="159">
        <v>8.986625222107001E-3</v>
      </c>
      <c r="P27" s="162">
        <f ca="1"/>
        <v>2.5689206937600075</v>
      </c>
      <c r="Q27" s="157">
        <f ca="1"/>
        <v>109.1060367434519</v>
      </c>
      <c r="R27" s="157">
        <f ca="1"/>
        <v>114.6189735527241</v>
      </c>
      <c r="S27" s="157">
        <f ca="1"/>
        <v>179.59410343596593</v>
      </c>
      <c r="T27" s="157">
        <f ca="1"/>
        <v>219.15917686323783</v>
      </c>
      <c r="U27" s="157">
        <f ca="1"/>
        <v>57.569498188387868</v>
      </c>
      <c r="V27" s="157">
        <f ca="1"/>
        <v>5.2213672439846359</v>
      </c>
      <c r="W27" s="164">
        <v>0.55508975217215761</v>
      </c>
      <c r="X27" s="157">
        <f ca="1"/>
        <v>-69.265085729401392</v>
      </c>
      <c r="Y27" s="157">
        <f ca="1"/>
        <v>135.23735602810882</v>
      </c>
    </row>
    <row r="28" spans="1:25" ht="15" customHeight="1">
      <c r="A28" s="19"/>
      <c r="B28" s="22">
        <f>'Oil supply projection'!$B28</f>
        <v>2037</v>
      </c>
      <c r="C28" s="157">
        <f ca="1"/>
        <v>9.77956515100009E-2</v>
      </c>
      <c r="D28" s="157">
        <f ca="1"/>
        <v>8.5425817459269013E-2</v>
      </c>
      <c r="E28" s="157">
        <f ca="1"/>
        <v>0.46304875607043411</v>
      </c>
      <c r="F28" s="157">
        <f ca="1"/>
        <v>3.9916665068237145</v>
      </c>
      <c r="G28" s="159">
        <v>5.0775127534197105E-3</v>
      </c>
      <c r="H28" s="161">
        <f ca="1"/>
        <v>0.555451466272469</v>
      </c>
      <c r="I28" s="161">
        <f ca="1"/>
        <v>1.5413811102554451</v>
      </c>
      <c r="J28" s="162">
        <f ca="1"/>
        <v>13.515270930666061</v>
      </c>
      <c r="K28" s="157">
        <f ca="1"/>
        <v>7.5981584872431354E-2</v>
      </c>
      <c r="L28" s="157">
        <f ca="1"/>
        <v>5.4541936845480352E-2</v>
      </c>
      <c r="M28" s="157">
        <f ca="1"/>
        <v>0.2265233866632019</v>
      </c>
      <c r="N28" s="157">
        <f ca="1"/>
        <v>0.57060126877566597</v>
      </c>
      <c r="O28" s="159">
        <v>8.9599243569009977E-3</v>
      </c>
      <c r="P28" s="162">
        <f ca="1"/>
        <v>2.5012537024153243</v>
      </c>
      <c r="Q28" s="157">
        <f ca="1"/>
        <v>109.74242990961007</v>
      </c>
      <c r="R28" s="157">
        <f ca="1"/>
        <v>114.23217856989253</v>
      </c>
      <c r="S28" s="157">
        <f ca="1"/>
        <v>180.53236768088863</v>
      </c>
      <c r="T28" s="157">
        <f ca="1"/>
        <v>227.05443547324501</v>
      </c>
      <c r="U28" s="157">
        <f ca="1"/>
        <v>57.863851021853641</v>
      </c>
      <c r="V28" s="157">
        <f ca="1"/>
        <v>5.7622139937491932</v>
      </c>
      <c r="W28" s="164">
        <v>0.55074384922311148</v>
      </c>
      <c r="X28" s="157">
        <f ca="1"/>
        <v>-927.10047532153567</v>
      </c>
      <c r="Y28" s="157">
        <f ca="1"/>
        <v>187.3115901034223</v>
      </c>
    </row>
    <row r="29" spans="1:25" ht="15" customHeight="1">
      <c r="A29" s="17"/>
      <c r="B29" s="22">
        <f>'Oil supply projection'!$B29</f>
        <v>2038</v>
      </c>
      <c r="C29" s="157">
        <f ca="1"/>
        <v>9.6103453586691048E-2</v>
      </c>
      <c r="D29" s="157">
        <f ca="1"/>
        <v>8.368487218816939E-2</v>
      </c>
      <c r="E29" s="157">
        <f ca="1"/>
        <v>0.44198831459203114</v>
      </c>
      <c r="F29" s="157">
        <f ca="1"/>
        <v>4.0305221618171387</v>
      </c>
      <c r="G29" s="159">
        <v>5.0730351688640122E-3</v>
      </c>
      <c r="H29" s="161">
        <f ca="1"/>
        <v>0.5003790229371996</v>
      </c>
      <c r="I29" s="161">
        <f ca="1"/>
        <v>1.575022163782126</v>
      </c>
      <c r="J29" s="162">
        <f ca="1"/>
        <v>13.608883430313359</v>
      </c>
      <c r="K29" s="157">
        <f ca="1"/>
        <v>7.5650416963199338E-2</v>
      </c>
      <c r="L29" s="157">
        <f ca="1"/>
        <v>5.2872629619736697E-2</v>
      </c>
      <c r="M29" s="157">
        <f ca="1"/>
        <v>0.22642887903058259</v>
      </c>
      <c r="N29" s="157">
        <f ca="1"/>
        <v>0.57715308163816703</v>
      </c>
      <c r="O29" s="159">
        <v>8.9105288520923403E-3</v>
      </c>
      <c r="P29" s="162">
        <f ca="1"/>
        <v>2.2734713772812225</v>
      </c>
      <c r="Q29" s="157">
        <f ca="1"/>
        <v>110.15535450256203</v>
      </c>
      <c r="R29" s="157">
        <f ca="1"/>
        <v>113.68507647535689</v>
      </c>
      <c r="S29" s="157">
        <f ca="1"/>
        <v>180.36333081054201</v>
      </c>
      <c r="T29" s="157">
        <f ca="1"/>
        <v>236.39024625434115</v>
      </c>
      <c r="U29" s="157">
        <f ca="1"/>
        <v>61.185232674115518</v>
      </c>
      <c r="V29" s="157">
        <f ca="1"/>
        <v>5.0889288689865886</v>
      </c>
      <c r="W29" s="164">
        <v>0.532534465498397</v>
      </c>
      <c r="X29" s="157">
        <f ca="1"/>
        <v>692.72894328532186</v>
      </c>
      <c r="Y29" s="157">
        <f ca="1"/>
        <v>361.44356735510786</v>
      </c>
    </row>
    <row r="30" spans="1:25" ht="15" customHeight="1">
      <c r="A30" s="17"/>
      <c r="B30" s="22">
        <f>'Oil supply projection'!$B30</f>
        <v>2039</v>
      </c>
      <c r="C30" s="157">
        <f ca="1"/>
        <v>9.5975258868049307E-2</v>
      </c>
      <c r="D30" s="157">
        <f ca="1"/>
        <v>8.3852129262264152E-2</v>
      </c>
      <c r="E30" s="157">
        <f ca="1"/>
        <v>0.48414788323773811</v>
      </c>
      <c r="F30" s="157">
        <f ca="1"/>
        <v>4.0287707996401956</v>
      </c>
      <c r="G30" s="159">
        <v>5.0894885292948958E-3</v>
      </c>
      <c r="H30" s="161">
        <f ca="1"/>
        <v>0.56896128456764172</v>
      </c>
      <c r="I30" s="161">
        <f ca="1"/>
        <v>1.6802457856699571</v>
      </c>
      <c r="J30" s="162">
        <f ca="1"/>
        <v>13.329511871734027</v>
      </c>
      <c r="K30" s="157">
        <f ca="1"/>
        <v>7.5331995696140922E-2</v>
      </c>
      <c r="L30" s="157">
        <f ca="1"/>
        <v>5.2686169430934932E-2</v>
      </c>
      <c r="M30" s="157">
        <f ca="1"/>
        <v>0.23923536330785353</v>
      </c>
      <c r="N30" s="157">
        <f ca="1"/>
        <v>0.52895780991625008</v>
      </c>
      <c r="O30" s="159">
        <v>8.9112693408008661E-3</v>
      </c>
      <c r="P30" s="162">
        <f ca="1"/>
        <v>1.9711687394194599</v>
      </c>
      <c r="Q30" s="157">
        <f ca="1"/>
        <v>110.44214254571841</v>
      </c>
      <c r="R30" s="157">
        <f ca="1"/>
        <v>112.81755740793977</v>
      </c>
      <c r="S30" s="157">
        <f ca="1"/>
        <v>179.46923248513616</v>
      </c>
      <c r="T30" s="157">
        <f ca="1"/>
        <v>241.99568662681665</v>
      </c>
      <c r="U30" s="157">
        <f ca="1"/>
        <v>62.484535015547834</v>
      </c>
      <c r="V30" s="157">
        <f ca="1"/>
        <v>4.7642045043053987</v>
      </c>
      <c r="W30" s="164">
        <v>0.5331853763094897</v>
      </c>
      <c r="X30" s="157">
        <f ca="1"/>
        <v>936.56244766305133</v>
      </c>
      <c r="Y30" s="157">
        <f ca="1"/>
        <v>126.5204419786289</v>
      </c>
    </row>
    <row r="31" spans="1:25" ht="15" customHeight="1">
      <c r="A31" s="17"/>
      <c r="B31" s="22">
        <f>'Oil supply projection'!$B31</f>
        <v>2040</v>
      </c>
      <c r="C31" s="157">
        <f ca="1"/>
        <v>9.4783241843354918E-2</v>
      </c>
      <c r="D31" s="157">
        <f ca="1"/>
        <v>8.2320370732773027E-2</v>
      </c>
      <c r="E31" s="157">
        <f ca="1"/>
        <v>0.48853193211264123</v>
      </c>
      <c r="F31" s="157">
        <f ca="1"/>
        <v>4.1090290899557571</v>
      </c>
      <c r="G31" s="159">
        <v>5.1087464838539022E-3</v>
      </c>
      <c r="H31" s="161">
        <f ca="1"/>
        <v>0.42215051006904497</v>
      </c>
      <c r="I31" s="161">
        <f ca="1"/>
        <v>1.4337091758641647</v>
      </c>
      <c r="J31" s="162">
        <f ca="1"/>
        <v>13.771880384643749</v>
      </c>
      <c r="K31" s="157">
        <f ca="1"/>
        <v>7.621938959959719E-2</v>
      </c>
      <c r="L31" s="157">
        <f ca="1"/>
        <v>5.2499664273710958E-2</v>
      </c>
      <c r="M31" s="157">
        <f ca="1"/>
        <v>0.23108183607383964</v>
      </c>
      <c r="N31" s="157">
        <f ca="1"/>
        <v>0.59536740594800031</v>
      </c>
      <c r="O31" s="159">
        <v>8.870185488056093E-3</v>
      </c>
      <c r="P31" s="162">
        <f ca="1"/>
        <v>2.0196537018821923</v>
      </c>
      <c r="Q31" s="157">
        <f ca="1"/>
        <v>110.63878517625943</v>
      </c>
      <c r="R31" s="157">
        <f ca="1"/>
        <v>113.97787827624157</v>
      </c>
      <c r="S31" s="157">
        <f ca="1"/>
        <v>180.77632945095542</v>
      </c>
      <c r="T31" s="157">
        <f ca="1"/>
        <v>246.48316647192397</v>
      </c>
      <c r="U31" s="157">
        <f ca="1"/>
        <v>63.57287760339176</v>
      </c>
      <c r="V31" s="157">
        <f ca="1"/>
        <v>5.7598407255977717</v>
      </c>
      <c r="W31" s="164">
        <v>0.53418598215266655</v>
      </c>
      <c r="X31" s="157">
        <f ca="1"/>
        <v>-199.22800323217453</v>
      </c>
      <c r="Y31" s="157">
        <f ca="1"/>
        <v>266.18212522925199</v>
      </c>
    </row>
    <row r="32" spans="1:25" ht="15" customHeight="1">
      <c r="A32" s="17"/>
      <c r="B32" s="22">
        <f>'Oil supply projection'!$B32</f>
        <v>2041</v>
      </c>
      <c r="C32" s="157">
        <f ca="1"/>
        <v>9.4257211159500587E-2</v>
      </c>
      <c r="D32" s="157">
        <f ca="1"/>
        <v>8.191216036805142E-2</v>
      </c>
      <c r="E32" s="157">
        <f ca="1"/>
        <v>0.49455719849711915</v>
      </c>
      <c r="F32" s="157">
        <f ca="1"/>
        <v>4.1517303347744221</v>
      </c>
      <c r="G32" s="159">
        <v>5.1861502779913084E-3</v>
      </c>
      <c r="H32" s="161">
        <f ca="1"/>
        <v>0.58590104991396419</v>
      </c>
      <c r="I32" s="161">
        <f ca="1"/>
        <v>1.5563909802929321</v>
      </c>
      <c r="J32" s="162">
        <f ca="1"/>
        <v>13.354140736133321</v>
      </c>
      <c r="K32" s="157">
        <f ca="1"/>
        <v>7.6315873342784182E-2</v>
      </c>
      <c r="L32" s="157">
        <f ca="1"/>
        <v>5.2212757013751804E-2</v>
      </c>
      <c r="M32" s="157">
        <f ca="1"/>
        <v>0.23791676505925174</v>
      </c>
      <c r="N32" s="157">
        <f ca="1"/>
        <v>0.59335820969758402</v>
      </c>
      <c r="O32" s="159">
        <v>8.8820298084450657E-3</v>
      </c>
      <c r="P32" s="162">
        <f ca="1"/>
        <v>1.9407620448058556</v>
      </c>
      <c r="Q32" s="157">
        <f ca="1"/>
        <v>112.00568410082937</v>
      </c>
      <c r="R32" s="157">
        <f ca="1"/>
        <v>115.85393969753683</v>
      </c>
      <c r="S32" s="157">
        <f ca="1"/>
        <v>183.0570442993191</v>
      </c>
      <c r="T32" s="157">
        <f ca="1"/>
        <v>252.22052728595062</v>
      </c>
      <c r="U32" s="157">
        <f ca="1"/>
        <v>64.801123635992298</v>
      </c>
      <c r="V32" s="157">
        <f ca="1"/>
        <v>6.3169048245566914</v>
      </c>
      <c r="W32" s="164">
        <v>0.53612113123057814</v>
      </c>
      <c r="X32" s="157">
        <f ca="1"/>
        <v>-217.04558173834761</v>
      </c>
      <c r="Y32" s="157">
        <f ca="1"/>
        <v>221.28046955308255</v>
      </c>
    </row>
    <row r="33" spans="1:25" ht="15" customHeight="1">
      <c r="A33" s="17"/>
      <c r="B33" s="22">
        <f>'Oil supply projection'!$B33</f>
        <v>2042</v>
      </c>
      <c r="C33" s="157">
        <f ca="1"/>
        <v>9.4292243163642819E-2</v>
      </c>
      <c r="D33" s="157">
        <f ca="1"/>
        <v>8.2323167111459927E-2</v>
      </c>
      <c r="E33" s="157">
        <f ca="1"/>
        <v>0.48930627005417809</v>
      </c>
      <c r="F33" s="157">
        <f ca="1"/>
        <v>4.1943991867363994</v>
      </c>
      <c r="G33" s="159">
        <v>5.27293657281861E-3</v>
      </c>
      <c r="H33" s="161">
        <f ca="1"/>
        <v>0.54514640018479155</v>
      </c>
      <c r="I33" s="161">
        <f ca="1"/>
        <v>1.6445276375887055</v>
      </c>
      <c r="J33" s="162">
        <f ca="1"/>
        <v>13.465847835782368</v>
      </c>
      <c r="K33" s="157">
        <f ca="1"/>
        <v>7.6460236928276124E-2</v>
      </c>
      <c r="L33" s="157">
        <f ca="1"/>
        <v>5.2396144651330336E-2</v>
      </c>
      <c r="M33" s="157">
        <f ca="1"/>
        <v>0.24009965513995593</v>
      </c>
      <c r="N33" s="157">
        <f ca="1"/>
        <v>0.60758733195225001</v>
      </c>
      <c r="O33" s="159">
        <v>8.8811680837761406E-3</v>
      </c>
      <c r="P33" s="162">
        <f ca="1"/>
        <v>2.0017758284129061</v>
      </c>
      <c r="Q33" s="157">
        <f ca="1"/>
        <v>113.7770234620272</v>
      </c>
      <c r="R33" s="157">
        <f ca="1"/>
        <v>117.44760954575324</v>
      </c>
      <c r="S33" s="157">
        <f ca="1"/>
        <v>183.9443829261532</v>
      </c>
      <c r="T33" s="157">
        <f ca="1"/>
        <v>254.5603635643854</v>
      </c>
      <c r="U33" s="157">
        <f ca="1"/>
        <v>65.737120897833819</v>
      </c>
      <c r="V33" s="157">
        <f ca="1"/>
        <v>6.3351392941978846</v>
      </c>
      <c r="W33" s="164">
        <v>0.53713491159770943</v>
      </c>
      <c r="X33" s="157">
        <f ca="1"/>
        <v>-19.792724482844697</v>
      </c>
      <c r="Y33" s="157">
        <f ca="1"/>
        <v>313.78047893108914</v>
      </c>
    </row>
    <row r="34" spans="1:25" ht="15" customHeight="1">
      <c r="A34" s="17"/>
      <c r="B34" s="22">
        <f>'Oil supply projection'!$B34</f>
        <v>2043</v>
      </c>
      <c r="C34" s="157">
        <f ca="1"/>
        <v>9.5108187146453152E-2</v>
      </c>
      <c r="D34" s="157">
        <f ca="1"/>
        <v>8.4021345182434357E-2</v>
      </c>
      <c r="E34" s="157">
        <f ca="1"/>
        <v>0.49399781221589839</v>
      </c>
      <c r="F34" s="157">
        <f ca="1"/>
        <v>4.230868050584375</v>
      </c>
      <c r="G34" s="159">
        <v>5.3708803154379706E-3</v>
      </c>
      <c r="H34" s="161">
        <f ca="1"/>
        <v>0.59276405406849331</v>
      </c>
      <c r="I34" s="161">
        <f ca="1"/>
        <v>1.5386587314015332</v>
      </c>
      <c r="J34" s="162">
        <f ca="1"/>
        <v>13.620783796121405</v>
      </c>
      <c r="K34" s="157">
        <f ca="1"/>
        <v>7.7109550719963144E-2</v>
      </c>
      <c r="L34" s="157">
        <f ca="1"/>
        <v>5.351679036530984E-2</v>
      </c>
      <c r="M34" s="157">
        <f ca="1"/>
        <v>0.24848948575299451</v>
      </c>
      <c r="N34" s="157">
        <f ca="1"/>
        <v>0.60880700362300044</v>
      </c>
      <c r="O34" s="159">
        <v>8.8490248075904741E-3</v>
      </c>
      <c r="P34" s="162">
        <f ca="1"/>
        <v>1.9937151565331814</v>
      </c>
      <c r="Q34" s="157">
        <f ca="1"/>
        <v>116.30956187508082</v>
      </c>
      <c r="R34" s="157">
        <f ca="1"/>
        <v>119.87723396263598</v>
      </c>
      <c r="S34" s="157">
        <f ca="1"/>
        <v>184.78877766824121</v>
      </c>
      <c r="T34" s="157">
        <f ca="1"/>
        <v>255.84130875172758</v>
      </c>
      <c r="U34" s="157">
        <f ca="1"/>
        <v>67.10178124854292</v>
      </c>
      <c r="V34" s="157">
        <f ca="1"/>
        <v>5.9416284726553883</v>
      </c>
      <c r="W34" s="164">
        <v>0.53805755452848447</v>
      </c>
      <c r="X34" s="157">
        <f ca="1"/>
        <v>189.18489597779308</v>
      </c>
      <c r="Y34" s="157">
        <f ca="1"/>
        <v>142.6336732689164</v>
      </c>
    </row>
    <row r="35" spans="1:25" ht="15" customHeight="1">
      <c r="A35" s="17"/>
      <c r="B35" s="22">
        <f>'Oil supply projection'!$B35</f>
        <v>2044</v>
      </c>
      <c r="C35" s="157">
        <f ca="1"/>
        <v>9.5849428741846765E-2</v>
      </c>
      <c r="D35" s="157">
        <f ca="1"/>
        <v>8.4276407014957727E-2</v>
      </c>
      <c r="E35" s="157">
        <f ca="1"/>
        <v>0.47288353582575843</v>
      </c>
      <c r="F35" s="157">
        <f ca="1"/>
        <v>4.2891598322862192</v>
      </c>
      <c r="G35" s="159">
        <v>5.4978104281530882E-3</v>
      </c>
      <c r="H35" s="161">
        <f ca="1"/>
        <v>0.51043319508799589</v>
      </c>
      <c r="I35" s="161">
        <f ca="1"/>
        <v>1.5826128172433469</v>
      </c>
      <c r="J35" s="162">
        <f ca="1"/>
        <v>13.638192537291406</v>
      </c>
      <c r="K35" s="157">
        <f ca="1"/>
        <v>7.7721749717148167E-2</v>
      </c>
      <c r="L35" s="157">
        <f ca="1"/>
        <v>5.468090393002939E-2</v>
      </c>
      <c r="M35" s="157">
        <f ca="1"/>
        <v>0.23469448253634101</v>
      </c>
      <c r="N35" s="157">
        <f ca="1"/>
        <v>0.62524297883733371</v>
      </c>
      <c r="O35" s="159">
        <v>8.8550366362292916E-3</v>
      </c>
      <c r="P35" s="162">
        <f ca="1"/>
        <v>2.1093666660069688</v>
      </c>
      <c r="Q35" s="157">
        <f ca="1"/>
        <v>117.04954945197233</v>
      </c>
      <c r="R35" s="157">
        <f ca="1"/>
        <v>119.61286975719787</v>
      </c>
      <c r="S35" s="157">
        <f ca="1"/>
        <v>183.38069515809661</v>
      </c>
      <c r="T35" s="157">
        <f ca="1"/>
        <v>257.83904485582542</v>
      </c>
      <c r="U35" s="157">
        <f ca="1"/>
        <v>69.225966705187801</v>
      </c>
      <c r="V35" s="157">
        <f ca="1"/>
        <v>5.6251136211281949</v>
      </c>
      <c r="W35" s="164">
        <v>0.53873603039535534</v>
      </c>
      <c r="X35" s="157">
        <f ca="1"/>
        <v>296.99003062894542</v>
      </c>
      <c r="Y35" s="157">
        <f ca="1"/>
        <v>271.19622864773794</v>
      </c>
    </row>
    <row r="36" spans="1:25" ht="15" customHeight="1">
      <c r="A36" s="17"/>
      <c r="B36" s="22">
        <f>'Oil supply projection'!$B36</f>
        <v>2045</v>
      </c>
      <c r="C36" s="157">
        <f ca="1"/>
        <v>9.6367816740094897E-2</v>
      </c>
      <c r="D36" s="157">
        <f ca="1"/>
        <v>8.5165816202338693E-2</v>
      </c>
      <c r="E36" s="157">
        <f ca="1"/>
        <v>0.49204201924178448</v>
      </c>
      <c r="F36" s="157">
        <f ca="1"/>
        <v>4.3666891138740862</v>
      </c>
      <c r="G36" s="159">
        <v>5.6396847571959161E-3</v>
      </c>
      <c r="H36" s="161">
        <f ca="1"/>
        <v>0.56479103780848394</v>
      </c>
      <c r="I36" s="161">
        <f ca="1"/>
        <v>1.4500947708349652</v>
      </c>
      <c r="J36" s="162">
        <f ca="1"/>
        <v>13.762044773664812</v>
      </c>
      <c r="K36" s="157">
        <f ca="1"/>
        <v>7.7376617541768861E-2</v>
      </c>
      <c r="L36" s="157">
        <f ca="1"/>
        <v>5.391780108836388E-2</v>
      </c>
      <c r="M36" s="157">
        <f ca="1"/>
        <v>0.24420616404024023</v>
      </c>
      <c r="N36" s="157">
        <f ca="1"/>
        <v>0.5867033285372506</v>
      </c>
      <c r="O36" s="159">
        <v>9.0000405599157986E-3</v>
      </c>
      <c r="P36" s="162">
        <f ca="1"/>
        <v>1.8920969773255598</v>
      </c>
      <c r="Q36" s="157">
        <f ca="1"/>
        <v>118.27635880260904</v>
      </c>
      <c r="R36" s="157">
        <f ca="1"/>
        <v>120.6702504909866</v>
      </c>
      <c r="S36" s="157">
        <f ca="1"/>
        <v>185.57195145661521</v>
      </c>
      <c r="T36" s="157">
        <f ca="1"/>
        <v>259.7562040928625</v>
      </c>
      <c r="U36" s="157">
        <f ca="1"/>
        <v>71.417936778389489</v>
      </c>
      <c r="V36" s="157">
        <f ca="1"/>
        <v>8.193257085213876</v>
      </c>
      <c r="W36" s="164">
        <v>0.53798871016711847</v>
      </c>
      <c r="X36" s="157">
        <f ca="1"/>
        <v>-185.6338571654814</v>
      </c>
      <c r="Y36" s="157">
        <f ca="1"/>
        <v>295.71872372901873</v>
      </c>
    </row>
    <row r="37" spans="1:25" ht="15" customHeight="1">
      <c r="A37" s="17"/>
      <c r="B37" s="22">
        <f>'Oil supply projection'!$B37</f>
        <v>2046</v>
      </c>
      <c r="C37" s="157">
        <f ca="1"/>
        <v>9.5809869291228436E-2</v>
      </c>
      <c r="D37" s="157">
        <f ca="1"/>
        <v>8.5121386043716316E-2</v>
      </c>
      <c r="E37" s="157">
        <f ca="1"/>
        <v>0.50151937744482211</v>
      </c>
      <c r="F37" s="157">
        <f ca="1"/>
        <v>4.4507637406159946</v>
      </c>
      <c r="G37" s="159">
        <v>5.6427074389319475E-3</v>
      </c>
      <c r="H37" s="161">
        <f ca="1"/>
        <v>0.31893034566766781</v>
      </c>
      <c r="I37" s="161">
        <f ca="1"/>
        <v>1.4398201813010305</v>
      </c>
      <c r="J37" s="162">
        <f ca="1"/>
        <v>13.905533252528597</v>
      </c>
      <c r="K37" s="157">
        <f ca="1"/>
        <v>7.7518022495885616E-2</v>
      </c>
      <c r="L37" s="157">
        <f ca="1"/>
        <v>5.3662203253886299E-2</v>
      </c>
      <c r="M37" s="157">
        <f ca="1"/>
        <v>0.24593227963142644</v>
      </c>
      <c r="N37" s="157">
        <f ca="1"/>
        <v>0.63762972406366702</v>
      </c>
      <c r="O37" s="159">
        <v>8.8581441416103086E-3</v>
      </c>
      <c r="P37" s="162">
        <f ca="1"/>
        <v>1.8976845878400055</v>
      </c>
      <c r="Q37" s="157">
        <f ca="1"/>
        <v>118.45841198448963</v>
      </c>
      <c r="R37" s="157">
        <f ca="1"/>
        <v>119.72102302921535</v>
      </c>
      <c r="S37" s="157">
        <f ca="1"/>
        <v>187.21010602555035</v>
      </c>
      <c r="T37" s="157">
        <f ca="1"/>
        <v>261.32612088487167</v>
      </c>
      <c r="U37" s="157">
        <f ca="1"/>
        <v>74.751901981272923</v>
      </c>
      <c r="V37" s="157">
        <f ca="1"/>
        <v>8.2242063853985261</v>
      </c>
      <c r="W37" s="164">
        <v>0.54049438364621005</v>
      </c>
      <c r="X37" s="157">
        <f ca="1"/>
        <v>461.4921226933688</v>
      </c>
      <c r="Y37" s="157">
        <f ca="1"/>
        <v>223.62130502012221</v>
      </c>
    </row>
    <row r="38" spans="1:25" ht="15" customHeight="1">
      <c r="A38" s="17"/>
      <c r="B38" s="22">
        <f>'Oil supply projection'!$B38</f>
        <v>2047</v>
      </c>
      <c r="C38" s="157">
        <f ca="1"/>
        <v>9.6238557227978999E-2</v>
      </c>
      <c r="D38" s="157">
        <f ca="1"/>
        <v>8.3809120868038392E-2</v>
      </c>
      <c r="E38" s="157">
        <f ca="1"/>
        <v>0.51749695083069613</v>
      </c>
      <c r="F38" s="157">
        <f ca="1"/>
        <v>4.5466481972418133</v>
      </c>
      <c r="G38" s="159">
        <v>5.6311614916289849E-3</v>
      </c>
      <c r="H38" s="161">
        <f ca="1"/>
        <v>0.4797103665763327</v>
      </c>
      <c r="I38" s="161">
        <f ca="1"/>
        <v>1.3054499033845</v>
      </c>
      <c r="J38" s="162">
        <f ca="1"/>
        <v>13.807451774423772</v>
      </c>
      <c r="K38" s="157">
        <f ca="1"/>
        <v>7.4918027899719131E-2</v>
      </c>
      <c r="L38" s="157">
        <f ca="1"/>
        <v>5.0834023719266874E-2</v>
      </c>
      <c r="M38" s="157">
        <f ca="1"/>
        <v>0.22943384833935049</v>
      </c>
      <c r="N38" s="157">
        <f ca="1"/>
        <v>0.61240398929000095</v>
      </c>
      <c r="O38" s="159">
        <v>9.0360939965098818E-3</v>
      </c>
      <c r="P38" s="162">
        <f ca="1"/>
        <v>1.873859776429958</v>
      </c>
      <c r="Q38" s="157">
        <f ca="1"/>
        <v>119.10438814503279</v>
      </c>
      <c r="R38" s="157">
        <f ca="1"/>
        <v>121.52528380972655</v>
      </c>
      <c r="S38" s="157">
        <f ca="1"/>
        <v>191.32052812382946</v>
      </c>
      <c r="T38" s="157">
        <f ca="1"/>
        <v>267.16099924496086</v>
      </c>
      <c r="U38" s="157">
        <f ca="1"/>
        <v>71.410968348454105</v>
      </c>
      <c r="V38" s="157">
        <f ca="1"/>
        <v>9.61782385392846</v>
      </c>
      <c r="W38" s="164">
        <v>0.53689286483275034</v>
      </c>
      <c r="X38" s="157">
        <f ca="1"/>
        <v>-546.76191336854322</v>
      </c>
      <c r="Y38" s="157">
        <f ca="1"/>
        <v>258.45984914208373</v>
      </c>
    </row>
    <row r="39" spans="1:25" ht="15" customHeight="1">
      <c r="A39" s="19"/>
      <c r="B39" s="22">
        <f>'Oil supply projection'!$B39</f>
        <v>2048</v>
      </c>
      <c r="C39" s="157">
        <f ca="1"/>
        <v>9.7575491531715186E-2</v>
      </c>
      <c r="D39" s="157">
        <f ca="1"/>
        <v>8.6654035485031422E-2</v>
      </c>
      <c r="E39" s="157">
        <f ca="1"/>
        <v>0.45736220589928545</v>
      </c>
      <c r="F39" s="157">
        <f ca="1"/>
        <v>4.5483069502887785</v>
      </c>
      <c r="G39" s="159">
        <v>5.6301760923948624E-3</v>
      </c>
      <c r="H39" s="161">
        <f ca="1"/>
        <v>0.51788268801215731</v>
      </c>
      <c r="I39" s="161">
        <f ca="1"/>
        <v>1.4811933973578175</v>
      </c>
      <c r="J39" s="162">
        <f ca="1"/>
        <v>13.675864039738476</v>
      </c>
      <c r="K39" s="157">
        <f ca="1"/>
        <v>7.5368496575649299E-2</v>
      </c>
      <c r="L39" s="157">
        <f ca="1"/>
        <v>5.1961281309645911E-2</v>
      </c>
      <c r="M39" s="157">
        <f ca="1"/>
        <v>0.24494426089973728</v>
      </c>
      <c r="N39" s="157">
        <f ca="1"/>
        <v>0.64260296667708339</v>
      </c>
      <c r="O39" s="159">
        <v>8.878078549645077E-3</v>
      </c>
      <c r="P39" s="162">
        <f ca="1"/>
        <v>1.8952015500577895</v>
      </c>
      <c r="Q39" s="157">
        <f ca="1"/>
        <v>121.69857933140257</v>
      </c>
      <c r="R39" s="157">
        <f ca="1"/>
        <v>124.5810246817132</v>
      </c>
      <c r="S39" s="157">
        <f ca="1"/>
        <v>188.1374809014234</v>
      </c>
      <c r="T39" s="157">
        <f ca="1"/>
        <v>270.87420946514061</v>
      </c>
      <c r="U39" s="157">
        <f ca="1"/>
        <v>76.335330281699243</v>
      </c>
      <c r="V39" s="157">
        <f ca="1"/>
        <v>10.010789598362935</v>
      </c>
      <c r="W39" s="164">
        <v>0.53884442736927762</v>
      </c>
      <c r="X39" s="157">
        <f ca="1"/>
        <v>794.82188667727314</v>
      </c>
      <c r="Y39" s="157">
        <f ca="1"/>
        <v>373.46863781138978</v>
      </c>
    </row>
    <row r="40" spans="1:25" ht="15" customHeight="1">
      <c r="A40" s="17"/>
      <c r="B40" s="22">
        <f>'Oil supply projection'!$B40</f>
        <v>2049</v>
      </c>
      <c r="C40" s="157">
        <f ca="1"/>
        <v>9.8442561221265448E-2</v>
      </c>
      <c r="D40" s="157">
        <f ca="1"/>
        <v>8.8766615212094571E-2</v>
      </c>
      <c r="E40" s="157">
        <f ca="1"/>
        <v>0.46462812223849947</v>
      </c>
      <c r="F40" s="157">
        <f ca="1"/>
        <v>4.5692429322228509</v>
      </c>
      <c r="G40" s="159">
        <v>5.6202143286444876E-3</v>
      </c>
      <c r="H40" s="161">
        <f ca="1"/>
        <v>0.46831641862175122</v>
      </c>
      <c r="I40" s="161">
        <f ca="1"/>
        <v>1.455454962861181</v>
      </c>
      <c r="J40" s="162">
        <f ca="1"/>
        <v>13.768924977453578</v>
      </c>
      <c r="K40" s="157">
        <f ca="1"/>
        <v>7.5656419058166932E-2</v>
      </c>
      <c r="L40" s="157">
        <f ca="1"/>
        <v>5.2256101957463275E-2</v>
      </c>
      <c r="M40" s="157">
        <f ca="1"/>
        <v>0.22730318195338337</v>
      </c>
      <c r="N40" s="157">
        <f ca="1"/>
        <v>0.62116226230666693</v>
      </c>
      <c r="O40" s="159">
        <v>8.8982942991490711E-3</v>
      </c>
      <c r="P40" s="162">
        <f ca="1"/>
        <v>1.7625403327409985</v>
      </c>
      <c r="Q40" s="157">
        <f ca="1"/>
        <v>121.623293047377</v>
      </c>
      <c r="R40" s="157">
        <f ca="1"/>
        <v>124.2251112475016</v>
      </c>
      <c r="S40" s="157">
        <f ca="1"/>
        <v>185.79926465644124</v>
      </c>
      <c r="T40" s="157">
        <f ca="1"/>
        <v>269.34316767667269</v>
      </c>
      <c r="U40" s="157">
        <f ca="1"/>
        <v>76.903331429847114</v>
      </c>
      <c r="V40" s="157">
        <f ca="1"/>
        <v>5.5924355482263239</v>
      </c>
      <c r="W40" s="164">
        <v>0.53787861903062895</v>
      </c>
      <c r="X40" s="157">
        <f ca="1"/>
        <v>-20.012274461755013</v>
      </c>
      <c r="Y40" s="157">
        <f ca="1"/>
        <v>310.62607236131635</v>
      </c>
    </row>
    <row r="41" spans="1:25" ht="15" customHeight="1">
      <c r="A41" s="17"/>
      <c r="B41" s="22">
        <f>'Oil supply projection'!$B41</f>
        <v>2050</v>
      </c>
      <c r="C41" s="157">
        <f ca="1"/>
        <v>0.10009259933744047</v>
      </c>
      <c r="D41" s="157">
        <f ca="1"/>
        <v>9.0776559200006463E-2</v>
      </c>
      <c r="E41" s="157">
        <f ca="1"/>
        <v>0.49526446546159075</v>
      </c>
      <c r="F41" s="157">
        <f ca="1"/>
        <v>4.6791210200940911</v>
      </c>
      <c r="G41" s="159">
        <v>5.6182504488150485E-3</v>
      </c>
      <c r="H41" s="161">
        <f ca="1"/>
        <v>0.49414477510165905</v>
      </c>
      <c r="I41" s="161">
        <f ca="1"/>
        <v>1.0517842245847886</v>
      </c>
      <c r="J41" s="162">
        <f ca="1"/>
        <v>13.621444410601743</v>
      </c>
      <c r="K41" s="157">
        <f ca="1"/>
        <v>7.641803748218616E-2</v>
      </c>
      <c r="L41" s="157">
        <f ca="1"/>
        <v>5.2887252668165519E-2</v>
      </c>
      <c r="M41" s="157">
        <f ca="1"/>
        <v>0.24874928181464373</v>
      </c>
      <c r="N41" s="157">
        <f ca="1"/>
        <v>0.64780543833733328</v>
      </c>
      <c r="O41" s="159">
        <v>9.0990386283384041E-3</v>
      </c>
      <c r="P41" s="162">
        <f ca="1"/>
        <v>1.8678184427912579</v>
      </c>
      <c r="Q41" s="157">
        <f ca="1"/>
        <v>123.60370913491762</v>
      </c>
      <c r="R41" s="157">
        <f ca="1"/>
        <v>125.88303107126596</v>
      </c>
      <c r="S41" s="157">
        <f ca="1"/>
        <v>189.3876052399259</v>
      </c>
      <c r="T41" s="157">
        <f ca="1"/>
        <v>270.88075438516728</v>
      </c>
      <c r="U41" s="157">
        <f ca="1"/>
        <v>78.426302625170393</v>
      </c>
      <c r="V41" s="157">
        <f ca="1"/>
        <v>6.839803392325023</v>
      </c>
      <c r="W41" s="164">
        <v>0.53700631928517284</v>
      </c>
      <c r="X41" s="157">
        <f ca="1"/>
        <v>47.749132786711122</v>
      </c>
      <c r="Y41" s="157">
        <f ca="1"/>
        <v>351.1810718736312</v>
      </c>
    </row>
    <row r="42" spans="1:25" ht="15" customHeight="1">
      <c r="A42" s="17"/>
      <c r="B42" s="22">
        <f>'Oil supply projection'!$B42</f>
        <v>2051</v>
      </c>
      <c r="C42" s="157">
        <f ca="1"/>
        <v>0.12318738681510975</v>
      </c>
      <c r="D42" s="157">
        <f ca="1"/>
        <v>0.10473272131137423</v>
      </c>
      <c r="E42" s="157">
        <f ca="1"/>
        <v>0.51631007037488341</v>
      </c>
      <c r="F42" s="157">
        <f ca="1"/>
        <v>4.7523657364312815</v>
      </c>
      <c r="G42" s="159">
        <v>5.6112694189387425E-3</v>
      </c>
      <c r="H42" s="161">
        <f ca="1"/>
        <v>0.5697993504997273</v>
      </c>
      <c r="I42" s="161">
        <f ca="1"/>
        <v>1.5780316151095837</v>
      </c>
      <c r="J42" s="162">
        <f ca="1"/>
        <v>14.843591076965518</v>
      </c>
      <c r="K42" s="157">
        <f ca="1"/>
        <v>8.1547914025810103E-2</v>
      </c>
      <c r="L42" s="157">
        <f ca="1"/>
        <v>5.8496815898942491E-2</v>
      </c>
      <c r="M42" s="157">
        <f ca="1"/>
        <v>0.23126627406589043</v>
      </c>
      <c r="N42" s="157">
        <f ca="1"/>
        <v>0.59599171258445538</v>
      </c>
      <c r="O42" s="159">
        <v>9.0499641096663478E-3</v>
      </c>
      <c r="P42" s="162">
        <f ca="1"/>
        <v>2.0445023856284732</v>
      </c>
      <c r="Q42" s="157">
        <f ca="1"/>
        <v>123.05755115093085</v>
      </c>
      <c r="R42" s="157">
        <f ca="1"/>
        <v>128.23313545160656</v>
      </c>
      <c r="S42" s="157">
        <f ca="1"/>
        <v>193.4186708564614</v>
      </c>
      <c r="T42" s="157">
        <f ca="1"/>
        <v>248.67603460667482</v>
      </c>
      <c r="U42" s="157">
        <f ca="1"/>
        <v>71.074543563255759</v>
      </c>
      <c r="V42" s="157">
        <f ca="1"/>
        <v>7.5791528029651705</v>
      </c>
      <c r="W42" s="164">
        <v>0.52779822466765691</v>
      </c>
      <c r="X42" s="157">
        <f ca="1"/>
        <v>9.4282950207664218</v>
      </c>
      <c r="Y42" s="157">
        <f ca="1"/>
        <v>234.09319685579032</v>
      </c>
    </row>
    <row r="43" spans="1:25" ht="15" customHeight="1">
      <c r="A43" s="17"/>
      <c r="B43" s="22">
        <f>'Oil supply projection'!$B43</f>
        <v>2052</v>
      </c>
      <c r="C43" s="157">
        <f ca="1"/>
        <v>0.12448558517793822</v>
      </c>
      <c r="D43" s="157">
        <f ca="1"/>
        <v>0.10580996652319351</v>
      </c>
      <c r="E43" s="157">
        <f ca="1"/>
        <v>0.51977318745473711</v>
      </c>
      <c r="F43" s="157">
        <f ca="1"/>
        <v>4.7951085393036461</v>
      </c>
      <c r="G43" s="159">
        <v>5.6042970634315441E-3</v>
      </c>
      <c r="H43" s="161">
        <f ca="1"/>
        <v>0.57440004272939693</v>
      </c>
      <c r="I43" s="161">
        <f ca="1"/>
        <v>1.5907730086956595</v>
      </c>
      <c r="J43" s="162">
        <f ca="1"/>
        <v>14.963441677125523</v>
      </c>
      <c r="K43" s="157">
        <f ca="1"/>
        <v>8.1752438298205651E-2</v>
      </c>
      <c r="L43" s="157">
        <f ca="1"/>
        <v>5.8650275319101879E-2</v>
      </c>
      <c r="M43" s="157">
        <f ca="1"/>
        <v>0.23178233678823157</v>
      </c>
      <c r="N43" s="157">
        <f ca="1"/>
        <v>0.59951022184418667</v>
      </c>
      <c r="O43" s="159">
        <v>9.0011542682290266E-3</v>
      </c>
      <c r="P43" s="162">
        <f ca="1"/>
        <v>2.0559116442086078</v>
      </c>
      <c r="Q43" s="157">
        <f ca="1"/>
        <v>123.97142289484066</v>
      </c>
      <c r="R43" s="157">
        <f ca="1"/>
        <v>129.25598729388113</v>
      </c>
      <c r="S43" s="157">
        <f ca="1"/>
        <v>194.84047470660391</v>
      </c>
      <c r="T43" s="157">
        <f ca="1"/>
        <v>251.23680358940396</v>
      </c>
      <c r="U43" s="157">
        <f ca="1"/>
        <v>71.696580721631406</v>
      </c>
      <c r="V43" s="157">
        <f ca="1"/>
        <v>7.635623170945002</v>
      </c>
      <c r="W43" s="164">
        <v>0.51874802205893156</v>
      </c>
      <c r="X43" s="157">
        <f ca="1"/>
        <v>9.5453992765987454</v>
      </c>
      <c r="Y43" s="157">
        <f ca="1"/>
        <v>235.39936338760955</v>
      </c>
    </row>
    <row r="44" spans="1:25" ht="15" customHeight="1">
      <c r="A44" s="17"/>
      <c r="B44" s="22">
        <f>'Oil supply projection'!$B44</f>
        <v>2053</v>
      </c>
      <c r="C44" s="157">
        <f ca="1"/>
        <v>0.12579746447866844</v>
      </c>
      <c r="D44" s="157">
        <f ca="1"/>
        <v>0.10689829191350697</v>
      </c>
      <c r="E44" s="157">
        <f ca="1"/>
        <v>0.52325953317295304</v>
      </c>
      <c r="F44" s="157">
        <f ca="1"/>
        <v>4.8382357711738377</v>
      </c>
      <c r="G44" s="159">
        <v>5.5973333715150049E-3</v>
      </c>
      <c r="H44" s="161">
        <f ca="1"/>
        <v>0.57903788201613804</v>
      </c>
      <c r="I44" s="161">
        <f ca="1"/>
        <v>1.6036172792513497</v>
      </c>
      <c r="J44" s="162">
        <f ca="1"/>
        <v>15.084259978853474</v>
      </c>
      <c r="K44" s="157">
        <f ca="1"/>
        <v>8.195747552275294E-2</v>
      </c>
      <c r="L44" s="157">
        <f ca="1"/>
        <v>5.880413732174853E-2</v>
      </c>
      <c r="M44" s="157">
        <f ca="1"/>
        <v>0.23229955108675848</v>
      </c>
      <c r="N44" s="157">
        <f ca="1"/>
        <v>0.6030495030494829</v>
      </c>
      <c r="O44" s="159">
        <v>8.9526076765231149E-3</v>
      </c>
      <c r="P44" s="162">
        <f ca="1"/>
        <v>2.0673845716708401</v>
      </c>
      <c r="Q44" s="157">
        <f ca="1"/>
        <v>124.89208139467365</v>
      </c>
      <c r="R44" s="157">
        <f ca="1"/>
        <v>130.2869979157673</v>
      </c>
      <c r="S44" s="157">
        <f ca="1"/>
        <v>196.27273011335689</v>
      </c>
      <c r="T44" s="157">
        <f ca="1"/>
        <v>253.82394237408275</v>
      </c>
      <c r="U44" s="157">
        <f ca="1"/>
        <v>72.324061885792105</v>
      </c>
      <c r="V44" s="157">
        <f ca="1"/>
        <v>7.6925142854835036</v>
      </c>
      <c r="W44" s="164">
        <v>0.50985300407082612</v>
      </c>
      <c r="X44" s="157">
        <f ca="1"/>
        <v>9.6639580273003975</v>
      </c>
      <c r="Y44" s="157">
        <f ca="1"/>
        <v>236.71281791853275</v>
      </c>
    </row>
    <row r="45" spans="1:25" ht="15" customHeight="1">
      <c r="A45" s="17"/>
      <c r="B45" s="22">
        <f>'Oil supply projection'!$B45</f>
        <v>2054</v>
      </c>
      <c r="C45" s="157">
        <f ca="1"/>
        <v>0.12712316889254094</v>
      </c>
      <c r="D45" s="157">
        <f ca="1"/>
        <v>0.10799781144927026</v>
      </c>
      <c r="E45" s="157">
        <f ca="1"/>
        <v>0.52676926333415364</v>
      </c>
      <c r="F45" s="157">
        <f ca="1"/>
        <v>4.8817508895983357</v>
      </c>
      <c r="G45" s="159">
        <v>5.5903783324240666E-3</v>
      </c>
      <c r="H45" s="161">
        <f ca="1"/>
        <v>0.58371316829391229</v>
      </c>
      <c r="I45" s="161">
        <f ca="1"/>
        <v>1.6165652574291856</v>
      </c>
      <c r="J45" s="162">
        <f ca="1"/>
        <v>15.206053795596446</v>
      </c>
      <c r="K45" s="157">
        <f ca="1"/>
        <v>8.2163026985949877E-2</v>
      </c>
      <c r="L45" s="157">
        <f ca="1"/>
        <v>5.8958402963009658E-2</v>
      </c>
      <c r="M45" s="157">
        <f ca="1"/>
        <v>0.23281791953117145</v>
      </c>
      <c r="N45" s="157">
        <f ca="1"/>
        <v>0.60660967883004135</v>
      </c>
      <c r="O45" s="159">
        <v>8.9043229147443472E-3</v>
      </c>
      <c r="P45" s="162">
        <f ca="1"/>
        <v>2.0789215233166676</v>
      </c>
      <c r="Q45" s="157">
        <f ca="1"/>
        <v>125.81957705143883</v>
      </c>
      <c r="R45" s="157">
        <f ca="1"/>
        <v>131.32623239578848</v>
      </c>
      <c r="S45" s="157">
        <f ca="1"/>
        <v>197.71551390520784</v>
      </c>
      <c r="T45" s="157">
        <f ca="1"/>
        <v>256.4377225066699</v>
      </c>
      <c r="U45" s="157">
        <f ca="1"/>
        <v>72.957034701123192</v>
      </c>
      <c r="V45" s="157">
        <f ca="1"/>
        <v>7.7498292814578731</v>
      </c>
      <c r="W45" s="164">
        <v>0.50111050973899351</v>
      </c>
      <c r="X45" s="157">
        <f ca="1"/>
        <v>9.7839893384429804</v>
      </c>
      <c r="Y45" s="157">
        <f ca="1"/>
        <v>238.03360111330667</v>
      </c>
    </row>
    <row r="46" spans="1:25" ht="15" customHeight="1">
      <c r="A46" s="17"/>
      <c r="B46" s="22">
        <f>'Oil supply projection'!$B46</f>
        <v>2055</v>
      </c>
      <c r="C46" s="157">
        <f ca="1"/>
        <v>0.12846284411417364</v>
      </c>
      <c r="D46" s="157">
        <f ca="1"/>
        <v>0.1091086402696614</v>
      </c>
      <c r="E46" s="157">
        <f ca="1"/>
        <v>0.53030253478801015</v>
      </c>
      <c r="F46" s="157">
        <f ca="1"/>
        <v>4.9256573832308694</v>
      </c>
      <c r="G46" s="159">
        <v>5.5834319354070494E-3</v>
      </c>
      <c r="H46" s="161">
        <f ca="1"/>
        <v>0.58842620391841893</v>
      </c>
      <c r="I46" s="161">
        <f ca="1"/>
        <v>1.629617780588583</v>
      </c>
      <c r="J46" s="162">
        <f ca="1"/>
        <v>15.328831003889116</v>
      </c>
      <c r="K46" s="157">
        <f ca="1"/>
        <v>8.236909397752025E-2</v>
      </c>
      <c r="L46" s="157">
        <f ca="1"/>
        <v>5.9113073301782594E-2</v>
      </c>
      <c r="M46" s="157">
        <f ca="1"/>
        <v>0.23333744469690784</v>
      </c>
      <c r="N46" s="157">
        <f ca="1"/>
        <v>0.61019087253951598</v>
      </c>
      <c r="O46" s="159">
        <v>8.8562985707459942E-3</v>
      </c>
      <c r="P46" s="162">
        <f ca="1"/>
        <v>2.090522856430312</v>
      </c>
      <c r="Q46" s="157">
        <f ca="1"/>
        <v>126.75396064043737</v>
      </c>
      <c r="R46" s="157">
        <f ca="1"/>
        <v>132.37375633156176</v>
      </c>
      <c r="S46" s="157">
        <f ca="1"/>
        <v>199.16890347539891</v>
      </c>
      <c r="T46" s="157">
        <f ca="1"/>
        <v>259.07841832938766</v>
      </c>
      <c r="U46" s="157">
        <f ca="1"/>
        <v>73.595547229994139</v>
      </c>
      <c r="V46" s="157">
        <f ca="1"/>
        <v>7.807571317102485</v>
      </c>
      <c r="W46" s="164">
        <v>0.49251792372687642</v>
      </c>
      <c r="X46" s="157">
        <f ca="1"/>
        <v>9.9055114999818912</v>
      </c>
      <c r="Y46" s="157">
        <f ca="1"/>
        <v>239.36175386357314</v>
      </c>
    </row>
    <row r="47" spans="1:25" ht="15" customHeight="1">
      <c r="A47" s="17"/>
      <c r="B47" s="22">
        <f>'Oil supply projection'!$B47</f>
        <v>2056</v>
      </c>
      <c r="C47" s="157">
        <f ca="1"/>
        <v>0.12981663737357324</v>
      </c>
      <c r="D47" s="157">
        <f ca="1"/>
        <v>0.11023089469814255</v>
      </c>
      <c r="E47" s="157">
        <f ca="1"/>
        <v>0.53385950543624805</v>
      </c>
      <c r="F47" s="157">
        <f ca="1"/>
        <v>4.9699587721021565</v>
      </c>
      <c r="G47" s="159">
        <v>5.5764941697256324E-3</v>
      </c>
      <c r="H47" s="161">
        <f ca="1"/>
        <v>0.59317729368664451</v>
      </c>
      <c r="I47" s="161">
        <f ca="1"/>
        <v>1.642775692849995</v>
      </c>
      <c r="J47" s="162">
        <f ca="1"/>
        <v>15.452599543863176</v>
      </c>
      <c r="K47" s="157">
        <f ca="1"/>
        <v>8.2575677790421895E-2</v>
      </c>
      <c r="L47" s="157">
        <f ca="1"/>
        <v>5.9268149399743453E-2</v>
      </c>
      <c r="M47" s="157">
        <f ca="1"/>
        <v>0.23385812916515156</v>
      </c>
      <c r="N47" s="157">
        <f ca="1"/>
        <v>0.61379320825979655</v>
      </c>
      <c r="O47" s="159">
        <v>8.8085332399975569E-3</v>
      </c>
      <c r="P47" s="162">
        <f ca="1"/>
        <v>2.1021889302898247</v>
      </c>
      <c r="Q47" s="157">
        <f ca="1"/>
        <v>127.6952833140525</v>
      </c>
      <c r="R47" s="157">
        <f ca="1"/>
        <v>133.42963584394883</v>
      </c>
      <c r="S47" s="157">
        <f ca="1"/>
        <v>200.63297678608808</v>
      </c>
      <c r="T47" s="157">
        <f ca="1"/>
        <v>261.74630700953986</v>
      </c>
      <c r="U47" s="157">
        <f ca="1"/>
        <v>74.239647955414554</v>
      </c>
      <c r="V47" s="157">
        <f ca="1"/>
        <v>7.8657435741828161</v>
      </c>
      <c r="W47" s="164">
        <v>0.48407267554332345</v>
      </c>
      <c r="X47" s="157">
        <f ca="1"/>
        <v>10.028543029042963</v>
      </c>
      <c r="Y47" s="157">
        <f ca="1"/>
        <v>240.69731728913735</v>
      </c>
    </row>
    <row r="48" spans="1:25" ht="15" customHeight="1">
      <c r="A48" s="17"/>
      <c r="B48" s="22">
        <f>'Oil supply projection'!$B48</f>
        <v>2057</v>
      </c>
      <c r="C48" s="157">
        <f ca="1"/>
        <v>0.13118469745231492</v>
      </c>
      <c r="D48" s="157">
        <f ca="1"/>
        <v>0.11136469225463988</v>
      </c>
      <c r="E48" s="157">
        <f ca="1"/>
        <v>0.53744033423971471</v>
      </c>
      <c r="F48" s="157">
        <f ca="1"/>
        <v>5.0146586079020965</v>
      </c>
      <c r="G48" s="159">
        <v>5.5695650246548375E-3</v>
      </c>
      <c r="H48" s="161">
        <f ca="1"/>
        <v>0.59796674485658285</v>
      </c>
      <c r="I48" s="161">
        <f ca="1"/>
        <v>1.6560398451494978</v>
      </c>
      <c r="J48" s="162">
        <f ca="1"/>
        <v>15.577367419760733</v>
      </c>
      <c r="K48" s="157">
        <f ca="1"/>
        <v>8.2782779720856153E-2</v>
      </c>
      <c r="L48" s="157">
        <f ca="1"/>
        <v>5.9423632321352844E-2</v>
      </c>
      <c r="M48" s="157">
        <f ca="1"/>
        <v>0.23437997552284565</v>
      </c>
      <c r="N48" s="157">
        <f ca="1"/>
        <v>0.61741681080530464</v>
      </c>
      <c r="O48" s="159">
        <v>8.7610255255437045E-3</v>
      </c>
      <c r="P48" s="162">
        <f ca="1"/>
        <v>2.1139201061781798</v>
      </c>
      <c r="Q48" s="157">
        <f ca="1"/>
        <v>128.64359660453871</v>
      </c>
      <c r="R48" s="157">
        <f ca="1"/>
        <v>134.49393758121968</v>
      </c>
      <c r="S48" s="157">
        <f ca="1"/>
        <v>202.10781237252144</v>
      </c>
      <c r="T48" s="157">
        <f ca="1"/>
        <v>264.44166856857993</v>
      </c>
      <c r="U48" s="157">
        <f ca="1"/>
        <v>74.889385784709816</v>
      </c>
      <c r="V48" s="157">
        <f ca="1"/>
        <v>7.9243492581710449</v>
      </c>
      <c r="W48" s="164">
        <v>0.47577223877362146</v>
      </c>
      <c r="X48" s="157">
        <f ca="1"/>
        <v>10.153102672744371</v>
      </c>
      <c r="Y48" s="157">
        <f ca="1"/>
        <v>242.04033273924324</v>
      </c>
    </row>
    <row r="49" spans="1:25" ht="15" customHeight="1">
      <c r="A49" s="17"/>
      <c r="B49" s="22">
        <f>'Oil supply projection'!$B49</f>
        <v>2058</v>
      </c>
      <c r="C49" s="157">
        <f ca="1"/>
        <v>0.13256717469989565</v>
      </c>
      <c r="D49" s="157">
        <f ca="1"/>
        <v>0.11251015166784782</v>
      </c>
      <c r="E49" s="157">
        <f ca="1"/>
        <v>0.54104518122547107</v>
      </c>
      <c r="F49" s="157">
        <f ca="1"/>
        <v>5.0597604742644995</v>
      </c>
      <c r="G49" s="159">
        <v>5.5626444894830126E-3</v>
      </c>
      <c r="H49" s="161">
        <f ca="1"/>
        <v>0.60279486716709396</v>
      </c>
      <c r="I49" s="161">
        <f ca="1"/>
        <v>1.6694110952938153</v>
      </c>
      <c r="J49" s="162">
        <f ca="1"/>
        <v>15.703142700451982</v>
      </c>
      <c r="K49" s="157">
        <f ca="1"/>
        <v>8.2990401068275821E-2</v>
      </c>
      <c r="L49" s="157">
        <f ca="1"/>
        <v>5.9579523133864006E-2</v>
      </c>
      <c r="M49" s="157">
        <f ca="1"/>
        <v>0.23490298636270665</v>
      </c>
      <c r="N49" s="157">
        <f ca="1"/>
        <v>0.62106180572731873</v>
      </c>
      <c r="O49" s="159">
        <v>8.7137740379633986E-3</v>
      </c>
      <c r="P49" s="162">
        <f ca="1"/>
        <v>2.1257167473944723</v>
      </c>
      <c r="Q49" s="157">
        <f ca="1"/>
        <v>129.59895242685241</v>
      </c>
      <c r="R49" s="157">
        <f ca="1"/>
        <v>135.56672872326803</v>
      </c>
      <c r="S49" s="157">
        <f ca="1"/>
        <v>203.59348934725446</v>
      </c>
      <c r="T49" s="157">
        <f ca="1"/>
        <v>267.16478591151974</v>
      </c>
      <c r="U49" s="157">
        <f ca="1"/>
        <v>75.544810053238621</v>
      </c>
      <c r="V49" s="157">
        <f ca="1"/>
        <v>7.983391598422382</v>
      </c>
      <c r="W49" s="164">
        <v>0.46761413032371246</v>
      </c>
      <c r="X49" s="157">
        <f ca="1"/>
        <v>10.279209411053049</v>
      </c>
      <c r="Y49" s="157">
        <f ca="1"/>
        <v>243.39084179384602</v>
      </c>
    </row>
    <row r="50" spans="1:25" ht="15" customHeight="1">
      <c r="A50" s="17"/>
      <c r="B50" s="22">
        <f>'Oil supply projection'!$B50</f>
        <v>2059</v>
      </c>
      <c r="C50" s="157">
        <f ca="1"/>
        <v>0.13396422105025399</v>
      </c>
      <c r="D50" s="157">
        <f ca="1"/>
        <v>0.11366739288766543</v>
      </c>
      <c r="E50" s="157">
        <f ca="1"/>
        <v>0.5446742074939569</v>
      </c>
      <c r="F50" s="157">
        <f ca="1"/>
        <v>5.1052679870543836</v>
      </c>
      <c r="G50" s="159">
        <v>5.5557325535118178E-3</v>
      </c>
      <c r="H50" s="161">
        <f ca="1"/>
        <v>0.60766197285794454</v>
      </c>
      <c r="I50" s="161">
        <f ca="1"/>
        <v>1.6828903080158155</v>
      </c>
      <c r="J50" s="162">
        <f ca="1"/>
        <v>15.829933519957105</v>
      </c>
      <c r="K50" s="157">
        <f ca="1"/>
        <v>8.3198543135391323E-2</v>
      </c>
      <c r="L50" s="157">
        <f ca="1"/>
        <v>5.9735822907330267E-2</v>
      </c>
      <c r="M50" s="157">
        <f ca="1"/>
        <v>0.23542716428323682</v>
      </c>
      <c r="N50" s="157">
        <f ca="1"/>
        <v>0.62472831931832362</v>
      </c>
      <c r="O50" s="159">
        <v>8.6667773953292733E-3</v>
      </c>
      <c r="P50" s="162">
        <f ca="1"/>
        <v>2.137579219265199</v>
      </c>
      <c r="Q50" s="157">
        <f ca="1"/>
        <v>130.56140308148821</v>
      </c>
      <c r="R50" s="157">
        <f ca="1"/>
        <v>136.64807698584673</v>
      </c>
      <c r="S50" s="157">
        <f ca="1"/>
        <v>205.09008740439072</v>
      </c>
      <c r="T50" s="157">
        <f ca="1"/>
        <v>269.91594485661614</v>
      </c>
      <c r="U50" s="157">
        <f ca="1"/>
        <v>76.205970528137286</v>
      </c>
      <c r="V50" s="157">
        <f ca="1"/>
        <v>8.042873848353187</v>
      </c>
      <c r="W50" s="164">
        <v>0.45959590967737113</v>
      </c>
      <c r="X50" s="157">
        <f ca="1"/>
        <v>10.40688245967689</v>
      </c>
      <c r="Y50" s="157">
        <f ca="1"/>
        <v>244.74888626490474</v>
      </c>
    </row>
    <row r="51" spans="1:25" ht="15" customHeight="1">
      <c r="A51" s="17"/>
      <c r="B51" s="22">
        <f>'Oil supply projection'!$B51</f>
        <v>2060</v>
      </c>
      <c r="C51" s="157">
        <f ca="1"/>
        <v>0.13537599003847098</v>
      </c>
      <c r="D51" s="157">
        <f ca="1"/>
        <v>0.11483653709775614</v>
      </c>
      <c r="E51" s="157">
        <f ca="1"/>
        <v>0.54832757522617637</v>
      </c>
      <c r="F51" s="157">
        <f ca="1"/>
        <v>5.1511847946578966</v>
      </c>
      <c r="G51" s="159">
        <v>5.5488292060562041E-3</v>
      </c>
      <c r="H51" s="161">
        <f ca="1"/>
        <v>0.61256837668999753</v>
      </c>
      <c r="I51" s="161">
        <f ca="1"/>
        <v>1.6964783550304092</v>
      </c>
      <c r="J51" s="162">
        <f ca="1"/>
        <v>15.957748077972283</v>
      </c>
      <c r="K51" s="157">
        <f ca="1"/>
        <v>8.3407207228181415E-2</v>
      </c>
      <c r="L51" s="157">
        <f ca="1"/>
        <v>5.9892532714611826E-2</v>
      </c>
      <c r="M51" s="157">
        <f ca="1"/>
        <v>0.23595251188873625</v>
      </c>
      <c r="N51" s="157">
        <f ca="1"/>
        <v>0.6284164786163895</v>
      </c>
      <c r="O51" s="159">
        <v>8.6200342231672177E-3</v>
      </c>
      <c r="P51" s="162">
        <f ca="1"/>
        <v>2.1495078891555064</v>
      </c>
      <c r="Q51" s="157">
        <f ca="1"/>
        <v>131.53100125734491</v>
      </c>
      <c r="R51" s="157">
        <f ca="1"/>
        <v>137.73805062484348</v>
      </c>
      <c r="S51" s="157">
        <f ca="1"/>
        <v>206.59768682385882</v>
      </c>
      <c r="T51" s="157">
        <f ca="1"/>
        <v>272.69543416536982</v>
      </c>
      <c r="U51" s="157">
        <f ca="1"/>
        <v>76.872917412099511</v>
      </c>
      <c r="V51" s="157">
        <f ca="1"/>
        <v>8.1027992856202609</v>
      </c>
      <c r="W51" s="164">
        <v>0.45171517816611834</v>
      </c>
      <c r="X51" s="157">
        <f ca="1"/>
        <v>10.53614127299261</v>
      </c>
      <c r="Y51" s="157">
        <f ca="1"/>
        <v>246.11450819767839</v>
      </c>
    </row>
    <row r="52" spans="1:25" ht="15" customHeight="1">
      <c r="A52" s="17"/>
      <c r="B52" s="22">
        <f>'Oil supply projection'!$B52</f>
        <v>2061</v>
      </c>
      <c r="C52" s="157">
        <f ca="1"/>
        <v>0.13680263681764185</v>
      </c>
      <c r="D52" s="157">
        <f ca="1"/>
        <v>0.11601770672823504</v>
      </c>
      <c r="E52" s="157">
        <f ca="1"/>
        <v>0.55200544769095483</v>
      </c>
      <c r="F52" s="157">
        <f ca="1"/>
        <v>5.1975145782747898</v>
      </c>
      <c r="G52" s="159">
        <v>5.5419344364443998E-3</v>
      </c>
      <c r="H52" s="161">
        <f ca="1"/>
        <v>0.61751439596556756</v>
      </c>
      <c r="I52" s="161">
        <f ca="1"/>
        <v>1.7101761150909376</v>
      </c>
      <c r="J52" s="162">
        <f ca="1"/>
        <v>16.086594640399873</v>
      </c>
      <c r="K52" s="157">
        <f ca="1"/>
        <v>8.3616394655900289E-2</v>
      </c>
      <c r="L52" s="157">
        <f ca="1"/>
        <v>6.00496536313836E-2</v>
      </c>
      <c r="M52" s="157">
        <f ca="1"/>
        <v>0.23647903178931731</v>
      </c>
      <c r="N52" s="157">
        <f ca="1"/>
        <v>0.63212641140956838</v>
      </c>
      <c r="O52" s="159">
        <v>8.5735431544161633E-3</v>
      </c>
      <c r="P52" s="162">
        <f ca="1"/>
        <v>2.1615031264806404</v>
      </c>
      <c r="Q52" s="157">
        <f ca="1"/>
        <v>132.50780003460704</v>
      </c>
      <c r="R52" s="157">
        <f ca="1"/>
        <v>138.83671844058873</v>
      </c>
      <c r="S52" s="157">
        <f ca="1"/>
        <v>208.11636847571665</v>
      </c>
      <c r="T52" s="157">
        <f ca="1"/>
        <v>275.50354557283345</v>
      </c>
      <c r="U52" s="157">
        <f ca="1"/>
        <v>77.545701347186565</v>
      </c>
      <c r="V52" s="157">
        <f ca="1"/>
        <v>8.1631712123013731</v>
      </c>
      <c r="W52" s="164">
        <v>0.44396957825165467</v>
      </c>
      <c r="X52" s="157">
        <f ca="1"/>
        <v>10.667005547010458</v>
      </c>
      <c r="Y52" s="157">
        <f ca="1"/>
        <v>247.48774987202353</v>
      </c>
    </row>
    <row r="53" spans="1:25" ht="15" customHeight="1">
      <c r="A53" s="16"/>
      <c r="B53" s="22">
        <f>'Oil supply projection'!$B53</f>
        <v>2062</v>
      </c>
      <c r="C53" s="157">
        <f ca="1"/>
        <v>0.13824431817592778</v>
      </c>
      <c r="D53" s="157">
        <f ca="1"/>
        <v>0.11721102546849488</v>
      </c>
      <c r="E53" s="157">
        <f ca="1"/>
        <v>0.55570798925223308</v>
      </c>
      <c r="F53" s="157">
        <f ca="1"/>
        <v>5.2442610522135205</v>
      </c>
      <c r="G53" s="159">
        <v>5.5350482340178944E-3</v>
      </c>
      <c r="H53" s="161">
        <f ca="1"/>
        <v>0.62250035054894226</v>
      </c>
      <c r="I53" s="161">
        <f ca="1"/>
        <v>1.7239844740460073</v>
      </c>
      <c r="J53" s="162">
        <f ca="1"/>
        <v>16.216481539883041</v>
      </c>
      <c r="K53" s="157">
        <f ca="1"/>
        <v>8.3826106731084885E-2</v>
      </c>
      <c r="L53" s="157">
        <f ca="1"/>
        <v>6.0207186736142067E-2</v>
      </c>
      <c r="M53" s="157">
        <f ca="1"/>
        <v>0.23700672660091421</v>
      </c>
      <c r="N53" s="157">
        <f ca="1"/>
        <v>0.63585824624032583</v>
      </c>
      <c r="O53" s="159">
        <v>8.5273028293881229E-3</v>
      </c>
      <c r="P53" s="162">
        <f ca="1"/>
        <v>2.1735653027173294</v>
      </c>
      <c r="Q53" s="157">
        <f ca="1"/>
        <v>133.49185288765523</v>
      </c>
      <c r="R53" s="157">
        <f ca="1"/>
        <v>139.94414978220013</v>
      </c>
      <c r="S53" s="157">
        <f ca="1"/>
        <v>209.64621382449312</v>
      </c>
      <c r="T53" s="157">
        <f ca="1"/>
        <v>278.34057381823862</v>
      </c>
      <c r="U53" s="157">
        <f ca="1"/>
        <v>78.224373418675739</v>
      </c>
      <c r="V53" s="157">
        <f ca="1"/>
        <v>8.2239929550772288</v>
      </c>
      <c r="W53" s="164">
        <v>0.43635679282059742</v>
      </c>
      <c r="X53" s="157">
        <f ca="1"/>
        <v>10.799495222374926</v>
      </c>
      <c r="Y53" s="157">
        <f ca="1"/>
        <v>248.86865380370554</v>
      </c>
    </row>
    <row r="54" spans="1:25" ht="15" customHeight="1">
      <c r="A54" s="16"/>
      <c r="B54" s="22">
        <f>'Oil supply projection'!$B54</f>
        <v>2063</v>
      </c>
      <c r="C54" s="157">
        <f ca="1"/>
        <v>0.13970119255378696</v>
      </c>
      <c r="D54" s="157">
        <f ca="1"/>
        <v>0.11841661828015206</v>
      </c>
      <c r="E54" s="157">
        <f ca="1"/>
        <v>0.55943536537641636</v>
      </c>
      <c r="F54" s="157">
        <f ca="1"/>
        <v>5.2914279641890998</v>
      </c>
      <c r="G54" s="159">
        <v>5.5281705881314201E-3</v>
      </c>
      <c r="H54" s="161">
        <f ca="1"/>
        <v>0.62752656288706654</v>
      </c>
      <c r="I54" s="161">
        <f ca="1"/>
        <v>1.7379043248967629</v>
      </c>
      <c r="J54" s="162">
        <f ca="1"/>
        <v>16.347417176344692</v>
      </c>
      <c r="K54" s="157">
        <f ca="1"/>
        <v>8.4036344769564911E-2</v>
      </c>
      <c r="L54" s="157">
        <f ca="1"/>
        <v>6.0365133110213569E-2</v>
      </c>
      <c r="M54" s="157">
        <f ca="1"/>
        <v>0.23753559894530188</v>
      </c>
      <c r="N54" s="157">
        <f ca="1"/>
        <v>0.63961211240999472</v>
      </c>
      <c r="O54" s="159">
        <v>8.4813118957284082E-3</v>
      </c>
      <c r="P54" s="162">
        <f ca="1"/>
        <v>2.1856947914153193</v>
      </c>
      <c r="Q54" s="157">
        <f ca="1"/>
        <v>134.48321368798858</v>
      </c>
      <c r="R54" s="157">
        <f ca="1"/>
        <v>141.06041455195736</v>
      </c>
      <c r="S54" s="157">
        <f ca="1"/>
        <v>211.18730493355386</v>
      </c>
      <c r="T54" s="157">
        <f ca="1"/>
        <v>281.20681667592072</v>
      </c>
      <c r="U54" s="157">
        <f ca="1"/>
        <v>78.908985158935394</v>
      </c>
      <c r="V54" s="157">
        <f ca="1"/>
        <v>8.2852678654148377</v>
      </c>
      <c r="W54" s="164">
        <v>0.42887454449131079</v>
      </c>
      <c r="X54" s="157">
        <f ca="1"/>
        <v>10.933630487403871</v>
      </c>
      <c r="Y54" s="157">
        <f ca="1"/>
        <v>250.25726274571494</v>
      </c>
    </row>
    <row r="55" spans="1:25" ht="15" customHeight="1">
      <c r="A55" s="16"/>
      <c r="B55" s="22">
        <f>'Oil supply projection'!$B55</f>
        <v>2064</v>
      </c>
      <c r="C55" s="157">
        <f ca="1"/>
        <v>0.14117342006138678</v>
      </c>
      <c r="D55" s="157">
        <f ca="1"/>
        <v>0.11963461141013955</v>
      </c>
      <c r="E55" s="157">
        <f ca="1"/>
        <v>0.56318774263975713</v>
      </c>
      <c r="F55" s="157">
        <f ca="1"/>
        <v>5.3390190956234589</v>
      </c>
      <c r="G55" s="159">
        <v>5.5213014881529392E-3</v>
      </c>
      <c r="H55" s="161">
        <f ca="1"/>
        <v>0.6325933580303984</v>
      </c>
      <c r="I55" s="161">
        <f ca="1"/>
        <v>1.7519365678546583</v>
      </c>
      <c r="J55" s="162">
        <f ca="1"/>
        <v>16.47941001753064</v>
      </c>
      <c r="K55" s="157">
        <f ca="1"/>
        <v>8.4247110090469743E-2</v>
      </c>
      <c r="L55" s="157">
        <f ca="1"/>
        <v>6.0523493837760685E-2</v>
      </c>
      <c r="M55" s="157">
        <f ca="1"/>
        <v>0.23806565145010505</v>
      </c>
      <c r="N55" s="157">
        <f ca="1"/>
        <v>0.64338813998325128</v>
      </c>
      <c r="O55" s="159">
        <v>8.4355690083760919E-3</v>
      </c>
      <c r="P55" s="162">
        <f ca="1"/>
        <v>2.1978919682089506</v>
      </c>
      <c r="Q55" s="157">
        <f ca="1"/>
        <v>135.48193670717819</v>
      </c>
      <c r="R55" s="157">
        <f ca="1"/>
        <v>142.18558320971681</v>
      </c>
      <c r="S55" s="157">
        <f ca="1"/>
        <v>212.73972446950646</v>
      </c>
      <c r="T55" s="157">
        <f ca="1"/>
        <v>284.1025749865849</v>
      </c>
      <c r="U55" s="157">
        <f ca="1"/>
        <v>79.599588551341967</v>
      </c>
      <c r="V55" s="157">
        <f ca="1"/>
        <v>8.3469993197520278</v>
      </c>
      <c r="W55" s="164">
        <v>0.42152059493262251</v>
      </c>
      <c r="X55" s="157">
        <f ca="1"/>
        <v>11.069431781164029</v>
      </c>
      <c r="Y55" s="157">
        <f ca="1"/>
        <v>251.65361968958905</v>
      </c>
    </row>
    <row r="56" spans="1:25" ht="15" customHeight="1">
      <c r="A56" s="16"/>
      <c r="B56" s="22">
        <f>'Oil supply projection'!$B56</f>
        <v>2065</v>
      </c>
      <c r="C56" s="157">
        <f ca="1"/>
        <v>0.14266116249620031</v>
      </c>
      <c r="D56" s="157">
        <f ca="1"/>
        <v>0.1208651324039202</v>
      </c>
      <c r="E56" s="157">
        <f ca="1"/>
        <v>0.56696528873581253</v>
      </c>
      <c r="F56" s="157">
        <f ca="1"/>
        <v>5.3870382619486898</v>
      </c>
      <c r="G56" s="159">
        <v>5.5144409234636205E-3</v>
      </c>
      <c r="H56" s="161">
        <f ca="1"/>
        <v>0.63770106365392876</v>
      </c>
      <c r="I56" s="161">
        <f ca="1"/>
        <v>1.7660821103996489</v>
      </c>
      <c r="J56" s="162">
        <f ca="1"/>
        <v>16.612468599557282</v>
      </c>
      <c r="K56" s="157">
        <f ca="1"/>
        <v>8.4458404016237165E-2</v>
      </c>
      <c r="L56" s="157">
        <f ca="1"/>
        <v>6.0682270005790337E-2</v>
      </c>
      <c r="M56" s="157">
        <f ca="1"/>
        <v>0.23859688674880836</v>
      </c>
      <c r="N56" s="157">
        <f ca="1"/>
        <v>0.64718645979262635</v>
      </c>
      <c r="O56" s="159">
        <v>8.3900728295246609E-3</v>
      </c>
      <c r="P56" s="162">
        <f ca="1"/>
        <v>2.2101572108287471</v>
      </c>
      <c r="Q56" s="157">
        <f ca="1"/>
        <v>136.48807661983511</v>
      </c>
      <c r="R56" s="157">
        <f ca="1"/>
        <v>143.31972677735749</v>
      </c>
      <c r="S56" s="157">
        <f ca="1"/>
        <v>214.30355570663278</v>
      </c>
      <c r="T56" s="157">
        <f ca="1"/>
        <v>287.02815268887315</v>
      </c>
      <c r="U56" s="157">
        <f ca="1"/>
        <v>80.296236034223384</v>
      </c>
      <c r="V56" s="157">
        <f ca="1"/>
        <v>8.409190719683858</v>
      </c>
      <c r="W56" s="164">
        <v>0.41429274419422174</v>
      </c>
      <c r="X56" s="157">
        <f ca="1"/>
        <v>11.206919796586188</v>
      </c>
      <c r="Y56" s="157">
        <f ca="1"/>
        <v>253.05776786674525</v>
      </c>
    </row>
    <row r="57" spans="1:25" ht="15" customHeight="1">
      <c r="A57" s="16"/>
      <c r="B57" s="22">
        <f>'Oil supply projection'!$B57</f>
        <v>2066</v>
      </c>
      <c r="C57" s="157">
        <f ca="1"/>
        <v>0.14416458336078741</v>
      </c>
      <c r="D57" s="157">
        <f ca="1"/>
        <v>0.12210831011884754</v>
      </c>
      <c r="E57" s="157">
        <f ca="1"/>
        <v>0.5707681724829361</v>
      </c>
      <c r="F57" s="157">
        <f ca="1"/>
        <v>5.4354893129128925</v>
      </c>
      <c r="G57" s="159">
        <v>5.507588883457832E-3</v>
      </c>
      <c r="H57" s="161">
        <f ca="1"/>
        <v>0.64285001007837028</v>
      </c>
      <c r="I57" s="161">
        <f ca="1"/>
        <v>1.7803418673389089</v>
      </c>
      <c r="J57" s="162">
        <f ca="1"/>
        <v>16.746601527463554</v>
      </c>
      <c r="K57" s="157">
        <f ca="1"/>
        <v>8.4670227872622433E-2</v>
      </c>
      <c r="L57" s="157">
        <f ca="1"/>
        <v>6.0841462704161228E-2</v>
      </c>
      <c r="M57" s="157">
        <f ca="1"/>
        <v>0.2391293074807781</v>
      </c>
      <c r="N57" s="157">
        <f ca="1"/>
        <v>0.65100720344303531</v>
      </c>
      <c r="O57" s="159">
        <v>8.3448220285828913E-3</v>
      </c>
      <c r="P57" s="162">
        <f ca="1"/>
        <v>2.2224908991131662</v>
      </c>
      <c r="Q57" s="157">
        <f ca="1"/>
        <v>137.50168850660452</v>
      </c>
      <c r="R57" s="157">
        <f ca="1"/>
        <v>144.46291684326437</v>
      </c>
      <c r="S57" s="157">
        <f ca="1"/>
        <v>215.87888253135694</v>
      </c>
      <c r="T57" s="157">
        <f ca="1"/>
        <v>289.98385685126868</v>
      </c>
      <c r="U57" s="157">
        <f ca="1"/>
        <v>80.998980504843644</v>
      </c>
      <c r="V57" s="157">
        <f ca="1"/>
        <v>8.4718454921496384</v>
      </c>
      <c r="W57" s="164">
        <v>0.40718883004853951</v>
      </c>
      <c r="X57" s="157">
        <f ca="1"/>
        <v>11.346115483617753</v>
      </c>
      <c r="Y57" s="157">
        <f ca="1"/>
        <v>254.46975074982049</v>
      </c>
    </row>
    <row r="58" spans="1:25" ht="15" customHeight="1">
      <c r="A58" s="16"/>
      <c r="B58" s="22">
        <f>'Oil supply projection'!$B58</f>
        <v>2067</v>
      </c>
      <c r="C58" s="157">
        <f ca="1"/>
        <v>0.14568384788076399</v>
      </c>
      <c r="D58" s="157">
        <f ca="1"/>
        <v>0.12336427473765775</v>
      </c>
      <c r="E58" s="157">
        <f ca="1"/>
        <v>0.57459656383181268</v>
      </c>
      <c r="F58" s="157">
        <f ca="1"/>
        <v>5.4843761328888183</v>
      </c>
      <c r="G58" s="159">
        <v>5.5007453575431162E-3</v>
      </c>
      <c r="H58" s="161">
        <f ca="1"/>
        <v>0.6480405302915232</v>
      </c>
      <c r="I58" s="161">
        <f ca="1"/>
        <v>1.79471676086597</v>
      </c>
      <c r="J58" s="162">
        <f ca="1"/>
        <v>16.881817475767445</v>
      </c>
      <c r="K58" s="157">
        <f ca="1"/>
        <v>8.4882582988704436E-2</v>
      </c>
      <c r="L58" s="157">
        <f ca="1"/>
        <v>6.1001073025590734E-2</v>
      </c>
      <c r="M58" s="157">
        <f ca="1"/>
        <v>0.23966291629126529</v>
      </c>
      <c r="N58" s="157">
        <f ca="1"/>
        <v>0.65485050331634098</v>
      </c>
      <c r="O58" s="159">
        <v>8.2998152821359347E-3</v>
      </c>
      <c r="P58" s="162">
        <f ca="1"/>
        <v>2.234893415020315</v>
      </c>
      <c r="Q58" s="157">
        <f ca="1"/>
        <v>138.52282785718231</v>
      </c>
      <c r="R58" s="157">
        <f ca="1"/>
        <v>145.61522556684778</v>
      </c>
      <c r="S58" s="157">
        <f ca="1"/>
        <v>217.46578944674536</v>
      </c>
      <c r="T58" s="157">
        <f ca="1"/>
        <v>292.96999770433018</v>
      </c>
      <c r="U58" s="157">
        <f ca="1"/>
        <v>81.707875323417682</v>
      </c>
      <c r="V58" s="157">
        <f ca="1"/>
        <v>8.5349670896219312</v>
      </c>
      <c r="W58" s="164">
        <v>0.40020672734391288</v>
      </c>
      <c r="X58" s="157">
        <f ca="1"/>
        <v>11.487040052415207</v>
      </c>
      <c r="Y58" s="157">
        <f ca="1"/>
        <v>255.88961205401162</v>
      </c>
    </row>
    <row r="59" spans="1:25" ht="15" customHeight="1">
      <c r="A59" s="16"/>
      <c r="B59" s="22">
        <f>'Oil supply projection'!$B59</f>
        <v>2068</v>
      </c>
      <c r="C59" s="157">
        <f ca="1"/>
        <v>0.14721912302296064</v>
      </c>
      <c r="D59" s="157">
        <f ca="1"/>
        <v>0.12463315778210358</v>
      </c>
      <c r="E59" s="157">
        <f ca="1"/>
        <v>0.57845063387306905</v>
      </c>
      <c r="F59" s="157">
        <f ca="1"/>
        <v>5.5337026411852914</v>
      </c>
      <c r="G59" s="159">
        <v>5.4939103351401798E-3</v>
      </c>
      <c r="H59" s="161">
        <f ca="1"/>
        <v>0.65327295996981039</v>
      </c>
      <c r="I59" s="161">
        <f ca="1"/>
        <v>1.8092077206203689</v>
      </c>
      <c r="J59" s="162">
        <f ca="1"/>
        <v>17.018125189027117</v>
      </c>
      <c r="K59" s="157">
        <f ca="1"/>
        <v>8.5095470696896602E-2</v>
      </c>
      <c r="L59" s="157">
        <f ca="1"/>
        <v>6.1161102065663171E-2</v>
      </c>
      <c r="M59" s="157">
        <f ca="1"/>
        <v>0.24019771583142951</v>
      </c>
      <c r="N59" s="157">
        <f ca="1"/>
        <v>0.65871649257593468</v>
      </c>
      <c r="O59" s="159">
        <v>8.255051273906619E-3</v>
      </c>
      <c r="P59" s="162">
        <f ca="1"/>
        <v>2.2473651426398304</v>
      </c>
      <c r="Q59" s="157">
        <f ca="1"/>
        <v>139.55155057335122</v>
      </c>
      <c r="R59" s="157">
        <f ca="1"/>
        <v>146.77672568309811</v>
      </c>
      <c r="S59" s="157">
        <f ca="1"/>
        <v>219.06436157703848</v>
      </c>
      <c r="T59" s="157">
        <f ca="1"/>
        <v>295.98688867324773</v>
      </c>
      <c r="U59" s="157">
        <f ca="1"/>
        <v>82.422974317163764</v>
      </c>
      <c r="V59" s="157">
        <f ca="1"/>
        <v>8.5985589902968602</v>
      </c>
      <c r="W59" s="164">
        <v>0.39334434736884183</v>
      </c>
      <c r="X59" s="157">
        <f ca="1"/>
        <v>11.62971497657602</v>
      </c>
      <c r="Y59" s="157">
        <f ca="1"/>
        <v>257.31739573843436</v>
      </c>
    </row>
    <row r="60" spans="1:25" ht="15" customHeight="1">
      <c r="A60" s="16"/>
      <c r="B60" s="22">
        <f>'Oil supply projection'!$B60</f>
        <v>2069</v>
      </c>
      <c r="C60" s="157">
        <f ca="1"/>
        <v>0.14877057751377112</v>
      </c>
      <c r="D60" s="157">
        <f ca="1"/>
        <v>0.1259150921267253</v>
      </c>
      <c r="E60" s="157">
        <f ca="1"/>
        <v>0.58233055484490348</v>
      </c>
      <c r="F60" s="157">
        <f ca="1"/>
        <v>5.5834727923614267</v>
      </c>
      <c r="G60" s="159">
        <v>5.487083805682874E-3</v>
      </c>
      <c r="H60" s="161">
        <f ca="1"/>
        <v>0.65854763749997991</v>
      </c>
      <c r="I60" s="161">
        <f ca="1"/>
        <v>1.8238156837477701</v>
      </c>
      <c r="J60" s="162">
        <f ca="1"/>
        <v>17.155533482406248</v>
      </c>
      <c r="K60" s="157">
        <f ca="1"/>
        <v>8.5308892332953898E-2</v>
      </c>
      <c r="L60" s="157">
        <f ca="1"/>
        <v>6.1321550922837496E-2</v>
      </c>
      <c r="M60" s="157">
        <f ca="1"/>
        <v>0.24073370875834085</v>
      </c>
      <c r="N60" s="157">
        <f ca="1"/>
        <v>0.66260530517135852</v>
      </c>
      <c r="O60" s="159">
        <v>8.2105286947169436E-3</v>
      </c>
      <c r="P60" s="162">
        <f ca="1"/>
        <v>2.2599064682047181</v>
      </c>
      <c r="Q60" s="157">
        <f ca="1"/>
        <v>140.58791297204104</v>
      </c>
      <c r="R60" s="157">
        <f ca="1"/>
        <v>147.94749050717525</v>
      </c>
      <c r="S60" s="157">
        <f ca="1"/>
        <v>220.67468467221764</v>
      </c>
      <c r="T60" s="157">
        <f ca="1"/>
        <v>299.0348464107409</v>
      </c>
      <c r="U60" s="157">
        <f ca="1"/>
        <v>83.144331784390218</v>
      </c>
      <c r="V60" s="157">
        <f ca="1"/>
        <v>8.6626246982858017</v>
      </c>
      <c r="W60" s="157">
        <v>0.38659963722714619</v>
      </c>
      <c r="X60" s="157">
        <f ca="1"/>
        <v>11.774161996411022</v>
      </c>
      <c r="Y60" s="157">
        <f ca="1"/>
        <v>258.75314600748516</v>
      </c>
    </row>
    <row r="61" spans="1:25" ht="15" customHeight="1">
      <c r="A61" s="16"/>
      <c r="B61" s="22">
        <f>'Oil supply projection'!$B61</f>
        <v>2070</v>
      </c>
      <c r="C61" s="157">
        <f ca="1"/>
        <v>0.15033838185769566</v>
      </c>
      <c r="D61" s="157">
        <f ca="1"/>
        <v>0.12721021201276272</v>
      </c>
      <c r="E61" s="157">
        <f ca="1"/>
        <v>0.58623650014079698</v>
      </c>
      <c r="F61" s="157">
        <f ca="1"/>
        <v>5.6336905765436507</v>
      </c>
      <c r="G61" s="159">
        <v>5.4802657586181776E-3</v>
      </c>
      <c r="H61" s="161">
        <f ca="1"/>
        <v>0.6638649040009974</v>
      </c>
      <c r="I61" s="161">
        <f ca="1"/>
        <v>1.8385415949605624</v>
      </c>
      <c r="J61" s="162">
        <f ca="1"/>
        <v>17.294051242244183</v>
      </c>
      <c r="K61" s="157">
        <f ca="1"/>
        <v>8.552284923598083E-2</v>
      </c>
      <c r="L61" s="157">
        <f ca="1"/>
        <v>6.1482420698453326E-2</v>
      </c>
      <c r="M61" s="157">
        <f ca="1"/>
        <v>0.24127089773499935</v>
      </c>
      <c r="N61" s="157">
        <f ca="1"/>
        <v>0.66651707584293862</v>
      </c>
      <c r="O61" s="159">
        <v>8.1662462424497949E-3</v>
      </c>
      <c r="P61" s="162">
        <f ca="1"/>
        <v>2.2725177801033518</v>
      </c>
      <c r="Q61" s="157">
        <f ca="1"/>
        <v>141.63197178841267</v>
      </c>
      <c r="R61" s="157">
        <f ca="1"/>
        <v>149.12759393903798</v>
      </c>
      <c r="S61" s="157">
        <f ca="1"/>
        <v>222.29684511260533</v>
      </c>
      <c r="T61" s="157">
        <f ca="1"/>
        <v>302.1141908302958</v>
      </c>
      <c r="U61" s="157">
        <f ca="1"/>
        <v>83.872002498618727</v>
      </c>
      <c r="V61" s="157">
        <f ca="1"/>
        <v>8.7271677438082005</v>
      </c>
      <c r="W61" s="157">
        <v>0.37997057922383715</v>
      </c>
      <c r="X61" s="157">
        <f ca="1"/>
        <v>11.920403122256378</v>
      </c>
      <c r="Y61" s="157">
        <f ca="1"/>
        <v>260.19690731220135</v>
      </c>
    </row>
    <row r="62" spans="1:25" ht="15" customHeight="1">
      <c r="A62" s="16"/>
      <c r="B62" s="22">
        <f>'Oil supply projection'!$B62</f>
        <v>2071</v>
      </c>
      <c r="C62" s="157">
        <f ca="1"/>
        <v>0.1519227083560806</v>
      </c>
      <c r="D62" s="157">
        <f ca="1"/>
        <v>0.12851865306222093</v>
      </c>
      <c r="E62" s="157">
        <f ca="1"/>
        <v>0.59016864431725402</v>
      </c>
      <c r="F62" s="157">
        <f ca="1"/>
        <v>5.6843600197456245</v>
      </c>
      <c r="G62" s="159">
        <v>5.4734561834061867E-3</v>
      </c>
      <c r="H62" s="161">
        <f ca="1"/>
        <v>0.66922510334609786</v>
      </c>
      <c r="I62" s="161">
        <f ca="1"/>
        <v>1.853386406598978</v>
      </c>
      <c r="J62" s="162">
        <f ca="1"/>
        <v>17.433687426630708</v>
      </c>
      <c r="K62" s="157">
        <f ca="1"/>
        <v>8.5737342748440679E-2</v>
      </c>
      <c r="L62" s="157">
        <f ca="1"/>
        <v>6.1643712496739979E-2</v>
      </c>
      <c r="M62" s="157">
        <f ca="1"/>
        <v>0.24180928543035185</v>
      </c>
      <c r="N62" s="157">
        <f ca="1"/>
        <v>0.67045194012646014</v>
      </c>
      <c r="O62" s="159">
        <v>8.1222026220108632E-3</v>
      </c>
      <c r="P62" s="162">
        <f ca="1"/>
        <v>2.2851994688914896</v>
      </c>
      <c r="Q62" s="157">
        <f ca="1"/>
        <v>142.68378417896506</v>
      </c>
      <c r="R62" s="157">
        <f ca="1"/>
        <v>150.31711046811031</v>
      </c>
      <c r="S62" s="157">
        <f ca="1"/>
        <v>223.93092991349818</v>
      </c>
      <c r="T62" s="157">
        <f ca="1"/>
        <v>305.22524513974582</v>
      </c>
      <c r="U62" s="157">
        <f ca="1"/>
        <v>84.606041712743874</v>
      </c>
      <c r="V62" s="157">
        <f ca="1"/>
        <v>8.7921916833864895</v>
      </c>
      <c r="W62" s="157">
        <v>0.37345519026151952</v>
      </c>
      <c r="X62" s="157">
        <f ca="1"/>
        <v>12.068460637828196</v>
      </c>
      <c r="Y62" s="157">
        <f ca="1"/>
        <v>261.64872435165091</v>
      </c>
    </row>
    <row r="63" spans="1:25" ht="15" customHeight="1">
      <c r="A63" s="16"/>
      <c r="B63" s="22">
        <f>'Oil supply projection'!$B63</f>
        <v>2072</v>
      </c>
      <c r="C63" s="157">
        <f ca="1"/>
        <v>0.15352373112605272</v>
      </c>
      <c r="D63" s="157">
        <f ca="1"/>
        <v>0.12984055229206254</v>
      </c>
      <c r="E63" s="157">
        <f ca="1"/>
        <v>0.59412716310160529</v>
      </c>
      <c r="F63" s="157">
        <f ca="1"/>
        <v>5.7354851841909769</v>
      </c>
      <c r="G63" s="159">
        <v>5.4666550695200884E-3</v>
      </c>
      <c r="H63" s="161">
        <f ca="1"/>
        <v>0.67462858218503341</v>
      </c>
      <c r="I63" s="161">
        <f ca="1"/>
        <v>1.86835107869265</v>
      </c>
      <c r="J63" s="162">
        <f ca="1"/>
        <v>17.574451065985262</v>
      </c>
      <c r="K63" s="157">
        <f ca="1"/>
        <v>8.5952374216164168E-2</v>
      </c>
      <c r="L63" s="157">
        <f ca="1"/>
        <v>6.1805427424823749E-2</v>
      </c>
      <c r="M63" s="157">
        <f ca="1"/>
        <v>0.24234887451929726</v>
      </c>
      <c r="N63" s="157">
        <f ca="1"/>
        <v>0.67441003435785518</v>
      </c>
      <c r="O63" s="159">
        <v>8.0783965452907707E-3</v>
      </c>
      <c r="P63" s="162">
        <f ca="1"/>
        <v>2.2979519273043718</v>
      </c>
      <c r="Q63" s="157">
        <f ca="1"/>
        <v>143.74340772466013</v>
      </c>
      <c r="R63" s="157">
        <f ca="1"/>
        <v>151.51611517797755</v>
      </c>
      <c r="S63" s="157">
        <f ca="1"/>
        <v>225.57702672983385</v>
      </c>
      <c r="T63" s="157">
        <f ca="1"/>
        <v>308.36833587518953</v>
      </c>
      <c r="U63" s="157">
        <f ca="1"/>
        <v>85.346505163226666</v>
      </c>
      <c r="V63" s="157">
        <f ca="1"/>
        <v>8.857700100041658</v>
      </c>
      <c r="W63" s="157">
        <v>0.36705152124714374</v>
      </c>
      <c r="X63" s="157">
        <f ca="1"/>
        <v>12.218357103617803</v>
      </c>
      <c r="Y63" s="157">
        <f ca="1"/>
        <v>263.10864207430046</v>
      </c>
    </row>
    <row r="64" spans="1:25" ht="15" customHeight="1">
      <c r="A64" s="16"/>
      <c r="B64" s="22">
        <f>'Oil supply projection'!$B64</f>
        <v>2073</v>
      </c>
      <c r="C64" s="157">
        <f ca="1"/>
        <v>0.15514162611965551</v>
      </c>
      <c r="D64" s="157">
        <f ca="1"/>
        <v>0.13117604812856207</v>
      </c>
      <c r="E64" s="157">
        <f ca="1"/>
        <v>0.59811223339986042</v>
      </c>
      <c r="F64" s="157">
        <f ca="1"/>
        <v>5.7870701686390289</v>
      </c>
      <c r="G64" s="159">
        <v>5.4598624064461547E-3</v>
      </c>
      <c r="H64" s="161">
        <f ca="1"/>
        <v>0.68007568996648227</v>
      </c>
      <c r="I64" s="161">
        <f ca="1"/>
        <v>1.8834365790227137</v>
      </c>
      <c r="J64" s="162">
        <f ca="1"/>
        <v>17.716351263640934</v>
      </c>
      <c r="K64" s="157">
        <f ca="1"/>
        <v>8.6167944988356421E-2</v>
      </c>
      <c r="L64" s="157">
        <f ca="1"/>
        <v>6.196756659273521E-2</v>
      </c>
      <c r="M64" s="157">
        <f ca="1"/>
        <v>0.24288966768270198</v>
      </c>
      <c r="N64" s="157">
        <f ca="1"/>
        <v>0.67839149567793655</v>
      </c>
      <c r="O64" s="159">
        <v>8.0348267311273879E-3</v>
      </c>
      <c r="P64" s="162">
        <f ca="1"/>
        <v>2.3107755502688723</v>
      </c>
      <c r="Q64" s="157">
        <f ca="1"/>
        <v>144.81090043408113</v>
      </c>
      <c r="R64" s="157">
        <f ca="1"/>
        <v>152.72468375113303</v>
      </c>
      <c r="S64" s="157">
        <f ca="1"/>
        <v>227.23522386089616</v>
      </c>
      <c r="T64" s="157">
        <f ca="1"/>
        <v>311.54379293527006</v>
      </c>
      <c r="U64" s="157">
        <f ca="1"/>
        <v>86.093449074329513</v>
      </c>
      <c r="V64" s="157">
        <f ca="1"/>
        <v>8.9236966034909884</v>
      </c>
      <c r="W64" s="157">
        <v>0.3607576565089301</v>
      </c>
      <c r="X64" s="157">
        <f ca="1"/>
        <v>12.370115360329279</v>
      </c>
      <c r="Y64" s="157">
        <f ca="1"/>
        <v>264.57670567941835</v>
      </c>
    </row>
    <row r="65" spans="1:25" ht="15" customHeight="1">
      <c r="A65" s="16"/>
      <c r="B65" s="22">
        <f>'Oil supply projection'!$B65</f>
        <v>2074</v>
      </c>
      <c r="C65" s="157">
        <f ca="1"/>
        <v>0.15677657114318627</v>
      </c>
      <c r="D65" s="157">
        <f ca="1"/>
        <v>0.13252528042179837</v>
      </c>
      <c r="E65" s="157">
        <f ca="1"/>
        <v>0.60212403330462005</v>
      </c>
      <c r="F65" s="157">
        <f ca="1"/>
        <v>5.8391191087133327</v>
      </c>
      <c r="G65" s="159">
        <v>5.4530781836837194E-3</v>
      </c>
      <c r="H65" s="161">
        <f ca="1"/>
        <v>0.68556677896065554</v>
      </c>
      <c r="I65" s="161">
        <f ca="1"/>
        <v>1.8986438831844099</v>
      </c>
      <c r="J65" s="162">
        <f ca="1"/>
        <v>17.859397196433306</v>
      </c>
      <c r="K65" s="157">
        <f ca="1"/>
        <v>8.6384056417607311E-2</v>
      </c>
      <c r="L65" s="157">
        <f ca="1"/>
        <v>6.2130131113416899E-2</v>
      </c>
      <c r="M65" s="157">
        <f ca="1"/>
        <v>0.24343166760741822</v>
      </c>
      <c r="N65" s="157">
        <f ca="1"/>
        <v>0.68239646203714344</v>
      </c>
      <c r="O65" s="159">
        <v>7.9914919052683775E-3</v>
      </c>
      <c r="P65" s="162">
        <f ca="1"/>
        <v>2.323670734915749</v>
      </c>
      <c r="Q65" s="157">
        <f ca="1"/>
        <v>145.88632074660111</v>
      </c>
      <c r="R65" s="157">
        <f ca="1"/>
        <v>153.94289247374823</v>
      </c>
      <c r="S65" s="157">
        <f ca="1"/>
        <v>228.90561025504562</v>
      </c>
      <c r="T65" s="157">
        <f ca="1"/>
        <v>314.75194961579405</v>
      </c>
      <c r="U65" s="157">
        <f ca="1"/>
        <v>86.846930162382279</v>
      </c>
      <c r="V65" s="157">
        <f ca="1"/>
        <v>8.9901848303469301</v>
      </c>
      <c r="W65" s="157">
        <v>0.35457171322329162</v>
      </c>
      <c r="X65" s="157">
        <f ca="1"/>
        <v>12.523758532359967</v>
      </c>
      <c r="Y65" s="157">
        <f ca="1"/>
        <v>266.05296061847434</v>
      </c>
    </row>
    <row r="66" spans="1:25" ht="15" customHeight="1">
      <c r="A66" s="16"/>
      <c r="B66" s="22">
        <f>'Oil supply projection'!$B66</f>
        <v>2075</v>
      </c>
      <c r="C66" s="157">
        <f ca="1"/>
        <v>0.15842874587673617</v>
      </c>
      <c r="D66" s="157">
        <f ca="1"/>
        <v>0.13388839046030207</v>
      </c>
      <c r="E66" s="157">
        <f ca="1"/>
        <v>0.6061627421030219</v>
      </c>
      <c r="F66" s="157">
        <f ca="1"/>
        <v>5.8916361772332735</v>
      </c>
      <c r="G66" s="159">
        <v>5.4463023907451611E-3</v>
      </c>
      <c r="H66" s="161">
        <f ca="1"/>
        <v>0.6911022042820737</v>
      </c>
      <c r="I66" s="161">
        <f ca="1"/>
        <v>1.9139739746501452</v>
      </c>
      <c r="J66" s="162">
        <f ca="1"/>
        <v>18.003598115293883</v>
      </c>
      <c r="K66" s="157">
        <f ca="1"/>
        <v>8.6600709859898803E-2</v>
      </c>
      <c r="L66" s="157">
        <f ca="1"/>
        <v>6.2293122102731135E-2</v>
      </c>
      <c r="M66" s="157">
        <f ca="1"/>
        <v>0.24397487698629233</v>
      </c>
      <c r="N66" s="157">
        <f ca="1"/>
        <v>0.68642507220031868</v>
      </c>
      <c r="O66" s="159">
        <v>7.948390800333922E-3</v>
      </c>
      <c r="P66" s="162">
        <f ca="1"/>
        <v>2.3366378805919328</v>
      </c>
      <c r="Q66" s="157">
        <f ca="1"/>
        <v>146.96972753558893</v>
      </c>
      <c r="R66" s="157">
        <f ca="1"/>
        <v>155.17081824049461</v>
      </c>
      <c r="S66" s="157">
        <f ca="1"/>
        <v>230.58827551449781</v>
      </c>
      <c r="T66" s="157">
        <f ca="1"/>
        <v>317.99314264472417</v>
      </c>
      <c r="U66" s="157">
        <f ca="1"/>
        <v>87.60700564009116</v>
      </c>
      <c r="V66" s="157">
        <f ca="1"/>
        <v>9.0571684443172948</v>
      </c>
      <c r="W66" s="157">
        <v>0.34849184085158313</v>
      </c>
      <c r="X66" s="157">
        <f ca="1"/>
        <v>12.679310031324023</v>
      </c>
      <c r="Y66" s="157">
        <f ca="1"/>
        <v>267.53745259653624</v>
      </c>
    </row>
    <row r="67" spans="1:25" ht="15" customHeight="1">
      <c r="A67" s="16"/>
      <c r="B67" s="22">
        <f>'Oil supply projection'!$B67</f>
        <v>2076</v>
      </c>
      <c r="C67" s="157">
        <f ca="1"/>
        <v>0.16009833189393874</v>
      </c>
      <c r="D67" s="157">
        <f ca="1"/>
        <v>0.13526552098584954</v>
      </c>
      <c r="E67" s="157">
        <f ca="1"/>
        <v>0.61022854028476792</v>
      </c>
      <c r="F67" s="157">
        <f ca="1"/>
        <v>5.9446255845485982</v>
      </c>
      <c r="G67" s="159">
        <v>5.4395350171558962E-3</v>
      </c>
      <c r="H67" s="161">
        <f ca="1"/>
        <v>0.69668232391253504</v>
      </c>
      <c r="I67" s="161">
        <f ca="1"/>
        <v>1.9294278448331108</v>
      </c>
      <c r="J67" s="162">
        <f ca="1"/>
        <v>18.148963345848259</v>
      </c>
      <c r="K67" s="157">
        <f ca="1"/>
        <v>8.6817906674613574E-2</v>
      </c>
      <c r="L67" s="157">
        <f ca="1"/>
        <v>6.2456540679467508E-2</v>
      </c>
      <c r="M67" s="157">
        <f ca="1"/>
        <v>0.24451929851817869</v>
      </c>
      <c r="N67" s="157">
        <f ca="1"/>
        <v>0.69047746575152413</v>
      </c>
      <c r="O67" s="159">
        <v>7.9055221557796564E-3</v>
      </c>
      <c r="P67" s="162">
        <f ca="1"/>
        <v>2.3496773888728733</v>
      </c>
      <c r="Q67" s="157">
        <f ca="1"/>
        <v>148.06118011162843</v>
      </c>
      <c r="R67" s="157">
        <f ca="1"/>
        <v>156.40853855939247</v>
      </c>
      <c r="S67" s="157">
        <f ca="1"/>
        <v>232.28330990012537</v>
      </c>
      <c r="T67" s="157">
        <f ca="1"/>
        <v>321.26771221751221</v>
      </c>
      <c r="U67" s="157">
        <f ca="1"/>
        <v>88.373733220882784</v>
      </c>
      <c r="V67" s="157">
        <f ca="1"/>
        <v>9.1246511364073477</v>
      </c>
      <c r="W67" s="157">
        <v>0.34251622058650844</v>
      </c>
      <c r="X67" s="157">
        <f ca="1"/>
        <v>12.836793559620013</v>
      </c>
      <c r="Y67" s="157">
        <f ca="1"/>
        <v>269.03022757369797</v>
      </c>
    </row>
    <row r="68" spans="1:25" ht="15" customHeight="1">
      <c r="A68" s="16"/>
      <c r="B68" s="22">
        <f>'Oil supply projection'!$B68</f>
        <v>2077</v>
      </c>
      <c r="C68" s="157">
        <f ca="1"/>
        <v>0.16178551268192193</v>
      </c>
      <c r="D68" s="157">
        <f ca="1"/>
        <v>0.13665681620840933</v>
      </c>
      <c r="E68" s="157">
        <f ca="1"/>
        <v>0.61432160955017789</v>
      </c>
      <c r="F68" s="157">
        <f ca="1"/>
        <v>5.9980915788769762</v>
      </c>
      <c r="G68" s="159">
        <v>5.4327760524543528E-3</v>
      </c>
      <c r="H68" s="161">
        <f ca="1"/>
        <v>0.70230749872426812</v>
      </c>
      <c r="I68" s="161">
        <f ca="1"/>
        <v>1.9450064931514155</v>
      </c>
      <c r="J68" s="162">
        <f ca="1"/>
        <v>18.29550228901936</v>
      </c>
      <c r="K68" s="157">
        <f ca="1"/>
        <v>8.7035648224543558E-2</v>
      </c>
      <c r="L68" s="157">
        <f ca="1"/>
        <v>6.2620387965350313E-2</v>
      </c>
      <c r="M68" s="157">
        <f ca="1"/>
        <v>0.24506493490795603</v>
      </c>
      <c r="N68" s="157">
        <f ca="1"/>
        <v>0.69455378309887084</v>
      </c>
      <c r="O68" s="159">
        <v>7.8628847178597982E-3</v>
      </c>
      <c r="P68" s="162">
        <f ca="1"/>
        <v>2.362789663575005</v>
      </c>
      <c r="Q68" s="157">
        <f ca="1"/>
        <v>149.16073822576595</v>
      </c>
      <c r="R68" s="157">
        <f ca="1"/>
        <v>157.65613155670485</v>
      </c>
      <c r="S68" s="157">
        <f ca="1"/>
        <v>233.99080433629968</v>
      </c>
      <c r="T68" s="157">
        <f ca="1"/>
        <v>324.57600203281248</v>
      </c>
      <c r="U68" s="157">
        <f ca="1"/>
        <v>89.147171123284423</v>
      </c>
      <c r="V68" s="157">
        <f ca="1"/>
        <v>9.1926366251229847</v>
      </c>
      <c r="W68" s="157">
        <v>0.33664306480801998</v>
      </c>
      <c r="X68" s="157">
        <f ca="1"/>
        <v>12.996233114042255</v>
      </c>
      <c r="Y68" s="157">
        <f ca="1"/>
        <v>270.53133176649061</v>
      </c>
    </row>
    <row r="69" spans="1:25" ht="15" customHeight="1">
      <c r="A69" s="16"/>
      <c r="B69" s="22">
        <f>'Oil supply projection'!$B69</f>
        <v>2078</v>
      </c>
      <c r="C69" s="157">
        <f ca="1"/>
        <v>0.16349047366147654</v>
      </c>
      <c r="D69" s="157">
        <f ca="1"/>
        <v>0.13806242182124639</v>
      </c>
      <c r="E69" s="157">
        <f ca="1"/>
        <v>0.61844213281832083</v>
      </c>
      <c r="F69" s="157">
        <f ca="1"/>
        <v>6.0520384466445245</v>
      </c>
      <c r="G69" s="159">
        <v>5.4260254861919557E-3</v>
      </c>
      <c r="H69" s="161">
        <f ca="1"/>
        <v>0.70797809250326404</v>
      </c>
      <c r="I69" s="161">
        <f ca="1"/>
        <v>1.9607109270926819</v>
      </c>
      <c r="J69" s="162">
        <f ca="1"/>
        <v>18.443224421635264</v>
      </c>
      <c r="K69" s="157">
        <f ca="1"/>
        <v>8.725393587589847E-2</v>
      </c>
      <c r="L69" s="157">
        <f ca="1"/>
        <v>6.2784665085047472E-2</v>
      </c>
      <c r="M69" s="157">
        <f ca="1"/>
        <v>0.24561178886653673</v>
      </c>
      <c r="N69" s="157">
        <f ca="1"/>
        <v>0.69865416547938752</v>
      </c>
      <c r="O69" s="159">
        <v>7.8204772395904926E-3</v>
      </c>
      <c r="P69" s="162">
        <f ca="1"/>
        <v>2.3759751107682656</v>
      </c>
      <c r="Q69" s="157">
        <f ca="1"/>
        <v>150.26846207278041</v>
      </c>
      <c r="R69" s="157">
        <f ca="1"/>
        <v>158.91367598186926</v>
      </c>
      <c r="S69" s="157">
        <f ca="1"/>
        <v>235.71085041577012</v>
      </c>
      <c r="T69" s="157">
        <f ca="1"/>
        <v>327.91835932855247</v>
      </c>
      <c r="U69" s="157">
        <f ca="1"/>
        <v>89.927378075346297</v>
      </c>
      <c r="V69" s="157">
        <f ca="1"/>
        <v>9.2611286566759574</v>
      </c>
      <c r="W69" s="157">
        <v>0.33087061654854866</v>
      </c>
      <c r="X69" s="157">
        <f ca="1"/>
        <v>13.157652989437677</v>
      </c>
      <c r="Y69" s="157">
        <f ca="1"/>
        <v>272.04081164932421</v>
      </c>
    </row>
    <row r="70" spans="1:25" ht="15" customHeight="1">
      <c r="A70" s="16"/>
      <c r="B70" s="22">
        <f>'Oil supply projection'!$B70</f>
        <v>2079</v>
      </c>
      <c r="C70" s="157">
        <f ca="1"/>
        <v>0.165213402207432</v>
      </c>
      <c r="D70" s="157">
        <f ca="1"/>
        <v>0.13948248501617588</v>
      </c>
      <c r="E70" s="157">
        <f ca="1"/>
        <v>0.62259029423517676</v>
      </c>
      <c r="F70" s="157">
        <f ca="1"/>
        <v>6.1064705128295564</v>
      </c>
      <c r="G70" s="159">
        <v>5.4192833079331187E-3</v>
      </c>
      <c r="H70" s="161">
        <f ca="1"/>
        <v>0.71369447197280766</v>
      </c>
      <c r="I70" s="161">
        <f ca="1"/>
        <v>1.9765421622792256</v>
      </c>
      <c r="J70" s="162">
        <f ca="1"/>
        <v>18.592139297042291</v>
      </c>
      <c r="K70" s="157">
        <f ca="1"/>
        <v>8.7472770998315033E-2</v>
      </c>
      <c r="L70" s="157">
        <f ca="1"/>
        <v>6.2949373166176284E-2</v>
      </c>
      <c r="M70" s="157">
        <f ca="1"/>
        <v>0.24615986311088436</v>
      </c>
      <c r="N70" s="157">
        <f ca="1"/>
        <v>0.70277875496391173</v>
      </c>
      <c r="O70" s="159">
        <v>7.7782984807133297E-3</v>
      </c>
      <c r="P70" s="162">
        <f ca="1"/>
        <v>2.3892341387886074</v>
      </c>
      <c r="Q70" s="157">
        <f ca="1"/>
        <v>151.38441229448188</v>
      </c>
      <c r="R70" s="157">
        <f ca="1"/>
        <v>160.18125121246814</v>
      </c>
      <c r="S70" s="157">
        <f ca="1"/>
        <v>237.44354040457659</v>
      </c>
      <c r="T70" s="157">
        <f ca="1"/>
        <v>331.29513491838082</v>
      </c>
      <c r="U70" s="157">
        <f ca="1"/>
        <v>90.714413319101723</v>
      </c>
      <c r="V70" s="157">
        <f ca="1"/>
        <v>9.330131005189914</v>
      </c>
      <c r="W70" s="157">
        <v>0.32519714896740282</v>
      </c>
      <c r="X70" s="157">
        <f ca="1"/>
        <v>13.321077782407581</v>
      </c>
      <c r="Y70" s="157">
        <f ca="1"/>
        <v>273.55871395591879</v>
      </c>
    </row>
    <row r="71" spans="1:25" ht="15" customHeight="1">
      <c r="A71" s="16"/>
      <c r="B71" s="22">
        <f>'Oil supply projection'!$B71</f>
        <v>2080</v>
      </c>
      <c r="C71" s="157">
        <f ca="1"/>
        <v>0.16695448766924928</v>
      </c>
      <c r="D71" s="157">
        <f ca="1"/>
        <v>0.14091715449897871</v>
      </c>
      <c r="E71" s="157">
        <f ca="1"/>
        <v>0.62676627918187922</v>
      </c>
      <c r="F71" s="157">
        <f ca="1"/>
        <v>6.1613921413092321</v>
      </c>
      <c r="G71" s="159">
        <v>5.4125495072552179E-3</v>
      </c>
      <c r="H71" s="161">
        <f ca="1"/>
        <v>0.71945700681719371</v>
      </c>
      <c r="I71" s="161">
        <f ca="1"/>
        <v>1.9925012225337475</v>
      </c>
      <c r="J71" s="162">
        <f ca="1"/>
        <v>18.742256545722594</v>
      </c>
      <c r="K71" s="157">
        <f ca="1"/>
        <v>8.7692154964865099E-2</v>
      </c>
      <c r="L71" s="157">
        <f ca="1"/>
        <v>6.3114513339312645E-2</v>
      </c>
      <c r="M71" s="157">
        <f ca="1"/>
        <v>0.24670916036402407</v>
      </c>
      <c r="N71" s="157">
        <f ca="1"/>
        <v>0.70692769446201398</v>
      </c>
      <c r="O71" s="159">
        <v>7.7363472076590811E-3</v>
      </c>
      <c r="P71" s="162">
        <f ca="1"/>
        <v>2.4025671582507164</v>
      </c>
      <c r="Q71" s="157">
        <f ca="1"/>
        <v>152.50864998302939</v>
      </c>
      <c r="R71" s="157">
        <f ca="1"/>
        <v>161.45893725924014</v>
      </c>
      <c r="S71" s="157">
        <f ca="1"/>
        <v>239.18896724699835</v>
      </c>
      <c r="T71" s="157">
        <f ca="1"/>
        <v>334.70668322849195</v>
      </c>
      <c r="U71" s="157">
        <f ca="1"/>
        <v>91.508336615062618</v>
      </c>
      <c r="V71" s="157">
        <f ca="1"/>
        <v>9.3996474729086614</v>
      </c>
      <c r="W71" s="157">
        <v>0.31962096483418023</v>
      </c>
      <c r="X71" s="157">
        <f ca="1"/>
        <v>13.48653239505574</v>
      </c>
      <c r="Y71" s="157">
        <f ca="1"/>
        <v>275.08508568075365</v>
      </c>
    </row>
    <row r="72" spans="1:25" ht="15" customHeight="1">
      <c r="A72" s="16"/>
      <c r="B72" s="22">
        <f>'Oil supply projection'!$B72</f>
        <v>2081</v>
      </c>
      <c r="C72" s="157">
        <f ca="1"/>
        <v>0.16871392139183017</v>
      </c>
      <c r="D72" s="157">
        <f ca="1"/>
        <v>0.14236658050497181</v>
      </c>
      <c r="E72" s="157">
        <f ca="1"/>
        <v>0.63097027428298824</v>
      </c>
      <c r="F72" s="157">
        <f ca="1"/>
        <v>6.2168077352094278</v>
      </c>
      <c r="G72" s="159">
        <v>5.4058240737485828E-3</v>
      </c>
      <c r="H72" s="161">
        <f ca="1"/>
        <v>0.72526606970563456</v>
      </c>
      <c r="I72" s="161">
        <f ca="1"/>
        <v>2.0085891399455167</v>
      </c>
      <c r="J72" s="162">
        <f ca="1"/>
        <v>18.893585875917065</v>
      </c>
      <c r="K72" s="157">
        <f ca="1"/>
        <v>8.7912089152063125E-2</v>
      </c>
      <c r="L72" s="157">
        <f ca="1"/>
        <v>6.3280086737998731E-2</v>
      </c>
      <c r="M72" s="157">
        <f ca="1"/>
        <v>0.24725968335505918</v>
      </c>
      <c r="N72" s="157">
        <f ca="1"/>
        <v>0.71110112772694989</v>
      </c>
      <c r="O72" s="159">
        <v>7.6946221935116129E-3</v>
      </c>
      <c r="P72" s="162">
        <f ca="1"/>
        <v>2.4159745820606906</v>
      </c>
      <c r="Q72" s="157">
        <f ca="1"/>
        <v>153.64123668427388</v>
      </c>
      <c r="R72" s="157">
        <f ca="1"/>
        <v>162.7468147711302</v>
      </c>
      <c r="S72" s="157">
        <f ca="1"/>
        <v>240.94722457054127</v>
      </c>
      <c r="T72" s="157">
        <f ca="1"/>
        <v>338.1533623348198</v>
      </c>
      <c r="U72" s="157">
        <f ca="1"/>
        <v>92.309208246760647</v>
      </c>
      <c r="V72" s="157">
        <f ca="1"/>
        <v>9.469681890405548</v>
      </c>
      <c r="W72" s="157">
        <v>0.31414039602103749</v>
      </c>
      <c r="X72" s="157">
        <f ca="1"/>
        <v>13.65404203878272</v>
      </c>
      <c r="Y72" s="157">
        <f ca="1"/>
        <v>276.61997408052326</v>
      </c>
    </row>
    <row r="73" spans="1:25" ht="15" customHeight="1">
      <c r="A73" s="16"/>
      <c r="B73" s="22">
        <f>'Oil supply projection'!$B73</f>
        <v>2082</v>
      </c>
      <c r="C73" s="157">
        <f ca="1"/>
        <v>0.17049189673654624</v>
      </c>
      <c r="D73" s="157">
        <f ca="1"/>
        <v>0.14383091481474386</v>
      </c>
      <c r="E73" s="157">
        <f ca="1"/>
        <v>0.63520246741484498</v>
      </c>
      <c r="F73" s="157">
        <f ca="1"/>
        <v>6.2727217372578083</v>
      </c>
      <c r="G73" s="159">
        <v>5.3991069970164745E-3</v>
      </c>
      <c r="H73" s="161">
        <f ca="1"/>
        <v>0.73112203631635631</v>
      </c>
      <c r="I73" s="161">
        <f ca="1"/>
        <v>2.0248069549371315</v>
      </c>
      <c r="J73" s="162">
        <f ca="1"/>
        <v>19.046137074253291</v>
      </c>
      <c r="K73" s="157">
        <f ca="1"/>
        <v>8.8132574939877417E-2</v>
      </c>
      <c r="L73" s="157">
        <f ca="1"/>
        <v>6.3446094498750022E-2</v>
      </c>
      <c r="M73" s="157">
        <f ca="1"/>
        <v>0.24781143481918</v>
      </c>
      <c r="N73" s="157">
        <f ca="1"/>
        <v>0.71529919936063646</v>
      </c>
      <c r="O73" s="159">
        <v>7.6531222179720146E-3</v>
      </c>
      <c r="P73" s="162">
        <f ca="1"/>
        <v>2.4294568254288178</v>
      </c>
      <c r="Q73" s="157">
        <f ca="1"/>
        <v>154.78223440112828</v>
      </c>
      <c r="R73" s="157">
        <f ca="1"/>
        <v>164.0449650403763</v>
      </c>
      <c r="S73" s="157">
        <f ca="1"/>
        <v>242.71840669095545</v>
      </c>
      <c r="T73" s="157">
        <f ca="1"/>
        <v>341.63553400062278</v>
      </c>
      <c r="U73" s="157">
        <f ca="1"/>
        <v>93.117089025320041</v>
      </c>
      <c r="V73" s="157">
        <f ca="1"/>
        <v>9.5402381167946171</v>
      </c>
      <c r="W73" s="157">
        <v>0.30875380300366645</v>
      </c>
      <c r="X73" s="157">
        <f ca="1"/>
        <v>13.823632238127786</v>
      </c>
      <c r="Y73" s="157">
        <f ca="1"/>
        <v>278.16342667559877</v>
      </c>
    </row>
    <row r="74" spans="1:25" ht="15" customHeight="1">
      <c r="A74" s="16"/>
      <c r="B74" s="22">
        <f>'Oil supply projection'!$B74</f>
        <v>2083</v>
      </c>
      <c r="C74" s="157">
        <f ca="1"/>
        <v>0.17228860910248966</v>
      </c>
      <c r="D74" s="157">
        <f ca="1"/>
        <v>0.14531031077004533</v>
      </c>
      <c r="E74" s="157">
        <f ca="1"/>
        <v>0.63946304771395157</v>
      </c>
      <c r="F74" s="157">
        <f ca="1"/>
        <v>6.3291386301399024</v>
      </c>
      <c r="G74" s="159">
        <v>5.3923982666750758E-3</v>
      </c>
      <c r="H74" s="161">
        <f ca="1"/>
        <v>0.73702528536090306</v>
      </c>
      <c r="I74" s="161">
        <f ca="1"/>
        <v>2.0411557163318039</v>
      </c>
      <c r="J74" s="162">
        <f ca="1"/>
        <v>19.199920006378235</v>
      </c>
      <c r="K74" s="157">
        <f ca="1"/>
        <v>8.8353613711736237E-2</v>
      </c>
      <c r="L74" s="157">
        <f ca="1"/>
        <v>6.3612537761063445E-2</v>
      </c>
      <c r="M74" s="157">
        <f ca="1"/>
        <v>0.24836441749768298</v>
      </c>
      <c r="N74" s="157">
        <f ca="1"/>
        <v>0.71952205481866827</v>
      </c>
      <c r="O74" s="159">
        <v>7.611846067322901E-3</v>
      </c>
      <c r="P74" s="162">
        <f ca="1"/>
        <v>2.443014305882464</v>
      </c>
      <c r="Q74" s="157">
        <f ca="1"/>
        <v>155.93170559696577</v>
      </c>
      <c r="R74" s="157">
        <f ca="1"/>
        <v>165.35347000764787</v>
      </c>
      <c r="S74" s="157">
        <f ca="1"/>
        <v>244.50260861730141</v>
      </c>
      <c r="T74" s="157">
        <f ca="1"/>
        <v>345.15356371446376</v>
      </c>
      <c r="U74" s="157">
        <f ca="1"/>
        <v>93.93204029408065</v>
      </c>
      <c r="V74" s="157">
        <f ca="1"/>
        <v>9.6113200399429726</v>
      </c>
      <c r="W74" s="157">
        <v>0.30345957437082632</v>
      </c>
      <c r="X74" s="157">
        <f ca="1"/>
        <v>13.995328834657647</v>
      </c>
      <c r="Y74" s="157">
        <f ca="1"/>
        <v>279.71549125150318</v>
      </c>
    </row>
    <row r="75" spans="1:25" ht="15" customHeight="1">
      <c r="A75" s="16"/>
      <c r="B75" s="22">
        <f>'Oil supply projection'!$B75</f>
        <v>2084</v>
      </c>
      <c r="C75" s="157">
        <f ca="1"/>
        <v>0.17410425594794646</v>
      </c>
      <c r="D75" s="157">
        <f ca="1"/>
        <v>0.14680492328984818</v>
      </c>
      <c r="E75" s="157">
        <f ca="1"/>
        <v>0.64375220558543012</v>
      </c>
      <c r="F75" s="157">
        <f ca="1"/>
        <v>6.3860629368585728</v>
      </c>
      <c r="G75" s="159">
        <v>5.3856978723534699E-3</v>
      </c>
      <c r="H75" s="161">
        <f ca="1"/>
        <v>0.74297619860862107</v>
      </c>
      <c r="I75" s="161">
        <f ca="1"/>
        <v>2.0576364814211927</v>
      </c>
      <c r="J75" s="162">
        <f ca="1"/>
        <v>19.35494461759648</v>
      </c>
      <c r="K75" s="157">
        <f ca="1"/>
        <v>8.8575206854537944E-2</v>
      </c>
      <c r="L75" s="157">
        <f ca="1"/>
        <v>6.3779417667425231E-2</v>
      </c>
      <c r="M75" s="157">
        <f ca="1"/>
        <v>0.2489186341379801</v>
      </c>
      <c r="N75" s="157">
        <f ca="1"/>
        <v>0.72376984041535519</v>
      </c>
      <c r="O75" s="159">
        <v>7.5707925343929203E-3</v>
      </c>
      <c r="P75" s="162">
        <f ca="1"/>
        <v>2.4566474432789711</v>
      </c>
      <c r="Q75" s="157">
        <f ca="1"/>
        <v>157.08971319903318</v>
      </c>
      <c r="R75" s="157">
        <f ca="1"/>
        <v>166.67241226721302</v>
      </c>
      <c r="S75" s="157">
        <f ca="1"/>
        <v>246.29992605704209</v>
      </c>
      <c r="T75" s="157">
        <f ca="1"/>
        <v>348.70782072855746</v>
      </c>
      <c r="U75" s="157">
        <f ca="1"/>
        <v>94.754123933251861</v>
      </c>
      <c r="V75" s="157">
        <f ca="1"/>
        <v>9.6829315766856094</v>
      </c>
      <c r="W75" s="157">
        <v>0.29825612634228682</v>
      </c>
      <c r="X75" s="157">
        <f ca="1"/>
        <v>14.169157990905099</v>
      </c>
      <c r="Y75" s="157">
        <f ca="1"/>
        <v>281.27621586038288</v>
      </c>
    </row>
    <row r="76" spans="1:25" ht="15" customHeight="1">
      <c r="A76" s="16"/>
      <c r="B76" s="22">
        <f>'Oil supply projection'!$B76</f>
        <v>2085</v>
      </c>
      <c r="C76" s="157">
        <f ca="1"/>
        <v>0.17593903681209713</v>
      </c>
      <c r="D76" s="157">
        <f ca="1"/>
        <v>0.14831490888656762</v>
      </c>
      <c r="E76" s="157">
        <f ca="1"/>
        <v>0.64807013271154001</v>
      </c>
      <c r="F76" s="157">
        <f ca="1"/>
        <v>6.4434992210965829</v>
      </c>
      <c r="G76" s="159">
        <v>5.3790058036936282E-3</v>
      </c>
      <c r="H76" s="161">
        <f ca="1"/>
        <v>0.74897516091135163</v>
      </c>
      <c r="I76" s="161">
        <f ca="1"/>
        <v>2.0742503160337749</v>
      </c>
      <c r="J76" s="162">
        <f ca="1"/>
        <v>19.511220933513226</v>
      </c>
      <c r="K76" s="157">
        <f ca="1"/>
        <v>8.8797355758659408E-2</v>
      </c>
      <c r="L76" s="157">
        <f ca="1"/>
        <v>6.3946735363319268E-2</v>
      </c>
      <c r="M76" s="157">
        <f ca="1"/>
        <v>0.24947408749361438</v>
      </c>
      <c r="N76" s="157">
        <f ca="1"/>
        <v>0.72804270332879006</v>
      </c>
      <c r="O76" s="159">
        <v>7.529960418521448E-3</v>
      </c>
      <c r="P76" s="162">
        <f ca="1"/>
        <v>2.4703566598187106</v>
      </c>
      <c r="Q76" s="157">
        <f ca="1"/>
        <v>158.25632060190043</v>
      </c>
      <c r="R76" s="157">
        <f ca="1"/>
        <v>168.00187507215315</v>
      </c>
      <c r="S76" s="157">
        <f ca="1"/>
        <v>248.11045542117623</v>
      </c>
      <c r="T76" s="157">
        <f ca="1"/>
        <v>352.29867809753665</v>
      </c>
      <c r="U76" s="157">
        <f ca="1"/>
        <v>95.583402364611445</v>
      </c>
      <c r="V76" s="157">
        <f ca="1"/>
        <v>9.7550766730405627</v>
      </c>
      <c r="W76" s="157">
        <v>0.29314190229503656</v>
      </c>
      <c r="X76" s="157">
        <f ca="1"/>
        <v>14.345146194354495</v>
      </c>
      <c r="Y76" s="157">
        <f ca="1"/>
        <v>282.84564882250385</v>
      </c>
    </row>
    <row r="77" spans="1:25" ht="15" customHeight="1">
      <c r="A77" s="16"/>
      <c r="B77" s="22">
        <f>'Oil supply projection'!$B77</f>
        <v>2086</v>
      </c>
      <c r="C77" s="157">
        <f ca="1"/>
        <v>0.17779315333694815</v>
      </c>
      <c r="D77" s="157">
        <f ca="1"/>
        <v>0.14984042568245493</v>
      </c>
      <c r="E77" s="157">
        <f ca="1"/>
        <v>0.65241702206023178</v>
      </c>
      <c r="F77" s="157">
        <f ca="1"/>
        <v>6.5014520875824848</v>
      </c>
      <c r="G77" s="159">
        <v>5.3723220503503919E-3</v>
      </c>
      <c r="H77" s="161">
        <f ca="1"/>
        <v>0.75502256022831837</v>
      </c>
      <c r="I77" s="161">
        <f ca="1"/>
        <v>2.0909982946037675</v>
      </c>
      <c r="J77" s="162">
        <f ca="1"/>
        <v>19.66875906068282</v>
      </c>
      <c r="K77" s="157">
        <f ca="1"/>
        <v>8.9020061817963764E-2</v>
      </c>
      <c r="L77" s="157">
        <f ca="1"/>
        <v>6.4114491997234319E-2</v>
      </c>
      <c r="M77" s="157">
        <f ca="1"/>
        <v>0.25003078032427423</v>
      </c>
      <c r="N77" s="157">
        <f ca="1"/>
        <v>0.73234079160594756</v>
      </c>
      <c r="O77" s="159">
        <v>7.4893485255234666E-3</v>
      </c>
      <c r="P77" s="162">
        <f ca="1"/>
        <v>2.4841423800580915</v>
      </c>
      <c r="Q77" s="157">
        <f ca="1"/>
        <v>159.43159167092807</v>
      </c>
      <c r="R77" s="157">
        <f ca="1"/>
        <v>169.34194233961691</v>
      </c>
      <c r="S77" s="157">
        <f ca="1"/>
        <v>249.93429382941369</v>
      </c>
      <c r="T77" s="157">
        <f ca="1"/>
        <v>355.92651271760883</v>
      </c>
      <c r="U77" s="157">
        <f ca="1"/>
        <v>96.419938556248084</v>
      </c>
      <c r="V77" s="157">
        <f ca="1"/>
        <v>9.8277593044267686</v>
      </c>
      <c r="W77" s="157">
        <v>0.28811537229761608</v>
      </c>
      <c r="X77" s="157">
        <f ca="1"/>
        <v>14.523320261478537</v>
      </c>
      <c r="Y77" s="157">
        <f ca="1"/>
        <v>284.42383872774258</v>
      </c>
    </row>
    <row r="78" spans="1:25" ht="15" customHeight="1">
      <c r="A78" s="16"/>
      <c r="B78" s="22">
        <f>'Oil supply projection'!$B78</f>
        <v>2087</v>
      </c>
      <c r="C78" s="157">
        <f ca="1"/>
        <v>0.17966680928949</v>
      </c>
      <c r="D78" s="157">
        <f ca="1"/>
        <v>0.15138163342615008</v>
      </c>
      <c r="E78" s="157">
        <f ca="1"/>
        <v>0.65679306789377845</v>
      </c>
      <c r="F78" s="157">
        <f ca="1"/>
        <v>6.5599261824597752</v>
      </c>
      <c r="G78" s="159">
        <v>5.3656466019914558E-3</v>
      </c>
      <c r="H78" s="161">
        <f ca="1"/>
        <v>0.76111878765121987</v>
      </c>
      <c r="I78" s="161">
        <f ca="1"/>
        <v>2.1078815002406288</v>
      </c>
      <c r="J78" s="162">
        <f ca="1"/>
        <v>19.827569187262228</v>
      </c>
      <c r="K78" s="157">
        <f ca="1"/>
        <v>8.9243326429811032E-2</v>
      </c>
      <c r="L78" s="157">
        <f ca="1"/>
        <v>6.4282688720671582E-2</v>
      </c>
      <c r="M78" s="157">
        <f ca="1"/>
        <v>0.25058871539580446</v>
      </c>
      <c r="N78" s="157">
        <f ca="1"/>
        <v>0.73666425416781967</v>
      </c>
      <c r="O78" s="159">
        <v>7.4489556676546505E-3</v>
      </c>
      <c r="P78" s="162">
        <f ca="1"/>
        <v>2.4980050309227599</v>
      </c>
      <c r="Q78" s="157">
        <f ca="1"/>
        <v>160.61559074576527</v>
      </c>
      <c r="R78" s="157">
        <f ca="1"/>
        <v>170.69269865612046</v>
      </c>
      <c r="S78" s="157">
        <f ca="1"/>
        <v>251.77153911538073</v>
      </c>
      <c r="T78" s="157">
        <f ca="1"/>
        <v>359.59170536610401</v>
      </c>
      <c r="U78" s="157">
        <f ca="1"/>
        <v>97.263796027338742</v>
      </c>
      <c r="V78" s="157">
        <f ca="1"/>
        <v>9.900983475883093</v>
      </c>
      <c r="W78" s="157">
        <v>0.28317503265243504</v>
      </c>
      <c r="X78" s="157">
        <f ca="1"/>
        <v>14.703707341824389</v>
      </c>
      <c r="Y78" s="157">
        <f ca="1"/>
        <v>286.01083443709126</v>
      </c>
    </row>
    <row r="79" spans="1:25" ht="15" customHeight="1">
      <c r="A79" s="16"/>
      <c r="B79" s="22">
        <f>'Oil supply projection'!$B79</f>
        <v>2088</v>
      </c>
      <c r="C79" s="157">
        <f ca="1"/>
        <v>0.18156021058409133</v>
      </c>
      <c r="D79" s="157">
        <f ca="1"/>
        <v>0.15293869350941505</v>
      </c>
      <c r="E79" s="157">
        <f ca="1"/>
        <v>0.66119846577745967</v>
      </c>
      <c r="F79" s="157">
        <f ca="1"/>
        <v>6.6189261936593953</v>
      </c>
      <c r="G79" s="159">
        <v>5.3589794482973557E-3</v>
      </c>
      <c r="H79" s="161">
        <f ca="1"/>
        <v>0.76726423742951644</v>
      </c>
      <c r="I79" s="161">
        <f ca="1"/>
        <v>2.1249010247990858</v>
      </c>
      <c r="J79" s="162">
        <f ca="1"/>
        <v>19.987661583669983</v>
      </c>
      <c r="K79" s="157">
        <f ca="1"/>
        <v>8.9467150995065012E-2</v>
      </c>
      <c r="L79" s="157">
        <f ca="1"/>
        <v>6.4451326688153676E-2</v>
      </c>
      <c r="M79" s="157">
        <f ca="1"/>
        <v>0.25114789548022276</v>
      </c>
      <c r="N79" s="157">
        <f ca="1"/>
        <v>0.74101324081456887</v>
      </c>
      <c r="O79" s="159">
        <v>7.4087806635766218E-3</v>
      </c>
      <c r="P79" s="162">
        <f ca="1"/>
        <v>2.5119450417207929</v>
      </c>
      <c r="Q79" s="157">
        <f ca="1"/>
        <v>161.80838264387322</v>
      </c>
      <c r="R79" s="157">
        <f ca="1"/>
        <v>172.0542292828824</v>
      </c>
      <c r="S79" s="157">
        <f ca="1"/>
        <v>253.62228983187157</v>
      </c>
      <c r="T79" s="157">
        <f ca="1"/>
        <v>363.29464074145682</v>
      </c>
      <c r="U79" s="157">
        <f ca="1"/>
        <v>98.11503885297526</v>
      </c>
      <c r="V79" s="157">
        <f ca="1"/>
        <v>9.9747532222888093</v>
      </c>
      <c r="W79" s="157">
        <v>0.27831940544593825</v>
      </c>
      <c r="X79" s="157">
        <f ca="1"/>
        <v>14.886334922150207</v>
      </c>
      <c r="Y79" s="157">
        <f ca="1"/>
        <v>287.60668508417154</v>
      </c>
    </row>
    <row r="80" spans="1:25" ht="15" customHeight="1">
      <c r="A80" s="16"/>
      <c r="B80" s="22">
        <f>'Oil supply projection'!$B80</f>
        <v>2089</v>
      </c>
      <c r="C80" s="157">
        <f ca="1"/>
        <v>0.18347356530512987</v>
      </c>
      <c r="D80" s="157">
        <f ca="1"/>
        <v>0.15451176898403263</v>
      </c>
      <c r="E80" s="157">
        <f ca="1"/>
        <v>0.66563341258828412</v>
      </c>
      <c r="F80" s="157">
        <f ca="1"/>
        <v>6.6784568512755582</v>
      </c>
      <c r="G80" s="159">
        <v>5.3523205789614454E-3</v>
      </c>
      <c r="H80" s="161">
        <f ca="1"/>
        <v>0.77345930699593501</v>
      </c>
      <c r="I80" s="161">
        <f ca="1"/>
        <v>2.1420579689497519</v>
      </c>
      <c r="J80" s="162">
        <f ca="1"/>
        <v>20.149046603250298</v>
      </c>
      <c r="K80" s="157">
        <f ca="1"/>
        <v>8.9691536918103637E-2</v>
      </c>
      <c r="L80" s="157">
        <f ca="1"/>
        <v>6.4620407057231349E-2</v>
      </c>
      <c r="M80" s="157">
        <f ca="1"/>
        <v>0.25170832335573401</v>
      </c>
      <c r="N80" s="157">
        <f ca="1"/>
        <v>0.7453879022307226</v>
      </c>
      <c r="O80" s="159">
        <v>7.368822338322401E-3</v>
      </c>
      <c r="P80" s="162">
        <f ca="1"/>
        <v>2.5259628441560107</v>
      </c>
      <c r="Q80" s="157">
        <f ca="1"/>
        <v>163.01003266407</v>
      </c>
      <c r="R80" s="157">
        <f ca="1"/>
        <v>173.42662016120892</v>
      </c>
      <c r="S80" s="157">
        <f ca="1"/>
        <v>255.4866452561333</v>
      </c>
      <c r="T80" s="157">
        <f ca="1"/>
        <v>367.03570750357363</v>
      </c>
      <c r="U80" s="157">
        <f ca="1"/>
        <v>98.973731669027671</v>
      </c>
      <c r="V80" s="157">
        <f ca="1"/>
        <v>10.049072608586215</v>
      </c>
      <c r="W80" s="157">
        <v>0.27354703810648423</v>
      </c>
      <c r="X80" s="157">
        <f ca="1"/>
        <v>15.071230830614034</v>
      </c>
      <c r="Y80" s="157">
        <f ca="1"/>
        <v>289.21144007675662</v>
      </c>
    </row>
    <row r="81" spans="1:25" ht="15" customHeight="1">
      <c r="A81" s="16"/>
      <c r="B81" s="22">
        <f>'Oil supply projection'!$B81</f>
        <v>2090</v>
      </c>
      <c r="C81" s="157">
        <f ca="1"/>
        <v>0.18540708372986087</v>
      </c>
      <c r="D81" s="157">
        <f ca="1"/>
        <v>0.15610102457888053</v>
      </c>
      <c r="E81" s="157">
        <f ca="1"/>
        <v>0.67009810652381208</v>
      </c>
      <c r="F81" s="157">
        <f ca="1"/>
        <v>6.7385229279449899</v>
      </c>
      <c r="G81" s="159">
        <v>5.3456699836898916E-3</v>
      </c>
      <c r="H81" s="161">
        <f ca="1"/>
        <v>0.77970439699216065</v>
      </c>
      <c r="I81" s="161">
        <f ca="1"/>
        <v>2.1593534422503198</v>
      </c>
      <c r="J81" s="162">
        <f ca="1"/>
        <v>20.311734682942792</v>
      </c>
      <c r="K81" s="157">
        <f ca="1"/>
        <v>8.9916485606826857E-2</v>
      </c>
      <c r="L81" s="157">
        <f ca="1"/>
        <v>6.4789930988493186E-2</v>
      </c>
      <c r="M81" s="157">
        <f ca="1"/>
        <v>0.25227000180673903</v>
      </c>
      <c r="N81" s="157">
        <f ca="1"/>
        <v>0.74978838999038977</v>
      </c>
      <c r="O81" s="159">
        <v>7.3290795232620462E-3</v>
      </c>
      <c r="P81" s="162">
        <f ca="1"/>
        <v>2.5400588723413353</v>
      </c>
      <c r="Q81" s="157">
        <f ca="1"/>
        <v>164.22060659010754</v>
      </c>
      <c r="R81" s="157">
        <f ca="1"/>
        <v>174.80995791791645</v>
      </c>
      <c r="S81" s="157">
        <f ca="1"/>
        <v>257.36470539519007</v>
      </c>
      <c r="T81" s="157">
        <f ca="1"/>
        <v>370.81529831462655</v>
      </c>
      <c r="U81" s="157">
        <f ca="1"/>
        <v>99.839939677051973</v>
      </c>
      <c r="V81" s="157">
        <f ca="1"/>
        <v>10.123945730004305</v>
      </c>
      <c r="W81" s="157">
        <v>0.26885650296980523</v>
      </c>
      <c r="X81" s="157">
        <f ca="1"/>
        <v>15.258423241013727</v>
      </c>
      <c r="Y81" s="157">
        <f ca="1"/>
        <v>290.82514909829774</v>
      </c>
    </row>
    <row r="82" spans="1:25" ht="15" customHeight="1">
      <c r="A82" s="16"/>
      <c r="B82" s="22">
        <f>'Oil supply projection'!$B82</f>
        <v>2091</v>
      </c>
      <c r="C82" s="157">
        <f ca="1"/>
        <v>0.18736097835152499</v>
      </c>
      <c r="D82" s="157">
        <f ca="1"/>
        <v>0.1577066267171813</v>
      </c>
      <c r="E82" s="157">
        <f ca="1"/>
        <v>0.67459274711099837</v>
      </c>
      <c r="F82" s="157">
        <f ca="1"/>
        <v>6.7991292392295177</v>
      </c>
      <c r="G82" s="159">
        <v>5.3390276522016465E-3</v>
      </c>
      <c r="H82" s="161">
        <f ca="1"/>
        <v>0.78599991129475588</v>
      </c>
      <c r="I82" s="161">
        <f ca="1"/>
        <v>2.1767885632173014</v>
      </c>
      <c r="J82" s="162">
        <f ca="1"/>
        <v>20.475736343957276</v>
      </c>
      <c r="K82" s="157">
        <f ca="1"/>
        <v>9.0141998472665366E-2</v>
      </c>
      <c r="L82" s="157">
        <f ca="1"/>
        <v>6.4959899645570876E-2</v>
      </c>
      <c r="M82" s="157">
        <f ca="1"/>
        <v>0.25283293362385595</v>
      </c>
      <c r="N82" s="157">
        <f ca="1"/>
        <v>0.75421485656251874</v>
      </c>
      <c r="O82" s="159">
        <v>7.2895510560684763E-3</v>
      </c>
      <c r="P82" s="162">
        <f ca="1"/>
        <v>2.5542335628122443</v>
      </c>
      <c r="Q82" s="157">
        <f ca="1"/>
        <v>165.44017069427358</v>
      </c>
      <c r="R82" s="157">
        <f ca="1"/>
        <v>176.20432987080014</v>
      </c>
      <c r="S82" s="157">
        <f ca="1"/>
        <v>259.25657099121054</v>
      </c>
      <c r="T82" s="157">
        <f ca="1"/>
        <v>374.63380988027319</v>
      </c>
      <c r="U82" s="157">
        <f ca="1"/>
        <v>100.71372864924207</v>
      </c>
      <c r="V82" s="157">
        <f ca="1"/>
        <v>10.199376712284726</v>
      </c>
      <c r="W82" s="157">
        <v>0.26424639685191847</v>
      </c>
      <c r="X82" s="157">
        <f ca="1"/>
        <v>15.447940677080133</v>
      </c>
      <c r="Y82" s="157">
        <f ca="1"/>
        <v>292.44786210946535</v>
      </c>
    </row>
    <row r="83" spans="1:25" ht="15" customHeight="1">
      <c r="A83" s="16"/>
      <c r="B83" s="22">
        <f>'Oil supply projection'!$B83</f>
        <v>2092</v>
      </c>
      <c r="C83" s="157">
        <f ca="1"/>
        <v>0.18933546390270381</v>
      </c>
      <c r="D83" s="157">
        <f ca="1"/>
        <v>0.15932874353393239</v>
      </c>
      <c r="E83" s="157">
        <f ca="1"/>
        <v>0.67911753521510876</v>
      </c>
      <c r="F83" s="157">
        <f ca="1"/>
        <v>6.8602806440021489</v>
      </c>
      <c r="G83" s="159">
        <v>5.3323935742284403E-3</v>
      </c>
      <c r="H83" s="161">
        <f ca="1"/>
        <v>0.79234625704127881</v>
      </c>
      <c r="I83" s="161">
        <f ca="1"/>
        <v>2.1943644593983791</v>
      </c>
      <c r="J83" s="162">
        <f ca="1"/>
        <v>20.64106219245426</v>
      </c>
      <c r="K83" s="157">
        <f ca="1"/>
        <v>9.0368076930589555E-2</v>
      </c>
      <c r="L83" s="157">
        <f ca="1"/>
        <v>6.5130314195149974E-2</v>
      </c>
      <c r="M83" s="157">
        <f ca="1"/>
        <v>0.25339712160392652</v>
      </c>
      <c r="N83" s="157">
        <f ca="1"/>
        <v>0.75866745531617252</v>
      </c>
      <c r="O83" s="159">
        <v>7.25023578068347E-3</v>
      </c>
      <c r="P83" s="162">
        <f ca="1"/>
        <v>2.5684873545402489</v>
      </c>
      <c r="Q83" s="157">
        <f ca="1"/>
        <v>166.66879174101959</v>
      </c>
      <c r="R83" s="157">
        <f ca="1"/>
        <v>177.60982403414792</v>
      </c>
      <c r="S83" s="157">
        <f ca="1"/>
        <v>261.16234352691077</v>
      </c>
      <c r="T83" s="157">
        <f ca="1"/>
        <v>378.49164299129257</v>
      </c>
      <c r="U83" s="157">
        <f ca="1"/>
        <v>101.59516493342463</v>
      </c>
      <c r="V83" s="157">
        <f ca="1"/>
        <v>10.275369711908853</v>
      </c>
      <c r="W83" s="157">
        <v>0.25971534062936036</v>
      </c>
      <c r="X83" s="157">
        <f ca="1"/>
        <v>15.639812016823589</v>
      </c>
      <c r="Y83" s="157">
        <f ca="1"/>
        <v>294.07962934969521</v>
      </c>
    </row>
    <row r="84" spans="1:25" ht="15" customHeight="1">
      <c r="A84" s="16"/>
      <c r="B84" s="22">
        <f>'Oil supply projection'!$B84</f>
        <v>2093</v>
      </c>
      <c r="C84" s="182">
        <f ca="1"/>
        <v>0.19133075737891653</v>
      </c>
      <c r="D84" s="182">
        <f ca="1"/>
        <v>0.1609675448935074</v>
      </c>
      <c r="E84" s="182">
        <f ca="1"/>
        <v>0.68367267304870483</v>
      </c>
      <c r="F84" s="182">
        <f ca="1"/>
        <v>6.9219820448366605</v>
      </c>
      <c r="G84" s="160">
        <v>5.3257677395147597E-3</v>
      </c>
      <c r="H84" s="481">
        <f ca="1"/>
        <v>0.79874384465660409</v>
      </c>
      <c r="I84" s="481">
        <f ca="1"/>
        <v>2.2120822674453029</v>
      </c>
      <c r="J84" s="481">
        <f ca="1"/>
        <v>20.807722920230937</v>
      </c>
      <c r="K84" s="182">
        <f ca="1"/>
        <v>9.0594722399119088E-2</v>
      </c>
      <c r="L84" s="182">
        <f ca="1"/>
        <v>6.5301175806976211E-2</v>
      </c>
      <c r="M84" s="182">
        <f ca="1"/>
        <v>0.25396256855003557</v>
      </c>
      <c r="N84" s="182">
        <f ca="1"/>
        <v>0.76314634052585584</v>
      </c>
      <c r="O84" s="160">
        <v>7.2111325472838635E-3</v>
      </c>
      <c r="P84" s="481">
        <f ca="1"/>
        <v>2.5828206889465868</v>
      </c>
      <c r="Q84" s="182">
        <f ca="1"/>
        <v>167.90653699061139</v>
      </c>
      <c r="R84" s="182">
        <f ca="1"/>
        <v>179.02652912428999</v>
      </c>
      <c r="S84" s="182">
        <f ca="1"/>
        <v>263.08212523099485</v>
      </c>
      <c r="T84" s="182">
        <f ca="1"/>
        <v>382.38920256564506</v>
      </c>
      <c r="U84" s="182">
        <f ca="1"/>
        <v>102.48431545809254</v>
      </c>
      <c r="V84" s="182">
        <f ca="1"/>
        <v>10.351928916327214</v>
      </c>
      <c r="W84" s="182">
        <v>0.25526197882661861</v>
      </c>
      <c r="X84" s="182">
        <f ca="1"/>
        <v>15.83406649693412</v>
      </c>
      <c r="Y84" s="182">
        <f ca="1"/>
        <v>295.72050133873836</v>
      </c>
    </row>
    <row r="85" spans="1:25" ht="15" customHeight="1">
      <c r="A85" s="16"/>
    </row>
    <row r="86" spans="1:25">
      <c r="A86" s="16"/>
      <c r="F86" s="21"/>
      <c r="G86" s="21"/>
    </row>
    <row r="87" spans="1:25">
      <c r="F87" s="21"/>
      <c r="G87" s="21"/>
    </row>
  </sheetData>
  <mergeCells count="1">
    <mergeCell ref="A1:B1"/>
  </mergeCells>
  <phoneticPr fontId="29" type="noConversion"/>
  <conditionalFormatting sqref="C10:Y84">
    <cfRule type="expression" dxfId="2" priority="1" stopIfTrue="1">
      <formula>ISERROR(C10)</formula>
    </cfRule>
  </conditionalFormatting>
  <hyperlinks>
    <hyperlink ref="A1" location="'Table of Contents'!A1" tooltip="Click here to return to the Table of Contents tab" display="Return to Table of Contents" xr:uid="{00000000-0004-0000-29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2">
    <tabColor indexed="47"/>
    <pageSetUpPr fitToPage="1"/>
  </sheetPr>
  <dimension ref="A1:AE87"/>
  <sheetViews>
    <sheetView workbookViewId="0">
      <pane xSplit="2" ySplit="9" topLeftCell="C10" activePane="bottomRight" state="frozen"/>
      <selection pane="topRight" activeCell="C10" sqref="C10"/>
      <selection pane="bottomLeft" activeCell="C10" sqref="C10"/>
      <selection pane="bottomRight" sqref="A1:B1"/>
    </sheetView>
  </sheetViews>
  <sheetFormatPr defaultColWidth="9.28515625" defaultRowHeight="15"/>
  <cols>
    <col min="1" max="1" width="15.5703125" style="18" customWidth="1"/>
    <col min="2" max="3" width="14" style="1" customWidth="1"/>
    <col min="4" max="10" width="11.28515625" style="1" customWidth="1"/>
    <col min="11" max="11" width="14.5703125" style="1" customWidth="1"/>
    <col min="12" max="12" width="12.7109375" style="1" customWidth="1"/>
    <col min="13" max="13" width="14.28515625" style="1" customWidth="1"/>
    <col min="14" max="30" width="11.28515625" style="1" customWidth="1"/>
    <col min="31" max="31" width="13.28515625" style="1" customWidth="1"/>
    <col min="32" max="16384" width="9.28515625" style="1"/>
  </cols>
  <sheetData>
    <row r="1" spans="1:31" ht="15.75" thickBot="1">
      <c r="A1" s="701" t="s">
        <v>27</v>
      </c>
      <c r="B1" s="809"/>
      <c r="C1" s="620"/>
      <c r="E1" s="86"/>
      <c r="F1" s="2"/>
      <c r="G1" s="2"/>
    </row>
    <row r="2" spans="1:31">
      <c r="A2" s="1"/>
      <c r="D2" s="2"/>
      <c r="E2" s="2"/>
      <c r="F2" s="2"/>
      <c r="G2" s="2"/>
      <c r="H2" s="2"/>
      <c r="I2" s="2"/>
      <c r="J2" s="2"/>
      <c r="K2" s="2"/>
      <c r="L2" s="2"/>
      <c r="M2" s="2"/>
      <c r="N2" s="2"/>
      <c r="O2" s="2"/>
      <c r="P2" s="2"/>
      <c r="Q2" s="2"/>
      <c r="R2" s="2"/>
      <c r="S2" s="2"/>
    </row>
    <row r="3" spans="1:31">
      <c r="A3" s="1"/>
      <c r="D3" s="2"/>
      <c r="E3" s="2"/>
      <c r="F3" s="2"/>
      <c r="G3" s="2"/>
      <c r="H3" s="2"/>
      <c r="I3" s="2"/>
      <c r="J3" s="2"/>
      <c r="K3" s="2"/>
      <c r="L3" s="2"/>
      <c r="M3" s="2"/>
      <c r="N3" s="2"/>
      <c r="O3" s="2"/>
      <c r="P3" s="2"/>
      <c r="Q3" s="2"/>
      <c r="R3" s="2"/>
      <c r="S3" s="2"/>
    </row>
    <row r="4" spans="1:31">
      <c r="A4" s="1"/>
      <c r="B4" s="2"/>
      <c r="C4" s="2"/>
      <c r="D4" s="2"/>
      <c r="E4" s="2"/>
      <c r="F4" s="2"/>
      <c r="G4" s="2"/>
      <c r="H4" s="2"/>
      <c r="I4" s="2"/>
      <c r="J4" s="2"/>
      <c r="K4" s="2"/>
    </row>
    <row r="5" spans="1:31">
      <c r="A5" s="1"/>
      <c r="B5" s="2"/>
      <c r="C5" s="2"/>
    </row>
    <row r="6" spans="1:31" ht="22.5" customHeight="1">
      <c r="A6" s="16"/>
      <c r="B6" s="71" t="s">
        <v>866</v>
      </c>
      <c r="C6" s="621"/>
      <c r="D6" s="12"/>
      <c r="E6" s="12"/>
      <c r="F6" s="12"/>
      <c r="G6" s="12"/>
      <c r="H6" s="59"/>
      <c r="I6" s="59"/>
      <c r="J6" s="59"/>
      <c r="K6" s="59"/>
      <c r="L6" s="76"/>
      <c r="M6" s="76"/>
      <c r="N6" s="76"/>
      <c r="O6" s="76"/>
      <c r="P6" s="76"/>
      <c r="Q6" s="76"/>
      <c r="R6" s="76"/>
      <c r="S6" s="76"/>
      <c r="T6" s="76"/>
      <c r="U6" s="76"/>
      <c r="V6" s="76"/>
      <c r="W6" s="76"/>
      <c r="X6" s="76"/>
      <c r="Y6" s="76"/>
      <c r="Z6" s="76"/>
      <c r="AA6" s="76"/>
      <c r="AB6" s="76"/>
      <c r="AC6" s="76"/>
      <c r="AD6" s="76"/>
      <c r="AE6" s="77"/>
    </row>
    <row r="7" spans="1:31" ht="22.5" customHeight="1">
      <c r="A7" s="16"/>
      <c r="B7" s="61"/>
      <c r="C7" s="10"/>
      <c r="D7" s="57"/>
      <c r="E7" s="57"/>
      <c r="F7" s="57"/>
      <c r="G7" s="57"/>
      <c r="H7" s="62"/>
      <c r="I7" s="62"/>
      <c r="J7" s="62"/>
      <c r="K7" s="62"/>
      <c r="L7" s="5"/>
      <c r="M7" s="5"/>
      <c r="N7" s="5"/>
      <c r="O7" s="5"/>
      <c r="P7" s="5"/>
      <c r="Q7" s="5"/>
      <c r="R7" s="5"/>
      <c r="S7" s="5"/>
      <c r="T7" s="78"/>
      <c r="U7" s="78"/>
      <c r="V7" s="78"/>
      <c r="W7" s="78"/>
      <c r="X7" s="78"/>
      <c r="Y7" s="78"/>
      <c r="Z7" s="78"/>
      <c r="AA7" s="78"/>
      <c r="AB7" s="78"/>
      <c r="AC7" s="78"/>
      <c r="AD7" s="78"/>
      <c r="AE7" s="79"/>
    </row>
    <row r="8" spans="1:31" ht="27" customHeight="1">
      <c r="A8" s="16"/>
      <c r="B8" s="72"/>
      <c r="C8" s="623"/>
      <c r="D8" s="90" t="s">
        <v>133</v>
      </c>
      <c r="E8" s="74"/>
      <c r="F8" s="74"/>
      <c r="G8" s="74"/>
      <c r="H8" s="74"/>
      <c r="I8" s="74"/>
      <c r="J8" s="74"/>
      <c r="K8" s="74"/>
      <c r="L8" s="91" t="s">
        <v>856</v>
      </c>
      <c r="M8" s="92"/>
      <c r="N8" s="92"/>
      <c r="O8" s="92"/>
      <c r="P8" s="92"/>
      <c r="Q8" s="92"/>
      <c r="R8" s="92"/>
      <c r="S8" s="93"/>
      <c r="T8" s="93" t="s">
        <v>135</v>
      </c>
      <c r="U8" s="90"/>
      <c r="V8" s="74"/>
      <c r="W8" s="74"/>
      <c r="X8" s="74"/>
      <c r="Y8" s="74"/>
      <c r="Z8" s="74"/>
      <c r="AA8" s="74"/>
      <c r="AB8" s="75"/>
      <c r="AC8" s="73"/>
      <c r="AD8" s="99" t="s">
        <v>136</v>
      </c>
      <c r="AE8" s="99"/>
    </row>
    <row r="9" spans="1:31" s="98" customFormat="1" ht="32.25" customHeight="1" thickBot="1">
      <c r="A9" s="94"/>
      <c r="B9" s="95" t="s">
        <v>268</v>
      </c>
      <c r="C9" s="96" t="s">
        <v>584</v>
      </c>
      <c r="D9" s="96" t="s">
        <v>578</v>
      </c>
      <c r="E9" s="96" t="s">
        <v>187</v>
      </c>
      <c r="F9" s="96" t="s">
        <v>174</v>
      </c>
      <c r="G9" s="96" t="s">
        <v>192</v>
      </c>
      <c r="H9" s="96" t="s">
        <v>198</v>
      </c>
      <c r="I9" s="96" t="s">
        <v>200</v>
      </c>
      <c r="J9" s="97" t="s">
        <v>202</v>
      </c>
      <c r="K9" s="97" t="s">
        <v>789</v>
      </c>
      <c r="L9" s="96" t="s">
        <v>348</v>
      </c>
      <c r="M9" s="96" t="s">
        <v>349</v>
      </c>
      <c r="N9" s="96" t="s">
        <v>350</v>
      </c>
      <c r="O9" s="96" t="s">
        <v>351</v>
      </c>
      <c r="P9" s="96" t="s">
        <v>352</v>
      </c>
      <c r="Q9" s="96" t="s">
        <v>200</v>
      </c>
      <c r="R9" s="97" t="s">
        <v>353</v>
      </c>
      <c r="S9" s="96" t="s">
        <v>354</v>
      </c>
      <c r="T9" s="96" t="s">
        <v>11</v>
      </c>
      <c r="U9" s="96" t="s">
        <v>256</v>
      </c>
      <c r="V9" s="96" t="s">
        <v>15</v>
      </c>
      <c r="W9" s="96" t="s">
        <v>260</v>
      </c>
      <c r="X9" s="96" t="s">
        <v>261</v>
      </c>
      <c r="Y9" s="96" t="s">
        <v>371</v>
      </c>
      <c r="Z9" s="96" t="s">
        <v>372</v>
      </c>
      <c r="AA9" s="97" t="s">
        <v>262</v>
      </c>
      <c r="AB9" s="97" t="s">
        <v>265</v>
      </c>
      <c r="AC9" s="96" t="s">
        <v>394</v>
      </c>
      <c r="AD9" s="96" t="s">
        <v>393</v>
      </c>
      <c r="AE9" s="96" t="s">
        <v>394</v>
      </c>
    </row>
    <row r="10" spans="1:31" ht="15" customHeight="1" thickTop="1">
      <c r="A10" s="16"/>
      <c r="B10" s="22">
        <f>'Oil supply projection'!$B10</f>
        <v>2019</v>
      </c>
      <c r="C10" s="156" t="e">
        <f t="array" aca="1" ref="C10:C84" ca="1">(aeo_sup_oil_l48_t-(1-g_sup_oil_l48_t)*OFFSET(aeo_sup_oil_l48_t,-1,0))/(aeo_price_oil^e_sup_oil_l48_t)</f>
        <v>#VALUE!</v>
      </c>
      <c r="D10" s="156" t="e">
        <f t="array" aca="1" ref="D10:D84" ca="1">(aeo_sup_oil_l48-(1-g_sup_oil_l48)*OFFSET(aeo_sup_oil_l48,-1,0))/(aeo_price_oil^e_sup_oil_l48)</f>
        <v>#VALUE!</v>
      </c>
      <c r="E10" s="156" t="e">
        <f t="array" aca="1" ref="E10:E84" ca="1">(aeo_sup_oil_off-(1-g_sup_oil_off)*OFFSET(aeo_sup_oil_off,-1,0))/(aeo_price_oil^e_sup_oil_off)</f>
        <v>#VALUE!</v>
      </c>
      <c r="F10" s="156" t="e">
        <f t="array" aca="1" ref="F10:F84" ca="1">(aeo_sup_oil_ala_on-(1-g_sup_oil_ala_on)*OFFSET(aeo_sup_oil_ala_on,-1,0))/(aeo_price_oil^e_sup_oil_ala_on)</f>
        <v>#VALUE!</v>
      </c>
      <c r="G10" s="156" t="e">
        <f t="array" aca="1" ref="G10:G84" ca="1">(aeo_sup_oil_ala_off-(1-g_sup_oil_ala_off)*OFFSET(aeo_sup_oil_ala_off,-1,0))/(aeo_price_oil^e_sup_oil_ala_off)</f>
        <v>#VALUE!</v>
      </c>
      <c r="H10" s="438" t="e">
        <f t="array" aca="1" ref="H10:H84" ca="1">(aeo_sup_oil_bio-(1-g_sup_oil_bio)*OFFSET(aeo_sup_oil_bio,-1,0))/(aeo_price_oil^e_sup_oil_bio)</f>
        <v>#VALUE!</v>
      </c>
      <c r="I10" s="156" t="e">
        <f t="array" ref="I10:I84" ca="1">(aeo_sup_oil_oth-(1-g_sup_oil_oth)*OFFSET(aeo_sup_oil_oth,-1,0))/(aeo_price_oil^e_sup_oil_oth)</f>
        <v>#VALUE!</v>
      </c>
      <c r="J10" s="161" t="e">
        <f t="array" ref="J10:J84" ca="1">(aeo_sup_oil_row-(1-g_sup_oil_row)*OFFSET(aeo_sup_oil_row,-1,0))/(aeo_price_oil^e_sup_oil_row)</f>
        <v>#VALUE!</v>
      </c>
      <c r="K10" s="161" t="e">
        <f t="array" aca="1" ref="K10:K84" ca="1">(aeo_sup_oil_can-(1-g_sup_oil_can)*OFFSET(aeo_sup_oil_can,-1,0))/(aeo_price_oil^e_sup_oil_can)</f>
        <v>#VALUE!</v>
      </c>
      <c r="L10" s="156" t="e">
        <f t="array" aca="1" ref="L10:L84" ca="1">(aeo_sup_gas_con-(1-g_sup_gas_con)*OFFSET(aeo_sup_gas_con,-1,0))/(aeo_price_gas^e_sup_gas_con)</f>
        <v>#VALUE!</v>
      </c>
      <c r="M10" s="156" t="e">
        <f t="array" aca="1" ref="M10:M84" ca="1">(aeo_sup_gas_unc-(1-g_sup_gas_unc)*OFFSET(aeo_sup_gas_unc,-1,0))/(aeo_price_gas^e_sup_gas_unc)</f>
        <v>#VALUE!</v>
      </c>
      <c r="N10" s="156" t="e">
        <f t="array" aca="1" ref="N10:N84" ca="1">(aeo_sup_gas_off-(1-g_sup_gas_off)*OFFSET(aeo_sup_gas_off,-1,0))/(aeo_price_gas^e_sup_gas_off)</f>
        <v>#VALUE!</v>
      </c>
      <c r="O10" s="156" t="e">
        <f t="array" aca="1" ref="O10:O84" ca="1">(aeo_sup_gas_ala_on-(1-g_sup_gas_ala_on)*OFFSET(aeo_sup_gas_ala_on,-1,0))/(aeo_price_gas^e_sup_gas_ala_on)</f>
        <v>#VALUE!</v>
      </c>
      <c r="P10" s="156" t="e">
        <f t="array" aca="1" ref="P10:P84" ca="1">(aeo_sup_gas_ala_off-(1-g_sup_gas_ala_off)*OFFSET(aeo_sup_gas_ala_off,-1,0))/(aeo_price_gas^e_sup_gas_ala_off)</f>
        <v>#VALUE!</v>
      </c>
      <c r="Q10" s="156" t="e">
        <f t="array" aca="1" ref="Q10:Q84" ca="1">(aeo_sup_gas_oth-(1-g_sup_gas_oth)*OFFSET(aeo_sup_gas_oth,-1,0))/(aeo_price_gas^e_sup_gas_oth)</f>
        <v>#VALUE!</v>
      </c>
      <c r="R10" s="161" t="e">
        <f t="array" aca="1" ref="R10:R84" ca="1">(aeo_sup_gas_pip-(1-g_sup_gas_pip)*OFFSET(aeo_sup_gas_pip,-1,0))/(aeo_price_gas^e_sup_gas_pip)</f>
        <v>#VALUE!</v>
      </c>
      <c r="S10" s="156" t="e">
        <f t="array" aca="1" ref="S10:S84" ca="1">(aeo_sup_gas_lng-(1-g_sup_gas_lng)*OFFSET(aeo_sup_gas_lng,-1,0))/(aeo_price_gas^e_sup_gas_lng)</f>
        <v>#VALUE!</v>
      </c>
      <c r="T10" s="156" t="e">
        <f t="array" aca="1" ref="T10:T84" ca="1">(aeo_sup_ele_oil-(1-g_sup_ele_oil)*OFFSET(aeo_sup_ele_oil,-1,0))/((aeo_price_ele/aeo_price_oil)^e_sup_ele_oil)</f>
        <v>#VALUE!</v>
      </c>
      <c r="U10" s="156" t="e">
        <f t="array" aca="1" ref="U10:U84" ca="1">(aeo_sup_ele_gas-(1-g_sup_ele_gas)*OFFSET(aeo_sup_ele_gas,-1,0))/((aeo_price_ele/aeo_price_gas)^e_sup_ele_gas)</f>
        <v>#VALUE!</v>
      </c>
      <c r="V10" s="156" t="e">
        <f t="array" aca="1" ref="V10:V84" ca="1">(aeo_sup_ele_coa-(1-g_sup_ele_coa)*OFFSET(aeo_sup_ele_coa,-1,0))/((aeo_price_ele/aeo_price_coa)^e_sup_ele_coa)</f>
        <v>#VALUE!</v>
      </c>
      <c r="W10" s="156" t="e">
        <f t="array" aca="1" ref="W10:W84" ca="1">(aeo_sup_ele_nuc-(1-g_sup_ele_nuc)*OFFSET(aeo_sup_ele_nuc,-1,0))/(aeo_price_ele^e_sup_ele_nuc)</f>
        <v>#VALUE!</v>
      </c>
      <c r="X10" s="156" t="e">
        <f t="array" aca="1" ref="X10:X84" ca="1">(aeo_sup_ele_hyd-(1-g_sup_ele_hyd)*OFFSET(aeo_sup_ele_hyd,-1,0))/(aeo_price_ele^e_sup_ele_hyd)</f>
        <v>#VALUE!</v>
      </c>
      <c r="Y10" s="156" t="e">
        <f t="array" aca="1" ref="Y10:Y84" ca="1">(aeo_sup_ele_won-(1-g_sup_ele_won)*OFFSET(aeo_sup_ele_won,-1,0))/(aeo_price_ele^e_sup_ele_won)</f>
        <v>#VALUE!</v>
      </c>
      <c r="Z10" s="161" t="e">
        <f t="array" aca="1" ref="Z10:Z84" ca="1">(aeo_sup_ele_wof-(1-g_sup_ele_wof)*OFFSET(aeo_sup_ele_wof,-1,0))/(aeo_price_ele^e_sup_ele_wof)</f>
        <v>#VALUE!</v>
      </c>
      <c r="AA10" s="161" t="e">
        <f t="array" aca="1" ref="AA10:AA84" ca="1">(aeo_sup_ele_sol-(1-g_sup_ele_sol)*OFFSET(aeo_sup_ele_sol,-1,0))/(aeo_price_ele^e_sup_ele_sol)</f>
        <v>#VALUE!</v>
      </c>
      <c r="AB10" s="161" t="e">
        <f t="array" aca="1" ref="AB10:AB84" ca="1">(aeo_sup_ele_oth-(1-g_sup_ele_oth)*OFFSET(aeo_sup_ele_oth,-1,0))/(aeo_price_ele^e_sup_ele_rnh)</f>
        <v>#VALUE!</v>
      </c>
      <c r="AC10" s="156" t="e">
        <f t="array" aca="1" ref="AC10:AC84" ca="1">(aeo_sup_ele_imp-(1-g_sup_ele_imp)*OFFSET(aeo_sup_ele_imp,-1,0))/(aeo_price_ele^e_sup_ele_imp)</f>
        <v>#VALUE!</v>
      </c>
      <c r="AD10" s="156" t="e">
        <f t="array" aca="1" ref="AD10:AD84" ca="1">(aeo_sup_coa_dom-(1-g_sup_coa_dom)*OFFSET(aeo_sup_coa_dom,-1,0))/(aeo_price_coa^e_sup_coa_dom)</f>
        <v>#VALUE!</v>
      </c>
      <c r="AE10" s="156" t="e">
        <f t="array" aca="1" ref="AE10:AE84" ca="1">(aeo_sup_coa_imp-(1-g_sup_coa_imp)*OFFSET(aeo_sup_coa_imp,-1,0))/(aeo_price_coa^e_sup_coa_imp)</f>
        <v>#VALUE!</v>
      </c>
    </row>
    <row r="11" spans="1:31" ht="15" customHeight="1">
      <c r="A11" s="17"/>
      <c r="B11" s="22">
        <f>'Oil supply projection'!$B11</f>
        <v>2020</v>
      </c>
      <c r="C11" s="157">
        <f ca="1"/>
        <v>4.5891227528207137E-2</v>
      </c>
      <c r="D11" s="157">
        <f ca="1"/>
        <v>7.8525158684364989E-4</v>
      </c>
      <c r="E11" s="157">
        <f ca="1"/>
        <v>1.66355651807066E-2</v>
      </c>
      <c r="F11" s="157">
        <f ca="1"/>
        <v>7.0945312772840814E-3</v>
      </c>
      <c r="G11" s="157">
        <f ca="1"/>
        <v>9.8881900019778899E-4</v>
      </c>
      <c r="H11" s="439">
        <f ca="1"/>
        <v>2.1882943073765784E-2</v>
      </c>
      <c r="I11" s="157">
        <f ca="1"/>
        <v>0.10081921692092405</v>
      </c>
      <c r="J11" s="162">
        <f ca="1"/>
        <v>4.173653532815587</v>
      </c>
      <c r="K11" s="440">
        <f ca="1"/>
        <v>7.2360542970093811E-2</v>
      </c>
      <c r="L11" s="157">
        <f ca="1"/>
        <v>0.17002029963217588</v>
      </c>
      <c r="M11" s="157">
        <f ca="1"/>
        <v>5.1388623471736672</v>
      </c>
      <c r="N11" s="157">
        <f ca="1"/>
        <v>-6.3851278729778235E-2</v>
      </c>
      <c r="O11" s="157">
        <f ca="1"/>
        <v>9.3320127007709749E-3</v>
      </c>
      <c r="P11" s="157">
        <f ca="1"/>
        <v>0</v>
      </c>
      <c r="Q11" s="157">
        <f ca="1"/>
        <v>7.6340363950196501E-3</v>
      </c>
      <c r="R11" s="162">
        <f ca="1"/>
        <v>8.7715769317537121E-2</v>
      </c>
      <c r="S11" s="157">
        <f ca="1"/>
        <v>1.9688441517346101E-3</v>
      </c>
      <c r="T11" s="157">
        <f ca="1"/>
        <v>-1.594427108443637</v>
      </c>
      <c r="U11" s="157">
        <f ca="1"/>
        <v>7.3592922557537594</v>
      </c>
      <c r="V11" s="157">
        <f ca="1"/>
        <v>-213.91809375200256</v>
      </c>
      <c r="W11" s="157">
        <f ca="1"/>
        <v>-1.631823235998211</v>
      </c>
      <c r="X11" s="157">
        <f ca="1"/>
        <v>1.3001303531856909</v>
      </c>
      <c r="Y11" s="157">
        <f ca="1"/>
        <v>11.315172938095776</v>
      </c>
      <c r="Z11" s="162">
        <f ca="1"/>
        <v>0</v>
      </c>
      <c r="AA11" s="162">
        <f ca="1"/>
        <v>0.13340996895151785</v>
      </c>
      <c r="AB11" s="162">
        <f ca="1"/>
        <v>-7.9101347744623865E-2</v>
      </c>
      <c r="AC11" s="157">
        <f ca="1"/>
        <v>4.1307174548003482</v>
      </c>
      <c r="AD11" s="157">
        <f ca="1"/>
        <v>-1.2113803364076825E-5</v>
      </c>
      <c r="AE11" s="157">
        <f ca="1"/>
        <v>-3.4520939587825629E-2</v>
      </c>
    </row>
    <row r="12" spans="1:31" ht="15" customHeight="1">
      <c r="B12" s="22">
        <f>'Oil supply projection'!$B12</f>
        <v>2021</v>
      </c>
      <c r="C12" s="157">
        <f ca="1"/>
        <v>4.1829176509660664E-2</v>
      </c>
      <c r="D12" s="157">
        <f ca="1"/>
        <v>4.8572279114197595E-3</v>
      </c>
      <c r="E12" s="157">
        <f ca="1"/>
        <v>0.13816571505463135</v>
      </c>
      <c r="F12" s="157">
        <f ca="1"/>
        <v>6.7232496999877212E-3</v>
      </c>
      <c r="G12" s="157">
        <f ca="1"/>
        <v>4.8746374395541121E-4</v>
      </c>
      <c r="H12" s="439">
        <f ca="1"/>
        <v>7.634834525422167E-2</v>
      </c>
      <c r="I12" s="157">
        <f ca="1"/>
        <v>0.18536073753682442</v>
      </c>
      <c r="J12" s="162">
        <f ca="1"/>
        <v>3.9005269360288453</v>
      </c>
      <c r="K12" s="440">
        <f ca="1"/>
        <v>0.16260131304828848</v>
      </c>
      <c r="L12" s="157">
        <f ca="1"/>
        <v>0.15872792821862536</v>
      </c>
      <c r="M12" s="157">
        <f ca="1"/>
        <v>3.7925192788985673</v>
      </c>
      <c r="N12" s="157">
        <f ca="1"/>
        <v>0.10313937831226541</v>
      </c>
      <c r="O12" s="157">
        <f ca="1"/>
        <v>2.7853007204200141E-3</v>
      </c>
      <c r="P12" s="157">
        <f ca="1"/>
        <v>0</v>
      </c>
      <c r="Q12" s="157">
        <f ca="1"/>
        <v>5.7555899969125562E-3</v>
      </c>
      <c r="R12" s="162">
        <f ca="1"/>
        <v>0.12510067299424693</v>
      </c>
      <c r="S12" s="157">
        <f ca="1"/>
        <v>-4.8105775956901005E-3</v>
      </c>
      <c r="T12" s="157">
        <f ca="1"/>
        <v>3.5851261608233904</v>
      </c>
      <c r="U12" s="157">
        <f ca="1"/>
        <v>1.1254177596008135</v>
      </c>
      <c r="V12" s="157">
        <f ca="1"/>
        <v>208.69964765266957</v>
      </c>
      <c r="W12" s="157">
        <f ca="1"/>
        <v>0.39656590110093864</v>
      </c>
      <c r="X12" s="157">
        <f ca="1"/>
        <v>-26.400285464136534</v>
      </c>
      <c r="Y12" s="157">
        <f ca="1"/>
        <v>11.518202609863863</v>
      </c>
      <c r="Z12" s="162">
        <f ca="1"/>
        <v>0</v>
      </c>
      <c r="AA12" s="162">
        <f ca="1"/>
        <v>0.1941692217972244</v>
      </c>
      <c r="AB12" s="162">
        <f ca="1"/>
        <v>-0.12454712993394496</v>
      </c>
      <c r="AC12" s="157">
        <f ca="1"/>
        <v>-3.6317737064295437</v>
      </c>
      <c r="AD12" s="157">
        <f ca="1"/>
        <v>8.261953805355636E-6</v>
      </c>
      <c r="AE12" s="157">
        <f ca="1"/>
        <v>2.6543744447554193E-2</v>
      </c>
    </row>
    <row r="13" spans="1:31" ht="15" customHeight="1">
      <c r="B13" s="22">
        <f>'Oil supply projection'!$B13</f>
        <v>2022</v>
      </c>
      <c r="C13" s="157">
        <f ca="1"/>
        <v>6.4118078900028019E-2</v>
      </c>
      <c r="D13" s="157">
        <f ca="1"/>
        <v>2.5990696327262818E-3</v>
      </c>
      <c r="E13" s="157">
        <f ca="1"/>
        <v>0.13167839346561422</v>
      </c>
      <c r="F13" s="157">
        <f ca="1"/>
        <v>7.8663807714400985E-3</v>
      </c>
      <c r="G13" s="157">
        <f ca="1"/>
        <v>1.5130284298474765E-4</v>
      </c>
      <c r="H13" s="439">
        <f ca="1"/>
        <v>6.0471522120497917E-2</v>
      </c>
      <c r="I13" s="157">
        <f ca="1"/>
        <v>1.7671150191124915E-2</v>
      </c>
      <c r="J13" s="162">
        <f ca="1"/>
        <v>2.6610198577963531</v>
      </c>
      <c r="K13" s="440">
        <f ca="1"/>
        <v>0.12488098412036161</v>
      </c>
      <c r="L13" s="157">
        <f ca="1"/>
        <v>9.141880780376288E-2</v>
      </c>
      <c r="M13" s="157">
        <f ca="1"/>
        <v>2.9976824177283126</v>
      </c>
      <c r="N13" s="157">
        <f ca="1"/>
        <v>0.26800347110671607</v>
      </c>
      <c r="O13" s="157">
        <f ca="1"/>
        <v>2.4259067055750149E-3</v>
      </c>
      <c r="P13" s="157">
        <f ca="1"/>
        <v>0</v>
      </c>
      <c r="Q13" s="157">
        <f ca="1"/>
        <v>4.2063998585126564E-3</v>
      </c>
      <c r="R13" s="162">
        <f ca="1"/>
        <v>6.3963087174088606E-2</v>
      </c>
      <c r="S13" s="157">
        <f ca="1"/>
        <v>1.1452672729714106E-3</v>
      </c>
      <c r="T13" s="157">
        <f ca="1"/>
        <v>-7.9972806539554107</v>
      </c>
      <c r="U13" s="157">
        <f ca="1"/>
        <v>52.036185282806322</v>
      </c>
      <c r="V13" s="157">
        <f ca="1"/>
        <v>-28.047884942367094</v>
      </c>
      <c r="W13" s="157">
        <f ca="1"/>
        <v>1.7957287646439375</v>
      </c>
      <c r="X13" s="157">
        <f ca="1"/>
        <v>24.699594974620563</v>
      </c>
      <c r="Y13" s="157">
        <f ca="1"/>
        <v>15.403847239434103</v>
      </c>
      <c r="Z13" s="162">
        <f ca="1"/>
        <v>1.4135247017778811</v>
      </c>
      <c r="AA13" s="162">
        <f ca="1"/>
        <v>0.14927330164477609</v>
      </c>
      <c r="AB13" s="162">
        <f ca="1"/>
        <v>-0.6503175601057074</v>
      </c>
      <c r="AC13" s="157">
        <f ca="1"/>
        <v>2.3168694452679359</v>
      </c>
      <c r="AD13" s="157">
        <f ca="1"/>
        <v>7.5560258192343409E-6</v>
      </c>
      <c r="AE13" s="157">
        <f ca="1"/>
        <v>6.4008422850649727E-2</v>
      </c>
    </row>
    <row r="14" spans="1:31" ht="15" customHeight="1">
      <c r="B14" s="22">
        <f>'Oil supply projection'!$B14</f>
        <v>2023</v>
      </c>
      <c r="C14" s="157">
        <f ca="1"/>
        <v>7.2318949877922895E-2</v>
      </c>
      <c r="D14" s="157">
        <f ca="1"/>
        <v>7.005799266925789E-4</v>
      </c>
      <c r="E14" s="157">
        <f ca="1"/>
        <v>0.13854096900990082</v>
      </c>
      <c r="F14" s="157">
        <f ca="1"/>
        <v>3.827932411113935E-3</v>
      </c>
      <c r="G14" s="157">
        <f ca="1"/>
        <v>2.8482582388299557E-4</v>
      </c>
      <c r="H14" s="439">
        <f ca="1"/>
        <v>4.5364784854363988E-2</v>
      </c>
      <c r="I14" s="157">
        <f ca="1"/>
        <v>6.0378074486205711E-2</v>
      </c>
      <c r="J14" s="162">
        <f ca="1"/>
        <v>3.5697002833001479</v>
      </c>
      <c r="K14" s="440">
        <f ca="1"/>
        <v>0.14163717427508801</v>
      </c>
      <c r="L14" s="157">
        <f ca="1"/>
        <v>6.9060130084133559E-2</v>
      </c>
      <c r="M14" s="157">
        <f ca="1"/>
        <v>3.2874909539074428</v>
      </c>
      <c r="N14" s="157">
        <f ca="1"/>
        <v>-6.279942953896421E-2</v>
      </c>
      <c r="O14" s="157">
        <f ca="1"/>
        <v>1.2034837920628441E-3</v>
      </c>
      <c r="P14" s="157">
        <f ca="1"/>
        <v>0</v>
      </c>
      <c r="Q14" s="157">
        <f ca="1"/>
        <v>4.9423351168987129E-3</v>
      </c>
      <c r="R14" s="162">
        <f ca="1"/>
        <v>4.0953934499505934E-2</v>
      </c>
      <c r="S14" s="157">
        <f ca="1"/>
        <v>-9.6825189974556426E-5</v>
      </c>
      <c r="T14" s="157">
        <f ca="1"/>
        <v>-0.263166170605939</v>
      </c>
      <c r="U14" s="157">
        <f ca="1"/>
        <v>-14.433176495068547</v>
      </c>
      <c r="V14" s="157">
        <f ca="1"/>
        <v>-28.528470714575043</v>
      </c>
      <c r="W14" s="157">
        <f ca="1"/>
        <v>6.6152393987578142</v>
      </c>
      <c r="X14" s="157">
        <f ca="1"/>
        <v>8.6720642127364993</v>
      </c>
      <c r="Y14" s="157">
        <f ca="1"/>
        <v>9.4633312554584901</v>
      </c>
      <c r="Z14" s="162">
        <f ca="1"/>
        <v>1.6837467005139877</v>
      </c>
      <c r="AA14" s="162">
        <f ca="1"/>
        <v>0.30639761770708807</v>
      </c>
      <c r="AB14" s="162">
        <f ca="1"/>
        <v>-1.8299454086072517E-2</v>
      </c>
      <c r="AC14" s="157">
        <f ca="1"/>
        <v>3.7593813685871029</v>
      </c>
      <c r="AD14" s="157">
        <f ca="1"/>
        <v>4.6864754576958945E-6</v>
      </c>
      <c r="AE14" s="157">
        <f ca="1"/>
        <v>6.6902865923416238E-2</v>
      </c>
    </row>
    <row r="15" spans="1:31" ht="15" customHeight="1">
      <c r="B15" s="22">
        <f>'Oil supply projection'!$B15</f>
        <v>2024</v>
      </c>
      <c r="C15" s="157">
        <f ca="1"/>
        <v>6.1934456222954092E-2</v>
      </c>
      <c r="D15" s="157">
        <f ca="1"/>
        <v>1.7274668903005837E-3</v>
      </c>
      <c r="E15" s="157">
        <f ca="1"/>
        <v>0.14817997296631308</v>
      </c>
      <c r="F15" s="157">
        <f ca="1"/>
        <v>3.3199403544244086E-3</v>
      </c>
      <c r="G15" s="157">
        <f ca="1"/>
        <v>4.8741434701453167E-4</v>
      </c>
      <c r="H15" s="439">
        <f ca="1"/>
        <v>7.8885953128083788E-2</v>
      </c>
      <c r="I15" s="157">
        <f ca="1"/>
        <v>5.7411666591151302E-2</v>
      </c>
      <c r="J15" s="162">
        <f ca="1"/>
        <v>3.6487699716909918</v>
      </c>
      <c r="K15" s="440">
        <f ca="1"/>
        <v>0.12825847793867531</v>
      </c>
      <c r="L15" s="157">
        <f ca="1"/>
        <v>3.2790614404992743E-2</v>
      </c>
      <c r="M15" s="157">
        <f ca="1"/>
        <v>3.5543339790633079</v>
      </c>
      <c r="N15" s="157">
        <f ca="1"/>
        <v>7.2795272207407613E-2</v>
      </c>
      <c r="O15" s="532">
        <f ca="1"/>
        <v>3.5908464651722405E-3</v>
      </c>
      <c r="P15" s="157">
        <f ca="1"/>
        <v>0</v>
      </c>
      <c r="Q15" s="157">
        <f ca="1"/>
        <v>4.4768389642309992E-3</v>
      </c>
      <c r="R15" s="162">
        <f ca="1"/>
        <v>1.2967813464011558E-2</v>
      </c>
      <c r="S15" s="157">
        <f ca="1"/>
        <v>2.44927252016373E-3</v>
      </c>
      <c r="T15" s="157">
        <f ca="1"/>
        <v>0.61690980063949363</v>
      </c>
      <c r="U15" s="157">
        <f ca="1"/>
        <v>-10.287089628648513</v>
      </c>
      <c r="V15" s="157">
        <f ca="1"/>
        <v>91.77625136906903</v>
      </c>
      <c r="W15" s="157">
        <f ca="1"/>
        <v>5.144960990519019</v>
      </c>
      <c r="X15" s="157">
        <f ca="1"/>
        <v>11.574269175220644</v>
      </c>
      <c r="Y15" s="157">
        <f ca="1"/>
        <v>5.3918362691499793</v>
      </c>
      <c r="Z15" s="162">
        <f ca="1"/>
        <v>2.5588478028698334</v>
      </c>
      <c r="AA15" s="162">
        <f ca="1"/>
        <v>0.57447047105240434</v>
      </c>
      <c r="AB15" s="162">
        <f ca="1"/>
        <v>0.16449920595806386</v>
      </c>
      <c r="AC15" s="157">
        <f ca="1"/>
        <v>-2.3687034155766549</v>
      </c>
      <c r="AD15" s="157">
        <f ca="1"/>
        <v>7.0061928812829783E-6</v>
      </c>
      <c r="AE15" s="157">
        <f ca="1"/>
        <v>-0.17713263643187413</v>
      </c>
    </row>
    <row r="16" spans="1:31" ht="15" customHeight="1">
      <c r="B16" s="22">
        <f>'Oil supply projection'!$B16</f>
        <v>2025</v>
      </c>
      <c r="C16" s="157">
        <f ca="1"/>
        <v>5.3931608000246781E-2</v>
      </c>
      <c r="D16" s="157">
        <f ca="1"/>
        <v>3.3522106196908204E-3</v>
      </c>
      <c r="E16" s="157">
        <f ca="1"/>
        <v>0.14333406681774111</v>
      </c>
      <c r="F16" s="157">
        <f ca="1"/>
        <v>1.5312619430963169E-2</v>
      </c>
      <c r="G16" s="157">
        <f ca="1"/>
        <v>7.2404963013956004E-4</v>
      </c>
      <c r="H16" s="439">
        <f ca="1"/>
        <v>5.3971291237586864E-2</v>
      </c>
      <c r="I16" s="157">
        <f ca="1"/>
        <v>6.1513783068888085E-2</v>
      </c>
      <c r="J16" s="162">
        <f ca="1"/>
        <v>3.7258868203612678</v>
      </c>
      <c r="K16" s="440">
        <f ca="1"/>
        <v>9.6055543782423161E-2</v>
      </c>
      <c r="L16" s="157">
        <f ca="1"/>
        <v>0.1093405814283749</v>
      </c>
      <c r="M16" s="157">
        <f ca="1"/>
        <v>4.1801719596163327</v>
      </c>
      <c r="N16" s="157">
        <f ca="1"/>
        <v>0.13415801282212747</v>
      </c>
      <c r="O16" s="157">
        <f ca="1"/>
        <v>5.3059700444641989E-3</v>
      </c>
      <c r="P16" s="157">
        <f ca="1"/>
        <v>0</v>
      </c>
      <c r="Q16" s="157">
        <f ca="1"/>
        <v>4.7550701696762523E-3</v>
      </c>
      <c r="R16" s="162">
        <f ca="1"/>
        <v>5.924776185387387E-2</v>
      </c>
      <c r="S16" s="157">
        <f ca="1"/>
        <v>3.1467107778166917E-3</v>
      </c>
      <c r="T16" s="157">
        <f ca="1"/>
        <v>5.6601223084948747E-3</v>
      </c>
      <c r="U16" s="157">
        <f ca="1"/>
        <v>-4.3395650669599366</v>
      </c>
      <c r="V16" s="157">
        <f ca="1"/>
        <v>-57.842235153924285</v>
      </c>
      <c r="W16" s="157">
        <f ca="1"/>
        <v>1.6837739394894446</v>
      </c>
      <c r="X16" s="157">
        <f ca="1"/>
        <v>10.570315582955217</v>
      </c>
      <c r="Y16" s="157">
        <f ca="1"/>
        <v>13.212194818083974</v>
      </c>
      <c r="Z16" s="162">
        <f ca="1"/>
        <v>0.76216516251454336</v>
      </c>
      <c r="AA16" s="162">
        <f ca="1"/>
        <v>0.97837829904723905</v>
      </c>
      <c r="AB16" s="162">
        <f ca="1"/>
        <v>-4.0165152073121255E-2</v>
      </c>
      <c r="AC16" s="157">
        <f ca="1"/>
        <v>-1.6796992976190417</v>
      </c>
      <c r="AD16" s="157">
        <f ca="1"/>
        <v>1.7339794220657028E-6</v>
      </c>
      <c r="AE16" s="157">
        <f ca="1"/>
        <v>4.5529427293852665E-3</v>
      </c>
    </row>
    <row r="17" spans="1:31" ht="15" customHeight="1">
      <c r="B17" s="22">
        <f>'Oil supply projection'!$B17</f>
        <v>2026</v>
      </c>
      <c r="C17" s="157">
        <f ca="1"/>
        <v>5.5423446307256367E-2</v>
      </c>
      <c r="D17" s="157">
        <f ca="1"/>
        <v>3.5211198548587988E-3</v>
      </c>
      <c r="E17" s="157">
        <f ca="1"/>
        <v>0.13767858055771193</v>
      </c>
      <c r="F17" s="157">
        <f ca="1"/>
        <v>1.0210980877383776E-2</v>
      </c>
      <c r="G17" s="157">
        <f ca="1"/>
        <v>6.743332848600283E-4</v>
      </c>
      <c r="H17" s="439">
        <f ca="1"/>
        <v>5.5992043338021692E-2</v>
      </c>
      <c r="I17" s="157">
        <f ca="1"/>
        <v>6.0545572125215399E-2</v>
      </c>
      <c r="J17" s="162">
        <f ca="1"/>
        <v>3.7641741793920542</v>
      </c>
      <c r="K17" s="440">
        <f ca="1"/>
        <v>9.7265467757281759E-2</v>
      </c>
      <c r="L17" s="157">
        <f ca="1"/>
        <v>0.10694961873295775</v>
      </c>
      <c r="M17" s="157">
        <f ca="1"/>
        <v>4.741267536545787</v>
      </c>
      <c r="N17" s="157">
        <f ca="1"/>
        <v>0.12070405085467342</v>
      </c>
      <c r="O17" s="157">
        <f ca="1"/>
        <v>5.9162795120350966E-3</v>
      </c>
      <c r="P17" s="157">
        <f ca="1"/>
        <v>0</v>
      </c>
      <c r="Q17" s="157">
        <f ca="1"/>
        <v>4.9832601689479795E-3</v>
      </c>
      <c r="R17" s="162">
        <f ca="1"/>
        <v>6.7003585050189676E-2</v>
      </c>
      <c r="S17" s="157">
        <f ca="1"/>
        <v>3.9051645841852779E-3</v>
      </c>
      <c r="T17" s="157">
        <f ca="1"/>
        <v>-0.61236744153754641</v>
      </c>
      <c r="U17" s="157">
        <f ca="1"/>
        <v>-3.1435082028162995</v>
      </c>
      <c r="V17" s="157">
        <f ca="1"/>
        <v>-115.78268798102214</v>
      </c>
      <c r="W17" s="157">
        <f ca="1"/>
        <v>1.5494098836336492</v>
      </c>
      <c r="X17" s="157">
        <f ca="1"/>
        <v>4.1731936293010312</v>
      </c>
      <c r="Y17" s="157">
        <f ca="1"/>
        <v>20.091586719554016</v>
      </c>
      <c r="Z17" s="162">
        <f ca="1"/>
        <v>1.0891530104412688</v>
      </c>
      <c r="AA17" s="162">
        <f ca="1"/>
        <v>1.1973247773271591</v>
      </c>
      <c r="AB17" s="162">
        <f ca="1"/>
        <v>1.3757235434409288E-2</v>
      </c>
      <c r="AC17" s="157">
        <f ca="1"/>
        <v>0.91837000525935497</v>
      </c>
      <c r="AD17" s="157">
        <f ca="1"/>
        <v>1.9727903662517088E-7</v>
      </c>
      <c r="AE17" s="157">
        <f ca="1"/>
        <v>8.0141093733435437E-3</v>
      </c>
    </row>
    <row r="18" spans="1:31" ht="15" customHeight="1">
      <c r="B18" s="22">
        <f>'Oil supply projection'!$B18</f>
        <v>2027</v>
      </c>
      <c r="C18" s="157">
        <f ca="1"/>
        <v>5.2265733631905342E-2</v>
      </c>
      <c r="D18" s="157">
        <f ca="1"/>
        <v>3.4996328885853992E-3</v>
      </c>
      <c r="E18" s="157">
        <f ca="1"/>
        <v>0.11836300547482187</v>
      </c>
      <c r="F18" s="157">
        <f ca="1"/>
        <v>1.2386962270628249E-2</v>
      </c>
      <c r="G18" s="157">
        <f ca="1"/>
        <v>3.8109790193927712E-4</v>
      </c>
      <c r="H18" s="439">
        <f ca="1"/>
        <v>5.7504276848334882E-2</v>
      </c>
      <c r="I18" s="157">
        <f ca="1"/>
        <v>6.3716318156081198E-2</v>
      </c>
      <c r="J18" s="162">
        <f ca="1"/>
        <v>3.7907390171082205</v>
      </c>
      <c r="K18" s="440">
        <f ca="1"/>
        <v>0.12525111898394384</v>
      </c>
      <c r="L18" s="157">
        <f ca="1"/>
        <v>7.6016265380669357E-2</v>
      </c>
      <c r="M18" s="157">
        <f ca="1"/>
        <v>4.8160589271620395</v>
      </c>
      <c r="N18" s="157">
        <f ca="1"/>
        <v>0.10750876276008497</v>
      </c>
      <c r="O18" s="157">
        <f ca="1"/>
        <v>7.3370648784781833E-3</v>
      </c>
      <c r="P18" s="157">
        <f ca="1"/>
        <v>0</v>
      </c>
      <c r="Q18" s="157">
        <f ca="1"/>
        <v>5.0576822828432427E-3</v>
      </c>
      <c r="R18" s="162">
        <f ca="1"/>
        <v>7.8312590720989381E-2</v>
      </c>
      <c r="S18" s="157">
        <f ca="1"/>
        <v>4.5212786257555664E-3</v>
      </c>
      <c r="T18" s="157">
        <f ca="1"/>
        <v>-0.63082275334467475</v>
      </c>
      <c r="U18" s="157">
        <f ca="1"/>
        <v>-7.1424365287521949</v>
      </c>
      <c r="V18" s="157">
        <f ca="1"/>
        <v>-111.38056780076518</v>
      </c>
      <c r="W18" s="157">
        <f ca="1"/>
        <v>3.6900235949706714</v>
      </c>
      <c r="X18" s="157">
        <f ca="1"/>
        <v>3.5783942411161673</v>
      </c>
      <c r="Y18" s="157">
        <f ca="1"/>
        <v>25.143924761533494</v>
      </c>
      <c r="Z18" s="162">
        <f ca="1"/>
        <v>0.33381620667886908</v>
      </c>
      <c r="AA18" s="162">
        <f ca="1"/>
        <v>1.170260534711592</v>
      </c>
      <c r="AB18" s="162">
        <f ca="1"/>
        <v>1.7190862290863513E-3</v>
      </c>
      <c r="AC18" s="157">
        <f ca="1"/>
        <v>2.1424691490963834</v>
      </c>
      <c r="AD18" s="157">
        <f ca="1"/>
        <v>-4.2815286481825944E-7</v>
      </c>
      <c r="AE18" s="157">
        <f ca="1"/>
        <v>2.947351924240893E-3</v>
      </c>
    </row>
    <row r="19" spans="1:31" ht="15" customHeight="1">
      <c r="B19" s="22">
        <f>'Oil supply projection'!$B19</f>
        <v>2028</v>
      </c>
      <c r="C19" s="157">
        <f ca="1"/>
        <v>5.2486345616742307E-2</v>
      </c>
      <c r="D19" s="157">
        <f ca="1"/>
        <v>3.5386154277981916E-3</v>
      </c>
      <c r="E19" s="157">
        <f ca="1"/>
        <v>0.11104917168477423</v>
      </c>
      <c r="F19" s="157">
        <f ca="1"/>
        <v>1.5252839057431734E-2</v>
      </c>
      <c r="G19" s="157">
        <f ca="1"/>
        <v>3.6810155518643428E-4</v>
      </c>
      <c r="H19" s="439">
        <f ca="1"/>
        <v>4.959657199051553E-2</v>
      </c>
      <c r="I19" s="157">
        <f ca="1"/>
        <v>6.1825046113304347E-2</v>
      </c>
      <c r="J19" s="162">
        <f ca="1"/>
        <v>3.8088808088084232</v>
      </c>
      <c r="K19" s="440">
        <f ca="1"/>
        <v>0.11845182842951707</v>
      </c>
      <c r="L19" s="157">
        <f ca="1"/>
        <v>8.7531775920674779E-2</v>
      </c>
      <c r="M19" s="157">
        <f ca="1"/>
        <v>4.9861221093092638</v>
      </c>
      <c r="N19" s="157">
        <f ca="1"/>
        <v>9.9516180904681589E-2</v>
      </c>
      <c r="O19" s="157">
        <f ca="1"/>
        <v>7.7975266431688211E-3</v>
      </c>
      <c r="P19" s="157">
        <f ca="1"/>
        <v>0</v>
      </c>
      <c r="Q19" s="157">
        <f ca="1"/>
        <v>5.0062983321990506E-3</v>
      </c>
      <c r="R19" s="162">
        <f ca="1"/>
        <v>6.4977739699681084E-2</v>
      </c>
      <c r="S19" s="157">
        <f ca="1"/>
        <v>4.9582264331681147E-3</v>
      </c>
      <c r="T19" s="157">
        <f ca="1"/>
        <v>-0.70967728810709318</v>
      </c>
      <c r="U19" s="157">
        <f ca="1"/>
        <v>-2.143225344439621</v>
      </c>
      <c r="V19" s="157">
        <f ca="1"/>
        <v>-122.75375195592386</v>
      </c>
      <c r="W19" s="157">
        <f ca="1"/>
        <v>1.0867108492446824</v>
      </c>
      <c r="X19" s="157">
        <f ca="1"/>
        <v>2.3586866950128726</v>
      </c>
      <c r="Y19" s="157">
        <f ca="1"/>
        <v>30.257949321056532</v>
      </c>
      <c r="Z19" s="162">
        <f ca="1"/>
        <v>3.7075248836437167</v>
      </c>
      <c r="AA19" s="162">
        <f ca="1"/>
        <v>0.89880313152299052</v>
      </c>
      <c r="AB19" s="162">
        <f ca="1"/>
        <v>-0.20568558549916383</v>
      </c>
      <c r="AC19" s="157">
        <f ca="1"/>
        <v>1.5337364144225005</v>
      </c>
      <c r="AD19" s="157">
        <f ca="1"/>
        <v>-1.688777503320659E-7</v>
      </c>
      <c r="AE19" s="157">
        <f ca="1"/>
        <v>1.3494854796383538E-2</v>
      </c>
    </row>
    <row r="20" spans="1:31" ht="15" customHeight="1">
      <c r="B20" s="22">
        <f>'Oil supply projection'!$B20</f>
        <v>2029</v>
      </c>
      <c r="C20" s="157">
        <f ca="1"/>
        <v>5.0009192691350957E-2</v>
      </c>
      <c r="D20" s="157">
        <f ca="1"/>
        <v>3.6213241076980952E-3</v>
      </c>
      <c r="E20" s="157">
        <f ca="1"/>
        <v>0.12118471182949088</v>
      </c>
      <c r="F20" s="157">
        <f ca="1"/>
        <v>1.1405909672800269E-2</v>
      </c>
      <c r="G20" s="157">
        <f ca="1"/>
        <v>3.5794679570659777E-4</v>
      </c>
      <c r="H20" s="439">
        <f ca="1"/>
        <v>5.6092148316621418E-2</v>
      </c>
      <c r="I20" s="157">
        <f ca="1"/>
        <v>6.1495263308635667E-2</v>
      </c>
      <c r="J20" s="162">
        <f ca="1"/>
        <v>3.8355810131877721</v>
      </c>
      <c r="K20" s="440">
        <f ca="1"/>
        <v>0.12217522381286315</v>
      </c>
      <c r="L20" s="157">
        <f ca="1"/>
        <v>8.6011945809197812E-2</v>
      </c>
      <c r="M20" s="157">
        <f ca="1"/>
        <v>4.9465521252817295</v>
      </c>
      <c r="N20" s="157">
        <f ca="1"/>
        <v>0.11097786579579003</v>
      </c>
      <c r="O20" s="157">
        <f ca="1"/>
        <v>7.0993898423805735E-3</v>
      </c>
      <c r="P20" s="157">
        <f ca="1"/>
        <v>0</v>
      </c>
      <c r="Q20" s="157">
        <f ca="1"/>
        <v>5.5422338135240655E-3</v>
      </c>
      <c r="R20" s="162">
        <f ca="1"/>
        <v>7.4759327254823066E-2</v>
      </c>
      <c r="S20" s="157">
        <f ca="1"/>
        <v>2.9194293121056914E-3</v>
      </c>
      <c r="T20" s="157">
        <f ca="1"/>
        <v>-0.24222898862522213</v>
      </c>
      <c r="U20" s="157">
        <f ca="1"/>
        <v>-4.8681871798718204</v>
      </c>
      <c r="V20" s="157">
        <f ca="1"/>
        <v>-77.203201750379066</v>
      </c>
      <c r="W20" s="157">
        <f ca="1"/>
        <v>3.6814564727713224</v>
      </c>
      <c r="X20" s="157">
        <f ca="1"/>
        <v>1.5107665947259932</v>
      </c>
      <c r="Y20" s="157">
        <f ca="1"/>
        <v>34.732565307781705</v>
      </c>
      <c r="Z20" s="162">
        <f ca="1"/>
        <v>1.3514350241744744</v>
      </c>
      <c r="AA20" s="162">
        <f ca="1"/>
        <v>0.64581443266209226</v>
      </c>
      <c r="AB20" s="162">
        <f ca="1"/>
        <v>-0.13170808498698666</v>
      </c>
      <c r="AC20" s="157">
        <f ca="1"/>
        <v>-0.66200386672563438</v>
      </c>
      <c r="AD20" s="157">
        <f ca="1"/>
        <v>1.8921955860858063E-7</v>
      </c>
      <c r="AE20" s="157">
        <f ca="1"/>
        <v>3.1445879793635893E-3</v>
      </c>
    </row>
    <row r="21" spans="1:31" ht="15" customHeight="1">
      <c r="A21" s="17"/>
      <c r="B21" s="22">
        <f>'Oil supply projection'!$B21</f>
        <v>2030</v>
      </c>
      <c r="C21" s="157">
        <f ca="1"/>
        <v>5.2458161859893909E-2</v>
      </c>
      <c r="D21" s="157">
        <f ca="1"/>
        <v>3.7618410364036255E-3</v>
      </c>
      <c r="E21" s="157">
        <f ca="1"/>
        <v>9.1384551378458884E-2</v>
      </c>
      <c r="F21" s="157">
        <f ca="1"/>
        <v>1.0888510801359051E-2</v>
      </c>
      <c r="G21" s="157">
        <f ca="1"/>
        <v>1.7857312529461955E-3</v>
      </c>
      <c r="H21" s="439">
        <f ca="1"/>
        <v>5.5608891162764074E-2</v>
      </c>
      <c r="I21" s="157">
        <f ca="1"/>
        <v>5.6382357467081382E-2</v>
      </c>
      <c r="J21" s="162">
        <f ca="1"/>
        <v>3.8667318725347766</v>
      </c>
      <c r="K21" s="440">
        <f ca="1"/>
        <v>0.11026997065391833</v>
      </c>
      <c r="L21" s="157">
        <f ca="1"/>
        <v>9.4386314480614755E-2</v>
      </c>
      <c r="M21" s="157">
        <f ca="1"/>
        <v>4.9844331704353806</v>
      </c>
      <c r="N21" s="157">
        <f ca="1"/>
        <v>9.0865118393927288E-2</v>
      </c>
      <c r="O21" s="157">
        <f ca="1"/>
        <v>7.4883170790570417E-3</v>
      </c>
      <c r="P21" s="157">
        <f ca="1"/>
        <v>0</v>
      </c>
      <c r="Q21" s="157">
        <f ca="1"/>
        <v>5.4496566711444289E-3</v>
      </c>
      <c r="R21" s="162">
        <f ca="1"/>
        <v>9.8674673087155856E-2</v>
      </c>
      <c r="S21" s="157">
        <f ca="1"/>
        <v>2.8245772195335181E-3</v>
      </c>
      <c r="T21" s="157">
        <f ca="1"/>
        <v>-0.16761052216298852</v>
      </c>
      <c r="U21" s="157">
        <f ca="1"/>
        <v>-2.4586709028996747</v>
      </c>
      <c r="V21" s="157">
        <f ca="1"/>
        <v>-55.057217864658043</v>
      </c>
      <c r="W21" s="157">
        <f ca="1"/>
        <v>3.6779199346109466</v>
      </c>
      <c r="X21" s="157">
        <f ca="1"/>
        <v>0.59446422840776669</v>
      </c>
      <c r="Y21" s="157">
        <f ca="1"/>
        <v>27.318754669544145</v>
      </c>
      <c r="Z21" s="162">
        <f ca="1"/>
        <v>20.464368236316631</v>
      </c>
      <c r="AA21" s="162">
        <f ca="1"/>
        <v>0.44424172604489726</v>
      </c>
      <c r="AB21" s="162">
        <f ca="1"/>
        <v>-2.9683110176595999E-3</v>
      </c>
      <c r="AC21" s="157">
        <f ca="1"/>
        <v>1.7969229858570237</v>
      </c>
      <c r="AD21" s="157">
        <f ca="1"/>
        <v>3.499972558910194E-7</v>
      </c>
      <c r="AE21" s="157">
        <f ca="1"/>
        <v>3.105047948627036E-3</v>
      </c>
    </row>
    <row r="22" spans="1:31" ht="15" customHeight="1">
      <c r="A22" s="17"/>
      <c r="B22" s="22">
        <f>'Oil supply projection'!$B22</f>
        <v>2031</v>
      </c>
      <c r="C22" s="157">
        <f ca="1"/>
        <v>5.1452544001133721E-2</v>
      </c>
      <c r="D22" s="157">
        <f ca="1"/>
        <v>3.6004141212301697E-3</v>
      </c>
      <c r="E22" s="157">
        <f ca="1"/>
        <v>9.5536779575879846E-2</v>
      </c>
      <c r="F22" s="157">
        <f ca="1"/>
        <v>9.0483601887303942E-3</v>
      </c>
      <c r="G22" s="157">
        <f ca="1"/>
        <v>9.5024272618212844E-4</v>
      </c>
      <c r="H22" s="439">
        <f ca="1"/>
        <v>5.5361187393181799E-2</v>
      </c>
      <c r="I22" s="157">
        <f ca="1"/>
        <v>5.8242257523352388E-2</v>
      </c>
      <c r="J22" s="162">
        <f ca="1"/>
        <v>3.6778421005318638</v>
      </c>
      <c r="K22" s="440">
        <f ca="1"/>
        <v>0.11745392062603319</v>
      </c>
      <c r="L22" s="157">
        <f ca="1"/>
        <v>8.6903129304693988E-2</v>
      </c>
      <c r="M22" s="157">
        <f ca="1"/>
        <v>4.9698628965122431</v>
      </c>
      <c r="N22" s="157">
        <f ca="1"/>
        <v>9.3836272840219018E-2</v>
      </c>
      <c r="O22" s="157">
        <f ca="1"/>
        <v>5.9521805587257077E-3</v>
      </c>
      <c r="P22" s="157">
        <f ca="1"/>
        <v>0</v>
      </c>
      <c r="Q22" s="157">
        <f ca="1"/>
        <v>5.3180917136731601E-3</v>
      </c>
      <c r="R22" s="162">
        <f ca="1"/>
        <v>8.3914152030862471E-2</v>
      </c>
      <c r="S22" s="157">
        <f ca="1"/>
        <v>2.6924213217420813E-3</v>
      </c>
      <c r="T22" s="157">
        <f ca="1"/>
        <v>-0.10439468025076541</v>
      </c>
      <c r="U22" s="157">
        <f ca="1"/>
        <v>-0.3356911421668165</v>
      </c>
      <c r="V22" s="157">
        <f ca="1"/>
        <v>6.0763524712568842</v>
      </c>
      <c r="W22" s="157">
        <f ca="1"/>
        <v>2.1570385037165658</v>
      </c>
      <c r="X22" s="157">
        <f ca="1"/>
        <v>3.5412212500296656</v>
      </c>
      <c r="Y22" s="157">
        <f ca="1"/>
        <v>18.725790907743207</v>
      </c>
      <c r="Z22" s="162">
        <f ca="1"/>
        <v>6.5268329202656812</v>
      </c>
      <c r="AA22" s="162">
        <f ca="1"/>
        <v>0.54830559684878244</v>
      </c>
      <c r="AB22" s="162">
        <f ca="1"/>
        <v>-0.23496989193921405</v>
      </c>
      <c r="AC22" s="157">
        <f ca="1"/>
        <v>-0.68312468787849534</v>
      </c>
      <c r="AD22" s="157">
        <f ca="1"/>
        <v>8.2985191746034234E-7</v>
      </c>
      <c r="AE22" s="157">
        <f ca="1"/>
        <v>2.854322886936534E-3</v>
      </c>
    </row>
    <row r="23" spans="1:31" ht="15" customHeight="1">
      <c r="A23" s="17"/>
      <c r="B23" s="22">
        <f>'Oil supply projection'!$B23</f>
        <v>2032</v>
      </c>
      <c r="C23" s="157">
        <f ca="1"/>
        <v>5.3924362989418488E-2</v>
      </c>
      <c r="D23" s="157">
        <f ca="1"/>
        <v>3.5032182508769332E-3</v>
      </c>
      <c r="E23" s="157">
        <f ca="1"/>
        <v>8.4285133111400096E-2</v>
      </c>
      <c r="F23" s="157">
        <f ca="1"/>
        <v>1.3853923790989861E-2</v>
      </c>
      <c r="G23" s="157">
        <f ca="1"/>
        <v>6.6764169747671035E-4</v>
      </c>
      <c r="H23" s="439">
        <f ca="1"/>
        <v>5.4600979656989478E-2</v>
      </c>
      <c r="I23" s="157">
        <f ca="1"/>
        <v>5.6386601913280571E-2</v>
      </c>
      <c r="J23" s="162">
        <f ca="1"/>
        <v>3.6721597543297322</v>
      </c>
      <c r="K23" s="440">
        <f ca="1"/>
        <v>0.10959213983281897</v>
      </c>
      <c r="L23" s="157">
        <f ca="1"/>
        <v>8.4262355077151907E-2</v>
      </c>
      <c r="M23" s="157">
        <f ca="1"/>
        <v>4.9014288890744702</v>
      </c>
      <c r="N23" s="157">
        <f ca="1"/>
        <v>8.1123068002860205E-2</v>
      </c>
      <c r="O23" s="157">
        <f ca="1"/>
        <v>6.0877182712321702E-3</v>
      </c>
      <c r="P23" s="157">
        <f ca="1"/>
        <v>0</v>
      </c>
      <c r="Q23" s="157">
        <f ca="1"/>
        <v>5.1502793930230653E-3</v>
      </c>
      <c r="R23" s="162">
        <f ca="1"/>
        <v>9.3376909035607622E-2</v>
      </c>
      <c r="S23" s="157">
        <f ca="1"/>
        <v>2.5283607171296021E-3</v>
      </c>
      <c r="T23" s="157">
        <f ca="1"/>
        <v>0.32945150706255255</v>
      </c>
      <c r="U23" s="157">
        <f ca="1"/>
        <v>2.5475862389363022</v>
      </c>
      <c r="V23" s="157">
        <f ca="1"/>
        <v>30.820096123964539</v>
      </c>
      <c r="W23" s="157">
        <f ca="1"/>
        <v>3.646695698180912</v>
      </c>
      <c r="X23" s="157">
        <f ca="1"/>
        <v>2.2108918216033229</v>
      </c>
      <c r="Y23" s="157">
        <f ca="1"/>
        <v>12.857858754555028</v>
      </c>
      <c r="Z23" s="162">
        <f ca="1"/>
        <v>1.7947900495997389</v>
      </c>
      <c r="AA23" s="162">
        <f ca="1"/>
        <v>0.55497587560337525</v>
      </c>
      <c r="AB23" s="162">
        <f ca="1"/>
        <v>-0.10654155287933366</v>
      </c>
      <c r="AC23" s="157">
        <f ca="1"/>
        <v>0.90783774143673845</v>
      </c>
      <c r="AD23" s="157">
        <f ca="1"/>
        <v>1.0307491095552281E-6</v>
      </c>
      <c r="AE23" s="157">
        <f ca="1"/>
        <v>3.0179940278291066E-3</v>
      </c>
    </row>
    <row r="24" spans="1:31" ht="15" customHeight="1">
      <c r="A24" s="17"/>
      <c r="B24" s="22">
        <f>'Oil supply projection'!$B24</f>
        <v>2033</v>
      </c>
      <c r="C24" s="157">
        <f ca="1"/>
        <v>5.2455579989387553E-2</v>
      </c>
      <c r="D24" s="157">
        <f ca="1"/>
        <v>3.6504868173344233E-3</v>
      </c>
      <c r="E24" s="157">
        <f ca="1"/>
        <v>9.0185921946361394E-2</v>
      </c>
      <c r="F24" s="157">
        <f ca="1"/>
        <v>1.3676803662472722E-2</v>
      </c>
      <c r="G24" s="157">
        <f ca="1"/>
        <v>6.4584423548835377E-4</v>
      </c>
      <c r="H24" s="439">
        <f ca="1"/>
        <v>5.5492074268384435E-2</v>
      </c>
      <c r="I24" s="157">
        <f ca="1"/>
        <v>5.6988041439552661E-2</v>
      </c>
      <c r="J24" s="162">
        <f ca="1"/>
        <v>3.6661647205282417</v>
      </c>
      <c r="K24" s="440">
        <f ca="1"/>
        <v>0.11044510157572564</v>
      </c>
      <c r="L24" s="157">
        <f ca="1"/>
        <v>8.1173506857585662E-2</v>
      </c>
      <c r="M24" s="157">
        <f ca="1"/>
        <v>4.7380581498527672</v>
      </c>
      <c r="N24" s="157">
        <f ca="1"/>
        <v>8.7979040189919963E-2</v>
      </c>
      <c r="O24" s="157">
        <f ca="1"/>
        <v>5.1409219756065969E-3</v>
      </c>
      <c r="P24" s="157">
        <f ca="1"/>
        <v>0</v>
      </c>
      <c r="Q24" s="157">
        <f ca="1"/>
        <v>4.9977420392849489E-3</v>
      </c>
      <c r="R24" s="162">
        <f ca="1"/>
        <v>7.4415506673905896E-2</v>
      </c>
      <c r="S24" s="157">
        <f ca="1"/>
        <v>2.3836207913550248E-3</v>
      </c>
      <c r="T24" s="157">
        <f ca="1"/>
        <v>0.31504033564572193</v>
      </c>
      <c r="U24" s="157">
        <f ca="1"/>
        <v>-1.0756040506313083</v>
      </c>
      <c r="V24" s="157">
        <f ca="1"/>
        <v>29.391861649003864</v>
      </c>
      <c r="W24" s="157">
        <f ca="1"/>
        <v>-6.920312794634822</v>
      </c>
      <c r="X24" s="157">
        <f ca="1"/>
        <v>2.1854663316287763</v>
      </c>
      <c r="Y24" s="157">
        <f ca="1"/>
        <v>21.274113059875095</v>
      </c>
      <c r="Z24" s="162">
        <f ca="1"/>
        <v>2.2286272489328076</v>
      </c>
      <c r="AA24" s="162">
        <f ca="1"/>
        <v>0.62309712267939887</v>
      </c>
      <c r="AB24" s="162">
        <f ca="1"/>
        <v>-0.21567820606330576</v>
      </c>
      <c r="AC24" s="157">
        <f ca="1"/>
        <v>-0.34897181580306402</v>
      </c>
      <c r="AD24" s="157">
        <f ca="1"/>
        <v>8.9441419443783683E-7</v>
      </c>
      <c r="AE24" s="157">
        <f ca="1"/>
        <v>1.3041845999630386E-3</v>
      </c>
    </row>
    <row r="25" spans="1:31" ht="15" customHeight="1">
      <c r="A25" s="17"/>
      <c r="B25" s="22">
        <f>'Oil supply projection'!$B25</f>
        <v>2034</v>
      </c>
      <c r="C25" s="157">
        <f ca="1"/>
        <v>5.0604552748140935E-2</v>
      </c>
      <c r="D25" s="157">
        <f ca="1"/>
        <v>3.6632994962216268E-3</v>
      </c>
      <c r="E25" s="157">
        <f ca="1"/>
        <v>9.1867706373476646E-2</v>
      </c>
      <c r="F25" s="157">
        <f ca="1"/>
        <v>5.4744755935485136E-3</v>
      </c>
      <c r="G25" s="157">
        <f ca="1"/>
        <v>4.9351644222368253E-4</v>
      </c>
      <c r="H25" s="439">
        <f ca="1"/>
        <v>5.5197461870562049E-2</v>
      </c>
      <c r="I25" s="157">
        <f ca="1"/>
        <v>5.9146686155890825E-2</v>
      </c>
      <c r="J25" s="162">
        <f ca="1"/>
        <v>3.6601063823623359</v>
      </c>
      <c r="K25" s="440">
        <f ca="1"/>
        <v>0.11576627117775568</v>
      </c>
      <c r="L25" s="157">
        <f ca="1"/>
        <v>6.6063926216191379E-2</v>
      </c>
      <c r="M25" s="157">
        <f ca="1"/>
        <v>4.6605318597374286</v>
      </c>
      <c r="N25" s="157">
        <f ca="1"/>
        <v>8.344721287235117E-2</v>
      </c>
      <c r="O25" s="157">
        <f ca="1"/>
        <v>3.9972966189199119E-3</v>
      </c>
      <c r="P25" s="157">
        <f ca="1"/>
        <v>0</v>
      </c>
      <c r="Q25" s="157">
        <f ca="1"/>
        <v>4.8884846463910434E-3</v>
      </c>
      <c r="R25" s="162">
        <f ca="1"/>
        <v>7.3698525781979177E-2</v>
      </c>
      <c r="S25" s="157">
        <f ca="1"/>
        <v>2.2825192975592019E-3</v>
      </c>
      <c r="T25" s="157">
        <f ca="1"/>
        <v>0.24786872314121677</v>
      </c>
      <c r="U25" s="157">
        <f ca="1"/>
        <v>-0.28514537293678627</v>
      </c>
      <c r="V25" s="157">
        <f ca="1"/>
        <v>2.9757935882969742</v>
      </c>
      <c r="W25" s="157">
        <f ca="1"/>
        <v>0.62411306025915225</v>
      </c>
      <c r="X25" s="157">
        <f ca="1"/>
        <v>3.1597342519044753</v>
      </c>
      <c r="Y25" s="157">
        <f ca="1"/>
        <v>15.629427821982892</v>
      </c>
      <c r="Z25" s="162">
        <f ca="1"/>
        <v>16.900220777706597</v>
      </c>
      <c r="AA25" s="162">
        <f ca="1"/>
        <v>0.59845766406309697</v>
      </c>
      <c r="AB25" s="162">
        <f ca="1"/>
        <v>-0.22713727928571764</v>
      </c>
      <c r="AC25" s="157">
        <f ca="1"/>
        <v>1.0343195722704359</v>
      </c>
      <c r="AD25" s="157">
        <f ca="1"/>
        <v>6.832102942472243E-7</v>
      </c>
      <c r="AE25" s="157">
        <f ca="1"/>
        <v>2.7374999339528938E-3</v>
      </c>
    </row>
    <row r="26" spans="1:31" ht="15" customHeight="1">
      <c r="A26" s="17"/>
      <c r="B26" s="22">
        <f>'Oil supply projection'!$B26</f>
        <v>2035</v>
      </c>
      <c r="C26" s="157">
        <f ca="1"/>
        <v>5.1980272879934647E-2</v>
      </c>
      <c r="D26" s="157">
        <f ca="1"/>
        <v>3.8045052192412568E-3</v>
      </c>
      <c r="E26" s="157">
        <f ca="1"/>
        <v>0.10238781230341142</v>
      </c>
      <c r="F26" s="157">
        <f ca="1"/>
        <v>4.5879747321446373E-3</v>
      </c>
      <c r="G26" s="157">
        <f ca="1"/>
        <v>4.5053395890582305E-4</v>
      </c>
      <c r="H26" s="439">
        <f ca="1"/>
        <v>5.7177730997021468E-2</v>
      </c>
      <c r="I26" s="157">
        <f ca="1"/>
        <v>5.9316782984869601E-2</v>
      </c>
      <c r="J26" s="162">
        <f ca="1"/>
        <v>3.6596111980707589</v>
      </c>
      <c r="K26" s="440">
        <f ca="1"/>
        <v>0.10743651640106448</v>
      </c>
      <c r="L26" s="157">
        <f ca="1"/>
        <v>6.9646751745063476E-2</v>
      </c>
      <c r="M26" s="157">
        <f ca="1"/>
        <v>4.6423268266440632</v>
      </c>
      <c r="N26" s="157">
        <f ca="1"/>
        <v>8.9635554406104101E-2</v>
      </c>
      <c r="O26" s="157">
        <f ca="1"/>
        <v>4.0033410098079831E-3</v>
      </c>
      <c r="P26" s="157">
        <f ca="1"/>
        <v>0</v>
      </c>
      <c r="Q26" s="157">
        <f ca="1"/>
        <v>4.8258817181163509E-3</v>
      </c>
      <c r="R26" s="162">
        <f ca="1"/>
        <v>6.455026150212069E-2</v>
      </c>
      <c r="S26" s="157">
        <f ca="1"/>
        <v>2.2255574337575589E-3</v>
      </c>
      <c r="T26" s="157">
        <f ca="1"/>
        <v>0.28206468326890594</v>
      </c>
      <c r="U26" s="157">
        <f ca="1"/>
        <v>3.8653764388837781</v>
      </c>
      <c r="V26" s="157">
        <f ca="1"/>
        <v>13.806579942318201</v>
      </c>
      <c r="W26" s="157">
        <f ca="1"/>
        <v>-1.1467170287323429</v>
      </c>
      <c r="X26" s="157">
        <f ca="1"/>
        <v>4.3686465420137779</v>
      </c>
      <c r="Y26" s="157">
        <f ca="1"/>
        <v>12.848709746121479</v>
      </c>
      <c r="Z26" s="162">
        <f ca="1"/>
        <v>27.365529445035712</v>
      </c>
      <c r="AA26" s="162">
        <f ca="1"/>
        <v>0.51522541976114555</v>
      </c>
      <c r="AB26" s="162">
        <f ca="1"/>
        <v>-0.26817576291982215</v>
      </c>
      <c r="AC26" s="157">
        <f ca="1"/>
        <v>0.16778114329497812</v>
      </c>
      <c r="AD26" s="157">
        <f ca="1"/>
        <v>9.1112618156757851E-7</v>
      </c>
      <c r="AE26" s="157">
        <f ca="1"/>
        <v>2.4916524222481965E-3</v>
      </c>
    </row>
    <row r="27" spans="1:31" ht="15" customHeight="1">
      <c r="A27" s="17"/>
      <c r="B27" s="22">
        <f>'Oil supply projection'!$B27</f>
        <v>2036</v>
      </c>
      <c r="C27" s="157">
        <f ca="1"/>
        <v>5.184287337139893E-2</v>
      </c>
      <c r="D27" s="157">
        <f ca="1"/>
        <v>3.6690169777002339E-3</v>
      </c>
      <c r="E27" s="157">
        <f ca="1"/>
        <v>6.3703448040504415E-2</v>
      </c>
      <c r="F27" s="157">
        <f ca="1"/>
        <v>8.2079212153234309E-3</v>
      </c>
      <c r="G27" s="157">
        <f ca="1"/>
        <v>8.563918378348736E-4</v>
      </c>
      <c r="H27" s="439">
        <f ca="1"/>
        <v>5.4593415045574814E-2</v>
      </c>
      <c r="I27" s="157">
        <f ca="1"/>
        <v>5.6702930692571242E-2</v>
      </c>
      <c r="J27" s="162">
        <f ca="1"/>
        <v>3.6516242576742268</v>
      </c>
      <c r="K27" s="440">
        <f ca="1"/>
        <v>0.11133287367038143</v>
      </c>
      <c r="L27" s="157">
        <f ca="1"/>
        <v>6.2070023554510988E-2</v>
      </c>
      <c r="M27" s="157">
        <f ca="1"/>
        <v>4.6684652944161655</v>
      </c>
      <c r="N27" s="157">
        <f ca="1"/>
        <v>5.8016223100295611E-2</v>
      </c>
      <c r="O27" s="157">
        <f ca="1"/>
        <v>4.4046554957113473E-3</v>
      </c>
      <c r="P27" s="157">
        <f ca="1"/>
        <v>0</v>
      </c>
      <c r="Q27" s="157">
        <f ca="1"/>
        <v>4.8253640686885535E-3</v>
      </c>
      <c r="R27" s="162">
        <f ca="1"/>
        <v>5.8130409704009046E-2</v>
      </c>
      <c r="S27" s="157">
        <f ca="1"/>
        <v>2.2250893696755245E-3</v>
      </c>
      <c r="T27" s="157">
        <f ca="1"/>
        <v>0.13262194505985983</v>
      </c>
      <c r="U27" s="157">
        <f ca="1"/>
        <v>4.8013005841285343</v>
      </c>
      <c r="V27" s="157">
        <f ca="1"/>
        <v>3.9698898278827195</v>
      </c>
      <c r="W27" s="157">
        <f ca="1"/>
        <v>1.8863569293337288</v>
      </c>
      <c r="X27" s="157">
        <f ca="1"/>
        <v>2.9562985630508574</v>
      </c>
      <c r="Y27" s="157">
        <f ca="1"/>
        <v>12.382149601582668</v>
      </c>
      <c r="Z27" s="162">
        <f ca="1"/>
        <v>14.752669406919749</v>
      </c>
      <c r="AA27" s="162">
        <f ca="1"/>
        <v>0.54480638642948698</v>
      </c>
      <c r="AB27" s="162">
        <f ca="1"/>
        <v>-0.3876751197856762</v>
      </c>
      <c r="AC27" s="157">
        <f ca="1"/>
        <v>0.26594403958469853</v>
      </c>
      <c r="AD27" s="157">
        <f ca="1"/>
        <v>6.2951472130002648E-7</v>
      </c>
      <c r="AE27" s="157">
        <f ca="1"/>
        <v>2.358233440631807E-3</v>
      </c>
    </row>
    <row r="28" spans="1:31" ht="15" customHeight="1">
      <c r="A28" s="19"/>
      <c r="B28" s="22">
        <f>'Oil supply projection'!$B28</f>
        <v>2037</v>
      </c>
      <c r="C28" s="157">
        <f ca="1"/>
        <v>5.0811964200662495E-2</v>
      </c>
      <c r="D28" s="157">
        <f ca="1"/>
        <v>3.7296346759317449E-3</v>
      </c>
      <c r="E28" s="157">
        <f ca="1"/>
        <v>4.5916461428109942E-2</v>
      </c>
      <c r="F28" s="157">
        <f ca="1"/>
        <v>1.2212745222649939E-2</v>
      </c>
      <c r="G28" s="157">
        <f ca="1"/>
        <v>1.3182559988511803E-3</v>
      </c>
      <c r="H28" s="439">
        <f ca="1"/>
        <v>5.4805100958322542E-2</v>
      </c>
      <c r="I28" s="157">
        <f ca="1"/>
        <v>5.4897305234490511E-2</v>
      </c>
      <c r="J28" s="162">
        <f ca="1"/>
        <v>3.6428512679677341</v>
      </c>
      <c r="K28" s="440">
        <f ca="1"/>
        <v>0.11409283628911487</v>
      </c>
      <c r="L28" s="157">
        <f ca="1"/>
        <v>6.8468972503246656E-2</v>
      </c>
      <c r="M28" s="157">
        <f ca="1"/>
        <v>4.6690558886222311</v>
      </c>
      <c r="N28" s="157">
        <f ca="1"/>
        <v>4.3378609612164311E-2</v>
      </c>
      <c r="O28" s="157">
        <f ca="1"/>
        <v>4.6346423539674712E-3</v>
      </c>
      <c r="P28" s="157">
        <f ca="1"/>
        <v>0</v>
      </c>
      <c r="Q28" s="157">
        <f ca="1"/>
        <v>4.7862999160885851E-3</v>
      </c>
      <c r="R28" s="162">
        <f ca="1"/>
        <v>6.939058167974535E-2</v>
      </c>
      <c r="S28" s="157">
        <f ca="1"/>
        <v>2.1899063479672511E-3</v>
      </c>
      <c r="T28" s="157">
        <f ca="1"/>
        <v>2.8270644346311463E-2</v>
      </c>
      <c r="U28" s="157">
        <f ca="1"/>
        <v>7.8379408085444098</v>
      </c>
      <c r="V28" s="157">
        <f ca="1"/>
        <v>-1.4483137924874308</v>
      </c>
      <c r="W28" s="157">
        <f ca="1"/>
        <v>2.5960319547465041</v>
      </c>
      <c r="X28" s="157">
        <f ca="1"/>
        <v>3.2143922954677322</v>
      </c>
      <c r="Y28" s="157">
        <f ca="1"/>
        <v>12.134044677837304</v>
      </c>
      <c r="Z28" s="162">
        <f ca="1"/>
        <v>3.7243828620079817</v>
      </c>
      <c r="AA28" s="162">
        <f ca="1"/>
        <v>0.5379238311541692</v>
      </c>
      <c r="AB28" s="162">
        <f ca="1"/>
        <v>-0.41944105425240302</v>
      </c>
      <c r="AC28" s="157">
        <f ca="1"/>
        <v>0.29359456778004545</v>
      </c>
      <c r="AD28" s="157">
        <f ca="1"/>
        <v>4.2937359350355849E-7</v>
      </c>
      <c r="AE28" s="157">
        <f ca="1"/>
        <v>2.493664788582429E-3</v>
      </c>
    </row>
    <row r="29" spans="1:31" ht="15" customHeight="1">
      <c r="A29" s="17"/>
      <c r="B29" s="22">
        <f>'Oil supply projection'!$B29</f>
        <v>2038</v>
      </c>
      <c r="C29" s="157">
        <f ca="1"/>
        <v>5.0810066742330497E-2</v>
      </c>
      <c r="D29" s="157">
        <f ca="1"/>
        <v>3.8027158731597948E-3</v>
      </c>
      <c r="E29" s="157">
        <f ca="1"/>
        <v>3.2340200432864348E-2</v>
      </c>
      <c r="F29" s="157">
        <f ca="1"/>
        <v>1.2981431732031867E-2</v>
      </c>
      <c r="G29" s="157">
        <f ca="1"/>
        <v>1.4294038373407147E-3</v>
      </c>
      <c r="H29" s="439">
        <f ca="1"/>
        <v>5.4960033223584406E-2</v>
      </c>
      <c r="I29" s="157">
        <f ca="1"/>
        <v>5.5800357167515864E-2</v>
      </c>
      <c r="J29" s="162">
        <f ca="1"/>
        <v>3.6367161129712371</v>
      </c>
      <c r="K29" s="440">
        <f ca="1"/>
        <v>0.11172007537701502</v>
      </c>
      <c r="L29" s="157">
        <f ca="1"/>
        <v>6.7246039729622162E-2</v>
      </c>
      <c r="M29" s="157">
        <f ca="1"/>
        <v>4.5606165919035364</v>
      </c>
      <c r="N29" s="157">
        <f ca="1"/>
        <v>3.3542505165926995E-2</v>
      </c>
      <c r="O29" s="157">
        <f ca="1"/>
        <v>4.3196765091189863E-3</v>
      </c>
      <c r="P29" s="157">
        <f ca="1"/>
        <v>0</v>
      </c>
      <c r="Q29" s="157">
        <f ca="1"/>
        <v>4.7042433009039037E-3</v>
      </c>
      <c r="R29" s="162">
        <f ca="1"/>
        <v>7.5962007355889524E-2</v>
      </c>
      <c r="S29" s="157">
        <f ca="1"/>
        <v>2.1168973075906821E-3</v>
      </c>
      <c r="T29" s="157">
        <f ca="1"/>
        <v>-0.14287387190751846</v>
      </c>
      <c r="U29" s="157">
        <f ca="1"/>
        <v>9.1953127330203372</v>
      </c>
      <c r="V29" s="157">
        <f ca="1"/>
        <v>-5.5821488976552027</v>
      </c>
      <c r="W29" s="157">
        <f ca="1"/>
        <v>-1.09600198883016E-3</v>
      </c>
      <c r="X29" s="157">
        <f ca="1"/>
        <v>2.9363193831846384</v>
      </c>
      <c r="Y29" s="157">
        <f ca="1"/>
        <v>11.720758977295668</v>
      </c>
      <c r="Z29" s="162">
        <f ca="1"/>
        <v>2.4879889597215157</v>
      </c>
      <c r="AA29" s="162">
        <f ca="1"/>
        <v>0.60320291901529044</v>
      </c>
      <c r="AB29" s="162">
        <f ca="1"/>
        <v>-0.49441318128356682</v>
      </c>
      <c r="AC29" s="157">
        <f ca="1"/>
        <v>1.0477901089230586</v>
      </c>
      <c r="AD29" s="157">
        <f ca="1"/>
        <v>3.7388841208443529E-7</v>
      </c>
      <c r="AE29" s="157">
        <f ca="1"/>
        <v>2.8969376201389563E-3</v>
      </c>
    </row>
    <row r="30" spans="1:31" ht="15" customHeight="1">
      <c r="A30" s="17"/>
      <c r="B30" s="22">
        <f>'Oil supply projection'!$B30</f>
        <v>2039</v>
      </c>
      <c r="C30" s="157">
        <f ca="1"/>
        <v>5.0582885857379821E-2</v>
      </c>
      <c r="D30" s="157">
        <f ca="1"/>
        <v>3.8092199022116847E-3</v>
      </c>
      <c r="E30" s="157">
        <f ca="1"/>
        <v>3.0552771916877546E-2</v>
      </c>
      <c r="F30" s="157">
        <f ca="1"/>
        <v>1.2351851106437203E-2</v>
      </c>
      <c r="G30" s="157">
        <f ca="1"/>
        <v>1.4054298511396205E-3</v>
      </c>
      <c r="H30" s="439">
        <f ca="1"/>
        <v>5.5121139412758244E-2</v>
      </c>
      <c r="I30" s="157">
        <f ca="1"/>
        <v>5.4240277518423356E-2</v>
      </c>
      <c r="J30" s="162">
        <f ca="1"/>
        <v>3.6346616463194295</v>
      </c>
      <c r="K30" s="440">
        <f ca="1"/>
        <v>0.10878267948851832</v>
      </c>
      <c r="L30" s="157">
        <f ca="1"/>
        <v>6.601981860213485E-2</v>
      </c>
      <c r="M30" s="157">
        <f ca="1"/>
        <v>4.6561986660903605</v>
      </c>
      <c r="N30" s="157">
        <f ca="1"/>
        <v>2.0972764826942682E-2</v>
      </c>
      <c r="O30" s="157">
        <f ca="1"/>
        <v>4.4820584291475653E-3</v>
      </c>
      <c r="P30" s="157">
        <f ca="1"/>
        <v>0</v>
      </c>
      <c r="Q30" s="157">
        <f ca="1"/>
        <v>4.7612466130976068E-3</v>
      </c>
      <c r="R30" s="162">
        <f ca="1"/>
        <v>5.8704270117071175E-2</v>
      </c>
      <c r="S30" s="157">
        <f ca="1"/>
        <v>2.1674867953911619E-3</v>
      </c>
      <c r="T30" s="157">
        <f ca="1"/>
        <v>8.5852173312866945E-2</v>
      </c>
      <c r="U30" s="157">
        <f ca="1"/>
        <v>6.0158656491978633</v>
      </c>
      <c r="V30" s="157">
        <f ca="1"/>
        <v>-2.0324859412506182</v>
      </c>
      <c r="W30" s="157">
        <f ca="1"/>
        <v>3.0200303083776632</v>
      </c>
      <c r="X30" s="157">
        <f ca="1"/>
        <v>2.7516555828843501</v>
      </c>
      <c r="Y30" s="157">
        <f ca="1"/>
        <v>11.809379395248264</v>
      </c>
      <c r="Z30" s="162">
        <f ca="1"/>
        <v>4.8485230776061172</v>
      </c>
      <c r="AA30" s="162">
        <f ca="1"/>
        <v>0.55002252006706576</v>
      </c>
      <c r="AB30" s="162">
        <f ca="1"/>
        <v>-0.49441219577551082</v>
      </c>
      <c r="AC30" s="157">
        <f ca="1"/>
        <v>0.62014320334955242</v>
      </c>
      <c r="AD30" s="157">
        <f ca="1"/>
        <v>4.1873289045974142E-7</v>
      </c>
      <c r="AE30" s="157">
        <f ca="1"/>
        <v>2.4461490844928015E-3</v>
      </c>
    </row>
    <row r="31" spans="1:31" ht="15" customHeight="1">
      <c r="A31" s="17"/>
      <c r="B31" s="22">
        <f>'Oil supply projection'!$B31</f>
        <v>2040</v>
      </c>
      <c r="C31" s="157">
        <f ca="1"/>
        <v>5.0323688608971358E-2</v>
      </c>
      <c r="D31" s="157">
        <f ca="1"/>
        <v>3.9071899465866764E-3</v>
      </c>
      <c r="E31" s="157">
        <f ca="1"/>
        <v>4.8636339925271541E-2</v>
      </c>
      <c r="F31" s="157">
        <f ca="1"/>
        <v>6.9636858978476841E-3</v>
      </c>
      <c r="G31" s="157">
        <f ca="1"/>
        <v>8.2219299533894149E-4</v>
      </c>
      <c r="H31" s="439">
        <f ca="1"/>
        <v>5.5594794457121691E-2</v>
      </c>
      <c r="I31" s="157">
        <f ca="1"/>
        <v>5.6509347198421843E-2</v>
      </c>
      <c r="J31" s="162">
        <f ca="1"/>
        <v>3.6337107986313226</v>
      </c>
      <c r="K31" s="440">
        <f ca="1"/>
        <v>0.11875733079538905</v>
      </c>
      <c r="L31" s="157">
        <f ca="1"/>
        <v>7.2936056473205779E-2</v>
      </c>
      <c r="M31" s="157">
        <f ca="1"/>
        <v>4.5069189503311664</v>
      </c>
      <c r="N31" s="157">
        <f ca="1"/>
        <v>4.72033114692538E-2</v>
      </c>
      <c r="O31" s="157">
        <f ca="1"/>
        <v>3.5961306165766117E-3</v>
      </c>
      <c r="P31" s="157">
        <f ca="1"/>
        <v>0</v>
      </c>
      <c r="Q31" s="157">
        <f ca="1"/>
        <v>4.6731567216592631E-3</v>
      </c>
      <c r="R31" s="162">
        <f ca="1"/>
        <v>8.924964780254753E-2</v>
      </c>
      <c r="S31" s="157">
        <f ca="1"/>
        <v>2.0895552129598055E-3</v>
      </c>
      <c r="T31" s="157">
        <f ca="1"/>
        <v>0.13640614730499392</v>
      </c>
      <c r="U31" s="157">
        <f ca="1"/>
        <v>9.0110086506175779</v>
      </c>
      <c r="V31" s="157">
        <f ca="1"/>
        <v>7.8750800290495189</v>
      </c>
      <c r="W31" s="157">
        <f ca="1"/>
        <v>-2.2283099145937988</v>
      </c>
      <c r="X31" s="157">
        <f ca="1"/>
        <v>2.4456227340307364</v>
      </c>
      <c r="Y31" s="157">
        <f ca="1"/>
        <v>11.740565311478097</v>
      </c>
      <c r="Z31" s="162">
        <f ca="1"/>
        <v>2.8483741181855735</v>
      </c>
      <c r="AA31" s="162">
        <f ca="1"/>
        <v>0.58273749417567522</v>
      </c>
      <c r="AB31" s="162">
        <f ca="1"/>
        <v>-0.52374039501727176</v>
      </c>
      <c r="AC31" s="157">
        <f ca="1"/>
        <v>0.67852840799746716</v>
      </c>
      <c r="AD31" s="157">
        <f ca="1"/>
        <v>4.3467687329452073E-7</v>
      </c>
      <c r="AE31" s="157">
        <f ca="1"/>
        <v>2.3860254342103521E-3</v>
      </c>
    </row>
    <row r="32" spans="1:31" ht="15" customHeight="1">
      <c r="A32" s="17"/>
      <c r="B32" s="22">
        <f>'Oil supply projection'!$B32</f>
        <v>2041</v>
      </c>
      <c r="C32" s="157">
        <f ca="1"/>
        <v>5.0800071593176843E-2</v>
      </c>
      <c r="D32" s="157">
        <f ca="1"/>
        <v>3.7870639769876074E-3</v>
      </c>
      <c r="E32" s="157">
        <f ca="1"/>
        <v>1.2281752999045671E-2</v>
      </c>
      <c r="F32" s="157">
        <f ca="1"/>
        <v>8.5258611163821149E-3</v>
      </c>
      <c r="G32" s="157">
        <f ca="1"/>
        <v>1.0087069101091595E-3</v>
      </c>
      <c r="H32" s="439">
        <f ca="1"/>
        <v>5.5867252451880456E-2</v>
      </c>
      <c r="I32" s="157">
        <f ca="1"/>
        <v>5.5869765677715427E-2</v>
      </c>
      <c r="J32" s="162">
        <f ca="1"/>
        <v>3.6289146802159129</v>
      </c>
      <c r="K32" s="440">
        <f ca="1"/>
        <v>0.11269593457821327</v>
      </c>
      <c r="L32" s="157">
        <f ca="1"/>
        <v>6.9976096703354293E-2</v>
      </c>
      <c r="M32" s="157">
        <f ca="1"/>
        <v>4.4803485242404273</v>
      </c>
      <c r="N32" s="157">
        <f ca="1"/>
        <v>9.5163895171419023E-3</v>
      </c>
      <c r="O32" s="157">
        <f ca="1"/>
        <v>3.8857244094857059E-3</v>
      </c>
      <c r="P32" s="157">
        <f ca="1"/>
        <v>0</v>
      </c>
      <c r="Q32" s="157">
        <f ca="1"/>
        <v>4.6290255414499762E-3</v>
      </c>
      <c r="R32" s="162">
        <f ca="1"/>
        <v>7.1816994864537922E-2</v>
      </c>
      <c r="S32" s="157">
        <f ca="1"/>
        <v>2.0510389697528048E-3</v>
      </c>
      <c r="T32" s="157">
        <f ca="1"/>
        <v>-0.1495941250635591</v>
      </c>
      <c r="U32" s="157">
        <f ca="1"/>
        <v>6.8635196652470833</v>
      </c>
      <c r="V32" s="157">
        <f ca="1"/>
        <v>18.937779269810839</v>
      </c>
      <c r="W32" s="157">
        <f ca="1"/>
        <v>3.0450839723229985</v>
      </c>
      <c r="X32" s="157">
        <f ca="1"/>
        <v>2.5886354884247202</v>
      </c>
      <c r="Y32" s="157">
        <f ca="1"/>
        <v>12.023709078730192</v>
      </c>
      <c r="Z32" s="162">
        <f ca="1"/>
        <v>4.8713844634526042</v>
      </c>
      <c r="AA32" s="162">
        <f ca="1"/>
        <v>0.50485542173915798</v>
      </c>
      <c r="AB32" s="162">
        <f ca="1"/>
        <v>-0.5019840605824849</v>
      </c>
      <c r="AC32" s="157">
        <f ca="1"/>
        <v>-0.1076040721286719</v>
      </c>
      <c r="AD32" s="157">
        <f ca="1"/>
        <v>4.8717425688141525E-7</v>
      </c>
      <c r="AE32" s="157">
        <f ca="1"/>
        <v>2.4155062486775716E-3</v>
      </c>
    </row>
    <row r="33" spans="1:31" ht="15" customHeight="1">
      <c r="A33" s="17"/>
      <c r="B33" s="22">
        <f>'Oil supply projection'!$B33</f>
        <v>2042</v>
      </c>
      <c r="C33" s="157">
        <f ca="1"/>
        <v>5.1399392809421005E-2</v>
      </c>
      <c r="D33" s="157">
        <f ca="1"/>
        <v>3.6114554442524208E-3</v>
      </c>
      <c r="E33" s="157">
        <f ca="1"/>
        <v>2.67282701711004E-2</v>
      </c>
      <c r="F33" s="157">
        <f ca="1"/>
        <v>8.6886274636031758E-3</v>
      </c>
      <c r="G33" s="157">
        <f ca="1"/>
        <v>1.0312147349491835E-3</v>
      </c>
      <c r="H33" s="439">
        <f ca="1"/>
        <v>5.9043247829392402E-2</v>
      </c>
      <c r="I33" s="157">
        <f ca="1"/>
        <v>5.6292431805835902E-2</v>
      </c>
      <c r="J33" s="162">
        <f ca="1"/>
        <v>3.6243040282690391</v>
      </c>
      <c r="K33" s="440">
        <f ca="1"/>
        <v>0.11366003837259743</v>
      </c>
      <c r="L33" s="157">
        <f ca="1"/>
        <v>6.6094793240174629E-2</v>
      </c>
      <c r="M33" s="157">
        <f ca="1"/>
        <v>4.4832911936121205</v>
      </c>
      <c r="N33" s="157">
        <f ca="1"/>
        <v>2.5807042320023163E-2</v>
      </c>
      <c r="O33" s="157">
        <f ca="1"/>
        <v>3.7257311992304719E-3</v>
      </c>
      <c r="P33" s="157">
        <f ca="1"/>
        <v>0</v>
      </c>
      <c r="Q33" s="157">
        <f ca="1"/>
        <v>4.6202033718260038E-3</v>
      </c>
      <c r="R33" s="162">
        <f ca="1"/>
        <v>7.1455272425626812E-2</v>
      </c>
      <c r="S33" s="157">
        <f ca="1"/>
        <v>2.0433813860524525E-3</v>
      </c>
      <c r="T33" s="157">
        <f ca="1"/>
        <v>-0.21852611680157683</v>
      </c>
      <c r="U33" s="157">
        <f ca="1"/>
        <v>6.8882425116006614</v>
      </c>
      <c r="V33" s="157">
        <f ca="1"/>
        <v>14.166551845816359</v>
      </c>
      <c r="W33" s="157">
        <f ca="1"/>
        <v>3.0350681543741076</v>
      </c>
      <c r="X33" s="157">
        <f ca="1"/>
        <v>3.6406386413044465</v>
      </c>
      <c r="Y33" s="157">
        <f ca="1"/>
        <v>11.679028211368601</v>
      </c>
      <c r="Z33" s="162">
        <f ca="1"/>
        <v>3.8669705831950414</v>
      </c>
      <c r="AA33" s="162">
        <f ca="1"/>
        <v>0.55952422043563055</v>
      </c>
      <c r="AB33" s="162">
        <f ca="1"/>
        <v>-0.33903046549059984</v>
      </c>
      <c r="AC33" s="157">
        <f ca="1"/>
        <v>0.25462574768367463</v>
      </c>
      <c r="AD33" s="157">
        <f ca="1"/>
        <v>4.8558738832976522E-7</v>
      </c>
      <c r="AE33" s="157">
        <f ca="1"/>
        <v>2.2056722304556434E-3</v>
      </c>
    </row>
    <row r="34" spans="1:31" ht="15" customHeight="1">
      <c r="A34" s="17"/>
      <c r="B34" s="22">
        <f>'Oil supply projection'!$B34</f>
        <v>2043</v>
      </c>
      <c r="C34" s="157">
        <f ca="1"/>
        <v>5.0190233675737619E-2</v>
      </c>
      <c r="D34" s="157">
        <f ca="1"/>
        <v>3.5607352432185818E-3</v>
      </c>
      <c r="E34" s="157">
        <f ca="1"/>
        <v>4.5624790287038385E-2</v>
      </c>
      <c r="F34" s="157">
        <f ca="1"/>
        <v>1.4175771961460559E-2</v>
      </c>
      <c r="G34" s="157">
        <f ca="1"/>
        <v>1.6739572887571525E-3</v>
      </c>
      <c r="H34" s="439">
        <f ca="1"/>
        <v>5.6897649598455419E-2</v>
      </c>
      <c r="I34" s="157">
        <f ca="1"/>
        <v>5.5753709667498576E-2</v>
      </c>
      <c r="J34" s="162">
        <f ca="1"/>
        <v>3.6227987653558551</v>
      </c>
      <c r="K34" s="440">
        <f ca="1"/>
        <v>0.11163382926467</v>
      </c>
      <c r="L34" s="157">
        <f ca="1"/>
        <v>6.1594541709828421E-2</v>
      </c>
      <c r="M34" s="157">
        <f ca="1"/>
        <v>4.5238458291405745</v>
      </c>
      <c r="N34" s="157">
        <f ca="1"/>
        <v>5.8430186711602099E-2</v>
      </c>
      <c r="O34" s="157">
        <f ca="1"/>
        <v>4.4688285329772667E-3</v>
      </c>
      <c r="P34" s="157">
        <f ca="1"/>
        <v>0</v>
      </c>
      <c r="Q34" s="157">
        <f ca="1"/>
        <v>4.6388403531038179E-3</v>
      </c>
      <c r="R34" s="162">
        <f ca="1"/>
        <v>7.8832265193406012E-2</v>
      </c>
      <c r="S34" s="157">
        <f ca="1"/>
        <v>2.0595746521691787E-3</v>
      </c>
      <c r="T34" s="157">
        <f ca="1"/>
        <v>-0.30477046018883952</v>
      </c>
      <c r="U34" s="157">
        <f ca="1"/>
        <v>8.7296332263746024</v>
      </c>
      <c r="V34" s="157">
        <f ca="1"/>
        <v>7.5745642109138371</v>
      </c>
      <c r="W34" s="157">
        <f ca="1"/>
        <v>3.0416513871175352</v>
      </c>
      <c r="X34" s="157">
        <f ca="1"/>
        <v>3.5190998086629408</v>
      </c>
      <c r="Y34" s="157">
        <f ca="1"/>
        <v>12.229645018830702</v>
      </c>
      <c r="Z34" s="162">
        <f ca="1"/>
        <v>4.3712024439917299</v>
      </c>
      <c r="AA34" s="162">
        <f ca="1"/>
        <v>0.55165013513136563</v>
      </c>
      <c r="AB34" s="162">
        <f ca="1"/>
        <v>-0.34040398569071756</v>
      </c>
      <c r="AC34" s="157">
        <f ca="1"/>
        <v>0.53581256473933869</v>
      </c>
      <c r="AD34" s="157">
        <f ca="1"/>
        <v>3.7929331690006977E-7</v>
      </c>
      <c r="AE34" s="157">
        <f ca="1"/>
        <v>2.2807438401441595E-3</v>
      </c>
    </row>
    <row r="35" spans="1:31" ht="15" customHeight="1">
      <c r="A35" s="17"/>
      <c r="B35" s="22">
        <f>'Oil supply projection'!$B35</f>
        <v>2044</v>
      </c>
      <c r="C35" s="157">
        <f ca="1"/>
        <v>5.2609889336312915E-2</v>
      </c>
      <c r="D35" s="157">
        <f ca="1"/>
        <v>3.5466552513835326E-3</v>
      </c>
      <c r="E35" s="157">
        <f ca="1"/>
        <v>3.0809973339645025E-2</v>
      </c>
      <c r="F35" s="157">
        <f ca="1"/>
        <v>1.2084378867791819E-2</v>
      </c>
      <c r="G35" s="157">
        <f ca="1"/>
        <v>1.481579874675783E-3</v>
      </c>
      <c r="H35" s="439">
        <f ca="1"/>
        <v>5.5049360230866214E-2</v>
      </c>
      <c r="I35" s="157">
        <f ca="1"/>
        <v>5.3998940367127483E-2</v>
      </c>
      <c r="J35" s="162">
        <f ca="1"/>
        <v>3.6174923314598799</v>
      </c>
      <c r="K35" s="440">
        <f ca="1"/>
        <v>0.10596754031229771</v>
      </c>
      <c r="L35" s="157">
        <f ca="1"/>
        <v>6.277628444371712E-2</v>
      </c>
      <c r="M35" s="157">
        <f ca="1"/>
        <v>4.5247186441415952</v>
      </c>
      <c r="N35" s="157">
        <f ca="1"/>
        <v>3.4861711030308995E-2</v>
      </c>
      <c r="O35" s="157">
        <f ca="1"/>
        <v>4.0044072983585928E-3</v>
      </c>
      <c r="P35" s="157">
        <f ca="1"/>
        <v>0</v>
      </c>
      <c r="Q35" s="157">
        <f ca="1"/>
        <v>4.6449918901933932E-3</v>
      </c>
      <c r="R35" s="162">
        <f ca="1"/>
        <v>8.7376868897694013E-2</v>
      </c>
      <c r="S35" s="157">
        <f ca="1"/>
        <v>2.0649333362580563E-3</v>
      </c>
      <c r="T35" s="157">
        <f ca="1"/>
        <v>-0.3086071614547562</v>
      </c>
      <c r="U35" s="157">
        <f ca="1"/>
        <v>6.2379589635980119</v>
      </c>
      <c r="V35" s="157">
        <f ca="1"/>
        <v>7.078153890726818</v>
      </c>
      <c r="W35" s="157">
        <f ca="1"/>
        <v>2.7939795645751846</v>
      </c>
      <c r="X35" s="157">
        <f ca="1"/>
        <v>3.1134207183130869</v>
      </c>
      <c r="Y35" s="157">
        <f ca="1"/>
        <v>12.572537972295809</v>
      </c>
      <c r="Z35" s="162">
        <f ca="1"/>
        <v>4.64673797717486</v>
      </c>
      <c r="AA35" s="162">
        <f ca="1"/>
        <v>0.6165711067980344</v>
      </c>
      <c r="AB35" s="162">
        <f ca="1"/>
        <v>-0.36931870793759125</v>
      </c>
      <c r="AC35" s="157">
        <f ca="1"/>
        <v>0.67711273813625705</v>
      </c>
      <c r="AD35" s="157">
        <f ca="1"/>
        <v>3.8684079063629771E-7</v>
      </c>
      <c r="AE35" s="157">
        <f ca="1"/>
        <v>2.9273190052464806E-3</v>
      </c>
    </row>
    <row r="36" spans="1:31" ht="15" customHeight="1">
      <c r="A36" s="17"/>
      <c r="B36" s="22">
        <f>'Oil supply projection'!$B36</f>
        <v>2045</v>
      </c>
      <c r="C36" s="157">
        <f ca="1"/>
        <v>5.2028269140608346E-2</v>
      </c>
      <c r="D36" s="157">
        <f ca="1"/>
        <v>3.4261060540685989E-3</v>
      </c>
      <c r="E36" s="157">
        <f ca="1"/>
        <v>3.3782233773757157E-2</v>
      </c>
      <c r="F36" s="157">
        <f ca="1"/>
        <v>1.5361408213646417E-2</v>
      </c>
      <c r="G36" s="157">
        <f ca="1"/>
        <v>1.853909916709967E-3</v>
      </c>
      <c r="H36" s="439">
        <f ca="1"/>
        <v>5.7953324582295983E-2</v>
      </c>
      <c r="I36" s="157">
        <f ca="1"/>
        <v>5.4571189668979239E-2</v>
      </c>
      <c r="J36" s="162">
        <f ca="1"/>
        <v>3.6147074559468262</v>
      </c>
      <c r="K36" s="440">
        <f ca="1"/>
        <v>0.10699838867866963</v>
      </c>
      <c r="L36" s="157">
        <f ca="1"/>
        <v>6.0422802671658851E-2</v>
      </c>
      <c r="M36" s="157">
        <f ca="1"/>
        <v>4.5603265406246987</v>
      </c>
      <c r="N36" s="157">
        <f ca="1"/>
        <v>5.9242348785917234E-2</v>
      </c>
      <c r="O36" s="157">
        <f ca="1"/>
        <v>4.6852637504638181E-3</v>
      </c>
      <c r="P36" s="157">
        <f ca="1"/>
        <v>0</v>
      </c>
      <c r="Q36" s="157">
        <f ca="1"/>
        <v>4.6711351062949484E-3</v>
      </c>
      <c r="R36" s="162">
        <f ca="1"/>
        <v>8.5287560487299865E-2</v>
      </c>
      <c r="S36" s="157">
        <f ca="1"/>
        <v>2.0877831400179796E-3</v>
      </c>
      <c r="T36" s="157">
        <f ca="1"/>
        <v>-0.32064488952310127</v>
      </c>
      <c r="U36" s="157">
        <f ca="1"/>
        <v>4.3136066340788952</v>
      </c>
      <c r="V36" s="157">
        <f ca="1"/>
        <v>9.6706167785969992</v>
      </c>
      <c r="W36" s="157">
        <f ca="1"/>
        <v>3.2272602224942109</v>
      </c>
      <c r="X36" s="157">
        <f ca="1"/>
        <v>3.3611104740257614</v>
      </c>
      <c r="Y36" s="157">
        <f ca="1"/>
        <v>12.079245035637232</v>
      </c>
      <c r="Z36" s="162">
        <f ca="1"/>
        <v>5.2117933257101088</v>
      </c>
      <c r="AA36" s="162">
        <f ca="1"/>
        <v>0.7170832639242759</v>
      </c>
      <c r="AB36" s="162">
        <f ca="1"/>
        <v>-0.42797798338211623</v>
      </c>
      <c r="AC36" s="157">
        <f ca="1"/>
        <v>-0.25524838653634313</v>
      </c>
      <c r="AD36" s="157">
        <f ca="1"/>
        <v>3.6647332423500449E-7</v>
      </c>
      <c r="AE36" s="157">
        <f ca="1"/>
        <v>2.2329178141616726E-3</v>
      </c>
    </row>
    <row r="37" spans="1:31" ht="15" customHeight="1">
      <c r="A37" s="17"/>
      <c r="B37" s="22">
        <f>'Oil supply projection'!$B37</f>
        <v>2046</v>
      </c>
      <c r="C37" s="157">
        <f ca="1"/>
        <v>5.2205572511295997E-2</v>
      </c>
      <c r="D37" s="157">
        <f ca="1"/>
        <v>3.3870456097436618E-3</v>
      </c>
      <c r="E37" s="157">
        <f ca="1"/>
        <v>3.9813219790052895E-2</v>
      </c>
      <c r="F37" s="157">
        <f ca="1"/>
        <v>1.1902754278652653E-2</v>
      </c>
      <c r="G37" s="157">
        <f ca="1"/>
        <v>1.4719289946733022E-3</v>
      </c>
      <c r="H37" s="439">
        <f ca="1"/>
        <v>5.9174643547393165E-2</v>
      </c>
      <c r="I37" s="157">
        <f ca="1"/>
        <v>5.4502555417400511E-2</v>
      </c>
      <c r="J37" s="162">
        <f ca="1"/>
        <v>3.6179726099645206</v>
      </c>
      <c r="K37" s="440">
        <f ca="1"/>
        <v>0.10818649497162044</v>
      </c>
      <c r="L37" s="157">
        <f ca="1"/>
        <v>5.9289728923858476E-2</v>
      </c>
      <c r="M37" s="157">
        <f ca="1"/>
        <v>4.4968683490043322</v>
      </c>
      <c r="N37" s="157">
        <f ca="1"/>
        <v>5.8064945212152531E-2</v>
      </c>
      <c r="O37" s="157">
        <f ca="1"/>
        <v>3.9760649033743775E-3</v>
      </c>
      <c r="P37" s="157">
        <f ca="1"/>
        <v>0</v>
      </c>
      <c r="Q37" s="157">
        <f ca="1"/>
        <v>4.6444575804679335E-3</v>
      </c>
      <c r="R37" s="162">
        <f ca="1"/>
        <v>8.6941574427566226E-2</v>
      </c>
      <c r="S37" s="157">
        <f ca="1"/>
        <v>2.0644676215228674E-3</v>
      </c>
      <c r="T37" s="157">
        <f ca="1"/>
        <v>0.15259886174520607</v>
      </c>
      <c r="U37" s="157">
        <f ca="1"/>
        <v>7.5770592031228423</v>
      </c>
      <c r="V37" s="157">
        <f ca="1"/>
        <v>-3.6323224284555042</v>
      </c>
      <c r="W37" s="157">
        <f ca="1"/>
        <v>2.8757232578183567</v>
      </c>
      <c r="X37" s="157">
        <f ca="1"/>
        <v>2.964014703869585</v>
      </c>
      <c r="Y37" s="157">
        <f ca="1"/>
        <v>11.770951469427047</v>
      </c>
      <c r="Z37" s="162">
        <f ca="1"/>
        <v>3.4494382566448807</v>
      </c>
      <c r="AA37" s="162">
        <f ca="1"/>
        <v>0.70250770486860969</v>
      </c>
      <c r="AB37" s="162">
        <f ca="1"/>
        <v>-0.34700814601965374</v>
      </c>
      <c r="AC37" s="157">
        <f ca="1"/>
        <v>0.14880199674084119</v>
      </c>
      <c r="AD37" s="157">
        <f ca="1"/>
        <v>2.9091993140990643E-7</v>
      </c>
      <c r="AE37" s="157">
        <f ca="1"/>
        <v>2.0381808994294321E-3</v>
      </c>
    </row>
    <row r="38" spans="1:31" ht="15" customHeight="1">
      <c r="A38" s="17"/>
      <c r="B38" s="22">
        <f>'Oil supply projection'!$B38</f>
        <v>2047</v>
      </c>
      <c r="C38" s="157">
        <f ca="1"/>
        <v>5.243639013554529E-2</v>
      </c>
      <c r="D38" s="157">
        <f ca="1"/>
        <v>3.2617800223481166E-3</v>
      </c>
      <c r="E38" s="157">
        <f ca="1"/>
        <v>2.7672208195015421E-2</v>
      </c>
      <c r="F38" s="157">
        <f ca="1"/>
        <v>1.2230368828435591E-2</v>
      </c>
      <c r="G38" s="157">
        <f ca="1"/>
        <v>1.5099233465234968E-3</v>
      </c>
      <c r="H38" s="439">
        <f ca="1"/>
        <v>6.0177999721062282E-2</v>
      </c>
      <c r="I38" s="157">
        <f ca="1"/>
        <v>5.4022254729249132E-2</v>
      </c>
      <c r="J38" s="162">
        <f ca="1"/>
        <v>3.6107198754123386</v>
      </c>
      <c r="K38" s="440">
        <f ca="1"/>
        <v>8.8539115975597049E-2</v>
      </c>
      <c r="L38" s="157">
        <f ca="1"/>
        <v>5.6588236644919139E-2</v>
      </c>
      <c r="M38" s="157">
        <f ca="1"/>
        <v>4.6267445645154579</v>
      </c>
      <c r="N38" s="157">
        <f ca="1"/>
        <v>2.7535625874841794E-2</v>
      </c>
      <c r="O38" s="157">
        <f ca="1"/>
        <v>4.4304827433333258E-3</v>
      </c>
      <c r="P38" s="157">
        <f ca="1"/>
        <v>0</v>
      </c>
      <c r="Q38" s="157">
        <f ca="1"/>
        <v>4.6873621310238598E-3</v>
      </c>
      <c r="R38" s="162">
        <f ca="1"/>
        <v>7.8854659342967107E-2</v>
      </c>
      <c r="S38" s="157">
        <f ca="1"/>
        <v>2.1020279219889472E-3</v>
      </c>
      <c r="T38" s="157">
        <f ca="1"/>
        <v>0.25858957706989505</v>
      </c>
      <c r="U38" s="157">
        <f ca="1"/>
        <v>4.6872941671255708</v>
      </c>
      <c r="V38" s="157">
        <f ca="1"/>
        <v>18.0561647020658</v>
      </c>
      <c r="W38" s="157">
        <f ca="1"/>
        <v>2.9402636052581621</v>
      </c>
      <c r="X38" s="157">
        <f ca="1"/>
        <v>3.5295692995897805</v>
      </c>
      <c r="Y38" s="157">
        <f ca="1"/>
        <v>13.844929315238179</v>
      </c>
      <c r="Z38" s="162">
        <f ca="1"/>
        <v>4.4844528650551663</v>
      </c>
      <c r="AA38" s="162">
        <f ca="1"/>
        <v>0.63336340977401784</v>
      </c>
      <c r="AB38" s="162">
        <f ca="1"/>
        <v>-0.44349771954030065</v>
      </c>
      <c r="AC38" s="157">
        <f ca="1"/>
        <v>0.66985686717904314</v>
      </c>
      <c r="AD38" s="157">
        <f ca="1"/>
        <v>3.2274514301463039E-7</v>
      </c>
      <c r="AE38" s="157">
        <f ca="1"/>
        <v>2.5186795241275328E-3</v>
      </c>
    </row>
    <row r="39" spans="1:31" ht="15" customHeight="1">
      <c r="A39" s="19"/>
      <c r="B39" s="22">
        <f>'Oil supply projection'!$B39</f>
        <v>2048</v>
      </c>
      <c r="C39" s="157">
        <f ca="1"/>
        <v>5.1010261541637632E-2</v>
      </c>
      <c r="D39" s="157">
        <f ca="1"/>
        <v>3.153965024097009E-3</v>
      </c>
      <c r="E39" s="157">
        <f ca="1"/>
        <v>3.5152372745300468E-2</v>
      </c>
      <c r="F39" s="157">
        <f ca="1"/>
        <v>1.0145991506002766E-2</v>
      </c>
      <c r="G39" s="157">
        <f ca="1"/>
        <v>1.2754243495000351E-3</v>
      </c>
      <c r="H39" s="439">
        <f ca="1"/>
        <v>6.356887513858063E-2</v>
      </c>
      <c r="I39" s="157">
        <f ca="1"/>
        <v>5.3637387602357596E-2</v>
      </c>
      <c r="J39" s="162">
        <f ca="1"/>
        <v>3.5977378199358125</v>
      </c>
      <c r="K39" s="440">
        <f ca="1"/>
        <v>0.10914613382846644</v>
      </c>
      <c r="L39" s="157">
        <f ca="1"/>
        <v>6.0192319918556052E-2</v>
      </c>
      <c r="M39" s="157">
        <f ca="1"/>
        <v>4.6343826684426483</v>
      </c>
      <c r="N39" s="157">
        <f ca="1"/>
        <v>4.9307712764652574E-2</v>
      </c>
      <c r="O39" s="157">
        <f ca="1"/>
        <v>4.1537121011870123E-3</v>
      </c>
      <c r="P39" s="157">
        <f ca="1"/>
        <v>0</v>
      </c>
      <c r="Q39" s="157">
        <f ca="1"/>
        <v>4.7072643626313365E-3</v>
      </c>
      <c r="R39" s="162">
        <f ca="1"/>
        <v>8.9678696918279455E-2</v>
      </c>
      <c r="S39" s="157">
        <f ca="1"/>
        <v>2.1195637573160203E-3</v>
      </c>
      <c r="T39" s="157">
        <f ca="1"/>
        <v>0.17289714747969082</v>
      </c>
      <c r="U39" s="157">
        <f ca="1"/>
        <v>9.478825927942184</v>
      </c>
      <c r="V39" s="157">
        <f ca="1"/>
        <v>0.57067701628392675</v>
      </c>
      <c r="W39" s="157">
        <f ca="1"/>
        <v>3.2921736198082554</v>
      </c>
      <c r="X39" s="157">
        <f ca="1"/>
        <v>3.0064310958894165</v>
      </c>
      <c r="Y39" s="157">
        <f ca="1"/>
        <v>13.093917973447102</v>
      </c>
      <c r="Z39" s="162">
        <f ca="1"/>
        <v>2.4779483103911182</v>
      </c>
      <c r="AA39" s="162">
        <f ca="1"/>
        <v>0.62998788141173301</v>
      </c>
      <c r="AB39" s="162">
        <f ca="1"/>
        <v>-0.49824838208222078</v>
      </c>
      <c r="AC39" s="157">
        <f ca="1"/>
        <v>0.17990037180538015</v>
      </c>
      <c r="AD39" s="157">
        <f ca="1"/>
        <v>3.1810601478201197E-7</v>
      </c>
      <c r="AE39" s="157">
        <f ca="1"/>
        <v>2.9713158413715995E-3</v>
      </c>
    </row>
    <row r="40" spans="1:31" ht="15" customHeight="1">
      <c r="A40" s="17"/>
      <c r="B40" s="22">
        <f>'Oil supply projection'!$B40</f>
        <v>2049</v>
      </c>
      <c r="C40" s="157">
        <f ca="1"/>
        <v>5.2426852277170831E-2</v>
      </c>
      <c r="D40" s="157">
        <f ca="1"/>
        <v>3.1091082930541454E-3</v>
      </c>
      <c r="E40" s="157">
        <f ca="1"/>
        <v>3.253580771523458E-2</v>
      </c>
      <c r="F40" s="157">
        <f ca="1"/>
        <v>7.5728998993355627E-3</v>
      </c>
      <c r="G40" s="157">
        <f ca="1"/>
        <v>1.0013790420098094E-3</v>
      </c>
      <c r="H40" s="439">
        <f ca="1"/>
        <v>5.8774878756099047E-2</v>
      </c>
      <c r="I40" s="157">
        <f ca="1"/>
        <v>5.3911815143054827E-2</v>
      </c>
      <c r="J40" s="162">
        <f ca="1"/>
        <v>3.593783860781842</v>
      </c>
      <c r="K40" s="440">
        <f ca="1"/>
        <v>9.8535927491396127E-2</v>
      </c>
      <c r="L40" s="157">
        <f ca="1"/>
        <v>5.8021117742025993E-2</v>
      </c>
      <c r="M40" s="157">
        <f ca="1"/>
        <v>4.6511617253871345</v>
      </c>
      <c r="N40" s="157">
        <f ca="1"/>
        <v>4.7848489182798257E-2</v>
      </c>
      <c r="O40" s="157">
        <f ca="1"/>
        <v>4.0647762254807981E-3</v>
      </c>
      <c r="P40" s="157">
        <f ca="1"/>
        <v>0</v>
      </c>
      <c r="Q40" s="157">
        <f ca="1"/>
        <v>4.7282999803644728E-3</v>
      </c>
      <c r="R40" s="162">
        <f ca="1"/>
        <v>8.512237255854016E-2</v>
      </c>
      <c r="S40" s="157">
        <f ca="1"/>
        <v>2.1381758094381675E-3</v>
      </c>
      <c r="T40" s="157">
        <f ca="1"/>
        <v>0.20682556568075861</v>
      </c>
      <c r="U40" s="157">
        <f ca="1"/>
        <v>5.8311804111165992</v>
      </c>
      <c r="V40" s="157">
        <f ca="1"/>
        <v>6.9803807958117172</v>
      </c>
      <c r="W40" s="157">
        <f ca="1"/>
        <v>0.74579415765402857</v>
      </c>
      <c r="X40" s="157">
        <f ca="1"/>
        <v>2.0577902668293735</v>
      </c>
      <c r="Y40" s="157">
        <f ca="1"/>
        <v>13.578280991864599</v>
      </c>
      <c r="Z40" s="162">
        <f ca="1"/>
        <v>4.3841513707955171</v>
      </c>
      <c r="AA40" s="162">
        <f ca="1"/>
        <v>0.74066457311157585</v>
      </c>
      <c r="AB40" s="162">
        <f ca="1"/>
        <v>-0.60828559834640872</v>
      </c>
      <c r="AC40" s="157">
        <f ca="1"/>
        <v>0.47451645673552317</v>
      </c>
      <c r="AD40" s="157">
        <f ca="1"/>
        <v>2.8059012761883913E-7</v>
      </c>
      <c r="AE40" s="157">
        <f ca="1"/>
        <v>1.9754866781015942E-3</v>
      </c>
    </row>
    <row r="41" spans="1:31" ht="15" customHeight="1">
      <c r="A41" s="17"/>
      <c r="B41" s="22">
        <f>'Oil supply projection'!$B41</f>
        <v>2050</v>
      </c>
      <c r="C41" s="157">
        <f ca="1"/>
        <v>5.1871038272964999E-2</v>
      </c>
      <c r="D41" s="157">
        <f ca="1"/>
        <v>3.0084318800913854E-3</v>
      </c>
      <c r="E41" s="157">
        <f ca="1"/>
        <v>2.3785079793953007E-3</v>
      </c>
      <c r="F41" s="157">
        <f ca="1"/>
        <v>6.6728857748547419E-3</v>
      </c>
      <c r="G41" s="157">
        <f ca="1"/>
        <v>9.1270311654080018E-4</v>
      </c>
      <c r="H41" s="439">
        <f ca="1"/>
        <v>6.1444607151139176E-2</v>
      </c>
      <c r="I41" s="157">
        <f ca="1"/>
        <v>4.7274352812070645E-2</v>
      </c>
      <c r="J41" s="162">
        <f ca="1"/>
        <v>3.5892806822142043</v>
      </c>
      <c r="K41" s="440">
        <f ca="1"/>
        <v>0.10544980397080472</v>
      </c>
      <c r="L41" s="157">
        <f ca="1"/>
        <v>6.1609189133377734E-2</v>
      </c>
      <c r="M41" s="157">
        <f ca="1"/>
        <v>4.7943550202518619</v>
      </c>
      <c r="N41" s="157">
        <f ca="1"/>
        <v>1.9626903102493324E-2</v>
      </c>
      <c r="O41" s="157">
        <f ca="1"/>
        <v>4.0089907976297613E-3</v>
      </c>
      <c r="P41" s="157">
        <f ca="1"/>
        <v>0</v>
      </c>
      <c r="Q41" s="157">
        <f ca="1"/>
        <v>4.719237343320689E-3</v>
      </c>
      <c r="R41" s="162">
        <f ca="1"/>
        <v>8.6142322598480606E-2</v>
      </c>
      <c r="S41" s="157">
        <f ca="1"/>
        <v>2.1301475254541327E-3</v>
      </c>
      <c r="T41" s="157">
        <f ca="1"/>
        <v>0.12845178177887628</v>
      </c>
      <c r="U41" s="157">
        <f ca="1"/>
        <v>8.8335216833071364</v>
      </c>
      <c r="V41" s="157">
        <f ca="1"/>
        <v>-10.666693930017198</v>
      </c>
      <c r="W41" s="157">
        <f ca="1"/>
        <v>-0.89847555640631516</v>
      </c>
      <c r="X41" s="157">
        <f ca="1"/>
        <v>3.3661393862119215</v>
      </c>
      <c r="Y41" s="157">
        <f ca="1"/>
        <v>14.151743515860078</v>
      </c>
      <c r="Z41" s="162">
        <f ca="1"/>
        <v>3.3943942954580866</v>
      </c>
      <c r="AA41" s="162">
        <f ca="1"/>
        <v>0.84266325904651507</v>
      </c>
      <c r="AB41" s="162">
        <f ca="1"/>
        <v>-0.69825697630730788</v>
      </c>
      <c r="AC41" s="157">
        <f ca="1"/>
        <v>0.24914813601292196</v>
      </c>
      <c r="AD41" s="157">
        <f ca="1"/>
        <v>1.9681795667222338E-7</v>
      </c>
      <c r="AE41" s="157">
        <f ca="1"/>
        <v>4.1322527190623933E-3</v>
      </c>
    </row>
    <row r="42" spans="1:31" ht="15" customHeight="1">
      <c r="A42" s="17"/>
      <c r="B42" s="22">
        <f>'Oil supply projection'!$B42</f>
        <v>2051</v>
      </c>
      <c r="C42" s="157">
        <f ca="1"/>
        <v>5.2657957642129195E-2</v>
      </c>
      <c r="D42" s="157">
        <f ca="1"/>
        <v>3.3860771283646561E-3</v>
      </c>
      <c r="E42" s="157">
        <f ca="1"/>
        <v>3.6832530495125755E-2</v>
      </c>
      <c r="F42" s="157">
        <f ca="1"/>
        <v>1.0400627224612193E-2</v>
      </c>
      <c r="G42" s="157">
        <f ca="1"/>
        <v>1.2285967750639765E-3</v>
      </c>
      <c r="H42" s="439">
        <f ca="1"/>
        <v>6.0975233939193754E-2</v>
      </c>
      <c r="I42" s="157">
        <f ca="1"/>
        <v>5.4875048535101785E-2</v>
      </c>
      <c r="J42" s="162">
        <f ca="1"/>
        <v>3.7454321731903404</v>
      </c>
      <c r="K42" s="440">
        <f ca="1"/>
        <v>0.10932125574993069</v>
      </c>
      <c r="L42" s="157">
        <f ca="1"/>
        <v>6.4688390249319216E-2</v>
      </c>
      <c r="M42" s="157">
        <f ca="1"/>
        <v>4.718597693993015</v>
      </c>
      <c r="N42" s="157">
        <f ca="1"/>
        <v>4.4779983387601828E-2</v>
      </c>
      <c r="O42" s="157">
        <f ca="1"/>
        <v>4.2773465434290236E-3</v>
      </c>
      <c r="P42" s="157">
        <f ca="1"/>
        <v>0</v>
      </c>
      <c r="Q42" s="157">
        <f ca="1"/>
        <v>4.8055008555412922E-3</v>
      </c>
      <c r="R42" s="162">
        <f ca="1"/>
        <v>8.3373845281126652E-2</v>
      </c>
      <c r="S42" s="157">
        <f ca="1"/>
        <v>2.1659822986794552E-3</v>
      </c>
      <c r="T42" s="157">
        <f ca="1"/>
        <v>0.24646479034734398</v>
      </c>
      <c r="U42" s="157">
        <f ca="1"/>
        <v>7.5424594473419768</v>
      </c>
      <c r="V42" s="157">
        <f ca="1"/>
        <v>16.239499905969041</v>
      </c>
      <c r="W42" s="157">
        <f ca="1"/>
        <v>4.4544928756695858</v>
      </c>
      <c r="X42" s="157">
        <f ca="1"/>
        <v>5.479380414825771</v>
      </c>
      <c r="Y42" s="157">
        <f ca="1"/>
        <v>14.115158871252769</v>
      </c>
      <c r="Z42" s="162">
        <f ca="1"/>
        <v>4.8347330000766169</v>
      </c>
      <c r="AA42" s="162">
        <f ca="1"/>
        <v>0.54533357404981897</v>
      </c>
      <c r="AB42" s="162">
        <f ca="1"/>
        <v>-0.2121441299074571</v>
      </c>
      <c r="AC42" s="157">
        <f ca="1"/>
        <v>0.58352585239073573</v>
      </c>
      <c r="AD42" s="157">
        <f ca="1"/>
        <v>2.2833652875391806E-7</v>
      </c>
      <c r="AE42" s="157">
        <f ca="1"/>
        <v>2.2182243399487527E-3</v>
      </c>
    </row>
    <row r="43" spans="1:31" ht="15" customHeight="1">
      <c r="A43" s="17"/>
      <c r="B43" s="22">
        <f>'Oil supply projection'!$B43</f>
        <v>2052</v>
      </c>
      <c r="C43" s="157">
        <f ca="1"/>
        <v>5.2799875704981486E-2</v>
      </c>
      <c r="D43" s="157">
        <f ca="1"/>
        <v>3.3910769057085397E-3</v>
      </c>
      <c r="E43" s="157">
        <f ca="1"/>
        <v>3.7053250014732565E-2</v>
      </c>
      <c r="F43" s="157">
        <f ca="1"/>
        <v>1.0446426553749576E-2</v>
      </c>
      <c r="G43" s="157">
        <f ca="1"/>
        <v>1.2321326750288255E-3</v>
      </c>
      <c r="H43" s="439">
        <f ca="1"/>
        <v>6.132161163959584E-2</v>
      </c>
      <c r="I43" s="157">
        <f ca="1"/>
        <v>5.504301767883809E-2</v>
      </c>
      <c r="J43" s="162">
        <f ca="1"/>
        <v>3.7658155384278986</v>
      </c>
      <c r="K43" s="440">
        <f ca="1"/>
        <v>0.10984939511177387</v>
      </c>
      <c r="L43" s="157">
        <f ca="1"/>
        <v>6.4738502759241118E-2</v>
      </c>
      <c r="M43" s="157">
        <f ca="1"/>
        <v>4.7232187597137294</v>
      </c>
      <c r="N43" s="157">
        <f ca="1"/>
        <v>4.4888041355553646E-2</v>
      </c>
      <c r="O43" s="157">
        <f ca="1"/>
        <v>4.2659306084905542E-3</v>
      </c>
      <c r="P43" s="157">
        <f ca="1"/>
        <v>0</v>
      </c>
      <c r="Q43" s="157">
        <f ca="1"/>
        <v>4.8125962900790195E-3</v>
      </c>
      <c r="R43" s="162">
        <f ca="1"/>
        <v>8.334586685689474E-2</v>
      </c>
      <c r="S43" s="157">
        <f ca="1"/>
        <v>2.1660778334718139E-3</v>
      </c>
      <c r="T43" s="157">
        <f ca="1"/>
        <v>0.24876734213338469</v>
      </c>
      <c r="U43" s="157">
        <f ca="1"/>
        <v>7.6178592680657014</v>
      </c>
      <c r="V43" s="157">
        <f ca="1"/>
        <v>16.431919480209039</v>
      </c>
      <c r="W43" s="157">
        <f ca="1"/>
        <v>4.4874935886824332</v>
      </c>
      <c r="X43" s="157">
        <f ca="1"/>
        <v>5.5249356321035554</v>
      </c>
      <c r="Y43" s="157">
        <f ca="1"/>
        <v>14.216536152669292</v>
      </c>
      <c r="Z43" s="162">
        <f ca="1"/>
        <v>4.8752936686813459</v>
      </c>
      <c r="AA43" s="162">
        <f ca="1"/>
        <v>0.5478333193461582</v>
      </c>
      <c r="AB43" s="162">
        <f ca="1"/>
        <v>-0.21365578433039562</v>
      </c>
      <c r="AC43" s="157">
        <f ca="1"/>
        <v>0.58803593801798182</v>
      </c>
      <c r="AD43" s="157">
        <f ca="1"/>
        <v>2.1236377870027866E-7</v>
      </c>
      <c r="AE43" s="157">
        <f ca="1"/>
        <v>2.1668999653144611E-3</v>
      </c>
    </row>
    <row r="44" spans="1:31" ht="15" customHeight="1">
      <c r="A44" s="17"/>
      <c r="B44" s="22">
        <f>'Oil supply projection'!$B44</f>
        <v>2053</v>
      </c>
      <c r="C44" s="157">
        <f ca="1"/>
        <v>5.2942176250130271E-2</v>
      </c>
      <c r="D44" s="157">
        <f ca="1"/>
        <v>3.3960840655698726E-3</v>
      </c>
      <c r="E44" s="157">
        <f ca="1"/>
        <v>3.7275292199539942E-2</v>
      </c>
      <c r="F44" s="157">
        <f ca="1"/>
        <v>1.0492427560968904E-2</v>
      </c>
      <c r="G44" s="157">
        <f ca="1"/>
        <v>1.2356787513093028E-3</v>
      </c>
      <c r="H44" s="439">
        <f ca="1"/>
        <v>6.166995698331118E-2</v>
      </c>
      <c r="I44" s="157">
        <f ca="1"/>
        <v>5.5211500965777864E-2</v>
      </c>
      <c r="J44" s="162">
        <f ca="1"/>
        <v>3.7863098338756984</v>
      </c>
      <c r="K44" s="440">
        <f ca="1"/>
        <v>0.11038008595533606</v>
      </c>
      <c r="L44" s="157">
        <f ca="1"/>
        <v>6.4788654090095807E-2</v>
      </c>
      <c r="M44" s="157">
        <f ca="1"/>
        <v>4.7278443509841441</v>
      </c>
      <c r="N44" s="157">
        <f ca="1"/>
        <v>4.4996360076716049E-2</v>
      </c>
      <c r="O44" s="157">
        <f ca="1"/>
        <v>4.2545451418737916E-3</v>
      </c>
      <c r="P44" s="157">
        <f ca="1"/>
        <v>0</v>
      </c>
      <c r="Q44" s="157">
        <f ca="1"/>
        <v>4.8197022011919922E-3</v>
      </c>
      <c r="R44" s="162">
        <f ca="1"/>
        <v>8.3317897821605105E-2</v>
      </c>
      <c r="S44" s="157">
        <f ca="1"/>
        <v>2.1661733724779152E-3</v>
      </c>
      <c r="T44" s="157">
        <f ca="1"/>
        <v>0.25109140508424582</v>
      </c>
      <c r="U44" s="157">
        <f ca="1"/>
        <v>7.6940128393405116</v>
      </c>
      <c r="V44" s="157">
        <f ca="1"/>
        <v>16.626619007204102</v>
      </c>
      <c r="W44" s="157">
        <f ca="1"/>
        <v>4.5207387845331084</v>
      </c>
      <c r="X44" s="157">
        <f ca="1"/>
        <v>5.5708695925355496</v>
      </c>
      <c r="Y44" s="157">
        <f ca="1"/>
        <v>14.318641541596467</v>
      </c>
      <c r="Z44" s="162">
        <f ca="1"/>
        <v>4.9161946182979932</v>
      </c>
      <c r="AA44" s="162">
        <f ca="1"/>
        <v>0.55034452318244986</v>
      </c>
      <c r="AB44" s="162">
        <f ca="1"/>
        <v>-0.21517821019959291</v>
      </c>
      <c r="AC44" s="157">
        <f ca="1"/>
        <v>0.59258088220767557</v>
      </c>
      <c r="AD44" s="157">
        <f ca="1"/>
        <v>1.9750836517473813E-7</v>
      </c>
      <c r="AE44" s="157">
        <f ca="1"/>
        <v>2.1167631132333001E-3</v>
      </c>
    </row>
    <row r="45" spans="1:31" ht="15" customHeight="1">
      <c r="A45" s="17"/>
      <c r="B45" s="22">
        <f>'Oil supply projection'!$B45</f>
        <v>2054</v>
      </c>
      <c r="C45" s="157">
        <f ca="1"/>
        <v>5.3084860308400539E-2</v>
      </c>
      <c r="D45" s="157">
        <f ca="1"/>
        <v>3.4010986188494543E-3</v>
      </c>
      <c r="E45" s="157">
        <f ca="1"/>
        <v>3.749866497564E-2</v>
      </c>
      <c r="F45" s="157">
        <f ca="1"/>
        <v>1.0538631134362814E-2</v>
      </c>
      <c r="G45" s="157">
        <f ca="1"/>
        <v>1.2392350331928287E-3</v>
      </c>
      <c r="H45" s="439">
        <f ca="1"/>
        <v>6.2020281147792039E-2</v>
      </c>
      <c r="I45" s="157">
        <f ca="1"/>
        <v>5.5380499969681897E-2</v>
      </c>
      <c r="J45" s="162">
        <f ca="1"/>
        <v>3.8069156632373624</v>
      </c>
      <c r="K45" s="440">
        <f ca="1"/>
        <v>0.11091334060702075</v>
      </c>
      <c r="L45" s="157">
        <f ca="1"/>
        <v>6.4838844271956922E-2</v>
      </c>
      <c r="M45" s="157">
        <f ca="1"/>
        <v>4.7324744722362722</v>
      </c>
      <c r="N45" s="157">
        <f ca="1"/>
        <v>4.5104940180309049E-2</v>
      </c>
      <c r="O45" s="157">
        <f ca="1"/>
        <v>4.2431900622609403E-3</v>
      </c>
      <c r="P45" s="157">
        <f ca="1"/>
        <v>0</v>
      </c>
      <c r="Q45" s="157">
        <f ca="1"/>
        <v>4.8268186043491073E-3</v>
      </c>
      <c r="R45" s="162">
        <f ca="1"/>
        <v>8.3289938172107086E-2</v>
      </c>
      <c r="S45" s="157">
        <f ca="1"/>
        <v>2.1662689156979496E-3</v>
      </c>
      <c r="T45" s="157">
        <f ca="1"/>
        <v>0.25343718016400985</v>
      </c>
      <c r="U45" s="157">
        <f ca="1"/>
        <v>7.7709276961962246</v>
      </c>
      <c r="V45" s="157">
        <f ca="1"/>
        <v>16.823625501797022</v>
      </c>
      <c r="W45" s="157">
        <f ca="1"/>
        <v>4.5542302744509122</v>
      </c>
      <c r="X45" s="157">
        <f ca="1"/>
        <v>5.6171854449679879</v>
      </c>
      <c r="Y45" s="157">
        <f ca="1"/>
        <v>14.421480267416353</v>
      </c>
      <c r="Z45" s="162">
        <f ca="1"/>
        <v>4.9574387036913086</v>
      </c>
      <c r="AA45" s="162">
        <f ca="1"/>
        <v>0.55286723808330229</v>
      </c>
      <c r="AB45" s="162">
        <f ca="1"/>
        <v>-0.21671148426807671</v>
      </c>
      <c r="AC45" s="157">
        <f ca="1"/>
        <v>0.59716095438249805</v>
      </c>
      <c r="AD45" s="157">
        <f ca="1"/>
        <v>1.8369212750284628E-7</v>
      </c>
      <c r="AE45" s="157">
        <f ca="1"/>
        <v>2.067786307290331E-3</v>
      </c>
    </row>
    <row r="46" spans="1:31" ht="15" customHeight="1">
      <c r="A46" s="17"/>
      <c r="B46" s="22">
        <f>'Oil supply projection'!$B46</f>
        <v>2055</v>
      </c>
      <c r="C46" s="157">
        <f ca="1"/>
        <v>5.3227928913395769E-2</v>
      </c>
      <c r="D46" s="157">
        <f ca="1"/>
        <v>3.4061205764641771E-3</v>
      </c>
      <c r="E46" s="157">
        <f ca="1"/>
        <v>3.7723376316622002E-2</v>
      </c>
      <c r="F46" s="157">
        <f ca="1"/>
        <v>1.0585038165934719E-2</v>
      </c>
      <c r="G46" s="157">
        <f ca="1"/>
        <v>1.2428015500511166E-3</v>
      </c>
      <c r="H46" s="439">
        <f ca="1"/>
        <v>6.2372595373985693E-2</v>
      </c>
      <c r="I46" s="157">
        <f ca="1"/>
        <v>5.5550016269127957E-2</v>
      </c>
      <c r="J46" s="162">
        <f ca="1"/>
        <v>3.8276336335019869</v>
      </c>
      <c r="K46" s="440">
        <f ca="1"/>
        <v>0.1114491714527813</v>
      </c>
      <c r="L46" s="157">
        <f ca="1"/>
        <v>6.4889073334921346E-2</v>
      </c>
      <c r="M46" s="157">
        <f ca="1"/>
        <v>4.7371091279064572</v>
      </c>
      <c r="N46" s="157">
        <f ca="1"/>
        <v>4.5213782297071028E-2</v>
      </c>
      <c r="O46" s="157">
        <f ca="1"/>
        <v>4.2318652885512354E-3</v>
      </c>
      <c r="P46" s="157">
        <f ca="1"/>
        <v>0</v>
      </c>
      <c r="Q46" s="157">
        <f ca="1"/>
        <v>4.8339455150421271E-3</v>
      </c>
      <c r="R46" s="162">
        <f ca="1"/>
        <v>8.3261987905250925E-2</v>
      </c>
      <c r="S46" s="157">
        <f ca="1"/>
        <v>2.1663644631321E-3</v>
      </c>
      <c r="T46" s="157">
        <f ca="1"/>
        <v>0.2558048702142332</v>
      </c>
      <c r="U46" s="157">
        <f ca="1"/>
        <v>7.8486114489881293</v>
      </c>
      <c r="V46" s="157">
        <f ca="1"/>
        <v>17.022966298925855</v>
      </c>
      <c r="W46" s="157">
        <f ca="1"/>
        <v>4.5879698830834652</v>
      </c>
      <c r="X46" s="157">
        <f ca="1"/>
        <v>5.6638863644264674</v>
      </c>
      <c r="Y46" s="157">
        <f ca="1"/>
        <v>14.525057597069376</v>
      </c>
      <c r="Z46" s="162">
        <f ca="1"/>
        <v>4.9990288035759294</v>
      </c>
      <c r="AA46" s="162">
        <f ca="1"/>
        <v>0.55540151681408967</v>
      </c>
      <c r="AB46" s="162">
        <f ca="1"/>
        <v>-0.21825568383578675</v>
      </c>
      <c r="AC46" s="157">
        <f ca="1"/>
        <v>0.6017764260475108</v>
      </c>
      <c r="AD46" s="157">
        <f ca="1"/>
        <v>1.7084237255808938E-7</v>
      </c>
      <c r="AE46" s="157">
        <f ca="1"/>
        <v>2.0199427068087498E-3</v>
      </c>
    </row>
    <row r="47" spans="1:31" ht="15" customHeight="1">
      <c r="A47" s="17"/>
      <c r="B47" s="22">
        <f>'Oil supply projection'!$B47</f>
        <v>2056</v>
      </c>
      <c r="C47" s="157">
        <f ca="1"/>
        <v>5.337138310150475E-2</v>
      </c>
      <c r="D47" s="157">
        <f ca="1"/>
        <v>3.4111499493470611E-3</v>
      </c>
      <c r="E47" s="157">
        <f ca="1"/>
        <v>3.7949434243857112E-2</v>
      </c>
      <c r="F47" s="157">
        <f ca="1"/>
        <v>1.0631649551615996E-2</v>
      </c>
      <c r="G47" s="157">
        <f ca="1"/>
        <v>1.2463783313404145E-3</v>
      </c>
      <c r="H47" s="439">
        <f ca="1"/>
        <v>6.2726910966695013E-2</v>
      </c>
      <c r="I47" s="157">
        <f ca="1"/>
        <v>5.5720051447525884E-2</v>
      </c>
      <c r="J47" s="162">
        <f ca="1"/>
        <v>3.8484643549620348</v>
      </c>
      <c r="K47" s="440">
        <f ca="1"/>
        <v>0.11198759093840899</v>
      </c>
      <c r="L47" s="157">
        <f ca="1"/>
        <v>6.4939341309109402E-2</v>
      </c>
      <c r="M47" s="157">
        <f ca="1"/>
        <v>4.7417483224353996</v>
      </c>
      <c r="N47" s="157">
        <f ca="1"/>
        <v>4.5322887059262386E-2</v>
      </c>
      <c r="O47" s="157">
        <f ca="1"/>
        <v>4.2205707398603768E-3</v>
      </c>
      <c r="P47" s="157">
        <f ca="1"/>
        <v>0</v>
      </c>
      <c r="Q47" s="157">
        <f ca="1"/>
        <v>4.8410829487856655E-3</v>
      </c>
      <c r="R47" s="162">
        <f ca="1"/>
        <v>8.3234047017888016E-2</v>
      </c>
      <c r="S47" s="157">
        <f ca="1"/>
        <v>2.1664600147805516E-3</v>
      </c>
      <c r="T47" s="157">
        <f ca="1"/>
        <v>0.25819467997147977</v>
      </c>
      <c r="U47" s="157">
        <f ca="1"/>
        <v>7.9270717841500664</v>
      </c>
      <c r="V47" s="157">
        <f ca="1"/>
        <v>17.224669057416421</v>
      </c>
      <c r="W47" s="157">
        <f ca="1"/>
        <v>4.6219594485961437</v>
      </c>
      <c r="X47" s="157">
        <f ca="1"/>
        <v>5.7109755523335695</v>
      </c>
      <c r="Y47" s="157">
        <f ca="1"/>
        <v>14.629378835324022</v>
      </c>
      <c r="Z47" s="162">
        <f ca="1"/>
        <v>5.0409678208172073</v>
      </c>
      <c r="AA47" s="162">
        <f ca="1"/>
        <v>0.55794741238205359</v>
      </c>
      <c r="AB47" s="162">
        <f ca="1"/>
        <v>-0.21981088675347174</v>
      </c>
      <c r="AC47" s="157">
        <f ca="1"/>
        <v>0.60642757080624388</v>
      </c>
      <c r="AD47" s="157">
        <f ca="1"/>
        <v>1.5889149229231232E-7</v>
      </c>
      <c r="AE47" s="157">
        <f ca="1"/>
        <v>1.9732060921404358E-3</v>
      </c>
    </row>
    <row r="48" spans="1:31" ht="15" customHeight="1">
      <c r="A48" s="17"/>
      <c r="B48" s="22">
        <f>'Oil supply projection'!$B48</f>
        <v>2057</v>
      </c>
      <c r="C48" s="157">
        <f ca="1"/>
        <v>5.3515223911909819E-2</v>
      </c>
      <c r="D48" s="157">
        <f ca="1"/>
        <v>3.4161867484472546E-3</v>
      </c>
      <c r="E48" s="157">
        <f ca="1"/>
        <v>3.8176846826784641E-2</v>
      </c>
      <c r="F48" s="157">
        <f ca="1"/>
        <v>1.0678466191283226E-2</v>
      </c>
      <c r="G48" s="157">
        <f ca="1"/>
        <v>1.2499654066017388E-3</v>
      </c>
      <c r="H48" s="439">
        <f ca="1"/>
        <v>6.3083239294941168E-2</v>
      </c>
      <c r="I48" s="157">
        <f ca="1"/>
        <v>5.5890607093132177E-2</v>
      </c>
      <c r="J48" s="162">
        <f ca="1"/>
        <v>3.8694084412312821</v>
      </c>
      <c r="K48" s="440">
        <f ca="1"/>
        <v>0.11252861156982087</v>
      </c>
      <c r="L48" s="157">
        <f ca="1"/>
        <v>6.498964822466459E-2</v>
      </c>
      <c r="M48" s="157">
        <f ca="1"/>
        <v>4.7463920602681346</v>
      </c>
      <c r="N48" s="157">
        <f ca="1"/>
        <v>4.5432255100669269E-2</v>
      </c>
      <c r="O48" s="157">
        <f ca="1"/>
        <v>4.2093063355199212E-3</v>
      </c>
      <c r="P48" s="157">
        <f ca="1"/>
        <v>0</v>
      </c>
      <c r="Q48" s="157">
        <f ca="1"/>
        <v>4.8482309211172504E-3</v>
      </c>
      <c r="R48" s="162">
        <f ca="1"/>
        <v>8.3206115506870973E-2</v>
      </c>
      <c r="S48" s="157">
        <f ca="1"/>
        <v>2.1665555706434922E-3</v>
      </c>
      <c r="T48" s="157">
        <f ca="1"/>
        <v>0.260606816085027</v>
      </c>
      <c r="U48" s="157">
        <f ca="1"/>
        <v>8.006316464955054</v>
      </c>
      <c r="V48" s="157">
        <f ca="1"/>
        <v>17.428761763820251</v>
      </c>
      <c r="W48" s="157">
        <f ca="1"/>
        <v>4.6562008227721154</v>
      </c>
      <c r="X48" s="157">
        <f ca="1"/>
        <v>5.7584562367282279</v>
      </c>
      <c r="Y48" s="157">
        <f ca="1"/>
        <v>14.73444932504823</v>
      </c>
      <c r="Z48" s="162">
        <f ca="1"/>
        <v>5.0832586826339838</v>
      </c>
      <c r="AA48" s="162">
        <f ca="1"/>
        <v>0.56050497803741606</v>
      </c>
      <c r="AB48" s="162">
        <f ca="1"/>
        <v>-0.22137717142661292</v>
      </c>
      <c r="AC48" s="157">
        <f ca="1"/>
        <v>0.61111466437690753</v>
      </c>
      <c r="AD48" s="157">
        <f ca="1"/>
        <v>1.4777660802090392E-7</v>
      </c>
      <c r="AE48" s="157">
        <f ca="1"/>
        <v>1.9275508502968541E-3</v>
      </c>
    </row>
    <row r="49" spans="1:31" ht="15" customHeight="1">
      <c r="A49" s="17"/>
      <c r="B49" s="22">
        <f>'Oil supply projection'!$B49</f>
        <v>2058</v>
      </c>
      <c r="C49" s="157">
        <f ca="1"/>
        <v>5.3659452386593497E-2</v>
      </c>
      <c r="D49" s="157">
        <f ca="1"/>
        <v>3.4212309847300826E-3</v>
      </c>
      <c r="E49" s="157">
        <f ca="1"/>
        <v>3.840562218320024E-2</v>
      </c>
      <c r="F49" s="157">
        <f ca="1"/>
        <v>1.0725488988775641E-2</v>
      </c>
      <c r="G49" s="157">
        <f ca="1"/>
        <v>1.2535628054611292E-3</v>
      </c>
      <c r="H49" s="439">
        <f ca="1"/>
        <v>6.3441591792328597E-2</v>
      </c>
      <c r="I49" s="157">
        <f ca="1"/>
        <v>5.6061684799064877E-2</v>
      </c>
      <c r="J49" s="162">
        <f ca="1"/>
        <v>3.8904665092629167</v>
      </c>
      <c r="K49" s="440">
        <f ca="1"/>
        <v>0.1130722459133519</v>
      </c>
      <c r="L49" s="157">
        <f ca="1"/>
        <v>6.503999411175386E-2</v>
      </c>
      <c r="M49" s="157">
        <f ca="1"/>
        <v>4.751040345854058</v>
      </c>
      <c r="N49" s="157">
        <f ca="1"/>
        <v>4.5541887056607167E-2</v>
      </c>
      <c r="O49" s="157">
        <f ca="1"/>
        <v>4.1980719950767357E-3</v>
      </c>
      <c r="P49" s="157">
        <f ca="1"/>
        <v>0</v>
      </c>
      <c r="Q49" s="157">
        <f ca="1"/>
        <v>4.8553894475973653E-3</v>
      </c>
      <c r="R49" s="162">
        <f ca="1"/>
        <v>8.3178193369053133E-2</v>
      </c>
      <c r="S49" s="157">
        <f ca="1"/>
        <v>2.166651130721107E-3</v>
      </c>
      <c r="T49" s="157">
        <f ca="1"/>
        <v>0.26304148713473507</v>
      </c>
      <c r="U49" s="157">
        <f ca="1"/>
        <v>8.0863533322831938</v>
      </c>
      <c r="V49" s="157">
        <f ca="1"/>
        <v>17.635272736297445</v>
      </c>
      <c r="W49" s="157">
        <f ca="1"/>
        <v>4.6906958711135083</v>
      </c>
      <c r="X49" s="157">
        <f ca="1"/>
        <v>5.8063316724871781</v>
      </c>
      <c r="Y49" s="157">
        <f ca="1"/>
        <v>14.840274447483514</v>
      </c>
      <c r="Z49" s="162">
        <f ca="1"/>
        <v>5.1259043408027143</v>
      </c>
      <c r="AA49" s="162">
        <f ca="1"/>
        <v>0.56307426727449372</v>
      </c>
      <c r="AB49" s="162">
        <f ca="1"/>
        <v>-0.22295461681937764</v>
      </c>
      <c r="AC49" s="157">
        <f ca="1"/>
        <v>0.61583798460875794</v>
      </c>
      <c r="AD49" s="157">
        <f ca="1"/>
        <v>1.3743923959118427E-7</v>
      </c>
      <c r="AE49" s="157">
        <f ca="1"/>
        <v>1.8829519609123953E-3</v>
      </c>
    </row>
    <row r="50" spans="1:31" ht="15" customHeight="1">
      <c r="A50" s="17"/>
      <c r="B50" s="22">
        <f>'Oil supply projection'!$B50</f>
        <v>2059</v>
      </c>
      <c r="C50" s="157">
        <f ca="1"/>
        <v>5.3804069570347161E-2</v>
      </c>
      <c r="D50" s="157">
        <f ca="1"/>
        <v>3.4262826691770646E-3</v>
      </c>
      <c r="E50" s="157">
        <f ca="1"/>
        <v>3.8635768479545453E-2</v>
      </c>
      <c r="F50" s="157">
        <f ca="1"/>
        <v>1.0772718851912553E-2</v>
      </c>
      <c r="G50" s="157">
        <f ca="1"/>
        <v>1.2571705576298862E-3</v>
      </c>
      <c r="H50" s="439">
        <f ca="1"/>
        <v>6.3801979957412033E-2</v>
      </c>
      <c r="I50" s="157">
        <f ca="1"/>
        <v>5.6233286163318595E-2</v>
      </c>
      <c r="J50" s="162">
        <f ca="1"/>
        <v>3.9116391793676963</v>
      </c>
      <c r="K50" s="440">
        <f ca="1"/>
        <v>0.11361850659604537</v>
      </c>
      <c r="L50" s="157">
        <f ca="1"/>
        <v>6.5090379000567522E-2</v>
      </c>
      <c r="M50" s="157">
        <f ca="1"/>
        <v>4.7556931836469252</v>
      </c>
      <c r="N50" s="157">
        <f ca="1"/>
        <v>4.565178356392452E-2</v>
      </c>
      <c r="O50" s="157">
        <f ca="1"/>
        <v>4.1868676382924045E-3</v>
      </c>
      <c r="P50" s="157">
        <f ca="1"/>
        <v>0</v>
      </c>
      <c r="Q50" s="157">
        <f ca="1"/>
        <v>4.8625585438094457E-3</v>
      </c>
      <c r="R50" s="162">
        <f ca="1"/>
        <v>8.3150280601289109E-2</v>
      </c>
      <c r="S50" s="157">
        <f ca="1"/>
        <v>2.1667466950135816E-3</v>
      </c>
      <c r="T50" s="157">
        <f ca="1"/>
        <v>0.26549890364908268</v>
      </c>
      <c r="U50" s="157">
        <f ca="1"/>
        <v>8.1671903053978028</v>
      </c>
      <c r="V50" s="157">
        <f ca="1"/>
        <v>17.844230628546182</v>
      </c>
      <c r="W50" s="157">
        <f ca="1"/>
        <v>4.7254464729426529</v>
      </c>
      <c r="X50" s="157">
        <f ca="1"/>
        <v>5.8546051415479354</v>
      </c>
      <c r="Y50" s="157">
        <f ca="1"/>
        <v>14.94685962252006</v>
      </c>
      <c r="Z50" s="162">
        <f ca="1"/>
        <v>5.1689077718636343</v>
      </c>
      <c r="AA50" s="162">
        <f ca="1"/>
        <v>0.56565533383281252</v>
      </c>
      <c r="AB50" s="162">
        <f ca="1"/>
        <v>-0.22454330245860135</v>
      </c>
      <c r="AC50" s="157">
        <f ca="1"/>
        <v>0.62059781149854554</v>
      </c>
      <c r="AD50" s="157">
        <f ca="1"/>
        <v>1.2782499769334854E-7</v>
      </c>
      <c r="AE50" s="157">
        <f ca="1"/>
        <v>1.8393849825325277E-3</v>
      </c>
    </row>
    <row r="51" spans="1:31" ht="15" customHeight="1">
      <c r="A51" s="17"/>
      <c r="B51" s="22">
        <f>'Oil supply projection'!$B51</f>
        <v>2060</v>
      </c>
      <c r="C51" s="157">
        <f ca="1"/>
        <v>5.3949076510777468E-2</v>
      </c>
      <c r="D51" s="157">
        <f ca="1"/>
        <v>3.4313418127859298E-3</v>
      </c>
      <c r="E51" s="157">
        <f ca="1"/>
        <v>3.8867293931199497E-2</v>
      </c>
      <c r="F51" s="157">
        <f ca="1"/>
        <v>1.0820156692510834E-2</v>
      </c>
      <c r="G51" s="157">
        <f ca="1"/>
        <v>1.2607886929048235E-3</v>
      </c>
      <c r="H51" s="439">
        <f ca="1"/>
        <v>6.4164415354064794E-2</v>
      </c>
      <c r="I51" s="157">
        <f ca="1"/>
        <v>5.6405412788779155E-2</v>
      </c>
      <c r="J51" s="162">
        <f ca="1"/>
        <v>3.9329270752322407</v>
      </c>
      <c r="K51" s="440">
        <f ca="1"/>
        <v>0.11416740630594704</v>
      </c>
      <c r="L51" s="157">
        <f ca="1"/>
        <v>6.5140802921319158E-2</v>
      </c>
      <c r="M51" s="157">
        <f ca="1"/>
        <v>4.7603505781048501</v>
      </c>
      <c r="N51" s="157">
        <f ca="1"/>
        <v>4.5761945261006819E-2</v>
      </c>
      <c r="O51" s="157">
        <f ca="1"/>
        <v>4.1756931851426732E-3</v>
      </c>
      <c r="P51" s="157">
        <f ca="1"/>
        <v>0</v>
      </c>
      <c r="Q51" s="157">
        <f ca="1"/>
        <v>4.8697382253599505E-3</v>
      </c>
      <c r="R51" s="162">
        <f ca="1"/>
        <v>8.3122377200434555E-2</v>
      </c>
      <c r="S51" s="157">
        <f ca="1"/>
        <v>2.1668422635211016E-3</v>
      </c>
      <c r="T51" s="157">
        <f ca="1"/>
        <v>0.26797927812337408</v>
      </c>
      <c r="U51" s="157">
        <f ca="1"/>
        <v>8.2488353827287124</v>
      </c>
      <c r="V51" s="157">
        <f ca="1"/>
        <v>18.055664433778279</v>
      </c>
      <c r="W51" s="157">
        <f ca="1"/>
        <v>4.7604545215047933</v>
      </c>
      <c r="X51" s="157">
        <f ca="1"/>
        <v>5.9032799531337803</v>
      </c>
      <c r="Y51" s="157">
        <f ca="1"/>
        <v>15.054210308974723</v>
      </c>
      <c r="Z51" s="162">
        <f ca="1"/>
        <v>5.2122719773284736</v>
      </c>
      <c r="AA51" s="162">
        <f ca="1"/>
        <v>0.56824823169823691</v>
      </c>
      <c r="AB51" s="162">
        <f ca="1"/>
        <v>-0.22614330843779484</v>
      </c>
      <c r="AC51" s="157">
        <f ca="1"/>
        <v>0.62539442720712324</v>
      </c>
      <c r="AD51" s="157">
        <f ca="1"/>
        <v>1.1888329769508335E-7</v>
      </c>
      <c r="AE51" s="157">
        <f ca="1"/>
        <v>1.7968260392191675E-3</v>
      </c>
    </row>
    <row r="52" spans="1:31" ht="15" customHeight="1">
      <c r="A52" s="17"/>
      <c r="B52" s="22">
        <f>'Oil supply projection'!$B52</f>
        <v>2061</v>
      </c>
      <c r="C52" s="157">
        <f ca="1"/>
        <v>5.4094474258314887E-2</v>
      </c>
      <c r="D52" s="157">
        <f ca="1"/>
        <v>3.4364084265706444E-3</v>
      </c>
      <c r="E52" s="157">
        <f ca="1"/>
        <v>3.9100206802772312E-2</v>
      </c>
      <c r="F52" s="157">
        <f ca="1"/>
        <v>1.0867803426402605E-2</v>
      </c>
      <c r="G52" s="157">
        <f ca="1"/>
        <v>1.2644172411685058E-3</v>
      </c>
      <c r="H52" s="439">
        <f ca="1"/>
        <v>6.4528909611850607E-2</v>
      </c>
      <c r="I52" s="157">
        <f ca="1"/>
        <v>5.6578066283238679E-2</v>
      </c>
      <c r="J52" s="162">
        <f ca="1"/>
        <v>3.9543308239373833</v>
      </c>
      <c r="K52" s="440">
        <f ca="1"/>
        <v>0.11471895779239946</v>
      </c>
      <c r="L52" s="157">
        <f ca="1"/>
        <v>6.5191265904246037E-2</v>
      </c>
      <c r="M52" s="157">
        <f ca="1"/>
        <v>4.7650125336903111</v>
      </c>
      <c r="N52" s="157">
        <f ca="1"/>
        <v>4.587237278777978E-2</v>
      </c>
      <c r="O52" s="157">
        <f ca="1"/>
        <v>4.1645485558168601E-3</v>
      </c>
      <c r="P52" s="157">
        <f ca="1"/>
        <v>0</v>
      </c>
      <c r="Q52" s="157">
        <f ca="1"/>
        <v>4.8769285078783852E-3</v>
      </c>
      <c r="R52" s="162">
        <f ca="1"/>
        <v>8.3094483163346056E-2</v>
      </c>
      <c r="S52" s="157">
        <f ca="1"/>
        <v>2.1669378362438548E-3</v>
      </c>
      <c r="T52" s="157">
        <f ca="1"/>
        <v>0.27048282503811</v>
      </c>
      <c r="U52" s="157">
        <f ca="1"/>
        <v>8.3312966426638173</v>
      </c>
      <c r="V52" s="157">
        <f ca="1"/>
        <v>18.269603488742103</v>
      </c>
      <c r="W52" s="157">
        <f ca="1"/>
        <v>4.7957219240710849</v>
      </c>
      <c r="X52" s="157">
        <f ca="1"/>
        <v>5.9523594439807974</v>
      </c>
      <c r="Y52" s="157">
        <f ca="1"/>
        <v>15.162332004870388</v>
      </c>
      <c r="Z52" s="162">
        <f ca="1"/>
        <v>5.2559999838898932</v>
      </c>
      <c r="AA52" s="162">
        <f ca="1"/>
        <v>0.57085301510409137</v>
      </c>
      <c r="AB52" s="162">
        <f ca="1"/>
        <v>-0.22775471542118461</v>
      </c>
      <c r="AC52" s="157">
        <f ca="1"/>
        <v>0.63022811607617557</v>
      </c>
      <c r="AD52" s="157">
        <f ca="1"/>
        <v>1.1056709349421082E-7</v>
      </c>
      <c r="AE52" s="157">
        <f ca="1"/>
        <v>1.7552518074660025E-3</v>
      </c>
    </row>
    <row r="53" spans="1:31" ht="15" customHeight="1">
      <c r="A53" s="16"/>
      <c r="B53" s="22">
        <f>'Oil supply projection'!$B53</f>
        <v>2062</v>
      </c>
      <c r="C53" s="157">
        <f ca="1"/>
        <v>5.4240263866220453E-2</v>
      </c>
      <c r="D53" s="157">
        <f ca="1"/>
        <v>3.4414825215614447E-3</v>
      </c>
      <c r="E53" s="157">
        <f ca="1"/>
        <v>3.9334515408399474E-2</v>
      </c>
      <c r="F53" s="157">
        <f ca="1"/>
        <v>1.0915659973452797E-2</v>
      </c>
      <c r="G53" s="157">
        <f ca="1"/>
        <v>1.2680562323895007E-3</v>
      </c>
      <c r="H53" s="439">
        <f ca="1"/>
        <v>6.4895474426396399E-2</v>
      </c>
      <c r="I53" s="157">
        <f ca="1"/>
        <v>5.6751248259410719E-2</v>
      </c>
      <c r="J53" s="162">
        <f ca="1"/>
        <v>3.9758510559766638</v>
      </c>
      <c r="K53" s="440">
        <f ca="1"/>
        <v>0.11527317386633845</v>
      </c>
      <c r="L53" s="157">
        <f ca="1"/>
        <v>6.5241767979608498E-2</v>
      </c>
      <c r="M53" s="157">
        <f ca="1"/>
        <v>4.7696790548701591</v>
      </c>
      <c r="N53" s="157">
        <f ca="1"/>
        <v>4.59830667857134E-2</v>
      </c>
      <c r="O53" s="157">
        <f ca="1"/>
        <v>4.1534336707172836E-3</v>
      </c>
      <c r="P53" s="157">
        <f ca="1"/>
        <v>0</v>
      </c>
      <c r="Q53" s="157">
        <f ca="1"/>
        <v>4.8841294070173279E-3</v>
      </c>
      <c r="R53" s="162">
        <f ca="1"/>
        <v>8.3066598486881388E-2</v>
      </c>
      <c r="S53" s="157">
        <f ca="1"/>
        <v>2.1670334131820247E-3</v>
      </c>
      <c r="T53" s="157">
        <f ca="1"/>
        <v>0.27300976087753365</v>
      </c>
      <c r="U53" s="157">
        <f ca="1"/>
        <v>8.4145822443483294</v>
      </c>
      <c r="V53" s="157">
        <f ca="1"/>
        <v>18.486077477793081</v>
      </c>
      <c r="W53" s="157">
        <f ca="1"/>
        <v>4.8312506020425268</v>
      </c>
      <c r="X53" s="157">
        <f ca="1"/>
        <v>6.001846978566328</v>
      </c>
      <c r="Y53" s="157">
        <f ca="1"/>
        <v>15.27123024771765</v>
      </c>
      <c r="Z53" s="162">
        <f ca="1"/>
        <v>5.3000948436328272</v>
      </c>
      <c r="AA53" s="162">
        <f ca="1"/>
        <v>0.57346973853230343</v>
      </c>
      <c r="AB53" s="162">
        <f ca="1"/>
        <v>-0.22937760464777648</v>
      </c>
      <c r="AC53" s="157">
        <f ca="1"/>
        <v>0.63509916464506921</v>
      </c>
      <c r="AD53" s="157">
        <f ca="1"/>
        <v>1.0283262998905808E-7</v>
      </c>
      <c r="AE53" s="157">
        <f ca="1"/>
        <v>1.714639503416545E-3</v>
      </c>
    </row>
    <row r="54" spans="1:31" ht="15" customHeight="1">
      <c r="A54" s="16"/>
      <c r="B54" s="22">
        <f>'Oil supply projection'!$B54</f>
        <v>2063</v>
      </c>
      <c r="C54" s="157">
        <f ca="1"/>
        <v>5.4386446390594236E-2</v>
      </c>
      <c r="D54" s="157">
        <f ca="1"/>
        <v>3.4465641088048476E-3</v>
      </c>
      <c r="E54" s="157">
        <f ca="1"/>
        <v>3.9570228112039509E-2</v>
      </c>
      <c r="F54" s="157">
        <f ca="1"/>
        <v>1.0963727257577069E-2</v>
      </c>
      <c r="G54" s="157">
        <f ca="1"/>
        <v>1.2717056966226287E-3</v>
      </c>
      <c r="H54" s="439">
        <f ca="1"/>
        <v>6.5264121559767574E-2</v>
      </c>
      <c r="I54" s="157">
        <f ca="1"/>
        <v>5.6924960334945471E-2</v>
      </c>
      <c r="J54" s="162">
        <f ca="1"/>
        <v>3.9974884052748809</v>
      </c>
      <c r="K54" s="440">
        <f ca="1"/>
        <v>0.11583006740059015</v>
      </c>
      <c r="L54" s="157">
        <f ca="1"/>
        <v>6.529230917769055E-2</v>
      </c>
      <c r="M54" s="157">
        <f ca="1"/>
        <v>4.7743501461156184</v>
      </c>
      <c r="N54" s="157">
        <f ca="1"/>
        <v>4.6094027897825678E-2</v>
      </c>
      <c r="O54" s="157">
        <f ca="1"/>
        <v>4.14234845045871E-3</v>
      </c>
      <c r="P54" s="157">
        <f ca="1"/>
        <v>0</v>
      </c>
      <c r="Q54" s="157">
        <f ca="1"/>
        <v>4.8913409384524617E-3</v>
      </c>
      <c r="R54" s="162">
        <f ca="1"/>
        <v>8.3038723167899398E-2</v>
      </c>
      <c r="S54" s="157">
        <f ca="1"/>
        <v>2.1671289943357972E-3</v>
      </c>
      <c r="T54" s="157">
        <f ca="1"/>
        <v>0.27556030414835708</v>
      </c>
      <c r="U54" s="157">
        <f ca="1"/>
        <v>8.4987004284921781</v>
      </c>
      <c r="V54" s="157">
        <f ca="1"/>
        <v>18.705116437012375</v>
      </c>
      <c r="W54" s="157">
        <f ca="1"/>
        <v>4.8670424910546126</v>
      </c>
      <c r="X54" s="157">
        <f ca="1"/>
        <v>6.0517459493399297</v>
      </c>
      <c r="Y54" s="157">
        <f ca="1"/>
        <v>15.380910614798193</v>
      </c>
      <c r="Z54" s="162">
        <f ca="1"/>
        <v>5.3445596342474886</v>
      </c>
      <c r="AA54" s="162">
        <f ca="1"/>
        <v>0.5760984567145403</v>
      </c>
      <c r="AB54" s="162">
        <f ca="1"/>
        <v>-0.23101205793545385</v>
      </c>
      <c r="AC54" s="157">
        <f ca="1"/>
        <v>0.64000786166784007</v>
      </c>
      <c r="AD54" s="157">
        <f ca="1"/>
        <v>9.563921286417986E-8</v>
      </c>
      <c r="AE54" s="157">
        <f ca="1"/>
        <v>1.6749668703779307E-3</v>
      </c>
    </row>
    <row r="55" spans="1:31" ht="15" customHeight="1">
      <c r="A55" s="16"/>
      <c r="B55" s="22">
        <f>'Oil supply projection'!$B55</f>
        <v>2064</v>
      </c>
      <c r="C55" s="157">
        <f ca="1"/>
        <v>5.4533022890382379E-2</v>
      </c>
      <c r="D55" s="157">
        <f ca="1"/>
        <v>3.4516531993636791E-3</v>
      </c>
      <c r="E55" s="157">
        <f ca="1"/>
        <v>3.9807353327771758E-2</v>
      </c>
      <c r="F55" s="157">
        <f ca="1"/>
        <v>1.1012006206759488E-2</v>
      </c>
      <c r="G55" s="157">
        <f ca="1"/>
        <v>1.2753656640092041E-3</v>
      </c>
      <c r="H55" s="439">
        <f ca="1"/>
        <v>6.5634862840845368E-2</v>
      </c>
      <c r="I55" s="157">
        <f ca="1"/>
        <v>5.7099204132444112E-2</v>
      </c>
      <c r="J55" s="162">
        <f ca="1"/>
        <v>4.0192435092067775</v>
      </c>
      <c r="K55" s="440">
        <f ca="1"/>
        <v>0.11638965133017062</v>
      </c>
      <c r="L55" s="157">
        <f ca="1"/>
        <v>6.5342889528799519E-2</v>
      </c>
      <c r="M55" s="157">
        <f ca="1"/>
        <v>4.7790258119022964</v>
      </c>
      <c r="N55" s="157">
        <f ca="1"/>
        <v>4.6205256768686177E-2</v>
      </c>
      <c r="O55" s="157">
        <f ca="1"/>
        <v>4.1312928158677925E-3</v>
      </c>
      <c r="P55" s="157">
        <f ca="1"/>
        <v>0</v>
      </c>
      <c r="Q55" s="157">
        <f ca="1"/>
        <v>4.8985631178826185E-3</v>
      </c>
      <c r="R55" s="162">
        <f ca="1"/>
        <v>8.3010857203259847E-2</v>
      </c>
      <c r="S55" s="157">
        <f ca="1"/>
        <v>2.1672245797053624E-3</v>
      </c>
      <c r="T55" s="157">
        <f ca="1"/>
        <v>0.27813467539864611</v>
      </c>
      <c r="U55" s="157">
        <f ca="1"/>
        <v>8.5836595181852182</v>
      </c>
      <c r="V55" s="157">
        <f ca="1"/>
        <v>18.926750758374496</v>
      </c>
      <c r="W55" s="157">
        <f ca="1"/>
        <v>4.9030995410828782</v>
      </c>
      <c r="X55" s="157">
        <f ca="1"/>
        <v>6.1020597769556311</v>
      </c>
      <c r="Y55" s="157">
        <f ca="1"/>
        <v>15.491378723450904</v>
      </c>
      <c r="Z55" s="162">
        <f ca="1"/>
        <v>5.3893974592441163</v>
      </c>
      <c r="AA55" s="162">
        <f ca="1"/>
        <v>0.5787392246333487</v>
      </c>
      <c r="AB55" s="162">
        <f ca="1"/>
        <v>-0.23265815768510351</v>
      </c>
      <c r="AC55" s="157">
        <f ca="1"/>
        <v>0.64495449813031358</v>
      </c>
      <c r="AD55" s="157">
        <f ca="1"/>
        <v>8.8948994480187944E-8</v>
      </c>
      <c r="AE55" s="157">
        <f ca="1"/>
        <v>1.6362121666236235E-3</v>
      </c>
    </row>
    <row r="56" spans="1:31" ht="15" customHeight="1">
      <c r="A56" s="16"/>
      <c r="B56" s="22">
        <f>'Oil supply projection'!$B56</f>
        <v>2065</v>
      </c>
      <c r="C56" s="157">
        <f ca="1"/>
        <v>5.4679994427385019E-2</v>
      </c>
      <c r="D56" s="157">
        <f ca="1"/>
        <v>3.456749804317108E-3</v>
      </c>
      <c r="E56" s="157">
        <f ca="1"/>
        <v>4.0045899520097225E-2</v>
      </c>
      <c r="F56" s="157">
        <f ca="1"/>
        <v>1.1060497753070553E-2</v>
      </c>
      <c r="G56" s="157">
        <f ca="1"/>
        <v>1.2790361647772887E-3</v>
      </c>
      <c r="H56" s="439">
        <f ca="1"/>
        <v>6.6007710165706626E-2</v>
      </c>
      <c r="I56" s="157">
        <f ca="1"/>
        <v>5.7273981279475097E-2</v>
      </c>
      <c r="J56" s="162">
        <f ca="1"/>
        <v>4.0411170086158057</v>
      </c>
      <c r="K56" s="440">
        <f ca="1"/>
        <v>0.11695193865258573</v>
      </c>
      <c r="L56" s="157">
        <f ca="1"/>
        <v>6.5393509063266519E-2</v>
      </c>
      <c r="M56" s="157">
        <f ca="1"/>
        <v>4.7837060567101757</v>
      </c>
      <c r="N56" s="157">
        <f ca="1"/>
        <v>4.6316754044419824E-2</v>
      </c>
      <c r="O56" s="157">
        <f ca="1"/>
        <v>4.1202666879824653E-3</v>
      </c>
      <c r="P56" s="157">
        <f ca="1"/>
        <v>0</v>
      </c>
      <c r="Q56" s="157">
        <f ca="1"/>
        <v>4.9057959610298201E-3</v>
      </c>
      <c r="R56" s="162">
        <f ca="1"/>
        <v>8.2983000589823552E-2</v>
      </c>
      <c r="S56" s="157">
        <f ca="1"/>
        <v>2.1673201692909011E-3</v>
      </c>
      <c r="T56" s="157">
        <f ca="1"/>
        <v>0.28073309723689904</v>
      </c>
      <c r="U56" s="157">
        <f ca="1"/>
        <v>8.6694679197209688</v>
      </c>
      <c r="V56" s="157">
        <f ca="1"/>
        <v>19.151011193964425</v>
      </c>
      <c r="W56" s="157">
        <f ca="1"/>
        <v>4.9394237165490935</v>
      </c>
      <c r="X56" s="157">
        <f ca="1"/>
        <v>6.152791910506509</v>
      </c>
      <c r="Y56" s="157">
        <f ca="1"/>
        <v>15.602640231358965</v>
      </c>
      <c r="Z56" s="162">
        <f ca="1"/>
        <v>5.4346114481696679</v>
      </c>
      <c r="AA56" s="162">
        <f ca="1"/>
        <v>0.58139209752331344</v>
      </c>
      <c r="AB56" s="162">
        <f ca="1"/>
        <v>-0.23431598688476477</v>
      </c>
      <c r="AC56" s="157">
        <f ca="1"/>
        <v>0.64993936726735002</v>
      </c>
      <c r="AD56" s="157">
        <f ca="1"/>
        <v>8.2726774741156103E-8</v>
      </c>
      <c r="AE56" s="157">
        <f ca="1"/>
        <v>1.5983541534783361E-3</v>
      </c>
    </row>
    <row r="57" spans="1:31" ht="15" customHeight="1">
      <c r="A57" s="16"/>
      <c r="B57" s="22">
        <f>'Oil supply projection'!$B57</f>
        <v>2066</v>
      </c>
      <c r="C57" s="157">
        <f ca="1"/>
        <v>5.4827362066263971E-2</v>
      </c>
      <c r="D57" s="157">
        <f ca="1"/>
        <v>3.4618539347606595E-3</v>
      </c>
      <c r="E57" s="157">
        <f ca="1"/>
        <v>4.0285875204240547E-2</v>
      </c>
      <c r="F57" s="157">
        <f ca="1"/>
        <v>1.1109202832685126E-2</v>
      </c>
      <c r="G57" s="157">
        <f ca="1"/>
        <v>1.2827172292419443E-3</v>
      </c>
      <c r="H57" s="439">
        <f ca="1"/>
        <v>6.6382675498005389E-2</v>
      </c>
      <c r="I57" s="157">
        <f ca="1"/>
        <v>5.7449293408588308E-2</v>
      </c>
      <c r="J57" s="162">
        <f ca="1"/>
        <v>4.0631095478330224</v>
      </c>
      <c r="K57" s="440">
        <f ca="1"/>
        <v>0.11751694242813325</v>
      </c>
      <c r="L57" s="157">
        <f ca="1"/>
        <v>6.5444167811445741E-2</v>
      </c>
      <c r="M57" s="157">
        <f ca="1"/>
        <v>4.7883908850236319</v>
      </c>
      <c r="N57" s="157">
        <f ca="1"/>
        <v>4.6428520372710863E-2</v>
      </c>
      <c r="O57" s="157">
        <f ca="1"/>
        <v>4.1092699880514345E-3</v>
      </c>
      <c r="P57" s="157">
        <f ca="1"/>
        <v>0</v>
      </c>
      <c r="Q57" s="157">
        <f ca="1"/>
        <v>4.9130394836392954E-3</v>
      </c>
      <c r="R57" s="162">
        <f ca="1"/>
        <v>8.2955153324452566E-2</v>
      </c>
      <c r="S57" s="157">
        <f ca="1"/>
        <v>2.1674157630926019E-3</v>
      </c>
      <c r="T57" s="157">
        <f ca="1"/>
        <v>0.28335579435129288</v>
      </c>
      <c r="U57" s="157">
        <f ca="1"/>
        <v>8.7561341234281898</v>
      </c>
      <c r="V57" s="157">
        <f ca="1"/>
        <v>19.37792886024376</v>
      </c>
      <c r="W57" s="157">
        <f ca="1"/>
        <v>4.9760169964281404</v>
      </c>
      <c r="X57" s="157">
        <f ca="1"/>
        <v>6.203945827761447</v>
      </c>
      <c r="Y57" s="157">
        <f ca="1"/>
        <v>15.714700836840098</v>
      </c>
      <c r="Z57" s="162">
        <f ca="1"/>
        <v>5.4802047568262484</v>
      </c>
      <c r="AA57" s="162">
        <f ca="1"/>
        <v>0.58405713087220146</v>
      </c>
      <c r="AB57" s="162">
        <f ca="1"/>
        <v>-0.2359856291138199</v>
      </c>
      <c r="AC57" s="157">
        <f ca="1"/>
        <v>0.65496276458022473</v>
      </c>
      <c r="AD57" s="157">
        <f ca="1"/>
        <v>7.6939815891885873E-8</v>
      </c>
      <c r="AE57" s="157">
        <f ca="1"/>
        <v>1.5613720836786238E-3</v>
      </c>
    </row>
    <row r="58" spans="1:31" ht="15" customHeight="1">
      <c r="A58" s="16"/>
      <c r="B58" s="22">
        <f>'Oil supply projection'!$B58</f>
        <v>2067</v>
      </c>
      <c r="C58" s="157">
        <f ca="1"/>
        <v>5.4975126874550521E-2</v>
      </c>
      <c r="D58" s="157">
        <f ca="1"/>
        <v>3.4669656018062383E-3</v>
      </c>
      <c r="E58" s="157">
        <f ca="1"/>
        <v>4.0527288946454014E-2</v>
      </c>
      <c r="F58" s="157">
        <f ca="1"/>
        <v>1.1158122385900559E-2</v>
      </c>
      <c r="G58" s="157">
        <f ca="1"/>
        <v>1.2864088878054712E-3</v>
      </c>
      <c r="H58" s="439">
        <f ca="1"/>
        <v>6.6759770869356763E-2</v>
      </c>
      <c r="I58" s="157">
        <f ca="1"/>
        <v>5.7625142157331041E-2</v>
      </c>
      <c r="J58" s="162">
        <f ca="1"/>
        <v>4.0852217746960573</v>
      </c>
      <c r="K58" s="440">
        <f ca="1"/>
        <v>0.11808467578020659</v>
      </c>
      <c r="L58" s="157">
        <f ca="1"/>
        <v>6.549486580371508E-2</v>
      </c>
      <c r="M58" s="157">
        <f ca="1"/>
        <v>4.793080301331428</v>
      </c>
      <c r="N58" s="157">
        <f ca="1"/>
        <v>4.6540556402806271E-2</v>
      </c>
      <c r="O58" s="157">
        <f ca="1"/>
        <v>4.0983026375335614E-3</v>
      </c>
      <c r="P58" s="157">
        <f ca="1"/>
        <v>0</v>
      </c>
      <c r="Q58" s="157">
        <f ca="1"/>
        <v>4.9202937014795134E-3</v>
      </c>
      <c r="R58" s="162">
        <f ca="1"/>
        <v>8.2927315404009841E-2</v>
      </c>
      <c r="S58" s="157">
        <f ca="1"/>
        <v>2.1675113611106496E-3</v>
      </c>
      <c r="T58" s="157">
        <f ca="1"/>
        <v>0.28600299352911179</v>
      </c>
      <c r="U58" s="157">
        <f ca="1"/>
        <v>8.8436667045111736</v>
      </c>
      <c r="V58" s="157">
        <f ca="1"/>
        <v>19.607535242369682</v>
      </c>
      <c r="W58" s="157">
        <f ca="1"/>
        <v>5.012881374356116</v>
      </c>
      <c r="X58" s="157">
        <f ca="1"/>
        <v>6.2555250354030187</v>
      </c>
      <c r="Y58" s="157">
        <f ca="1"/>
        <v>15.827566279138351</v>
      </c>
      <c r="Z58" s="162">
        <f ca="1"/>
        <v>5.5261805674913038</v>
      </c>
      <c r="AA58" s="162">
        <f ca="1"/>
        <v>0.58673438042214077</v>
      </c>
      <c r="AB58" s="162">
        <f ca="1"/>
        <v>-0.23766716854720127</v>
      </c>
      <c r="AC58" s="157">
        <f ca="1"/>
        <v>0.66002498785415831</v>
      </c>
      <c r="AD58" s="157">
        <f ca="1"/>
        <v>7.1557670270592899E-8</v>
      </c>
      <c r="AE58" s="157">
        <f ca="1"/>
        <v>1.5252456900028163E-3</v>
      </c>
    </row>
    <row r="59" spans="1:31" ht="15" customHeight="1">
      <c r="A59" s="16"/>
      <c r="B59" s="22">
        <f>'Oil supply projection'!$B59</f>
        <v>2068</v>
      </c>
      <c r="C59" s="157">
        <f ca="1"/>
        <v>5.51232899226528E-2</v>
      </c>
      <c r="D59" s="157">
        <f ca="1"/>
        <v>3.472084816582155E-3</v>
      </c>
      <c r="E59" s="157">
        <f ca="1"/>
        <v>4.0770149364323285E-2</v>
      </c>
      <c r="F59" s="157">
        <f ca="1"/>
        <v>1.1207257357154785E-2</v>
      </c>
      <c r="G59" s="157">
        <f ca="1"/>
        <v>1.2901111709576762E-3</v>
      </c>
      <c r="H59" s="439">
        <f ca="1"/>
        <v>6.7139008379722961E-2</v>
      </c>
      <c r="I59" s="157">
        <f ca="1"/>
        <v>5.7801529168262894E-2</v>
      </c>
      <c r="J59" s="162">
        <f ca="1"/>
        <v>4.1074543405681885</v>
      </c>
      <c r="K59" s="440">
        <f ca="1"/>
        <v>0.11865515189559885</v>
      </c>
      <c r="L59" s="157">
        <f ca="1"/>
        <v>6.5545603070476202E-2</v>
      </c>
      <c r="M59" s="157">
        <f ca="1"/>
        <v>4.7977743101267345</v>
      </c>
      <c r="N59" s="157">
        <f ca="1"/>
        <v>4.6652862785519805E-2</v>
      </c>
      <c r="O59" s="157">
        <f ca="1"/>
        <v>4.0873645580973561E-3</v>
      </c>
      <c r="P59" s="157">
        <f ca="1"/>
        <v>0</v>
      </c>
      <c r="Q59" s="157">
        <f ca="1"/>
        <v>4.9275586303422318E-3</v>
      </c>
      <c r="R59" s="162">
        <f ca="1"/>
        <v>8.2899486825359525E-2</v>
      </c>
      <c r="S59" s="157">
        <f ca="1"/>
        <v>2.1676069633452294E-3</v>
      </c>
      <c r="T59" s="157">
        <f ca="1"/>
        <v>0.28867492367635567</v>
      </c>
      <c r="U59" s="157">
        <f ca="1"/>
        <v>8.9320743238979095</v>
      </c>
      <c r="V59" s="157">
        <f ca="1"/>
        <v>19.839862198561583</v>
      </c>
      <c r="W59" s="157">
        <f ca="1"/>
        <v>5.050018858738726</v>
      </c>
      <c r="X59" s="157">
        <f ca="1"/>
        <v>6.3075330692681977</v>
      </c>
      <c r="Y59" s="157">
        <f ca="1"/>
        <v>15.941242338717588</v>
      </c>
      <c r="Z59" s="162">
        <f ca="1"/>
        <v>5.5725420891398088</v>
      </c>
      <c r="AA59" s="162">
        <f ca="1"/>
        <v>0.5894239021707609</v>
      </c>
      <c r="AB59" s="162">
        <f ca="1"/>
        <v>-0.23936068995964013</v>
      </c>
      <c r="AC59" s="157">
        <f ca="1"/>
        <v>0.66512633717595337</v>
      </c>
      <c r="AD59" s="157">
        <f ca="1"/>
        <v>6.6552020110759093E-8</v>
      </c>
      <c r="AE59" s="157">
        <f ca="1"/>
        <v>1.4899551741639852E-3</v>
      </c>
    </row>
    <row r="60" spans="1:31" ht="15" customHeight="1">
      <c r="A60" s="16"/>
      <c r="B60" s="22">
        <f>'Oil supply projection'!$B60</f>
        <v>2069</v>
      </c>
      <c r="C60" s="157">
        <f ca="1"/>
        <v>5.527185228386388E-2</v>
      </c>
      <c r="D60" s="157">
        <f ca="1"/>
        <v>3.4772115902331644E-3</v>
      </c>
      <c r="E60" s="157">
        <f ca="1"/>
        <v>4.1014465127074941E-2</v>
      </c>
      <c r="F60" s="157">
        <f ca="1"/>
        <v>1.1256608695044579E-2</v>
      </c>
      <c r="G60" s="157">
        <f ca="1"/>
        <v>1.2938241092761093E-3</v>
      </c>
      <c r="H60" s="439">
        <f ca="1"/>
        <v>6.75204001978017E-2</v>
      </c>
      <c r="I60" s="157">
        <f ca="1"/>
        <v>5.7978456088971314E-2</v>
      </c>
      <c r="J60" s="162">
        <f ca="1"/>
        <v>4.1298079003575419</v>
      </c>
      <c r="K60" s="440">
        <f ca="1"/>
        <v>0.11922838402480994</v>
      </c>
      <c r="L60" s="157">
        <f ca="1"/>
        <v>6.5596379642153813E-2</v>
      </c>
      <c r="M60" s="157">
        <f ca="1"/>
        <v>4.8024729159071056</v>
      </c>
      <c r="N60" s="157">
        <f ca="1"/>
        <v>4.6765440173235751E-2</v>
      </c>
      <c r="O60" s="157">
        <f ca="1"/>
        <v>4.0764556716203649E-3</v>
      </c>
      <c r="P60" s="157">
        <f ca="1"/>
        <v>0</v>
      </c>
      <c r="Q60" s="157">
        <f ca="1"/>
        <v>4.9348342860425307E-3</v>
      </c>
      <c r="R60" s="162">
        <f ca="1"/>
        <v>8.2871667585366626E-2</v>
      </c>
      <c r="S60" s="157">
        <f ca="1"/>
        <v>2.1677025697965321E-3</v>
      </c>
      <c r="T60" s="157">
        <f ca="1"/>
        <v>0.2913718158375429</v>
      </c>
      <c r="U60" s="157">
        <f ca="1"/>
        <v>9.0213657290973241</v>
      </c>
      <c r="V60" s="157">
        <f ca="1"/>
        <v>20.074941964523166</v>
      </c>
      <c r="W60" s="157">
        <f ca="1"/>
        <v>5.0874314728607715</v>
      </c>
      <c r="X60" s="157">
        <f ca="1"/>
        <v>6.3599734945906929</v>
      </c>
      <c r="Y60" s="157">
        <f ca="1"/>
        <v>16.055734837558184</v>
      </c>
      <c r="Z60" s="162">
        <f ca="1"/>
        <v>5.619292557668242</v>
      </c>
      <c r="AA60" s="162">
        <f ca="1"/>
        <v>0.59212575237238929</v>
      </c>
      <c r="AB60" s="162">
        <f ca="1"/>
        <v>-0.24106627872993927</v>
      </c>
      <c r="AC60" s="157">
        <f ca="1"/>
        <v>0.67026711495179381</v>
      </c>
      <c r="AD60" s="157">
        <f ca="1"/>
        <v>6.1896528549268199E-8</v>
      </c>
      <c r="AE60" s="157">
        <f ca="1"/>
        <v>1.4554811959599291E-3</v>
      </c>
    </row>
    <row r="61" spans="1:31" ht="15" customHeight="1">
      <c r="A61" s="16"/>
      <c r="B61" s="22">
        <f>'Oil supply projection'!$B61</f>
        <v>2070</v>
      </c>
      <c r="C61" s="157">
        <f ca="1"/>
        <v>5.542081503436961E-2</v>
      </c>
      <c r="D61" s="157">
        <f ca="1"/>
        <v>3.4823459339204691E-3</v>
      </c>
      <c r="E61" s="157">
        <f ca="1"/>
        <v>4.1260244955886226E-2</v>
      </c>
      <c r="F61" s="157">
        <f ca="1"/>
        <v>1.1306177352343948E-2</v>
      </c>
      <c r="G61" s="157">
        <f ca="1"/>
        <v>1.2975477334263292E-3</v>
      </c>
      <c r="H61" s="439">
        <f ca="1"/>
        <v>6.7903958561416428E-2</v>
      </c>
      <c r="I61" s="157">
        <f ca="1"/>
        <v>5.8155924572086883E-2</v>
      </c>
      <c r="J61" s="162">
        <f ca="1"/>
        <v>4.1522831125363915</v>
      </c>
      <c r="K61" s="440">
        <f ca="1"/>
        <v>0.11980438548235375</v>
      </c>
      <c r="L61" s="157">
        <f ca="1"/>
        <v>6.5647195549196569E-2</v>
      </c>
      <c r="M61" s="157">
        <f ca="1"/>
        <v>4.807176123174508</v>
      </c>
      <c r="N61" s="157">
        <f ca="1"/>
        <v>4.687828921991255E-2</v>
      </c>
      <c r="O61" s="157">
        <f ca="1"/>
        <v>4.0655759001886425E-3</v>
      </c>
      <c r="P61" s="157">
        <f ca="1"/>
        <v>0</v>
      </c>
      <c r="Q61" s="157">
        <f ca="1"/>
        <v>4.9421206844188388E-3</v>
      </c>
      <c r="R61" s="162">
        <f ca="1"/>
        <v>8.284385768089729E-2</v>
      </c>
      <c r="S61" s="157">
        <f ca="1"/>
        <v>2.1677981804647376E-3</v>
      </c>
      <c r="T61" s="157">
        <f ca="1"/>
        <v>0.2940939032156758</v>
      </c>
      <c r="U61" s="157">
        <f ca="1"/>
        <v>9.11154975506469</v>
      </c>
      <c r="V61" s="157">
        <f ca="1"/>
        <v>20.312807157914193</v>
      </c>
      <c r="W61" s="157">
        <f ca="1"/>
        <v>5.125121254996337</v>
      </c>
      <c r="X61" s="157">
        <f ca="1"/>
        <v>6.4128499062454543</v>
      </c>
      <c r="Y61" s="157">
        <f ca="1"/>
        <v>16.171049639454736</v>
      </c>
      <c r="Z61" s="162">
        <f ca="1"/>
        <v>5.6664352361203765</v>
      </c>
      <c r="AA61" s="162">
        <f ca="1"/>
        <v>0.59483998753920986</v>
      </c>
      <c r="AB61" s="162">
        <f ca="1"/>
        <v>-0.24278402084527562</v>
      </c>
      <c r="AC61" s="157">
        <f ca="1"/>
        <v>0.67544762592517149</v>
      </c>
      <c r="AD61" s="157">
        <f ca="1"/>
        <v>5.7566701056922847E-8</v>
      </c>
      <c r="AE61" s="157">
        <f ca="1"/>
        <v>1.4218048626742071E-3</v>
      </c>
    </row>
    <row r="62" spans="1:31" ht="15" customHeight="1">
      <c r="A62" s="16"/>
      <c r="B62" s="22">
        <f>'Oil supply projection'!$B62</f>
        <v>2071</v>
      </c>
      <c r="C62" s="157">
        <f ca="1"/>
        <v>5.5570179253256156E-2</v>
      </c>
      <c r="D62" s="157">
        <f ca="1"/>
        <v>3.4874878588217438E-3</v>
      </c>
      <c r="E62" s="157">
        <f ca="1"/>
        <v>4.1507497624196026E-2</v>
      </c>
      <c r="F62" s="157">
        <f ca="1"/>
        <v>1.1355964286022367E-2</v>
      </c>
      <c r="G62" s="157">
        <f ca="1"/>
        <v>1.3012820741621441E-3</v>
      </c>
      <c r="H62" s="439">
        <f ca="1"/>
        <v>6.828969577790929E-2</v>
      </c>
      <c r="I62" s="157">
        <f ca="1"/>
        <v>5.8333936275298676E-2</v>
      </c>
      <c r="J62" s="162">
        <f ca="1"/>
        <v>4.1748806391605289</v>
      </c>
      <c r="K62" s="440">
        <f ca="1"/>
        <v>0.12038316964706748</v>
      </c>
      <c r="L62" s="157">
        <f ca="1"/>
        <v>6.5698050822076706E-2</v>
      </c>
      <c r="M62" s="157">
        <f ca="1"/>
        <v>4.8118839364353239</v>
      </c>
      <c r="N62" s="157">
        <f ca="1"/>
        <v>4.699141058108669E-2</v>
      </c>
      <c r="O62" s="157">
        <f ca="1"/>
        <v>4.0547251660962066E-3</v>
      </c>
      <c r="P62" s="157">
        <f ca="1"/>
        <v>0</v>
      </c>
      <c r="Q62" s="157">
        <f ca="1"/>
        <v>4.9494178413329705E-3</v>
      </c>
      <c r="R62" s="162">
        <f ca="1"/>
        <v>8.2816057108818661E-2</v>
      </c>
      <c r="S62" s="157">
        <f ca="1"/>
        <v>2.167893795350036E-3</v>
      </c>
      <c r="T62" s="157">
        <f ca="1"/>
        <v>0.2968414211924178</v>
      </c>
      <c r="U62" s="157">
        <f ca="1"/>
        <v>9.2026353250758905</v>
      </c>
      <c r="V62" s="157">
        <f ca="1"/>
        <v>20.553490782876583</v>
      </c>
      <c r="W62" s="157">
        <f ca="1"/>
        <v>5.1630902585199312</v>
      </c>
      <c r="X62" s="157">
        <f ca="1"/>
        <v>6.4661659289947027</v>
      </c>
      <c r="Y62" s="157">
        <f ca="1"/>
        <v>16.287192650316541</v>
      </c>
      <c r="Z62" s="162">
        <f ca="1"/>
        <v>5.7139734149151034</v>
      </c>
      <c r="AA62" s="162">
        <f ca="1"/>
        <v>0.5975666644424531</v>
      </c>
      <c r="AB62" s="162">
        <f ca="1"/>
        <v>-0.24451400290553801</v>
      </c>
      <c r="AC62" s="157">
        <f ca="1"/>
        <v>0.68066817719493955</v>
      </c>
      <c r="AD62" s="157">
        <f ca="1"/>
        <v>5.353975656226541E-8</v>
      </c>
      <c r="AE62" s="157">
        <f ca="1"/>
        <v>1.3889077187223735E-3</v>
      </c>
    </row>
    <row r="63" spans="1:31" ht="15" customHeight="1">
      <c r="A63" s="16"/>
      <c r="B63" s="22">
        <f>'Oil supply projection'!$B63</f>
        <v>2072</v>
      </c>
      <c r="C63" s="157">
        <f ca="1"/>
        <v>5.5719946022517806E-2</v>
      </c>
      <c r="D63" s="157">
        <f ca="1"/>
        <v>3.4926373761311777E-3</v>
      </c>
      <c r="E63" s="157">
        <f ca="1"/>
        <v>4.1756231958018343E-2</v>
      </c>
      <c r="F63" s="157">
        <f ca="1"/>
        <v>1.1405970457263388E-2</v>
      </c>
      <c r="G63" s="157">
        <f ca="1"/>
        <v>1.3050271623258737E-3</v>
      </c>
      <c r="H63" s="439">
        <f ca="1"/>
        <v>6.8677624224535605E-2</v>
      </c>
      <c r="I63" s="157">
        <f ca="1"/>
        <v>5.8512492861370002E-2</v>
      </c>
      <c r="J63" s="162">
        <f ca="1"/>
        <v>4.1976011458887914</v>
      </c>
      <c r="K63" s="440">
        <f ca="1"/>
        <v>0.12096474996242261</v>
      </c>
      <c r="L63" s="157">
        <f ca="1"/>
        <v>6.5748945491289831E-2</v>
      </c>
      <c r="M63" s="157">
        <f ca="1"/>
        <v>4.816596360200335</v>
      </c>
      <c r="N63" s="157">
        <f ca="1"/>
        <v>4.7104804913876627E-2</v>
      </c>
      <c r="O63" s="157">
        <f ca="1"/>
        <v>4.0439033918444499E-3</v>
      </c>
      <c r="P63" s="157">
        <f ca="1"/>
        <v>0</v>
      </c>
      <c r="Q63" s="157">
        <f ca="1"/>
        <v>4.9567257726701496E-3</v>
      </c>
      <c r="R63" s="162">
        <f ca="1"/>
        <v>8.2788265865999092E-2</v>
      </c>
      <c r="S63" s="157">
        <f ca="1"/>
        <v>2.1679894144526106E-3</v>
      </c>
      <c r="T63" s="157">
        <f ca="1"/>
        <v>0.2996146073484367</v>
      </c>
      <c r="U63" s="157">
        <f ca="1"/>
        <v>9.2946314516100319</v>
      </c>
      <c r="V63" s="157">
        <f ca="1"/>
        <v>20.797026234613814</v>
      </c>
      <c r="W63" s="157">
        <f ca="1"/>
        <v>5.2013405520183156</v>
      </c>
      <c r="X63" s="157">
        <f ca="1"/>
        <v>6.5199252177370788</v>
      </c>
      <c r="Y63" s="157">
        <f ca="1"/>
        <v>16.404169818470049</v>
      </c>
      <c r="Z63" s="162">
        <f ca="1"/>
        <v>5.7619104120760216</v>
      </c>
      <c r="AA63" s="162">
        <f ca="1"/>
        <v>0.60030584011358612</v>
      </c>
      <c r="AB63" s="162">
        <f ca="1"/>
        <v>-0.24625631212768584</v>
      </c>
      <c r="AC63" s="157">
        <f ca="1"/>
        <v>0.68592907823353533</v>
      </c>
      <c r="AD63" s="157">
        <f ca="1"/>
        <v>4.979450759063284E-8</v>
      </c>
      <c r="AE63" s="157">
        <f ca="1"/>
        <v>1.356771735537817E-3</v>
      </c>
    </row>
    <row r="64" spans="1:31" ht="15" customHeight="1">
      <c r="A64" s="16"/>
      <c r="B64" s="22">
        <f>'Oil supply projection'!$B64</f>
        <v>2073</v>
      </c>
      <c r="C64" s="157">
        <f ca="1"/>
        <v>5.5870116427065096E-2</v>
      </c>
      <c r="D64" s="157">
        <f ca="1"/>
        <v>3.4977944970594945E-3</v>
      </c>
      <c r="E64" s="157">
        <f ca="1"/>
        <v>4.2006456836257013E-2</v>
      </c>
      <c r="F64" s="157">
        <f ca="1"/>
        <v>1.1456196831483155E-2</v>
      </c>
      <c r="G64" s="157">
        <f ca="1"/>
        <v>1.308783028848601E-3</v>
      </c>
      <c r="H64" s="439">
        <f ca="1"/>
        <v>6.9067756348861586E-2</v>
      </c>
      <c r="I64" s="157">
        <f ca="1"/>
        <v>5.8691595998153753E-2</v>
      </c>
      <c r="J64" s="162">
        <f ca="1"/>
        <v>4.220445302002652</v>
      </c>
      <c r="K64" s="440">
        <f ca="1"/>
        <v>0.12154913993683733</v>
      </c>
      <c r="L64" s="157">
        <f ca="1"/>
        <v>6.579987958735542E-2</v>
      </c>
      <c r="M64" s="157">
        <f ca="1"/>
        <v>4.8213133989847528</v>
      </c>
      <c r="N64" s="157">
        <f ca="1"/>
        <v>4.7218472876986467E-2</v>
      </c>
      <c r="O64" s="157">
        <f ca="1"/>
        <v>4.0331105001416151E-3</v>
      </c>
      <c r="P64" s="157">
        <f ca="1"/>
        <v>0</v>
      </c>
      <c r="Q64" s="157">
        <f ca="1"/>
        <v>4.9640444943390644E-3</v>
      </c>
      <c r="R64" s="162">
        <f ca="1"/>
        <v>8.2760483949307975E-2</v>
      </c>
      <c r="S64" s="157">
        <f ca="1"/>
        <v>2.1680850377726497E-3</v>
      </c>
      <c r="T64" s="157">
        <f ca="1"/>
        <v>0.30241370148395924</v>
      </c>
      <c r="U64" s="157">
        <f ca="1"/>
        <v>9.3875472372416464</v>
      </c>
      <c r="V64" s="157">
        <f ca="1"/>
        <v>21.043447304024415</v>
      </c>
      <c r="W64" s="157">
        <f ca="1"/>
        <v>5.2398742194031742</v>
      </c>
      <c r="X64" s="157">
        <f ca="1"/>
        <v>6.5741314577574625</v>
      </c>
      <c r="Y64" s="157">
        <f ca="1"/>
        <v>16.521987134963677</v>
      </c>
      <c r="Z64" s="162">
        <f ca="1"/>
        <v>5.8102495734631319</v>
      </c>
      <c r="AA64" s="162">
        <f ca="1"/>
        <v>0.6030575718454948</v>
      </c>
      <c r="AB64" s="162">
        <f ca="1"/>
        <v>-0.24801103635016061</v>
      </c>
      <c r="AC64" s="157">
        <f ca="1"/>
        <v>0.6912306409053095</v>
      </c>
      <c r="AD64" s="157">
        <f ca="1"/>
        <v>4.6311248787805045E-8</v>
      </c>
      <c r="AE64" s="157">
        <f ca="1"/>
        <v>1.3253793016915771E-3</v>
      </c>
    </row>
    <row r="65" spans="1:31" ht="15" customHeight="1">
      <c r="A65" s="16"/>
      <c r="B65" s="22">
        <f>'Oil supply projection'!$B65</f>
        <v>2074</v>
      </c>
      <c r="C65" s="157">
        <f ca="1"/>
        <v>5.6020691554732452E-2</v>
      </c>
      <c r="D65" s="157">
        <f ca="1"/>
        <v>3.5029592328339578E-3</v>
      </c>
      <c r="E65" s="157">
        <f ca="1"/>
        <v>4.225818119102296E-2</v>
      </c>
      <c r="F65" s="157">
        <f ca="1"/>
        <v>1.1506644378348998E-2</v>
      </c>
      <c r="G65" s="157">
        <f ca="1"/>
        <v>1.3125497047504326E-3</v>
      </c>
      <c r="H65" s="439">
        <f ca="1"/>
        <v>6.9460104669163414E-2</v>
      </c>
      <c r="I65" s="157">
        <f ca="1"/>
        <v>5.8871247358608061E-2</v>
      </c>
      <c r="J65" s="162">
        <f ca="1"/>
        <v>4.2434137804259509</v>
      </c>
      <c r="K65" s="440">
        <f ca="1"/>
        <v>0.12213635314398971</v>
      </c>
      <c r="L65" s="157">
        <f ca="1"/>
        <v>6.5850853140816429E-2</v>
      </c>
      <c r="M65" s="157">
        <f ca="1"/>
        <v>4.8260350573082045</v>
      </c>
      <c r="N65" s="157">
        <f ca="1"/>
        <v>4.7332415130709765E-2</v>
      </c>
      <c r="O65" s="157">
        <f ca="1"/>
        <v>4.0223464139022185E-3</v>
      </c>
      <c r="P65" s="157">
        <f ca="1"/>
        <v>0</v>
      </c>
      <c r="Q65" s="157">
        <f ca="1"/>
        <v>4.9713740222719028E-3</v>
      </c>
      <c r="R65" s="162">
        <f ca="1"/>
        <v>8.2732711355615454E-2</v>
      </c>
      <c r="S65" s="157">
        <f ca="1"/>
        <v>2.1681806653103355E-3</v>
      </c>
      <c r="T65" s="157">
        <f ca="1"/>
        <v>0.30523894563949905</v>
      </c>
      <c r="U65" s="157">
        <f ca="1"/>
        <v>9.4813918755410143</v>
      </c>
      <c r="V65" s="157">
        <f ca="1"/>
        <v>21.292788182390733</v>
      </c>
      <c r="W65" s="157">
        <f ca="1"/>
        <v>5.2786933600246675</v>
      </c>
      <c r="X65" s="157">
        <f ca="1"/>
        <v>6.6287883649801138</v>
      </c>
      <c r="Y65" s="157">
        <f ca="1"/>
        <v>16.640650633874234</v>
      </c>
      <c r="Z65" s="162">
        <f ca="1"/>
        <v>5.8589942730062514</v>
      </c>
      <c r="AA65" s="162">
        <f ca="1"/>
        <v>0.60582191719369483</v>
      </c>
      <c r="AB65" s="162">
        <f ca="1"/>
        <v>-0.2497782640372983</v>
      </c>
      <c r="AC65" s="157">
        <f ca="1"/>
        <v>0.69657317948502484</v>
      </c>
      <c r="AD65" s="157">
        <f ca="1"/>
        <v>4.3071653241720785E-8</v>
      </c>
      <c r="AE65" s="157">
        <f ca="1"/>
        <v>1.294713213240789E-3</v>
      </c>
    </row>
    <row r="66" spans="1:31" ht="15" customHeight="1">
      <c r="A66" s="16"/>
      <c r="B66" s="22">
        <f>'Oil supply projection'!$B66</f>
        <v>2075</v>
      </c>
      <c r="C66" s="157">
        <f ca="1"/>
        <v>5.6171672496285949E-2</v>
      </c>
      <c r="D66" s="157">
        <f ca="1"/>
        <v>3.5081315946984136E-3</v>
      </c>
      <c r="E66" s="157">
        <f ca="1"/>
        <v>4.2511414007952927E-2</v>
      </c>
      <c r="F66" s="157">
        <f ca="1"/>
        <v>1.1557314071798244E-2</v>
      </c>
      <c r="G66" s="157">
        <f ca="1"/>
        <v>1.3163272211407441E-3</v>
      </c>
      <c r="H66" s="439">
        <f ca="1"/>
        <v>6.9854681774828703E-2</v>
      </c>
      <c r="I66" s="157">
        <f ca="1"/>
        <v>5.9051448620811693E-2</v>
      </c>
      <c r="J66" s="162">
        <f ca="1"/>
        <v>4.2665072577447063</v>
      </c>
      <c r="K66" s="440">
        <f ca="1"/>
        <v>0.12272640322313356</v>
      </c>
      <c r="L66" s="157">
        <f ca="1"/>
        <v>6.5901866182239546E-2</v>
      </c>
      <c r="M66" s="157">
        <f ca="1"/>
        <v>4.8307613396947424</v>
      </c>
      <c r="N66" s="157">
        <f ca="1"/>
        <v>4.7446632336933511E-2</v>
      </c>
      <c r="O66" s="157">
        <f ca="1"/>
        <v>4.0116110562465187E-3</v>
      </c>
      <c r="P66" s="157">
        <f ca="1"/>
        <v>0</v>
      </c>
      <c r="Q66" s="157">
        <f ca="1"/>
        <v>4.97871437242436E-3</v>
      </c>
      <c r="R66" s="162">
        <f ca="1"/>
        <v>8.2704948081793045E-2</v>
      </c>
      <c r="S66" s="157">
        <f ca="1"/>
        <v>2.1682762970658591E-3</v>
      </c>
      <c r="T66" s="157">
        <f ca="1"/>
        <v>0.30809058411678847</v>
      </c>
      <c r="U66" s="157">
        <f ca="1"/>
        <v>9.5761746519839281</v>
      </c>
      <c r="V66" s="157">
        <f ca="1"/>
        <v>21.545083466122428</v>
      </c>
      <c r="W66" s="157">
        <f ca="1"/>
        <v>5.3178000887857575</v>
      </c>
      <c r="X66" s="157">
        <f ca="1"/>
        <v>6.6838996862233211</v>
      </c>
      <c r="Y66" s="157">
        <f ca="1"/>
        <v>16.760166392616483</v>
      </c>
      <c r="Z66" s="162">
        <f ca="1"/>
        <v>5.9081479129405592</v>
      </c>
      <c r="AA66" s="162">
        <f ca="1"/>
        <v>0.60859893397752662</v>
      </c>
      <c r="AB66" s="162">
        <f ca="1"/>
        <v>-0.25155808428379911</v>
      </c>
      <c r="AC66" s="157">
        <f ca="1"/>
        <v>0.70195701067647309</v>
      </c>
      <c r="AD66" s="157">
        <f ca="1"/>
        <v>4.0058676056767266E-8</v>
      </c>
      <c r="AE66" s="157">
        <f ca="1"/>
        <v>1.2647566643004464E-3</v>
      </c>
    </row>
    <row r="67" spans="1:31" ht="15" customHeight="1">
      <c r="A67" s="16"/>
      <c r="B67" s="22">
        <f>'Oil supply projection'!$B67</f>
        <v>2076</v>
      </c>
      <c r="C67" s="157">
        <f ca="1"/>
        <v>5.6323060345431677E-2</v>
      </c>
      <c r="D67" s="157">
        <f ca="1"/>
        <v>3.5133115939133151E-3</v>
      </c>
      <c r="E67" s="157">
        <f ca="1"/>
        <v>4.2766164326530208E-2</v>
      </c>
      <c r="F67" s="157">
        <f ca="1"/>
        <v>1.1608206890056939E-2</v>
      </c>
      <c r="G67" s="157">
        <f ca="1"/>
        <v>1.3201156092184508E-3</v>
      </c>
      <c r="H67" s="439">
        <f ca="1"/>
        <v>7.0251500326761002E-2</v>
      </c>
      <c r="I67" s="157">
        <f ca="1"/>
        <v>5.9232201467980083E-2</v>
      </c>
      <c r="J67" s="162">
        <f ca="1"/>
        <v>4.2897264142270455</v>
      </c>
      <c r="K67" s="440">
        <f ca="1"/>
        <v>0.12331930387941442</v>
      </c>
      <c r="L67" s="157">
        <f ca="1"/>
        <v>6.5952918742215136E-2</v>
      </c>
      <c r="M67" s="157">
        <f ca="1"/>
        <v>4.835492250672857</v>
      </c>
      <c r="N67" s="157">
        <f ca="1"/>
        <v>4.7561125159141814E-2</v>
      </c>
      <c r="O67" s="157">
        <f ca="1"/>
        <v>4.0009043504999663E-3</v>
      </c>
      <c r="P67" s="157">
        <f ca="1"/>
        <v>0</v>
      </c>
      <c r="Q67" s="157">
        <f ca="1"/>
        <v>4.986065560775692E-3</v>
      </c>
      <c r="R67" s="162">
        <f ca="1"/>
        <v>8.2677194124713249E-2</v>
      </c>
      <c r="S67" s="157">
        <f ca="1"/>
        <v>2.1683719330394054E-3</v>
      </c>
      <c r="T67" s="157">
        <f ca="1"/>
        <v>0.31096886349990388</v>
      </c>
      <c r="U67" s="157">
        <f ca="1"/>
        <v>9.6719049448704197</v>
      </c>
      <c r="V67" s="157">
        <f ca="1"/>
        <v>21.800368161557749</v>
      </c>
      <c r="W67" s="157">
        <f ca="1"/>
        <v>5.3571965362575131</v>
      </c>
      <c r="X67" s="157">
        <f ca="1"/>
        <v>6.7394691994560736</v>
      </c>
      <c r="Y67" s="157">
        <f ca="1"/>
        <v>16.88054053225391</v>
      </c>
      <c r="Z67" s="162">
        <f ca="1"/>
        <v>5.9577139240441053</v>
      </c>
      <c r="AA67" s="162">
        <f ca="1"/>
        <v>0.61138868028137028</v>
      </c>
      <c r="AB67" s="162">
        <f ca="1"/>
        <v>-0.25335058681922001</v>
      </c>
      <c r="AC67" s="157">
        <f ca="1"/>
        <v>0.70738245363127139</v>
      </c>
      <c r="AD67" s="157">
        <f ca="1"/>
        <v>3.7256464673304983E-8</v>
      </c>
      <c r="AE67" s="157">
        <f ca="1"/>
        <v>1.2354932378332748E-3</v>
      </c>
    </row>
    <row r="68" spans="1:31" ht="15" customHeight="1">
      <c r="A68" s="16"/>
      <c r="B68" s="22">
        <f>'Oil supply projection'!$B68</f>
        <v>2077</v>
      </c>
      <c r="C68" s="157">
        <f ca="1"/>
        <v>5.6474856198823156E-2</v>
      </c>
      <c r="D68" s="157">
        <f ca="1"/>
        <v>3.5184992417557461E-3</v>
      </c>
      <c r="E68" s="157">
        <f ca="1"/>
        <v>4.3022441240407397E-2</v>
      </c>
      <c r="F68" s="157">
        <f ca="1"/>
        <v>1.1659323815658729E-2</v>
      </c>
      <c r="G68" s="157">
        <f ca="1"/>
        <v>1.3239149002722533E-3</v>
      </c>
      <c r="H68" s="439">
        <f ca="1"/>
        <v>7.0650573057785659E-2</v>
      </c>
      <c r="I68" s="157">
        <f ca="1"/>
        <v>5.9413507588480866E-2</v>
      </c>
      <c r="J68" s="162">
        <f ca="1"/>
        <v>4.3130719338432497</v>
      </c>
      <c r="K68" s="440">
        <f ca="1"/>
        <v>0.12391506888418907</v>
      </c>
      <c r="L68" s="157">
        <f ca="1"/>
        <v>6.6004010851357278E-2</v>
      </c>
      <c r="M68" s="157">
        <f ca="1"/>
        <v>4.8402277947754628</v>
      </c>
      <c r="N68" s="157">
        <f ca="1"/>
        <v>4.7675894262419798E-2</v>
      </c>
      <c r="O68" s="157">
        <f ca="1"/>
        <v>3.9902262201926423E-3</v>
      </c>
      <c r="P68" s="157">
        <f ca="1"/>
        <v>0</v>
      </c>
      <c r="Q68" s="157">
        <f ca="1"/>
        <v>4.9934276033287688E-3</v>
      </c>
      <c r="R68" s="162">
        <f ca="1"/>
        <v>8.2649449481249485E-2</v>
      </c>
      <c r="S68" s="157">
        <f ca="1"/>
        <v>2.1684675732311577E-3</v>
      </c>
      <c r="T68" s="157">
        <f ca="1"/>
        <v>0.31387403267658637</v>
      </c>
      <c r="U68" s="157">
        <f ca="1"/>
        <v>9.7685922262527711</v>
      </c>
      <c r="V68" s="157">
        <f ca="1"/>
        <v>22.058677689819895</v>
      </c>
      <c r="W68" s="157">
        <f ca="1"/>
        <v>5.3968848487951977</v>
      </c>
      <c r="X68" s="157">
        <f ca="1"/>
        <v>6.7955007140571455</v>
      </c>
      <c r="Y68" s="157">
        <f ca="1"/>
        <v>17.001779217812476</v>
      </c>
      <c r="Z68" s="162">
        <f ca="1"/>
        <v>6.0076957658771617</v>
      </c>
      <c r="AA68" s="162">
        <f ca="1"/>
        <v>0.61419121445585356</v>
      </c>
      <c r="AB68" s="162">
        <f ca="1"/>
        <v>-0.25515586201248791</v>
      </c>
      <c r="AC68" s="157">
        <f ca="1"/>
        <v>0.71284982996775825</v>
      </c>
      <c r="AD68" s="157">
        <f ca="1"/>
        <v>3.4650275460582663E-8</v>
      </c>
      <c r="AE68" s="157">
        <f ca="1"/>
        <v>1.2069068966527642E-3</v>
      </c>
    </row>
    <row r="69" spans="1:31" ht="15" customHeight="1">
      <c r="A69" s="16"/>
      <c r="B69" s="22">
        <f>'Oil supply projection'!$B69</f>
        <v>2078</v>
      </c>
      <c r="C69" s="157">
        <f ca="1"/>
        <v>5.6627061156069539E-2</v>
      </c>
      <c r="D69" s="157">
        <f ca="1"/>
        <v>3.5236945495194221E-3</v>
      </c>
      <c r="E69" s="157">
        <f ca="1"/>
        <v>4.3280253897730818E-2</v>
      </c>
      <c r="F69" s="157">
        <f ca="1"/>
        <v>1.1710665835463966E-2</v>
      </c>
      <c r="G69" s="157">
        <f ca="1"/>
        <v>1.3277251256809048E-3</v>
      </c>
      <c r="H69" s="439">
        <f ca="1"/>
        <v>7.1051912773058501E-2</v>
      </c>
      <c r="I69" s="157">
        <f ca="1"/>
        <v>5.959536867584958E-2</v>
      </c>
      <c r="J69" s="162">
        <f ca="1"/>
        <v>4.3365445042859045</v>
      </c>
      <c r="K69" s="440">
        <f ca="1"/>
        <v>0.12451371207534447</v>
      </c>
      <c r="L69" s="157">
        <f ca="1"/>
        <v>6.6055142540303688E-2</v>
      </c>
      <c r="M69" s="157">
        <f ca="1"/>
        <v>4.8449679765399187</v>
      </c>
      <c r="N69" s="157">
        <f ca="1"/>
        <v>4.7790940313457639E-2</v>
      </c>
      <c r="O69" s="157">
        <f ca="1"/>
        <v>3.979576589058717E-3</v>
      </c>
      <c r="P69" s="157">
        <f ca="1"/>
        <v>0</v>
      </c>
      <c r="Q69" s="157">
        <f ca="1"/>
        <v>5.0008005161100572E-3</v>
      </c>
      <c r="R69" s="162">
        <f ca="1"/>
        <v>8.2621714148276335E-2</v>
      </c>
      <c r="S69" s="157">
        <f ca="1"/>
        <v>2.1685632176413035E-3</v>
      </c>
      <c r="T69" s="157">
        <f ca="1"/>
        <v>0.31680634285976922</v>
      </c>
      <c r="U69" s="157">
        <f ca="1"/>
        <v>9.8662460628726283</v>
      </c>
      <c r="V69" s="157">
        <f ca="1"/>
        <v>22.320047891731864</v>
      </c>
      <c r="W69" s="157">
        <f ca="1"/>
        <v>5.4368671886550928</v>
      </c>
      <c r="X69" s="157">
        <f ca="1"/>
        <v>6.8519980710763404</v>
      </c>
      <c r="Y69" s="157">
        <f ca="1"/>
        <v>17.123888658596517</v>
      </c>
      <c r="Z69" s="162">
        <f ca="1"/>
        <v>6.0580969270237732</v>
      </c>
      <c r="AA69" s="162">
        <f ca="1"/>
        <v>0.61700659511908029</v>
      </c>
      <c r="AB69" s="162">
        <f ca="1"/>
        <v>-0.25697400087646738</v>
      </c>
      <c r="AC69" s="157">
        <f ca="1"/>
        <v>0.71835946379005988</v>
      </c>
      <c r="AD69" s="157">
        <f ca="1"/>
        <v>3.2226396144198208E-8</v>
      </c>
      <c r="AE69" s="157">
        <f ca="1"/>
        <v>1.178981974634304E-3</v>
      </c>
    </row>
    <row r="70" spans="1:31" ht="15" customHeight="1">
      <c r="A70" s="16"/>
      <c r="B70" s="22">
        <f>'Oil supply projection'!$B70</f>
        <v>2079</v>
      </c>
      <c r="C70" s="157">
        <f ca="1"/>
        <v>5.6779676319743476E-2</v>
      </c>
      <c r="D70" s="157">
        <f ca="1"/>
        <v>3.5288975285147493E-3</v>
      </c>
      <c r="E70" s="157">
        <f ca="1"/>
        <v>4.3539611501467346E-2</v>
      </c>
      <c r="F70" s="157">
        <f ca="1"/>
        <v>1.1762233940678539E-2</v>
      </c>
      <c r="G70" s="157">
        <f ca="1"/>
        <v>1.331546316913463E-3</v>
      </c>
      <c r="H70" s="439">
        <f ca="1"/>
        <v>7.1455532350476456E-2</v>
      </c>
      <c r="I70" s="157">
        <f ca="1"/>
        <v>5.9777786428805657E-2</v>
      </c>
      <c r="J70" s="162">
        <f ca="1"/>
        <v>4.3601448169901307</v>
      </c>
      <c r="K70" s="440">
        <f ca="1"/>
        <v>0.12511524735761959</v>
      </c>
      <c r="L70" s="157">
        <f ca="1"/>
        <v>6.6106313839715894E-2</v>
      </c>
      <c r="M70" s="157">
        <f ca="1"/>
        <v>4.8497128005080317</v>
      </c>
      <c r="N70" s="157">
        <f ca="1"/>
        <v>4.7906263980554142E-2</v>
      </c>
      <c r="O70" s="157">
        <f ca="1"/>
        <v>3.968955381035923E-3</v>
      </c>
      <c r="P70" s="157">
        <f ca="1"/>
        <v>0</v>
      </c>
      <c r="Q70" s="157">
        <f ca="1"/>
        <v>5.0081843151697121E-3</v>
      </c>
      <c r="R70" s="162">
        <f ca="1"/>
        <v>8.2593988122669451E-2</v>
      </c>
      <c r="S70" s="157">
        <f ca="1"/>
        <v>2.1686588662700292E-3</v>
      </c>
      <c r="T70" s="157">
        <f ca="1"/>
        <v>0.31976604760928967</v>
      </c>
      <c r="U70" s="157">
        <f ca="1"/>
        <v>9.9648761171076128</v>
      </c>
      <c r="V70" s="157">
        <f ca="1"/>
        <v>22.584515032789913</v>
      </c>
      <c r="W70" s="157">
        <f ca="1"/>
        <v>5.4771457341123684</v>
      </c>
      <c r="X70" s="157">
        <f ca="1"/>
        <v>6.9089651434975972</v>
      </c>
      <c r="Y70" s="157">
        <f ca="1"/>
        <v>17.246875108506313</v>
      </c>
      <c r="Z70" s="162">
        <f ca="1"/>
        <v>6.1089209253352195</v>
      </c>
      <c r="AA70" s="162">
        <f ca="1"/>
        <v>0.61983488115785279</v>
      </c>
      <c r="AB70" s="162">
        <f ca="1"/>
        <v>-0.25880509507254407</v>
      </c>
      <c r="AC70" s="157">
        <f ca="1"/>
        <v>0.72391168170733267</v>
      </c>
      <c r="AD70" s="157">
        <f ca="1"/>
        <v>2.997207365996879E-8</v>
      </c>
      <c r="AE70" s="157">
        <f ca="1"/>
        <v>1.1517031681297248E-3</v>
      </c>
    </row>
    <row r="71" spans="1:31" ht="15" customHeight="1">
      <c r="A71" s="16"/>
      <c r="B71" s="22">
        <f>'Oil supply projection'!$B71</f>
        <v>2080</v>
      </c>
      <c r="C71" s="157">
        <f ca="1"/>
        <v>5.6932702795389263E-2</v>
      </c>
      <c r="D71" s="157">
        <f ca="1"/>
        <v>3.5341081900688376E-3</v>
      </c>
      <c r="E71" s="157">
        <f ca="1"/>
        <v>4.3800523309732664E-2</v>
      </c>
      <c r="F71" s="157">
        <f ca="1"/>
        <v>1.1814029126873217E-2</v>
      </c>
      <c r="G71" s="157">
        <f ca="1"/>
        <v>1.3353785055295567E-3</v>
      </c>
      <c r="H71" s="439">
        <f ca="1"/>
        <v>7.1861444741091449E-2</v>
      </c>
      <c r="I71" s="157">
        <f ca="1"/>
        <v>5.9960762551268185E-2</v>
      </c>
      <c r="J71" s="162">
        <f ca="1"/>
        <v>4.3838735671540006</v>
      </c>
      <c r="K71" s="440">
        <f ca="1"/>
        <v>0.12571968870292832</v>
      </c>
      <c r="L71" s="157">
        <f ca="1"/>
        <v>6.6157524780279267E-2</v>
      </c>
      <c r="M71" s="157">
        <f ca="1"/>
        <v>4.8544622712260503</v>
      </c>
      <c r="N71" s="157">
        <f ca="1"/>
        <v>4.8021865933620886E-2</v>
      </c>
      <c r="O71" s="157">
        <f ca="1"/>
        <v>3.9583625202649917E-3</v>
      </c>
      <c r="P71" s="157">
        <f ca="1"/>
        <v>0</v>
      </c>
      <c r="Q71" s="157">
        <f ca="1"/>
        <v>5.0155790165815712E-3</v>
      </c>
      <c r="R71" s="162">
        <f ca="1"/>
        <v>8.2566271401305485E-2</v>
      </c>
      <c r="S71" s="157">
        <f ca="1"/>
        <v>2.1687545191175208E-3</v>
      </c>
      <c r="T71" s="157">
        <f ca="1"/>
        <v>0.32275340285382753</v>
      </c>
      <c r="U71" s="157">
        <f ca="1"/>
        <v>10.06449214792748</v>
      </c>
      <c r="V71" s="157">
        <f ca="1"/>
        <v>22.852115808194945</v>
      </c>
      <c r="W71" s="157">
        <f ca="1"/>
        <v>5.51772267957978</v>
      </c>
      <c r="X71" s="157">
        <f ca="1"/>
        <v>6.966405836504614</v>
      </c>
      <c r="Y71" s="157">
        <f ca="1"/>
        <v>17.370744866358748</v>
      </c>
      <c r="Z71" s="162">
        <f ca="1"/>
        <v>6.1601713081756087</v>
      </c>
      <c r="AA71" s="162">
        <f ca="1"/>
        <v>0.62267613172890046</v>
      </c>
      <c r="AB71" s="162">
        <f ca="1"/>
        <v>-0.26064923691524211</v>
      </c>
      <c r="AC71" s="157">
        <f ca="1"/>
        <v>0.72950681285308483</v>
      </c>
      <c r="AD71" s="157">
        <f ca="1"/>
        <v>2.7875447054613425E-8</v>
      </c>
      <c r="AE71" s="157">
        <f ca="1"/>
        <v>1.1250555275804563E-3</v>
      </c>
    </row>
    <row r="72" spans="1:31" ht="15" customHeight="1">
      <c r="A72" s="16"/>
      <c r="B72" s="22">
        <f>'Oil supply projection'!$B72</f>
        <v>2081</v>
      </c>
      <c r="C72" s="157">
        <f ca="1"/>
        <v>5.7086141691530687E-2</v>
      </c>
      <c r="D72" s="157">
        <f ca="1"/>
        <v>3.5393265455255177E-3</v>
      </c>
      <c r="E72" s="157">
        <f ca="1"/>
        <v>4.4062998636121946E-2</v>
      </c>
      <c r="F72" s="157">
        <f ca="1"/>
        <v>1.1866052394002721E-2</v>
      </c>
      <c r="G72" s="157">
        <f ca="1"/>
        <v>1.339221723179639E-3</v>
      </c>
      <c r="H72" s="439">
        <f ca="1"/>
        <v>7.2269662969525139E-2</v>
      </c>
      <c r="I72" s="157">
        <f ca="1"/>
        <v>6.0144298752371893E-2</v>
      </c>
      <c r="J72" s="162">
        <f ca="1"/>
        <v>4.40773145375897</v>
      </c>
      <c r="K72" s="440">
        <f ca="1"/>
        <v>0.12632705015068355</v>
      </c>
      <c r="L72" s="157">
        <f ca="1"/>
        <v>6.6208775392702576E-2</v>
      </c>
      <c r="M72" s="157">
        <f ca="1"/>
        <v>4.859216393244675</v>
      </c>
      <c r="N72" s="157">
        <f ca="1"/>
        <v>4.8137746844185945E-2</v>
      </c>
      <c r="O72" s="157">
        <f ca="1"/>
        <v>3.9477979310891097E-3</v>
      </c>
      <c r="P72" s="157">
        <f ca="1"/>
        <v>0</v>
      </c>
      <c r="Q72" s="157">
        <f ca="1"/>
        <v>5.0229846364432239E-3</v>
      </c>
      <c r="R72" s="162">
        <f ca="1"/>
        <v>8.2538563981062033E-2</v>
      </c>
      <c r="S72" s="157">
        <f ca="1"/>
        <v>2.1688501761839645E-3</v>
      </c>
      <c r="T72" s="157">
        <f ca="1"/>
        <v>0.32576866691302453</v>
      </c>
      <c r="U72" s="157">
        <f ca="1"/>
        <v>10.165104011859551</v>
      </c>
      <c r="V72" s="157">
        <f ca="1"/>
        <v>23.12288734794415</v>
      </c>
      <c r="W72" s="157">
        <f ca="1"/>
        <v>5.5586002357271473</v>
      </c>
      <c r="X72" s="157">
        <f ca="1"/>
        <v>7.024324087748619</v>
      </c>
      <c r="Y72" s="157">
        <f ca="1"/>
        <v>17.495504276209854</v>
      </c>
      <c r="Z72" s="162">
        <f ca="1"/>
        <v>6.211851652669333</v>
      </c>
      <c r="AA72" s="162">
        <f ca="1"/>
        <v>0.62553040626012391</v>
      </c>
      <c r="AB72" s="162">
        <f ca="1"/>
        <v>-0.2625065193768894</v>
      </c>
      <c r="AC72" s="157">
        <f ca="1"/>
        <v>0.73514518890471048</v>
      </c>
      <c r="AD72" s="157">
        <f ca="1"/>
        <v>2.5925485080212698E-8</v>
      </c>
      <c r="AE72" s="157">
        <f ca="1"/>
        <v>1.0990244493247461E-3</v>
      </c>
    </row>
    <row r="73" spans="1:31" ht="15" customHeight="1">
      <c r="A73" s="16"/>
      <c r="B73" s="22">
        <f>'Oil supply projection'!$B73</f>
        <v>2082</v>
      </c>
      <c r="C73" s="157">
        <f ca="1"/>
        <v>5.7239994119679082E-2</v>
      </c>
      <c r="D73" s="157">
        <f ca="1"/>
        <v>3.5445526062453641E-3</v>
      </c>
      <c r="E73" s="157">
        <f ca="1"/>
        <v>4.4327046850042177E-2</v>
      </c>
      <c r="F73" s="157">
        <f ca="1"/>
        <v>1.1918304746425131E-2</v>
      </c>
      <c r="G73" s="157">
        <f ca="1"/>
        <v>1.3430760016052601E-3</v>
      </c>
      <c r="H73" s="439">
        <f ca="1"/>
        <v>7.2680200134387543E-2</v>
      </c>
      <c r="I73" s="157">
        <f ca="1"/>
        <v>6.0328396746482799E-2</v>
      </c>
      <c r="J73" s="162">
        <f ca="1"/>
        <v>4.4317191795904876</v>
      </c>
      <c r="K73" s="440">
        <f ca="1"/>
        <v>0.12693734580812421</v>
      </c>
      <c r="L73" s="157">
        <f ca="1"/>
        <v>6.6260065707718821E-2</v>
      </c>
      <c r="M73" s="157">
        <f ca="1"/>
        <v>4.8639751711190709</v>
      </c>
      <c r="N73" s="157">
        <f ca="1"/>
        <v>4.8253907385397782E-2</v>
      </c>
      <c r="O73" s="157">
        <f ca="1"/>
        <v>3.9372615380533936E-3</v>
      </c>
      <c r="P73" s="157">
        <f ca="1"/>
        <v>0</v>
      </c>
      <c r="Q73" s="157">
        <f ca="1"/>
        <v>5.0304011908760054E-3</v>
      </c>
      <c r="R73" s="162">
        <f ca="1"/>
        <v>8.2510865858817908E-2</v>
      </c>
      <c r="S73" s="157">
        <f ca="1"/>
        <v>2.1689458374695458E-3</v>
      </c>
      <c r="T73" s="157">
        <f ca="1"/>
        <v>0.32881210051982762</v>
      </c>
      <c r="U73" s="157">
        <f ca="1"/>
        <v>10.266721663964056</v>
      </c>
      <c r="V73" s="157">
        <f ca="1"/>
        <v>23.396867221983069</v>
      </c>
      <c r="W73" s="157">
        <f ca="1"/>
        <v>5.5997806296019021</v>
      </c>
      <c r="X73" s="157">
        <f ca="1"/>
        <v>7.0827238676181041</v>
      </c>
      <c r="Y73" s="157">
        <f ca="1"/>
        <v>17.621159727679611</v>
      </c>
      <c r="Z73" s="162">
        <f ca="1"/>
        <v>6.2639655659509303</v>
      </c>
      <c r="AA73" s="162">
        <f ca="1"/>
        <v>0.62839776445183282</v>
      </c>
      <c r="AB73" s="162">
        <f ca="1"/>
        <v>-0.26437703609229118</v>
      </c>
      <c r="AC73" s="157">
        <f ca="1"/>
        <v>0.74082714410315365</v>
      </c>
      <c r="AD73" s="157">
        <f ca="1"/>
        <v>2.4111928154102529E-8</v>
      </c>
      <c r="AE73" s="157">
        <f ca="1"/>
        <v>1.0735956675944501E-3</v>
      </c>
    </row>
    <row r="74" spans="1:31" ht="15" customHeight="1">
      <c r="A74" s="16"/>
      <c r="B74" s="22">
        <f>'Oil supply projection'!$B74</f>
        <v>2083</v>
      </c>
      <c r="C74" s="157">
        <f ca="1"/>
        <v>5.7394261194341392E-2</v>
      </c>
      <c r="D74" s="157">
        <f ca="1"/>
        <v>3.5497863836057332E-3</v>
      </c>
      <c r="E74" s="157">
        <f ca="1"/>
        <v>4.4592677377046655E-2</v>
      </c>
      <c r="F74" s="157">
        <f ca="1"/>
        <v>1.1970787192921193E-2</v>
      </c>
      <c r="G74" s="157">
        <f ca="1"/>
        <v>1.3469413726393147E-3</v>
      </c>
      <c r="H74" s="439">
        <f ca="1"/>
        <v>7.3093069408696823E-2</v>
      </c>
      <c r="I74" s="157">
        <f ca="1"/>
        <v>6.0513058253214881E-2</v>
      </c>
      <c r="J74" s="162">
        <f ca="1"/>
        <v>4.455837451258704</v>
      </c>
      <c r="K74" s="440">
        <f ca="1"/>
        <v>0.12755058985064177</v>
      </c>
      <c r="L74" s="157">
        <f ca="1"/>
        <v>6.6311395756084607E-2</v>
      </c>
      <c r="M74" s="157">
        <f ca="1"/>
        <v>4.8687386094088554</v>
      </c>
      <c r="N74" s="157">
        <f ca="1"/>
        <v>4.8370348232029417E-2</v>
      </c>
      <c r="O74" s="157">
        <f ca="1"/>
        <v>3.9267532659043487E-3</v>
      </c>
      <c r="P74" s="157">
        <f ca="1"/>
        <v>0</v>
      </c>
      <c r="Q74" s="157">
        <f ca="1"/>
        <v>5.0378286960250677E-3</v>
      </c>
      <c r="R74" s="162">
        <f ca="1"/>
        <v>8.248317703145297E-2</v>
      </c>
      <c r="S74" s="157">
        <f ca="1"/>
        <v>2.1690415029744507E-3</v>
      </c>
      <c r="T74" s="157">
        <f ca="1"/>
        <v>0.33188396684303134</v>
      </c>
      <c r="U74" s="157">
        <f ca="1"/>
        <v>10.369355158819094</v>
      </c>
      <c r="V74" s="157">
        <f ca="1"/>
        <v>23.67409344541802</v>
      </c>
      <c r="W74" s="157">
        <f ca="1"/>
        <v>5.6412661047503354</v>
      </c>
      <c r="X74" s="157">
        <f ca="1"/>
        <v>7.1416091795112173</v>
      </c>
      <c r="Y74" s="157">
        <f ca="1"/>
        <v>17.747717656279089</v>
      </c>
      <c r="Z74" s="162">
        <f ca="1"/>
        <v>6.3165166854166408</v>
      </c>
      <c r="AA74" s="162">
        <f ca="1"/>
        <v>0.63127826627799655</v>
      </c>
      <c r="AB74" s="162">
        <f ca="1"/>
        <v>-0.26626088136346027</v>
      </c>
      <c r="AC74" s="157">
        <f ca="1"/>
        <v>0.74655301527270568</v>
      </c>
      <c r="AD74" s="157">
        <f ca="1"/>
        <v>2.2425234378829089E-8</v>
      </c>
      <c r="AE74" s="157">
        <f ca="1"/>
        <v>1.0487552466969673E-3</v>
      </c>
    </row>
    <row r="75" spans="1:31" ht="15" customHeight="1">
      <c r="A75" s="16"/>
      <c r="B75" s="22">
        <f>'Oil supply projection'!$B75</f>
        <v>2084</v>
      </c>
      <c r="C75" s="157">
        <f ca="1"/>
        <v>5.7548944033028356E-2</v>
      </c>
      <c r="D75" s="157">
        <f ca="1"/>
        <v>3.5550278890007858E-3</v>
      </c>
      <c r="E75" s="157">
        <f ca="1"/>
        <v>4.4859899699171528E-2</v>
      </c>
      <c r="F75" s="157">
        <f ca="1"/>
        <v>1.2023500746713893E-2</v>
      </c>
      <c r="G75" s="157">
        <f ca="1"/>
        <v>1.3508178682063163E-3</v>
      </c>
      <c r="H75" s="439">
        <f ca="1"/>
        <v>7.3508284040302255E-2</v>
      </c>
      <c r="I75" s="157">
        <f ca="1"/>
        <v>6.0698284997445569E-2</v>
      </c>
      <c r="J75" s="162">
        <f ca="1"/>
        <v>4.4800869792192701</v>
      </c>
      <c r="K75" s="440">
        <f ca="1"/>
        <v>0.12816679652211041</v>
      </c>
      <c r="L75" s="157">
        <f ca="1"/>
        <v>6.6362765568580423E-2</v>
      </c>
      <c r="M75" s="157">
        <f ca="1"/>
        <v>4.8735067126781129</v>
      </c>
      <c r="N75" s="157">
        <f ca="1"/>
        <v>4.8487070060481918E-2</v>
      </c>
      <c r="O75" s="157">
        <f ca="1"/>
        <v>3.9162730395893124E-3</v>
      </c>
      <c r="P75" s="157">
        <f ca="1"/>
        <v>0</v>
      </c>
      <c r="Q75" s="157">
        <f ca="1"/>
        <v>5.0452671680594084E-3</v>
      </c>
      <c r="R75" s="162">
        <f ca="1"/>
        <v>8.2455497495847907E-2</v>
      </c>
      <c r="S75" s="157">
        <f ca="1"/>
        <v>2.1691371726988663E-3</v>
      </c>
      <c r="T75" s="157">
        <f ca="1"/>
        <v>0.33498453151004198</v>
      </c>
      <c r="U75" s="157">
        <f ca="1"/>
        <v>10.473014651515578</v>
      </c>
      <c r="V75" s="157">
        <f ca="1"/>
        <v>23.954604483791243</v>
      </c>
      <c r="W75" s="157">
        <f ca="1"/>
        <v>5.6830589213398106</v>
      </c>
      <c r="X75" s="157">
        <f ca="1"/>
        <v>7.200984060110005</v>
      </c>
      <c r="Y75" s="157">
        <f ca="1"/>
        <v>17.875184543740495</v>
      </c>
      <c r="Z75" s="162">
        <f ca="1"/>
        <v>6.3695086789784954</v>
      </c>
      <c r="AA75" s="162">
        <f ca="1"/>
        <v>0.63417197198749353</v>
      </c>
      <c r="AB75" s="162">
        <f ca="1"/>
        <v>-0.26815815016436373</v>
      </c>
      <c r="AC75" s="157">
        <f ca="1"/>
        <v>0.7523231418409867</v>
      </c>
      <c r="AD75" s="157">
        <f ca="1"/>
        <v>2.0856529338150529E-8</v>
      </c>
      <c r="AE75" s="157">
        <f ca="1"/>
        <v>1.0244895733780993E-3</v>
      </c>
    </row>
    <row r="76" spans="1:31" ht="15" customHeight="1">
      <c r="A76" s="16"/>
      <c r="B76" s="22">
        <f>'Oil supply projection'!$B76</f>
        <v>2085</v>
      </c>
      <c r="C76" s="157">
        <f ca="1"/>
        <v>5.7704043756262424E-2</v>
      </c>
      <c r="D76" s="157">
        <f ca="1"/>
        <v>3.5602771338414927E-3</v>
      </c>
      <c r="E76" s="157">
        <f ca="1"/>
        <v>4.5128723355274174E-2</v>
      </c>
      <c r="F76" s="157">
        <f ca="1"/>
        <v>1.2076446425487891E-2</v>
      </c>
      <c r="G76" s="157">
        <f ca="1"/>
        <v>1.3547055203226585E-3</v>
      </c>
      <c r="H76" s="439">
        <f ca="1"/>
        <v>7.392585735230911E-2</v>
      </c>
      <c r="I76" s="157">
        <f ca="1"/>
        <v>6.0884078709331942E-2</v>
      </c>
      <c r="J76" s="162">
        <f ca="1"/>
        <v>4.5044684777942852</v>
      </c>
      <c r="K76" s="440">
        <f ca="1"/>
        <v>0.12878598013521803</v>
      </c>
      <c r="L76" s="157">
        <f ca="1"/>
        <v>6.6414175176010504E-2</v>
      </c>
      <c r="M76" s="157">
        <f ca="1"/>
        <v>4.8782794854954048</v>
      </c>
      <c r="N76" s="157">
        <f ca="1"/>
        <v>4.8604073548788811E-2</v>
      </c>
      <c r="O76" s="157">
        <f ca="1"/>
        <v>3.9058207842559466E-3</v>
      </c>
      <c r="P76" s="157">
        <f ca="1"/>
        <v>0</v>
      </c>
      <c r="Q76" s="157">
        <f ca="1"/>
        <v>5.0527166231718879E-3</v>
      </c>
      <c r="R76" s="162">
        <f ca="1"/>
        <v>8.2427827248884838E-2</v>
      </c>
      <c r="S76" s="157">
        <f ca="1"/>
        <v>2.1692328466429768E-3</v>
      </c>
      <c r="T76" s="157">
        <f ca="1"/>
        <v>0.33811406262983196</v>
      </c>
      <c r="U76" s="157">
        <f ca="1"/>
        <v>10.577710398662036</v>
      </c>
      <c r="V76" s="157">
        <f ca="1"/>
        <v>24.238439258417877</v>
      </c>
      <c r="W76" s="157">
        <f ca="1"/>
        <v>5.7251613562819674</v>
      </c>
      <c r="X76" s="157">
        <f ca="1"/>
        <v>7.2608525796573584</v>
      </c>
      <c r="Y76" s="157">
        <f ca="1"/>
        <v>18.003566918348714</v>
      </c>
      <c r="Z76" s="162">
        <f ca="1"/>
        <v>6.4229452453201752</v>
      </c>
      <c r="AA76" s="162">
        <f ca="1"/>
        <v>0.63707894210538563</v>
      </c>
      <c r="AB76" s="162">
        <f ca="1"/>
        <v>-0.27006893814572264</v>
      </c>
      <c r="AC76" s="157">
        <f ca="1"/>
        <v>0.75813786585905674</v>
      </c>
      <c r="AD76" s="157">
        <f ca="1"/>
        <v>1.9397559404944159E-8</v>
      </c>
      <c r="AE76" s="157">
        <f ca="1"/>
        <v>1.0007853493616049E-3</v>
      </c>
    </row>
    <row r="77" spans="1:31" ht="15" customHeight="1">
      <c r="A77" s="16"/>
      <c r="B77" s="22">
        <f>'Oil supply projection'!$B77</f>
        <v>2086</v>
      </c>
      <c r="C77" s="157">
        <f ca="1"/>
        <v>5.7859561487585948E-2</v>
      </c>
      <c r="D77" s="157">
        <f ca="1"/>
        <v>3.5655341295556808E-3</v>
      </c>
      <c r="E77" s="157">
        <f ca="1"/>
        <v>4.5399157941373648E-2</v>
      </c>
      <c r="F77" s="157">
        <f ca="1"/>
        <v>1.2129625251409284E-2</v>
      </c>
      <c r="G77" s="157">
        <f ca="1"/>
        <v>1.3586043610968744E-3</v>
      </c>
      <c r="H77" s="439">
        <f ca="1"/>
        <v>7.4345802743506495E-2</v>
      </c>
      <c r="I77" s="157">
        <f ca="1"/>
        <v>6.1070441124327135E-2</v>
      </c>
      <c r="J77" s="162">
        <f ca="1"/>
        <v>4.5289826651933156</v>
      </c>
      <c r="K77" s="440">
        <f ca="1"/>
        <v>0.1294081550717972</v>
      </c>
      <c r="L77" s="157">
        <f ca="1"/>
        <v>6.6465624609203008E-2</v>
      </c>
      <c r="M77" s="157">
        <f ca="1"/>
        <v>4.8830569324337549</v>
      </c>
      <c r="N77" s="157">
        <f ca="1"/>
        <v>4.8721359376619588E-2</v>
      </c>
      <c r="O77" s="157">
        <f ca="1"/>
        <v>3.8953964252516756E-3</v>
      </c>
      <c r="P77" s="157">
        <f ca="1"/>
        <v>0</v>
      </c>
      <c r="Q77" s="157">
        <f ca="1"/>
        <v>5.060177077579278E-3</v>
      </c>
      <c r="R77" s="162">
        <f ca="1"/>
        <v>8.240016628744655E-2</v>
      </c>
      <c r="S77" s="157">
        <f ca="1"/>
        <v>2.1693285248069721E-3</v>
      </c>
      <c r="T77" s="157">
        <f ca="1"/>
        <v>0.34127283081613907</v>
      </c>
      <c r="U77" s="157">
        <f ca="1"/>
        <v>10.683452759399255</v>
      </c>
      <c r="V77" s="157">
        <f ca="1"/>
        <v>24.525637151785986</v>
      </c>
      <c r="W77" s="157">
        <f ca="1"/>
        <v>5.7675757033567896</v>
      </c>
      <c r="X77" s="157">
        <f ca="1"/>
        <v>7.3212188422357585</v>
      </c>
      <c r="Y77" s="157">
        <f ca="1"/>
        <v>18.132871355275746</v>
      </c>
      <c r="Z77" s="162">
        <f ca="1"/>
        <v>6.4768301141552342</v>
      </c>
      <c r="AA77" s="162">
        <f ca="1"/>
        <v>0.6399992374341652</v>
      </c>
      <c r="AB77" s="162">
        <f ca="1"/>
        <v>-0.27199334163982036</v>
      </c>
      <c r="AC77" s="157">
        <f ca="1"/>
        <v>0.76399753202169485</v>
      </c>
      <c r="AD77" s="157">
        <f ca="1"/>
        <v>1.8040648315349281E-8</v>
      </c>
      <c r="AE77" s="157">
        <f ca="1"/>
        <v>9.7762958406135835E-4</v>
      </c>
    </row>
    <row r="78" spans="1:31" ht="15" customHeight="1">
      <c r="A78" s="16"/>
      <c r="B78" s="22">
        <f>'Oil supply projection'!$B78</f>
        <v>2087</v>
      </c>
      <c r="C78" s="157">
        <f ca="1"/>
        <v>5.8015498353569388E-2</v>
      </c>
      <c r="D78" s="157">
        <f ca="1"/>
        <v>3.5707988875880521E-3</v>
      </c>
      <c r="E78" s="157">
        <f ca="1"/>
        <v>4.5671213110993321E-2</v>
      </c>
      <c r="F78" s="157">
        <f ca="1"/>
        <v>1.2183038251145282E-2</v>
      </c>
      <c r="G78" s="157">
        <f ca="1"/>
        <v>1.3625144227299069E-3</v>
      </c>
      <c r="H78" s="439">
        <f ca="1"/>
        <v>7.476813368879684E-2</v>
      </c>
      <c r="I78" s="157">
        <f ca="1"/>
        <v>6.1257373983196209E-2</v>
      </c>
      <c r="J78" s="162">
        <f ca="1"/>
        <v>4.5536302635345649</v>
      </c>
      <c r="K78" s="440">
        <f ca="1"/>
        <v>0.13003333578316112</v>
      </c>
      <c r="L78" s="157">
        <f ca="1"/>
        <v>6.6517113899009925E-2</v>
      </c>
      <c r="M78" s="157">
        <f ca="1"/>
        <v>4.8878390580706776</v>
      </c>
      <c r="N78" s="157">
        <f ca="1"/>
        <v>4.8838928225283948E-2</v>
      </c>
      <c r="O78" s="157">
        <f ca="1"/>
        <v>3.884999888123178E-3</v>
      </c>
      <c r="P78" s="157">
        <f ca="1"/>
        <v>0</v>
      </c>
      <c r="Q78" s="157">
        <f ca="1"/>
        <v>5.067648547522288E-3</v>
      </c>
      <c r="R78" s="162">
        <f ca="1"/>
        <v>8.2372514608417033E-2</v>
      </c>
      <c r="S78" s="157">
        <f ca="1"/>
        <v>2.1694242071910331E-3</v>
      </c>
      <c r="T78" s="157">
        <f ca="1"/>
        <v>0.34446110921085565</v>
      </c>
      <c r="U78" s="157">
        <f ca="1"/>
        <v>10.790252196425406</v>
      </c>
      <c r="V78" s="157">
        <f ca="1"/>
        <v>24.816238013021746</v>
      </c>
      <c r="W78" s="157">
        <f ca="1"/>
        <v>5.810304273337457</v>
      </c>
      <c r="X78" s="157">
        <f ca="1"/>
        <v>7.3820869860488845</v>
      </c>
      <c r="Y78" s="157">
        <f ca="1"/>
        <v>18.263104476917601</v>
      </c>
      <c r="Z78" s="162">
        <f ca="1"/>
        <v>6.5311670464874094</v>
      </c>
      <c r="AA78" s="162">
        <f ca="1"/>
        <v>0.64293291905503935</v>
      </c>
      <c r="AB78" s="162">
        <f ca="1"/>
        <v>-0.27393145766536825</v>
      </c>
      <c r="AC78" s="157">
        <f ca="1"/>
        <v>0.76990248768785197</v>
      </c>
      <c r="AD78" s="157">
        <f ca="1"/>
        <v>1.677865678066476E-8</v>
      </c>
      <c r="AE78" s="157">
        <f ca="1"/>
        <v>9.5500958746214386E-4</v>
      </c>
    </row>
    <row r="79" spans="1:31" ht="15" customHeight="1">
      <c r="A79" s="16"/>
      <c r="B79" s="22">
        <f>'Oil supply projection'!$B79</f>
        <v>2088</v>
      </c>
      <c r="C79" s="157">
        <f ca="1"/>
        <v>5.817185548381941E-2</v>
      </c>
      <c r="D79" s="157">
        <f ca="1"/>
        <v>3.57607141940021E-3</v>
      </c>
      <c r="E79" s="157">
        <f ca="1"/>
        <v>4.5944898575505523E-2</v>
      </c>
      <c r="F79" s="157">
        <f ca="1"/>
        <v>1.223668645588407E-2</v>
      </c>
      <c r="G79" s="157">
        <f ca="1"/>
        <v>1.3664357375153748E-3</v>
      </c>
      <c r="H79" s="439">
        <f ca="1"/>
        <v>7.5192863739628774E-2</v>
      </c>
      <c r="I79" s="157">
        <f ca="1"/>
        <v>6.1444879032032912E-2</v>
      </c>
      <c r="J79" s="162">
        <f ca="1"/>
        <v>4.5784119988661542</v>
      </c>
      <c r="K79" s="440">
        <f ca="1"/>
        <v>0.13066153679043793</v>
      </c>
      <c r="L79" s="157">
        <f ca="1"/>
        <v>6.6568643076307291E-2</v>
      </c>
      <c r="M79" s="157">
        <f ca="1"/>
        <v>4.8926258669881557</v>
      </c>
      <c r="N79" s="157">
        <f ca="1"/>
        <v>4.8956780777735527E-2</v>
      </c>
      <c r="O79" s="157">
        <f ca="1"/>
        <v>3.8746310986158394E-3</v>
      </c>
      <c r="P79" s="157">
        <f ca="1"/>
        <v>0</v>
      </c>
      <c r="Q79" s="157">
        <f ca="1"/>
        <v>5.0751310492656151E-3</v>
      </c>
      <c r="R79" s="162">
        <f ca="1"/>
        <v>8.234487220868128E-2</v>
      </c>
      <c r="S79" s="157">
        <f ca="1"/>
        <v>2.1695198937953502E-3</v>
      </c>
      <c r="T79" s="157">
        <f ca="1"/>
        <v>0.34767917350765642</v>
      </c>
      <c r="U79" s="157">
        <f ca="1"/>
        <v>10.898119277031453</v>
      </c>
      <c r="V79" s="157">
        <f ca="1"/>
        <v>25.110282163417565</v>
      </c>
      <c r="W79" s="157">
        <f ca="1"/>
        <v>5.8533493941163188</v>
      </c>
      <c r="X79" s="157">
        <f ca="1"/>
        <v>7.4434611837050468</v>
      </c>
      <c r="Y79" s="157">
        <f ca="1"/>
        <v>18.394272953233305</v>
      </c>
      <c r="Z79" s="162">
        <f ca="1"/>
        <v>6.5859598348731314</v>
      </c>
      <c r="AA79" s="162">
        <f ca="1"/>
        <v>0.6458800483292092</v>
      </c>
      <c r="AB79" s="162">
        <f ca="1"/>
        <v>-0.27588338393239498</v>
      </c>
      <c r="AC79" s="157">
        <f ca="1"/>
        <v>0.77585308290119737</v>
      </c>
      <c r="AD79" s="157">
        <f ca="1"/>
        <v>1.5604944924502764E-8</v>
      </c>
      <c r="AE79" s="157">
        <f ca="1"/>
        <v>9.3291296316517038E-4</v>
      </c>
    </row>
    <row r="80" spans="1:31" ht="15" customHeight="1">
      <c r="A80" s="16"/>
      <c r="B80" s="22">
        <f>'Oil supply projection'!$B80</f>
        <v>2089</v>
      </c>
      <c r="C80" s="157">
        <f ca="1"/>
        <v>5.8328634010987132E-2</v>
      </c>
      <c r="D80" s="157">
        <f ca="1"/>
        <v>3.5813517364706752E-3</v>
      </c>
      <c r="E80" s="157">
        <f ca="1"/>
        <v>4.6220224104478083E-2</v>
      </c>
      <c r="F80" s="157">
        <f ca="1"/>
        <v>1.229057090135462E-2</v>
      </c>
      <c r="G80" s="157">
        <f ca="1"/>
        <v>1.3703683378398362E-3</v>
      </c>
      <c r="H80" s="439">
        <f ca="1"/>
        <v>7.5620006524431488E-2</v>
      </c>
      <c r="I80" s="157">
        <f ca="1"/>
        <v>6.1632958022275391E-2</v>
      </c>
      <c r="J80" s="162">
        <f ca="1"/>
        <v>4.6033286011874832</v>
      </c>
      <c r="K80" s="440">
        <f ca="1"/>
        <v>0.13129277268490847</v>
      </c>
      <c r="L80" s="157">
        <f ca="1"/>
        <v>6.6620212171994916E-2</v>
      </c>
      <c r="M80" s="157">
        <f ca="1"/>
        <v>4.8974173637726777</v>
      </c>
      <c r="N80" s="157">
        <f ca="1"/>
        <v>4.9074917718576139E-2</v>
      </c>
      <c r="O80" s="157">
        <f ca="1"/>
        <v>3.8642899826732248E-3</v>
      </c>
      <c r="P80" s="157">
        <f ca="1"/>
        <v>0</v>
      </c>
      <c r="Q80" s="157">
        <f ca="1"/>
        <v>5.0826245990979787E-3</v>
      </c>
      <c r="R80" s="162">
        <f ca="1"/>
        <v>8.2317239085125435E-2</v>
      </c>
      <c r="S80" s="157">
        <f ca="1"/>
        <v>2.1696155846201064E-3</v>
      </c>
      <c r="T80" s="157">
        <f ca="1"/>
        <v>0.35092730197582883</v>
      </c>
      <c r="U80" s="157">
        <f ca="1"/>
        <v>11.007064674146392</v>
      </c>
      <c r="V80" s="157">
        <f ca="1"/>
        <v>25.407810402027781</v>
      </c>
      <c r="W80" s="157">
        <f ca="1"/>
        <v>5.8967134108317092</v>
      </c>
      <c r="X80" s="157">
        <f ca="1"/>
        <v>7.505345642503543</v>
      </c>
      <c r="Y80" s="157">
        <f ca="1"/>
        <v>18.52638350208662</v>
      </c>
      <c r="Z80" s="162">
        <f ca="1"/>
        <v>6.6412123036861974</v>
      </c>
      <c r="AA80" s="162">
        <f ca="1"/>
        <v>0.64884068689913743</v>
      </c>
      <c r="AB80" s="162">
        <f ca="1"/>
        <v>-0.27784921884717051</v>
      </c>
      <c r="AC80" s="157">
        <f ca="1"/>
        <v>0.78184967041091846</v>
      </c>
      <c r="AD80" s="157">
        <f ca="1"/>
        <v>1.4513337347562983E-8</v>
      </c>
      <c r="AE80" s="157">
        <f ca="1"/>
        <v>9.1132760159449067E-4</v>
      </c>
    </row>
    <row r="81" spans="1:31" ht="15" customHeight="1">
      <c r="A81" s="16"/>
      <c r="B81" s="22">
        <f>'Oil supply projection'!$B81</f>
        <v>2090</v>
      </c>
      <c r="C81" s="157">
        <f ca="1"/>
        <v>5.8485835070775968E-2</v>
      </c>
      <c r="D81" s="157">
        <f ca="1"/>
        <v>3.5866398502949247E-3</v>
      </c>
      <c r="E81" s="157">
        <f ca="1"/>
        <v>4.6497199526023172E-2</v>
      </c>
      <c r="F81" s="157">
        <f ca="1"/>
        <v>1.2344692627846796E-2</v>
      </c>
      <c r="G81" s="157">
        <f ca="1"/>
        <v>1.3743122561830576E-3</v>
      </c>
      <c r="H81" s="439">
        <f ca="1"/>
        <v>7.604957574905212E-2</v>
      </c>
      <c r="I81" s="157">
        <f ca="1"/>
        <v>6.1821612710722944E-2</v>
      </c>
      <c r="J81" s="162">
        <f ca="1"/>
        <v>4.6283808044707611</v>
      </c>
      <c r="K81" s="440">
        <f ca="1"/>
        <v>0.13192705812834571</v>
      </c>
      <c r="L81" s="157">
        <f ca="1"/>
        <v>6.667182121699676E-2</v>
      </c>
      <c r="M81" s="157">
        <f ca="1"/>
        <v>4.9022135530152058</v>
      </c>
      <c r="N81" s="157">
        <f ca="1"/>
        <v>4.9193339734059545E-2</v>
      </c>
      <c r="O81" s="157">
        <f ca="1"/>
        <v>3.8539764664365437E-3</v>
      </c>
      <c r="P81" s="157">
        <f ca="1"/>
        <v>0</v>
      </c>
      <c r="Q81" s="157">
        <f ca="1"/>
        <v>5.0901292133321389E-3</v>
      </c>
      <c r="R81" s="162">
        <f ca="1"/>
        <v>8.2289615234636626E-2</v>
      </c>
      <c r="S81" s="157">
        <f ca="1"/>
        <v>2.1697112796654912E-3</v>
      </c>
      <c r="T81" s="157">
        <f ca="1"/>
        <v>0.35420577548434007</v>
      </c>
      <c r="U81" s="157">
        <f ca="1"/>
        <v>11.11709916739353</v>
      </c>
      <c r="V81" s="157">
        <f ca="1"/>
        <v>25.708864011328405</v>
      </c>
      <c r="W81" s="157">
        <f ca="1"/>
        <v>5.9403986859957421</v>
      </c>
      <c r="X81" s="157">
        <f ca="1"/>
        <v>7.5677446047227388</v>
      </c>
      <c r="Y81" s="157">
        <f ca="1"/>
        <v>18.65944288958999</v>
      </c>
      <c r="Z81" s="162">
        <f ca="1"/>
        <v>6.6969283093847789</v>
      </c>
      <c r="AA81" s="162">
        <f ca="1"/>
        <v>0.65181489668986248</v>
      </c>
      <c r="AB81" s="162">
        <f ca="1"/>
        <v>-0.27982906151716791</v>
      </c>
      <c r="AC81" s="157">
        <f ca="1"/>
        <v>0.78789260569260355</v>
      </c>
      <c r="AD81" s="157">
        <f ca="1"/>
        <v>1.3498090636220509E-8</v>
      </c>
      <c r="AE81" s="157">
        <f ca="1"/>
        <v>8.9024167336060962E-4</v>
      </c>
    </row>
    <row r="82" spans="1:31" ht="15" customHeight="1">
      <c r="A82" s="16"/>
      <c r="B82" s="22">
        <f>'Oil supply projection'!$B82</f>
        <v>2091</v>
      </c>
      <c r="C82" s="157">
        <f ca="1"/>
        <v>5.864345980195064E-2</v>
      </c>
      <c r="D82" s="157">
        <f ca="1"/>
        <v>3.5919357723854036E-3</v>
      </c>
      <c r="E82" s="157">
        <f ca="1"/>
        <v>4.6775834727148018E-2</v>
      </c>
      <c r="F82" s="157">
        <f ca="1"/>
        <v>1.2399052680231403E-2</v>
      </c>
      <c r="G82" s="157">
        <f ca="1"/>
        <v>1.3782675251182834E-3</v>
      </c>
      <c r="H82" s="439">
        <f ca="1"/>
        <v>7.6481585197195862E-2</v>
      </c>
      <c r="I82" s="157">
        <f ca="1"/>
        <v>6.2010844859552355E-2</v>
      </c>
      <c r="J82" s="162">
        <f ca="1"/>
        <v>4.6535693466826125</v>
      </c>
      <c r="K82" s="440">
        <f ca="1"/>
        <v>0.13256440785335383</v>
      </c>
      <c r="L82" s="157">
        <f ca="1"/>
        <v>6.672347024226026E-2</v>
      </c>
      <c r="M82" s="157">
        <f ca="1"/>
        <v>4.907014439311209</v>
      </c>
      <c r="N82" s="157">
        <f ca="1"/>
        <v>4.9312047512095412E-2</v>
      </c>
      <c r="O82" s="157">
        <f ca="1"/>
        <v>3.8436904762441416E-3</v>
      </c>
      <c r="P82" s="157">
        <f ca="1"/>
        <v>0</v>
      </c>
      <c r="Q82" s="157">
        <f ca="1"/>
        <v>5.0976449083049401E-3</v>
      </c>
      <c r="R82" s="162">
        <f ca="1"/>
        <v>8.2262000654102871E-2</v>
      </c>
      <c r="S82" s="157">
        <f ca="1"/>
        <v>2.1698069789316886E-3</v>
      </c>
      <c r="T82" s="157">
        <f ca="1"/>
        <v>0.35751487752613009</v>
      </c>
      <c r="U82" s="157">
        <f ca="1"/>
        <v>11.228233644156836</v>
      </c>
      <c r="V82" s="157">
        <f ca="1"/>
        <v>26.013484762946252</v>
      </c>
      <c r="W82" s="157">
        <f ca="1"/>
        <v>5.9844075996229638</v>
      </c>
      <c r="X82" s="157">
        <f ca="1"/>
        <v>7.6306623479110609</v>
      </c>
      <c r="Y82" s="157">
        <f ca="1"/>
        <v>18.793457930451218</v>
      </c>
      <c r="Z82" s="162">
        <f ca="1"/>
        <v>6.7531117407805166</v>
      </c>
      <c r="AA82" s="162">
        <f ca="1"/>
        <v>0.6548027399102655</v>
      </c>
      <c r="AB82" s="162">
        <f ca="1"/>
        <v>-0.28182301175606311</v>
      </c>
      <c r="AC82" s="157">
        <f ca="1"/>
        <v>0.7939822469693113</v>
      </c>
      <c r="AD82" s="157">
        <f ca="1"/>
        <v>1.2553863143973377E-8</v>
      </c>
      <c r="AE82" s="157">
        <f ca="1"/>
        <v>8.6964362277764989E-4</v>
      </c>
    </row>
    <row r="83" spans="1:31" ht="15" customHeight="1">
      <c r="A83" s="16"/>
      <c r="B83" s="22">
        <f>'Oil supply projection'!$B83</f>
        <v>2092</v>
      </c>
      <c r="C83" s="157">
        <f ca="1"/>
        <v>5.8801509346344503E-2</v>
      </c>
      <c r="D83" s="157">
        <f ca="1"/>
        <v>3.5972395142715593E-3</v>
      </c>
      <c r="E83" s="157">
        <f ca="1"/>
        <v>4.7056139654107876E-2</v>
      </c>
      <c r="F83" s="157">
        <f ca="1"/>
        <v>1.2453652107980349E-2</v>
      </c>
      <c r="G83" s="157">
        <f ca="1"/>
        <v>1.3822341773125026E-3</v>
      </c>
      <c r="H83" s="439">
        <f ca="1"/>
        <v>7.6916048730868117E-2</v>
      </c>
      <c r="I83" s="157">
        <f ca="1"/>
        <v>6.2200656236334272E-2</v>
      </c>
      <c r="J83" s="162">
        <f ca="1"/>
        <v>4.678894969805814</v>
      </c>
      <c r="K83" s="440">
        <f ca="1"/>
        <v>0.13320483666371222</v>
      </c>
      <c r="L83" s="157">
        <f ca="1"/>
        <v>6.6775159278757407E-2</v>
      </c>
      <c r="M83" s="157">
        <f ca="1"/>
        <v>4.9118200272606556</v>
      </c>
      <c r="N83" s="157">
        <f ca="1"/>
        <v>4.9431041742253587E-2</v>
      </c>
      <c r="O83" s="157">
        <f ca="1"/>
        <v>3.8334319386309546E-3</v>
      </c>
      <c r="P83" s="157">
        <f ca="1"/>
        <v>0</v>
      </c>
      <c r="Q83" s="157">
        <f ca="1"/>
        <v>5.1051717003773554E-3</v>
      </c>
      <c r="R83" s="162">
        <f ca="1"/>
        <v>8.2234395340413671E-2</v>
      </c>
      <c r="S83" s="157">
        <f ca="1"/>
        <v>2.1699026824188845E-3</v>
      </c>
      <c r="T83" s="157">
        <f ca="1"/>
        <v>0.36085489424260936</v>
      </c>
      <c r="U83" s="157">
        <f ca="1"/>
        <v>11.340479100658708</v>
      </c>
      <c r="V83" s="157">
        <f ca="1"/>
        <v>26.321714923454195</v>
      </c>
      <c r="W83" s="157">
        <f ca="1"/>
        <v>6.028742549360059</v>
      </c>
      <c r="X83" s="157">
        <f ca="1"/>
        <v>7.6941031851802109</v>
      </c>
      <c r="Y83" s="157">
        <f ca="1"/>
        <v>18.928435488322407</v>
      </c>
      <c r="Z83" s="162">
        <f ca="1"/>
        <v>6.8097665193099726</v>
      </c>
      <c r="AA83" s="162">
        <f ca="1"/>
        <v>0.65780427905439998</v>
      </c>
      <c r="AB83" s="162">
        <f ca="1"/>
        <v>-0.28383117008876152</v>
      </c>
      <c r="AC83" s="157">
        <f ca="1"/>
        <v>0.80011895523283194</v>
      </c>
      <c r="AD83" s="157">
        <f ca="1"/>
        <v>1.1675686886759683E-8</v>
      </c>
      <c r="AE83" s="157">
        <f ca="1"/>
        <v>8.4952216153049852E-4</v>
      </c>
    </row>
    <row r="84" spans="1:31" ht="15" customHeight="1">
      <c r="A84" s="16"/>
      <c r="B84" s="22">
        <f>'Oil supply projection'!$B84</f>
        <v>2093</v>
      </c>
      <c r="C84" s="157">
        <f ca="1"/>
        <v>5.8959984848868593E-2</v>
      </c>
      <c r="D84" s="157">
        <f ca="1"/>
        <v>3.6025510874998596E-3</v>
      </c>
      <c r="E84" s="157">
        <f ca="1"/>
        <v>4.7338124312761236E-2</v>
      </c>
      <c r="F84" s="157">
        <f ca="1"/>
        <v>1.2508491965186865E-2</v>
      </c>
      <c r="G84" s="157">
        <f ca="1"/>
        <v>1.3862122455267191E-3</v>
      </c>
      <c r="H84" s="439">
        <f ca="1"/>
        <v>7.7352980290818829E-2</v>
      </c>
      <c r="I84" s="157">
        <f ca="1"/>
        <v>6.2391048614049774E-2</v>
      </c>
      <c r="J84" s="162">
        <f ca="1"/>
        <v>4.7043584198611628</v>
      </c>
      <c r="K84" s="441">
        <f ca="1"/>
        <v>0.13384835943471785</v>
      </c>
      <c r="L84" s="157">
        <f ca="1"/>
        <v>6.6826888357483849E-2</v>
      </c>
      <c r="M84" s="157">
        <f ca="1"/>
        <v>4.9166303214680163</v>
      </c>
      <c r="N84" s="157">
        <f ca="1"/>
        <v>4.9550323115767625E-2</v>
      </c>
      <c r="O84" s="157">
        <f ca="1"/>
        <v>3.8232007803279955E-3</v>
      </c>
      <c r="P84" s="157">
        <f ca="1"/>
        <v>0</v>
      </c>
      <c r="Q84" s="157">
        <f ca="1"/>
        <v>5.1127096059345109E-3</v>
      </c>
      <c r="R84" s="162">
        <f ca="1"/>
        <v>8.2206799290459001E-2</v>
      </c>
      <c r="S84" s="157">
        <f ca="1"/>
        <v>2.1699983901272671E-3</v>
      </c>
      <c r="T84" s="157">
        <f ca="1"/>
        <v>0.36422611444842157</v>
      </c>
      <c r="U84" s="157">
        <f ca="1"/>
        <v>11.45384664304726</v>
      </c>
      <c r="V84" s="157">
        <f ca="1"/>
        <v>26.633597260235806</v>
      </c>
      <c r="W84" s="157">
        <f ca="1"/>
        <v>6.0734059506164693</v>
      </c>
      <c r="X84" s="157">
        <f ca="1"/>
        <v>7.7580714655007421</v>
      </c>
      <c r="Y84" s="157">
        <f ca="1"/>
        <v>19.064382476151454</v>
      </c>
      <c r="Z84" s="162">
        <f ca="1"/>
        <v>6.8668965993083617</v>
      </c>
      <c r="AA84" s="162">
        <f ca="1"/>
        <v>0.66081957690277182</v>
      </c>
      <c r="AB84" s="162">
        <f ca="1"/>
        <v>-0.28585363775647321</v>
      </c>
      <c r="AC84" s="157">
        <f ca="1"/>
        <v>0.80630309426505642</v>
      </c>
      <c r="AD84" s="157">
        <f ca="1"/>
        <v>1.0858941404271623E-8</v>
      </c>
      <c r="AE84" s="157">
        <f ca="1"/>
        <v>8.2986626248850507E-4</v>
      </c>
    </row>
    <row r="85" spans="1:31" ht="15" customHeight="1">
      <c r="A85" s="16"/>
    </row>
    <row r="86" spans="1:31">
      <c r="A86" s="16"/>
      <c r="H86" s="21"/>
      <c r="I86" s="21"/>
    </row>
    <row r="87" spans="1:31">
      <c r="H87" s="21"/>
      <c r="I87" s="21"/>
    </row>
  </sheetData>
  <mergeCells count="1">
    <mergeCell ref="A1:B1"/>
  </mergeCells>
  <phoneticPr fontId="29" type="noConversion"/>
  <conditionalFormatting sqref="D10:AE85">
    <cfRule type="expression" dxfId="1" priority="2" stopIfTrue="1">
      <formula>ISERROR(D10)</formula>
    </cfRule>
  </conditionalFormatting>
  <conditionalFormatting sqref="C10:C84">
    <cfRule type="expression" dxfId="0" priority="1" stopIfTrue="1">
      <formula>ISERROR(C10)</formula>
    </cfRule>
  </conditionalFormatting>
  <hyperlinks>
    <hyperlink ref="A1" location="'Table of Contents'!A1" tooltip="Click here to return to the Table of Contents tab" display="Return to Table of Contents" xr:uid="{00000000-0004-0000-2A00-000000000000}"/>
  </hyperlinks>
  <printOptions horizontalCentered="1"/>
  <pageMargins left="0.5" right="0.5" top="0.75" bottom="0.75" header="0.25" footer="0.25"/>
  <pageSetup scale="21" orientation="portrait" blackAndWhite="1" horizontalDpi="4294967294" r:id="rId1"/>
  <headerFooter alignWithMargins="0">
    <oddFooter>&amp;L&amp;8&amp;D  &amp;T&amp;C&amp;8&amp;F</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
    <tabColor indexed="22"/>
  </sheetPr>
  <dimension ref="A1:V79"/>
  <sheetViews>
    <sheetView workbookViewId="0">
      <selection activeCell="F60" sqref="F60"/>
    </sheetView>
  </sheetViews>
  <sheetFormatPr defaultRowHeight="12.75"/>
  <cols>
    <col min="1" max="1" width="10" customWidth="1"/>
    <col min="3" max="3" width="14" customWidth="1"/>
    <col min="4" max="4" width="13.7109375" bestFit="1" customWidth="1"/>
    <col min="5" max="5" width="14.42578125" bestFit="1" customWidth="1"/>
    <col min="6" max="6" width="14" customWidth="1"/>
    <col min="7" max="7" width="13.28515625" customWidth="1"/>
    <col min="8" max="8" width="14" customWidth="1"/>
    <col min="9" max="12" width="13.28515625" customWidth="1"/>
    <col min="13" max="13" width="14" customWidth="1"/>
    <col min="14" max="14" width="13.28515625" customWidth="1"/>
    <col min="15" max="15" width="16.28515625" customWidth="1"/>
    <col min="17" max="17" width="20.28515625" style="353" bestFit="1" customWidth="1"/>
  </cols>
  <sheetData>
    <row r="1" spans="1:22">
      <c r="A1" t="s">
        <v>867</v>
      </c>
    </row>
    <row r="3" spans="1:22" ht="51">
      <c r="A3" s="249"/>
      <c r="B3" s="249"/>
      <c r="C3" s="256" t="s">
        <v>868</v>
      </c>
      <c r="D3" s="256" t="s">
        <v>869</v>
      </c>
      <c r="E3" s="256" t="s">
        <v>870</v>
      </c>
      <c r="F3" s="256" t="s">
        <v>871</v>
      </c>
      <c r="G3" s="256" t="s">
        <v>872</v>
      </c>
      <c r="H3" s="256" t="s">
        <v>873</v>
      </c>
      <c r="I3" s="256" t="s">
        <v>874</v>
      </c>
      <c r="J3" s="575" t="s">
        <v>875</v>
      </c>
      <c r="K3" s="575" t="s">
        <v>876</v>
      </c>
      <c r="L3" s="575" t="s">
        <v>877</v>
      </c>
      <c r="M3" s="571" t="s">
        <v>878</v>
      </c>
      <c r="N3" s="256" t="s">
        <v>879</v>
      </c>
      <c r="O3" s="256" t="s">
        <v>880</v>
      </c>
    </row>
    <row r="4" spans="1:22" ht="45" customHeight="1">
      <c r="A4" s="254" t="s">
        <v>881</v>
      </c>
      <c r="B4" s="254" t="s">
        <v>505</v>
      </c>
      <c r="C4" s="254" t="s">
        <v>882</v>
      </c>
      <c r="D4" s="255" t="s">
        <v>883</v>
      </c>
      <c r="E4" s="255" t="s">
        <v>883</v>
      </c>
      <c r="F4" s="254" t="s">
        <v>882</v>
      </c>
      <c r="G4" s="255" t="s">
        <v>883</v>
      </c>
      <c r="H4" s="254" t="s">
        <v>882</v>
      </c>
      <c r="I4" s="255" t="s">
        <v>883</v>
      </c>
      <c r="J4" s="254" t="s">
        <v>882</v>
      </c>
      <c r="K4" s="254" t="s">
        <v>882</v>
      </c>
      <c r="L4" s="254" t="s">
        <v>882</v>
      </c>
      <c r="M4" s="572" t="s">
        <v>882</v>
      </c>
      <c r="N4" s="255" t="s">
        <v>883</v>
      </c>
      <c r="O4" s="255" t="s">
        <v>884</v>
      </c>
      <c r="Q4" s="478"/>
    </row>
    <row r="5" spans="1:22" ht="45" customHeight="1" thickBot="1">
      <c r="A5" s="257" t="s">
        <v>885</v>
      </c>
      <c r="B5" s="257" t="s">
        <v>886</v>
      </c>
      <c r="C5" s="257" t="s">
        <v>887</v>
      </c>
      <c r="D5" s="258" t="s">
        <v>888</v>
      </c>
      <c r="E5" s="258" t="s">
        <v>889</v>
      </c>
      <c r="F5" s="257" t="s">
        <v>890</v>
      </c>
      <c r="G5" s="258" t="s">
        <v>891</v>
      </c>
      <c r="H5" s="257" t="s">
        <v>892</v>
      </c>
      <c r="I5" s="258" t="s">
        <v>893</v>
      </c>
      <c r="J5" s="258" t="s">
        <v>894</v>
      </c>
      <c r="K5" s="258" t="s">
        <v>895</v>
      </c>
      <c r="L5" s="258" t="s">
        <v>896</v>
      </c>
      <c r="M5" s="573" t="s">
        <v>897</v>
      </c>
      <c r="N5" s="258" t="s">
        <v>898</v>
      </c>
      <c r="O5" s="258" t="s">
        <v>899</v>
      </c>
      <c r="P5" s="490"/>
      <c r="Q5" s="491"/>
      <c r="R5" s="491"/>
      <c r="S5" s="491"/>
      <c r="T5" s="491"/>
      <c r="U5" s="491"/>
      <c r="V5" s="352"/>
    </row>
    <row r="6" spans="1:22" ht="25.5" customHeight="1">
      <c r="A6" s="253">
        <f t="shared" ref="A6:A37" si="0">begin_year+B6-1</f>
        <v>2026</v>
      </c>
      <c r="B6" s="253">
        <v>1</v>
      </c>
      <c r="C6" s="479">
        <f t="array" aca="1" ref="C6:C78" ca="1">IFERROR(((OFFSET(sim_sup_oil_l48,begin_year-'Consumer surplus'!$C$10-1,0)-OFFSET(aeo_sup_oil_l48,begin_year-'Consumer surplus'!$C$10,0))*OFFSET(display_ocs,begin_year-'Consumer surplus'!$C$10,0)+(OFFSET(sim_sup_oil_l48_t,begin_year-'Consumer surplus'!$C$10-1,0)-OFFSET(aeo_sup_oil_l48_t,begin_year-'Consumer surplus'!$C$10,0))*OFFSET(display_ocs,begin_year-'Consumer surplus'!$C$10,0))*365,0)</f>
        <v>0</v>
      </c>
      <c r="D6" s="479">
        <f t="array" aca="1" ref="D6:D78" ca="1">IFERROR((OFFSET(sim_sup_gas_con,begin_year-'Consumer surplus'!$C$10-1,0)-OFFSET(aeo_sup_gas_con,begin_year-'Consumer surplus'!$C$10,0))*OFFSET(display_ocs,begin_year-'Consumer surplus'!$C$10,0)*1000,0)</f>
        <v>0</v>
      </c>
      <c r="E6" s="479">
        <f t="array" aca="1" ref="E6:E78" ca="1">IFERROR((OFFSET(sim_sup_gas_unc,begin_year-'Consumer surplus'!$C$10-1,0)-OFFSET(aeo_sup_gas_unc,begin_year-'Consumer surplus'!$C$10,0))*OFFSET(display_ocs,begin_year-'Consumer surplus'!$C$10,0)*1000,0)</f>
        <v>0</v>
      </c>
      <c r="F6" s="479">
        <f t="array" aca="1" ref="F6:F78" ca="1">IFERROR((OFFSET(sim_sup_oil_ala_on,begin_year-'Consumer surplus'!$C$10-1,0)-OFFSET(aeo_sup_oil_ala_on,begin_year-'Consumer surplus'!$C$10,0))*OFFSET(display_ocs,begin_year-'Consumer surplus'!$C$10,0)*365,0)+IFERROR((OFFSET(sim_sup_oil_ala_off,begin_year-'Consumer surplus'!$C$10-1,0)-OFFSET(aeo_sup_oil_ala_off,begin_year-'Consumer surplus'!$C$10,0))*OFFSET(display_ocs,begin_year-'Consumer surplus'!$C$10,0)*365,0)</f>
        <v>0</v>
      </c>
      <c r="G6" s="479">
        <f t="array" aca="1" ref="G6:G78" ca="1">IFERROR((OFFSET(sim_sup_gas_ala_on,begin_year-'Consumer surplus'!$C$10-1,0)-OFFSET(aeo_sup_gas_ala_on,begin_year-'Consumer surplus'!$C$10,0))*OFFSET(display_ocs,begin_year-'Consumer surplus'!$C$10,0)*1000,0)+IFERROR((OFFSET(sim_sup_gas_ala_off,begin_year-'Consumer surplus'!$C$10-1,0)-OFFSET(aeo_sup_gas_ala_off,begin_year-'Consumer surplus'!$C$10,0))*OFFSET(display_ocs,begin_year-'Consumer surplus'!$C$10,0)*1000,0)</f>
        <v>0</v>
      </c>
      <c r="H6" s="479">
        <f t="array" aca="1" ref="H6:H78" ca="1">IFERROR((OFFSET(sim_sup_oil_can,begin_year-'Consumer surplus'!$C$10-1,0)-OFFSET(aeo_sup_oil_can,begin_year-'Consumer surplus'!$C$10,0))*OFFSET(display_ocs,begin_year-'Consumer surplus'!$C$10,0)*365,0)</f>
        <v>0</v>
      </c>
      <c r="I6" s="479">
        <f t="array" aca="1" ref="I6:I78" ca="1">IFERROR((OFFSET(sim_sup_gas_pip,begin_year-'Consumer surplus'!$C$10-1,0)-OFFSET(aeo_sup_gas_pip,begin_year-'Consumer surplus'!$C$10,0))*OFFSET(display_ocs,begin_year-'Consumer surplus'!$C$10,0)*1000,0)</f>
        <v>0</v>
      </c>
      <c r="J6" s="574">
        <f t="array" ref="J6:J78" ca="1">IFERROR((OFFSET(sim_dem_oil_row_crude,begin_year-'Consumer surplus'!$C$10-1,0)-OFFSET(aeo_dem_oil_row_crude,begin_year-'Consumer surplus'!$C$10,0))*OFFSET(display_ocs,begin_year-'Consumer surplus'!$C$10,0)*365,0)</f>
        <v>0</v>
      </c>
      <c r="K6" s="574">
        <f t="array" ref="K6:K78" ca="1">IFERROR((OFFSET(sim_dem_oil_row_ref,begin_year-'Consumer surplus'!$C$10-1,0)-OFFSET(aeo_dem_oil_row_ref,begin_year-'Consumer surplus'!$C$10,0))*OFFSET(display_ocs,begin_year-'Consumer surplus'!$C$10,0)*365,0)</f>
        <v>0</v>
      </c>
      <c r="L6" s="574">
        <f ca="1">M6+J6+K6</f>
        <v>-5.1869619710487314E-12</v>
      </c>
      <c r="M6" s="479">
        <f t="array" ref="M6:M78" ca="1">IFERROR((((OFFSET(sim_dem_oil_tot,begin_year-'Consumer surplus'!$C$10-1,0)-OFFSET(sim_dem_oil_row,begin_year-'Consumer surplus'!$C$10-1,0))-(OFFSET(sim_sup_oil_tot,begin_year-'Consumer surplus'!$C$10-1,0)+OFFSET(sim_sup_oil_ocs,begin_year-'Consumer surplus'!$C$10,0)-OFFSET(sim_sup_oil_row,begin_year-'Consumer surplus'!$C$10-1,0))-OFFSET(sim_sup_oil_can,begin_year-'Consumer surplus'!$C$10-1,0))-((OFFSET(aeo_dem_oil_tot,begin_year-'Consumer surplus'!$C$10,0)-OFFSET(aeo_dem_oil_row,begin_year-'Consumer surplus'!$C$10,0))-(OFFSET(aeo_sup_oil_tot,begin_year-'Consumer surplus'!$C$10,0)-OFFSET(aeo_sup_oil_row,begin_year-'Consumer surplus'!$C$10,0))-OFFSET(aeo_sup_oil_can,begin_year-'Consumer surplus'!$C$10,0)))*OFFSET(display_ocs,begin_year-'Consumer surplus'!$C$10,0)*365,0)</f>
        <v>-5.1869619710487314E-12</v>
      </c>
      <c r="N6" s="479">
        <f t="array" aca="1" ref="N6:N78" ca="1">IFERROR((OFFSET(sim_sup_gas_lng,begin_year-'Consumer surplus'!$C$10-1,0)-OFFSET(aeo_sup_gas_lng,begin_year-'Consumer surplus'!$C$10,0))*OFFSET(display_ocs,begin_year-'Consumer surplus'!$C$10,0)*1000,0)</f>
        <v>0</v>
      </c>
      <c r="O6" s="479">
        <f t="array" aca="1" ref="O6:O78" ca="1">IFERROR((OFFSET(sim_sup_coa_dom,begin_year-'Consumer surplus'!$C$10-1,0)-OFFSET(aeo_sup_coa_dom,begin_year-'Consumer surplus'!$C$10,0))*OFFSET(display_ocs,begin_year-'Consumer surplus'!$C$10,0),0)</f>
        <v>0</v>
      </c>
      <c r="P6" s="352"/>
      <c r="Q6" s="479">
        <f t="array" ref="Q6:Q78" ca="1">OFFSET(sim_dem_oil_tot,begin_year-'Consumer surplus'!$C$10-1,0)</f>
        <v>104.42330432856254</v>
      </c>
      <c r="R6" s="479">
        <f t="array" ref="R6:R78" ca="1">(((OFFSET(sim_dem_oil_tot,begin_year-'Consumer surplus'!$C$10-1,0)-OFFSET(sim_dem_oil_row,begin_year-'Consumer surplus'!$C$10-1,0))-(OFFSET(sim_sup_oil_tot,begin_year-'Consumer surplus'!$C$10-1,0)+OFFSET(sim_sup_oil_ocs,begin_year-'Consumer surplus'!$C$10,0)-OFFSET(sim_sup_oil_row,begin_year-'Consumer surplus'!$C$10-1,0))-OFFSET(sim_sup_oil_can,begin_year-'Consumer surplus'!$C$10-1,0))-((OFFSET(aeo_dem_oil_tot,begin_year-'Consumer surplus'!$C$10,0)-OFFSET(aeo_dem_oil_row,begin_year-'Consumer surplus'!$C$10,0))-(OFFSET(aeo_sup_oil_tot,begin_year-'Consumer surplus'!$C$10,0)-OFFSET(aeo_sup_oil_row,begin_year-'Consumer surplus'!$C$10,0))-OFFSET(aeo_sup_oil_can,begin_year-'Consumer surplus'!$C$10,0)))*OFFSET(display_ocs,begin_year-'Consumer surplus'!$C$10,0)*365</f>
        <v>-5.1869619710487314E-12</v>
      </c>
      <c r="S6" s="479">
        <f t="array" ref="S6:S78" ca="1">(((OFFSET(sim_dem_oil_tot,begin_year-'Consumer surplus'!$C$10-1,0)-OFFSET(sim_dem_oil_row,begin_year-'Consumer surplus'!$C$10-1,0))-(OFFSET(sim_sup_oil_tot,begin_year-'Consumer surplus'!$C$10-1,0)+OFFSET(sim_sup_oil_ocs,begin_year-'Consumer surplus'!$C$10,0)-OFFSET(sim_sup_oil_row,begin_year-'Consumer surplus'!$C$10-1,0))-OFFSET(sim_sup_oil_can,begin_year-'Consumer surplus'!$C$10-1,0))-((OFFSET(aeo_dem_oil_tot,begin_year-'Consumer surplus'!$C$10,0)-OFFSET(aeo_dem_oil_row,begin_year-'Consumer surplus'!$C$10,0))-(OFFSET(aeo_sup_oil_tot,begin_year-'Consumer surplus'!$C$10,0)-OFFSET(aeo_sup_oil_row,begin_year-'Consumer surplus'!$C$10,0))-OFFSET(aeo_sup_oil_can,begin_year-'Consumer surplus'!$C$10,0)))*OFFSET(display_ocs,begin_year-'Consumer surplus'!$C$10,0)*365</f>
        <v>-5.1869619710487314E-12</v>
      </c>
      <c r="T6" s="479">
        <f t="array" ref="T6:T78" ca="1">(((OFFSET(sim_dem_oil_tot,begin_year-'Consumer surplus'!$C$10-1,0)-OFFSET(sim_dem_oil_row,begin_year-'Consumer surplus'!$C$10-1,0))-(OFFSET(sim_sup_oil_tot,begin_year-'Consumer surplus'!$C$10-1,0)+OFFSET(sim_sup_oil_ocs,begin_year-'Consumer surplus'!$C$10,0)-OFFSET(sim_sup_oil_row,begin_year-'Consumer surplus'!$C$10-1,0))-OFFSET(sim_sup_oil_can,begin_year-'Consumer surplus'!$C$10-1,0))-((OFFSET(aeo_dem_oil_tot,begin_year-'Consumer surplus'!$C$10,0)-OFFSET(aeo_dem_oil_row,begin_year-'Consumer surplus'!$C$10,0))-(OFFSET(aeo_sup_oil_tot,begin_year-'Consumer surplus'!$C$10,0)-OFFSET(aeo_sup_oil_row,begin_year-'Consumer surplus'!$C$10,0))-OFFSET(aeo_sup_oil_can,begin_year-'Consumer surplus'!$C$10,0)))*OFFSET(display_ocs,begin_year-'Consumer surplus'!$C$10,0)*365</f>
        <v>-5.1869619710487314E-12</v>
      </c>
    </row>
    <row r="7" spans="1:22">
      <c r="A7" s="253">
        <f t="shared" si="0"/>
        <v>2027</v>
      </c>
      <c r="B7" s="253">
        <v>2</v>
      </c>
      <c r="C7" s="479">
        <f ca="1"/>
        <v>0</v>
      </c>
      <c r="D7" s="479">
        <f ca="1"/>
        <v>0</v>
      </c>
      <c r="E7" s="479">
        <f ca="1"/>
        <v>0</v>
      </c>
      <c r="F7" s="479">
        <f ca="1"/>
        <v>0</v>
      </c>
      <c r="G7" s="479">
        <f ca="1"/>
        <v>0</v>
      </c>
      <c r="H7" s="479">
        <f ca="1"/>
        <v>0</v>
      </c>
      <c r="I7" s="479">
        <f ca="1"/>
        <v>0</v>
      </c>
      <c r="J7" s="574">
        <f ca="1"/>
        <v>0</v>
      </c>
      <c r="K7" s="574">
        <f ca="1"/>
        <v>0</v>
      </c>
      <c r="L7" s="574">
        <f t="shared" ref="L7:L70" ca="1" si="1">M7+J7+K7</f>
        <v>-5.1869619710487314E-12</v>
      </c>
      <c r="M7" s="479">
        <f ca="1"/>
        <v>-5.1869619710487314E-12</v>
      </c>
      <c r="N7" s="479">
        <f ca="1"/>
        <v>0</v>
      </c>
      <c r="O7" s="479">
        <f ca="1"/>
        <v>0</v>
      </c>
      <c r="P7" s="351"/>
      <c r="Q7" s="479">
        <f ca="1"/>
        <v>105.29938349284383</v>
      </c>
      <c r="R7" s="479">
        <f ca="1"/>
        <v>-5.1869619710487314E-12</v>
      </c>
      <c r="S7" s="479">
        <f ca="1"/>
        <v>-5.1869619710487314E-12</v>
      </c>
      <c r="T7" s="479">
        <f ca="1"/>
        <v>-5.1869619710487314E-12</v>
      </c>
    </row>
    <row r="8" spans="1:22">
      <c r="A8" s="253">
        <f t="shared" si="0"/>
        <v>2028</v>
      </c>
      <c r="B8" s="253">
        <v>3</v>
      </c>
      <c r="C8" s="479">
        <f ca="1"/>
        <v>0</v>
      </c>
      <c r="D8" s="479">
        <f ca="1"/>
        <v>0</v>
      </c>
      <c r="E8" s="479">
        <f ca="1"/>
        <v>0</v>
      </c>
      <c r="F8" s="479">
        <f ca="1"/>
        <v>0</v>
      </c>
      <c r="G8" s="479">
        <f ca="1"/>
        <v>0</v>
      </c>
      <c r="H8" s="479">
        <f ca="1"/>
        <v>0</v>
      </c>
      <c r="I8" s="479">
        <f ca="1"/>
        <v>0</v>
      </c>
      <c r="J8" s="574">
        <f ca="1"/>
        <v>0</v>
      </c>
      <c r="K8" s="574">
        <f ca="1"/>
        <v>0</v>
      </c>
      <c r="L8" s="574">
        <f t="shared" ca="1" si="1"/>
        <v>0</v>
      </c>
      <c r="M8" s="479">
        <f ca="1"/>
        <v>0</v>
      </c>
      <c r="N8" s="479">
        <f ca="1"/>
        <v>0</v>
      </c>
      <c r="O8" s="479">
        <f ca="1"/>
        <v>0</v>
      </c>
      <c r="P8" s="352"/>
      <c r="Q8" s="479">
        <f ca="1"/>
        <v>106.14450465712511</v>
      </c>
      <c r="R8" s="479">
        <f ca="1"/>
        <v>0</v>
      </c>
      <c r="S8" s="479">
        <f ca="1"/>
        <v>0</v>
      </c>
      <c r="T8" s="479">
        <f ca="1"/>
        <v>0</v>
      </c>
    </row>
    <row r="9" spans="1:22">
      <c r="A9" s="253">
        <f t="shared" si="0"/>
        <v>2029</v>
      </c>
      <c r="B9" s="253">
        <v>4</v>
      </c>
      <c r="C9" s="479">
        <f ca="1"/>
        <v>0</v>
      </c>
      <c r="D9" s="479">
        <f ca="1"/>
        <v>0</v>
      </c>
      <c r="E9" s="479">
        <f ca="1"/>
        <v>0</v>
      </c>
      <c r="F9" s="479">
        <f ca="1"/>
        <v>0</v>
      </c>
      <c r="G9" s="479">
        <f ca="1"/>
        <v>0</v>
      </c>
      <c r="H9" s="479">
        <f ca="1"/>
        <v>0</v>
      </c>
      <c r="I9" s="479">
        <f ca="1"/>
        <v>0</v>
      </c>
      <c r="J9" s="574">
        <f ca="1"/>
        <v>0</v>
      </c>
      <c r="K9" s="574">
        <f ca="1"/>
        <v>0</v>
      </c>
      <c r="L9" s="574">
        <f t="shared" ca="1" si="1"/>
        <v>0</v>
      </c>
      <c r="M9" s="479">
        <f ca="1"/>
        <v>0</v>
      </c>
      <c r="N9" s="479">
        <f ca="1"/>
        <v>0</v>
      </c>
      <c r="O9" s="479">
        <f ca="1"/>
        <v>0</v>
      </c>
      <c r="P9" s="351"/>
      <c r="Q9" s="479">
        <f ca="1"/>
        <v>106.94185082140638</v>
      </c>
      <c r="R9" s="479">
        <f ca="1"/>
        <v>0</v>
      </c>
      <c r="S9" s="479">
        <f ca="1"/>
        <v>0</v>
      </c>
      <c r="T9" s="479">
        <f ca="1"/>
        <v>0</v>
      </c>
    </row>
    <row r="10" spans="1:22">
      <c r="A10" s="253">
        <f t="shared" si="0"/>
        <v>2030</v>
      </c>
      <c r="B10" s="253">
        <v>5</v>
      </c>
      <c r="C10" s="479">
        <f ca="1"/>
        <v>-0.32239840218381222</v>
      </c>
      <c r="D10" s="479">
        <f ca="1"/>
        <v>-3.7300209556168085E-2</v>
      </c>
      <c r="E10" s="479">
        <f ca="1"/>
        <v>-1.656376254551617</v>
      </c>
      <c r="F10" s="479">
        <f ca="1"/>
        <v>-1.7160630781101818E-2</v>
      </c>
      <c r="G10" s="479">
        <f ca="1"/>
        <v>-2.7103388777038884E-2</v>
      </c>
      <c r="H10" s="479">
        <f ca="1"/>
        <v>-6.0274437472682685E-2</v>
      </c>
      <c r="I10" s="479">
        <f ca="1"/>
        <v>-8.8425115691403988E-2</v>
      </c>
      <c r="J10" s="574">
        <f ca="1"/>
        <v>1.4171280895871607E-2</v>
      </c>
      <c r="K10" s="574">
        <f ca="1"/>
        <v>3.0950005659722279E-2</v>
      </c>
      <c r="L10" s="574">
        <f t="shared" ca="1" si="1"/>
        <v>-1.2347156517729663</v>
      </c>
      <c r="M10" s="479">
        <f ca="1"/>
        <v>-1.2798369383285602</v>
      </c>
      <c r="N10" s="479">
        <f ca="1"/>
        <v>-1.9476189106887309E-3</v>
      </c>
      <c r="O10" s="479">
        <f ca="1"/>
        <v>-5.3785016689289478E-6</v>
      </c>
      <c r="P10" s="352"/>
      <c r="Q10" s="479">
        <f ca="1"/>
        <v>107.67124733253374</v>
      </c>
      <c r="R10" s="479">
        <f ca="1"/>
        <v>-1.2798369383285602</v>
      </c>
      <c r="S10" s="479">
        <f ca="1"/>
        <v>-1.2798369383285602</v>
      </c>
      <c r="T10" s="479">
        <f ca="1"/>
        <v>-1.2798369383285602</v>
      </c>
    </row>
    <row r="11" spans="1:22">
      <c r="A11" s="253">
        <f t="shared" si="0"/>
        <v>2031</v>
      </c>
      <c r="B11" s="253">
        <v>6</v>
      </c>
      <c r="C11" s="479">
        <f ca="1"/>
        <v>-0.31927094267895528</v>
      </c>
      <c r="D11" s="479">
        <f ca="1"/>
        <v>-4.0290368684026134E-2</v>
      </c>
      <c r="E11" s="479">
        <f ca="1"/>
        <v>-1.5709355463471297</v>
      </c>
      <c r="F11" s="479">
        <f ca="1"/>
        <v>-1.6308821495777739E-2</v>
      </c>
      <c r="G11" s="479">
        <f ca="1"/>
        <v>-2.8737288792324289E-2</v>
      </c>
      <c r="H11" s="479">
        <f ca="1"/>
        <v>-6.0425327277902063E-2</v>
      </c>
      <c r="I11" s="479">
        <f ca="1"/>
        <v>-9.4305675973904712E-2</v>
      </c>
      <c r="J11" s="574">
        <f ca="1"/>
        <v>1.455160933445665E-2</v>
      </c>
      <c r="K11" s="574">
        <f ca="1"/>
        <v>3.2355276375364284E-2</v>
      </c>
      <c r="L11" s="574">
        <f t="shared" ca="1" si="1"/>
        <v>-1.2314382736184282</v>
      </c>
      <c r="M11" s="479">
        <f ca="1"/>
        <v>-1.2783451593282491</v>
      </c>
      <c r="N11" s="479">
        <f ca="1"/>
        <v>-2.1251734419053259E-3</v>
      </c>
      <c r="O11" s="479">
        <f ca="1"/>
        <v>1.1440934696338445E-4</v>
      </c>
      <c r="P11" s="351"/>
      <c r="Q11" s="479">
        <f ca="1"/>
        <v>107.65612710759109</v>
      </c>
      <c r="R11" s="479">
        <f ca="1"/>
        <v>-1.2783451593282491</v>
      </c>
      <c r="S11" s="479">
        <f ca="1"/>
        <v>-1.2783451593282491</v>
      </c>
      <c r="T11" s="479">
        <f ca="1"/>
        <v>-1.2783451593282491</v>
      </c>
    </row>
    <row r="12" spans="1:22">
      <c r="A12" s="253">
        <f t="shared" si="0"/>
        <v>2032</v>
      </c>
      <c r="B12" s="253">
        <v>7</v>
      </c>
      <c r="C12" s="479">
        <f ca="1"/>
        <v>-1.1688587746721879</v>
      </c>
      <c r="D12" s="479">
        <f ca="1"/>
        <v>-0.11043743501293335</v>
      </c>
      <c r="E12" s="479">
        <f ca="1"/>
        <v>-4.7976603401878037</v>
      </c>
      <c r="F12" s="479">
        <f ca="1"/>
        <v>-5.523628720710487E-2</v>
      </c>
      <c r="G12" s="479">
        <f ca="1"/>
        <v>-8.187378028917669E-2</v>
      </c>
      <c r="H12" s="479">
        <f ca="1"/>
        <v>-0.2154668203746013</v>
      </c>
      <c r="I12" s="479">
        <f ca="1"/>
        <v>-0.27984100743738693</v>
      </c>
      <c r="J12" s="574">
        <f ca="1"/>
        <v>4.3844393554453021E-2</v>
      </c>
      <c r="K12" s="574">
        <f ca="1"/>
        <v>0.11554952596585899</v>
      </c>
      <c r="L12" s="574">
        <f t="shared" ca="1" si="1"/>
        <v>-4.2303385326690091</v>
      </c>
      <c r="M12" s="479">
        <f ca="1"/>
        <v>-4.3897324521893211</v>
      </c>
      <c r="N12" s="479">
        <f ca="1"/>
        <v>-5.9072082556205219E-3</v>
      </c>
      <c r="O12" s="479">
        <f ca="1"/>
        <v>-2.4613666267896406E-3</v>
      </c>
      <c r="P12" s="352"/>
      <c r="Q12" s="479">
        <f ca="1"/>
        <v>107.68903260139429</v>
      </c>
      <c r="R12" s="479">
        <f ca="1"/>
        <v>-4.3897324521893211</v>
      </c>
      <c r="S12" s="479">
        <f ca="1"/>
        <v>-4.3897324521893211</v>
      </c>
      <c r="T12" s="479">
        <f ca="1"/>
        <v>-4.3897324521893211</v>
      </c>
    </row>
    <row r="13" spans="1:22">
      <c r="A13" s="253">
        <f t="shared" si="0"/>
        <v>2033</v>
      </c>
      <c r="B13" s="253">
        <v>8</v>
      </c>
      <c r="C13" s="479">
        <f ca="1"/>
        <v>-1.1539982075185817</v>
      </c>
      <c r="D13" s="479">
        <f ca="1"/>
        <v>-0.1195873158899019</v>
      </c>
      <c r="E13" s="479">
        <f ca="1"/>
        <v>-4.6056330775954279</v>
      </c>
      <c r="F13" s="479">
        <f ca="1"/>
        <v>-5.4325116269780468E-2</v>
      </c>
      <c r="G13" s="479">
        <f ca="1"/>
        <v>-8.7817467464057497E-2</v>
      </c>
      <c r="H13" s="479">
        <f ca="1"/>
        <v>-0.21309021012008156</v>
      </c>
      <c r="I13" s="479">
        <f ca="1"/>
        <v>-0.2948851744570824</v>
      </c>
      <c r="J13" s="574">
        <f ca="1"/>
        <v>4.5235374657988103E-2</v>
      </c>
      <c r="K13" s="574">
        <f ca="1"/>
        <v>0.12010543130470452</v>
      </c>
      <c r="L13" s="574">
        <f t="shared" ca="1" si="1"/>
        <v>-4.2310353551470259</v>
      </c>
      <c r="M13" s="479">
        <f ca="1"/>
        <v>-4.3963761611097185</v>
      </c>
      <c r="N13" s="479">
        <f ca="1"/>
        <v>-6.3957983563248111E-3</v>
      </c>
      <c r="O13" s="479">
        <f ca="1"/>
        <v>-2.6788584374912716E-3</v>
      </c>
      <c r="P13" s="351"/>
      <c r="Q13" s="479">
        <f ca="1"/>
        <v>107.7330774124151</v>
      </c>
      <c r="R13" s="479">
        <f ca="1"/>
        <v>-4.3963761611097185</v>
      </c>
      <c r="S13" s="479">
        <f ca="1"/>
        <v>-4.3963761611097185</v>
      </c>
      <c r="T13" s="479">
        <f ca="1"/>
        <v>-4.3963761611097185</v>
      </c>
    </row>
    <row r="14" spans="1:22">
      <c r="A14" s="253">
        <f t="shared" si="0"/>
        <v>2034</v>
      </c>
      <c r="B14" s="253">
        <v>9</v>
      </c>
      <c r="C14" s="479">
        <f ca="1"/>
        <v>-1.1377081118539834</v>
      </c>
      <c r="D14" s="479">
        <f ca="1"/>
        <v>-0.12253437563281011</v>
      </c>
      <c r="E14" s="479">
        <f ca="1"/>
        <v>-4.4445363819605177</v>
      </c>
      <c r="F14" s="479">
        <f ca="1"/>
        <v>-4.9636216852166209E-2</v>
      </c>
      <c r="G14" s="479">
        <f ca="1"/>
        <v>-8.9527901139474508E-2</v>
      </c>
      <c r="H14" s="479">
        <f ca="1"/>
        <v>-0.21260202236896841</v>
      </c>
      <c r="I14" s="479">
        <f ca="1"/>
        <v>-0.30794134736522594</v>
      </c>
      <c r="J14" s="574">
        <f ca="1"/>
        <v>4.6990370098751733E-2</v>
      </c>
      <c r="K14" s="574">
        <f ca="1"/>
        <v>0.12595123146365239</v>
      </c>
      <c r="L14" s="574">
        <f t="shared" ca="1" si="1"/>
        <v>-4.2292408370478363</v>
      </c>
      <c r="M14" s="479">
        <f ca="1"/>
        <v>-4.4021824386102404</v>
      </c>
      <c r="N14" s="479">
        <f ca="1"/>
        <v>-6.7643578060133658E-3</v>
      </c>
      <c r="O14" s="479">
        <f ca="1"/>
        <v>-2.8360193552430246E-3</v>
      </c>
      <c r="P14" s="352"/>
      <c r="Q14" s="479">
        <f ca="1"/>
        <v>107.72444331709241</v>
      </c>
      <c r="R14" s="479">
        <f ca="1"/>
        <v>-4.4021824386102404</v>
      </c>
      <c r="S14" s="479">
        <f ca="1"/>
        <v>-4.4021824386102404</v>
      </c>
      <c r="T14" s="479">
        <f ca="1"/>
        <v>-4.4021824386102404</v>
      </c>
    </row>
    <row r="15" spans="1:22">
      <c r="A15" s="253">
        <f t="shared" si="0"/>
        <v>2035</v>
      </c>
      <c r="B15" s="253">
        <v>10</v>
      </c>
      <c r="C15" s="479">
        <f ca="1"/>
        <v>-1.127040051297854</v>
      </c>
      <c r="D15" s="479">
        <f ca="1"/>
        <v>-0.12597543932546529</v>
      </c>
      <c r="E15" s="479">
        <f ca="1"/>
        <v>-4.3140147977425158</v>
      </c>
      <c r="F15" s="479">
        <f ca="1"/>
        <v>-4.5141075783013546E-2</v>
      </c>
      <c r="G15" s="479">
        <f ca="1"/>
        <v>-9.1318393705019929E-2</v>
      </c>
      <c r="H15" s="479">
        <f ca="1"/>
        <v>-0.20964455348091882</v>
      </c>
      <c r="I15" s="479">
        <f ca="1"/>
        <v>-0.31195965360364397</v>
      </c>
      <c r="J15" s="574">
        <f ca="1"/>
        <v>4.8843755487262275E-2</v>
      </c>
      <c r="K15" s="574">
        <f ca="1"/>
        <v>0.13030798291458368</v>
      </c>
      <c r="L15" s="574">
        <f t="shared" ca="1" si="1"/>
        <v>-4.2273778212322437</v>
      </c>
      <c r="M15" s="479">
        <f ca="1"/>
        <v>-4.4065295596340892</v>
      </c>
      <c r="N15" s="479">
        <f ca="1"/>
        <v>-7.0410667777215385E-3</v>
      </c>
      <c r="O15" s="479">
        <f ca="1"/>
        <v>-2.9510597723856336E-3</v>
      </c>
      <c r="P15" s="351"/>
      <c r="Q15" s="479">
        <f ca="1"/>
        <v>107.79911897491843</v>
      </c>
      <c r="R15" s="479">
        <f ca="1"/>
        <v>-4.4065295596340892</v>
      </c>
      <c r="S15" s="479">
        <f ca="1"/>
        <v>-4.4065295596340892</v>
      </c>
      <c r="T15" s="479">
        <f ca="1"/>
        <v>-4.4065295596340892</v>
      </c>
    </row>
    <row r="16" spans="1:22">
      <c r="A16" s="253">
        <f t="shared" si="0"/>
        <v>2036</v>
      </c>
      <c r="B16" s="253">
        <v>11</v>
      </c>
      <c r="C16" s="479">
        <f ca="1"/>
        <v>-1.1185526212699515</v>
      </c>
      <c r="D16" s="479">
        <f ca="1"/>
        <v>-0.12611390744998729</v>
      </c>
      <c r="E16" s="479">
        <f ca="1"/>
        <v>-4.2037443197173729</v>
      </c>
      <c r="F16" s="479">
        <f ca="1"/>
        <v>-4.3809402065437056E-2</v>
      </c>
      <c r="G16" s="479">
        <f ca="1"/>
        <v>-9.4014876667547487E-2</v>
      </c>
      <c r="H16" s="479">
        <f ca="1"/>
        <v>-0.20844739536415968</v>
      </c>
      <c r="I16" s="479">
        <f ca="1"/>
        <v>-0.30942599141048355</v>
      </c>
      <c r="J16" s="574">
        <f ca="1"/>
        <v>4.9455177656858584E-2</v>
      </c>
      <c r="K16" s="574">
        <f ca="1"/>
        <v>0.13511575996419722</v>
      </c>
      <c r="L16" s="574">
        <f t="shared" ca="1" si="1"/>
        <v>-4.2260188942229089</v>
      </c>
      <c r="M16" s="479">
        <f ca="1"/>
        <v>-4.4105898318439651</v>
      </c>
      <c r="N16" s="479">
        <f ca="1"/>
        <v>-7.2486759700243764E-3</v>
      </c>
      <c r="O16" s="479">
        <f ca="1"/>
        <v>-2.908592651294839E-3</v>
      </c>
      <c r="P16" s="352"/>
      <c r="Q16" s="479">
        <f ca="1"/>
        <v>107.75986358059708</v>
      </c>
      <c r="R16" s="479">
        <f ca="1"/>
        <v>-4.4105898318439651</v>
      </c>
      <c r="S16" s="479">
        <f ca="1"/>
        <v>-4.4105898318439651</v>
      </c>
      <c r="T16" s="479">
        <f ca="1"/>
        <v>-4.4105898318439651</v>
      </c>
    </row>
    <row r="17" spans="1:20">
      <c r="A17" s="253">
        <f t="shared" si="0"/>
        <v>2037</v>
      </c>
      <c r="B17" s="253">
        <v>12</v>
      </c>
      <c r="C17" s="479">
        <f ca="1"/>
        <v>-1.1092368048006673</v>
      </c>
      <c r="D17" s="479">
        <f ca="1"/>
        <v>-0.12755373386408309</v>
      </c>
      <c r="E17" s="479">
        <f ca="1"/>
        <v>-4.0893211005226249</v>
      </c>
      <c r="F17" s="479">
        <f ca="1"/>
        <v>-4.540727703551177E-2</v>
      </c>
      <c r="G17" s="479">
        <f ca="1"/>
        <v>-9.6954512584124242E-2</v>
      </c>
      <c r="H17" s="479">
        <f ca="1"/>
        <v>-0.20806459634851837</v>
      </c>
      <c r="I17" s="479">
        <f ca="1"/>
        <v>-0.3145461424560736</v>
      </c>
      <c r="J17" s="574">
        <f ca="1"/>
        <v>5.0400816672038218E-2</v>
      </c>
      <c r="K17" s="574">
        <f ca="1"/>
        <v>0.13793095243211262</v>
      </c>
      <c r="L17" s="574">
        <f t="shared" ca="1" si="1"/>
        <v>-4.2273639548533781</v>
      </c>
      <c r="M17" s="479">
        <f ca="1"/>
        <v>-4.415695723957529</v>
      </c>
      <c r="N17" s="479">
        <f ca="1"/>
        <v>-7.3720528157850129E-3</v>
      </c>
      <c r="O17" s="479">
        <f ca="1"/>
        <v>-3.1299065712460106E-3</v>
      </c>
      <c r="P17" s="351"/>
      <c r="Q17" s="479">
        <f ca="1"/>
        <v>107.69227185101872</v>
      </c>
      <c r="R17" s="479">
        <f ca="1"/>
        <v>-4.415695723957529</v>
      </c>
      <c r="S17" s="479">
        <f ca="1"/>
        <v>-4.415695723957529</v>
      </c>
      <c r="T17" s="479">
        <f ca="1"/>
        <v>-4.415695723957529</v>
      </c>
    </row>
    <row r="18" spans="1:20">
      <c r="A18" s="253">
        <f t="shared" si="0"/>
        <v>2038</v>
      </c>
      <c r="B18" s="253">
        <v>13</v>
      </c>
      <c r="C18" s="479">
        <f ca="1"/>
        <v>-1.1046787346801634</v>
      </c>
      <c r="D18" s="479">
        <f ca="1"/>
        <v>-0.12863869660173499</v>
      </c>
      <c r="E18" s="479">
        <f ca="1"/>
        <v>-3.9924959516142167</v>
      </c>
      <c r="F18" s="479">
        <f ca="1"/>
        <v>-4.7476974964111018E-2</v>
      </c>
      <c r="G18" s="479">
        <f ca="1"/>
        <v>-9.9129283600618567E-2</v>
      </c>
      <c r="H18" s="479">
        <f ca="1"/>
        <v>-0.20753674772589381</v>
      </c>
      <c r="I18" s="479">
        <f ca="1"/>
        <v>-0.32515253231268915</v>
      </c>
      <c r="J18" s="574">
        <f ca="1"/>
        <v>5.0777467849594249E-2</v>
      </c>
      <c r="K18" s="574">
        <f ca="1"/>
        <v>0.14098074511669445</v>
      </c>
      <c r="L18" s="574">
        <f t="shared" ca="1" si="1"/>
        <v>-4.2200656199045934</v>
      </c>
      <c r="M18" s="479">
        <f ca="1"/>
        <v>-4.4118238328708825</v>
      </c>
      <c r="N18" s="479">
        <f ca="1"/>
        <v>-7.4597888139391055E-3</v>
      </c>
      <c r="O18" s="479">
        <f ca="1"/>
        <v>-2.9342275565227283E-3</v>
      </c>
      <c r="P18" s="352"/>
      <c r="Q18" s="479">
        <f ca="1"/>
        <v>107.65669732678424</v>
      </c>
      <c r="R18" s="479">
        <f ca="1"/>
        <v>-4.4118238328708825</v>
      </c>
      <c r="S18" s="479">
        <f ca="1"/>
        <v>-4.4118238328708825</v>
      </c>
      <c r="T18" s="479">
        <f ca="1"/>
        <v>-4.4118238328708825</v>
      </c>
    </row>
    <row r="19" spans="1:20">
      <c r="A19" s="253">
        <f t="shared" si="0"/>
        <v>2039</v>
      </c>
      <c r="B19" s="253">
        <v>14</v>
      </c>
      <c r="C19" s="479">
        <f ca="1"/>
        <v>-1.0959323066695892</v>
      </c>
      <c r="D19" s="479">
        <f ca="1"/>
        <v>-0.12899481729422568</v>
      </c>
      <c r="E19" s="479">
        <f ca="1"/>
        <v>-3.9388158454443101</v>
      </c>
      <c r="F19" s="479">
        <f ca="1"/>
        <v>-4.8666695058156156E-2</v>
      </c>
      <c r="G19" s="479">
        <f ca="1"/>
        <v>-0.10096175364288085</v>
      </c>
      <c r="H19" s="479">
        <f ca="1"/>
        <v>-0.20543828114711893</v>
      </c>
      <c r="I19" s="479">
        <f ca="1"/>
        <v>-0.32019986122744371</v>
      </c>
      <c r="J19" s="574">
        <f ca="1"/>
        <v>5.1625900893939036E-2</v>
      </c>
      <c r="K19" s="574">
        <f ca="1"/>
        <v>0.1442940104390722</v>
      </c>
      <c r="L19" s="574">
        <f t="shared" ca="1" si="1"/>
        <v>-4.2255614538704283</v>
      </c>
      <c r="M19" s="479">
        <f ca="1"/>
        <v>-4.421481365203439</v>
      </c>
      <c r="N19" s="479">
        <f ca="1"/>
        <v>-7.5436100595085986E-3</v>
      </c>
      <c r="O19" s="479">
        <f ca="1"/>
        <v>-3.1361857837168827E-3</v>
      </c>
      <c r="P19" s="351"/>
      <c r="Q19" s="479">
        <f ca="1"/>
        <v>107.59173239869183</v>
      </c>
      <c r="R19" s="479">
        <f ca="1"/>
        <v>-4.421481365203439</v>
      </c>
      <c r="S19" s="479">
        <f ca="1"/>
        <v>-4.421481365203439</v>
      </c>
      <c r="T19" s="479">
        <f ca="1"/>
        <v>-4.421481365203439</v>
      </c>
    </row>
    <row r="20" spans="1:20">
      <c r="A20" s="253">
        <f t="shared" si="0"/>
        <v>2040</v>
      </c>
      <c r="B20" s="253">
        <v>15</v>
      </c>
      <c r="C20" s="479">
        <f ca="1"/>
        <v>-1.0901700940396364</v>
      </c>
      <c r="D20" s="479">
        <f ca="1"/>
        <v>-0.1309769119193227</v>
      </c>
      <c r="E20" s="479">
        <f ca="1"/>
        <v>-3.8424258110651976</v>
      </c>
      <c r="F20" s="479">
        <f ca="1"/>
        <v>-4.6159154161307669E-2</v>
      </c>
      <c r="G20" s="479">
        <f ca="1"/>
        <v>-9.9565321758698921E-2</v>
      </c>
      <c r="H20" s="479">
        <f ca="1"/>
        <v>-0.20659894946296387</v>
      </c>
      <c r="I20" s="479">
        <f ca="1"/>
        <v>-0.33854409753830694</v>
      </c>
      <c r="J20" s="574">
        <f ca="1"/>
        <v>5.1030514520227221E-2</v>
      </c>
      <c r="K20" s="574">
        <f ca="1"/>
        <v>0.14506538339650987</v>
      </c>
      <c r="L20" s="574">
        <f t="shared" ca="1" si="1"/>
        <v>-4.2241147873976725</v>
      </c>
      <c r="M20" s="479">
        <f ca="1"/>
        <v>-4.4202106853144096</v>
      </c>
      <c r="N20" s="479">
        <f ca="1"/>
        <v>-7.5618297908086607E-3</v>
      </c>
      <c r="O20" s="479">
        <f ca="1"/>
        <v>-3.221230091412508E-3</v>
      </c>
      <c r="P20" s="352"/>
      <c r="Q20" s="479">
        <f ca="1"/>
        <v>107.58267340454866</v>
      </c>
      <c r="R20" s="479">
        <f ca="1"/>
        <v>-4.4202106853144096</v>
      </c>
      <c r="S20" s="479">
        <f ca="1"/>
        <v>-4.4202106853144096</v>
      </c>
      <c r="T20" s="479">
        <f ca="1"/>
        <v>-4.4202106853144096</v>
      </c>
    </row>
    <row r="21" spans="1:20">
      <c r="A21" s="253">
        <f t="shared" si="0"/>
        <v>2041</v>
      </c>
      <c r="B21" s="253">
        <v>16</v>
      </c>
      <c r="C21" s="479">
        <f ca="1"/>
        <v>-1.0873900656109281</v>
      </c>
      <c r="D21" s="479">
        <f ca="1"/>
        <v>-0.13243347555014218</v>
      </c>
      <c r="E21" s="479">
        <f ca="1"/>
        <v>-3.8007115506601963</v>
      </c>
      <c r="F21" s="479">
        <f ca="1"/>
        <v>-4.5168089083467283E-2</v>
      </c>
      <c r="G21" s="479">
        <f ca="1"/>
        <v>-0.10028813856555185</v>
      </c>
      <c r="H21" s="479">
        <f ca="1"/>
        <v>-0.20623744974220592</v>
      </c>
      <c r="I21" s="479">
        <f ca="1"/>
        <v>-0.34322651748031063</v>
      </c>
      <c r="J21" s="574">
        <f ca="1"/>
        <v>5.2094134369768952E-2</v>
      </c>
      <c r="K21" s="574">
        <f ca="1"/>
        <v>0.14703510307438883</v>
      </c>
      <c r="L21" s="574">
        <f t="shared" ca="1" si="1"/>
        <v>-4.2183950780153712</v>
      </c>
      <c r="M21" s="479">
        <f ca="1"/>
        <v>-4.4175243154595289</v>
      </c>
      <c r="N21" s="479">
        <f ca="1"/>
        <v>-7.5967012958255697E-3</v>
      </c>
      <c r="O21" s="479">
        <f ca="1"/>
        <v>-3.4461059854038467E-3</v>
      </c>
      <c r="P21" s="351"/>
      <c r="Q21" s="479">
        <f ca="1"/>
        <v>107.51623611672579</v>
      </c>
      <c r="R21" s="479">
        <f ca="1"/>
        <v>-4.4175243154595289</v>
      </c>
      <c r="S21" s="479">
        <f ca="1"/>
        <v>-4.4175243154595289</v>
      </c>
      <c r="T21" s="479">
        <f ca="1"/>
        <v>-4.4175243154595289</v>
      </c>
    </row>
    <row r="22" spans="1:20">
      <c r="A22" s="253">
        <f t="shared" si="0"/>
        <v>2042</v>
      </c>
      <c r="B22" s="253">
        <v>17</v>
      </c>
      <c r="C22" s="479">
        <f ca="1"/>
        <v>-1.0823458980780964</v>
      </c>
      <c r="D22" s="479">
        <f ca="1"/>
        <v>-0.13200826708259505</v>
      </c>
      <c r="E22" s="479">
        <f ca="1"/>
        <v>-3.7444723850228456</v>
      </c>
      <c r="F22" s="479">
        <f ca="1"/>
        <v>-4.4332725283291186E-2</v>
      </c>
      <c r="G22" s="479">
        <f ca="1"/>
        <v>-9.9951484352212017E-2</v>
      </c>
      <c r="H22" s="479">
        <f ca="1"/>
        <v>-0.20558522989668759</v>
      </c>
      <c r="I22" s="479">
        <f ca="1"/>
        <v>-0.34563951728561193</v>
      </c>
      <c r="J22" s="574">
        <f ca="1"/>
        <v>5.2548772467342353E-2</v>
      </c>
      <c r="K22" s="574">
        <f ca="1"/>
        <v>0.14931701800408703</v>
      </c>
      <c r="L22" s="574">
        <f t="shared" ca="1" si="1"/>
        <v>-4.2164261547478477</v>
      </c>
      <c r="M22" s="479">
        <f ca="1"/>
        <v>-4.418291945219277</v>
      </c>
      <c r="N22" s="479">
        <f ca="1"/>
        <v>-7.5942442859661119E-3</v>
      </c>
      <c r="O22" s="479">
        <f ca="1"/>
        <v>-3.557101510693883E-3</v>
      </c>
      <c r="P22" s="352"/>
      <c r="Q22" s="479">
        <f ca="1"/>
        <v>107.53696928704986</v>
      </c>
      <c r="R22" s="479">
        <f ca="1"/>
        <v>-4.418291945219277</v>
      </c>
      <c r="S22" s="479">
        <f ca="1"/>
        <v>-4.418291945219277</v>
      </c>
      <c r="T22" s="479">
        <f ca="1"/>
        <v>-4.418291945219277</v>
      </c>
    </row>
    <row r="23" spans="1:20">
      <c r="A23" s="253">
        <f t="shared" si="0"/>
        <v>2043</v>
      </c>
      <c r="B23" s="253">
        <v>18</v>
      </c>
      <c r="C23" s="479">
        <f ca="1"/>
        <v>-1.0753308756375424</v>
      </c>
      <c r="D23" s="479">
        <f ca="1"/>
        <v>-0.12990135100210409</v>
      </c>
      <c r="E23" s="479">
        <f ca="1"/>
        <v>-3.690029691647112</v>
      </c>
      <c r="F23" s="479">
        <f ca="1"/>
        <v>-4.7394466744616198E-2</v>
      </c>
      <c r="G23" s="479">
        <f ca="1"/>
        <v>-0.10202806643355711</v>
      </c>
      <c r="H23" s="479">
        <f ca="1"/>
        <v>-0.20459518609773131</v>
      </c>
      <c r="I23" s="479">
        <f ca="1"/>
        <v>-0.35169625700381957</v>
      </c>
      <c r="J23" s="574">
        <f ca="1"/>
        <v>5.342258135717648E-2</v>
      </c>
      <c r="K23" s="574">
        <f ca="1"/>
        <v>0.15042290772843359</v>
      </c>
      <c r="L23" s="574">
        <f t="shared" ca="1" si="1"/>
        <v>-4.2127547812547466</v>
      </c>
      <c r="M23" s="479">
        <f ca="1"/>
        <v>-4.4166002703403562</v>
      </c>
      <c r="N23" s="479">
        <f ca="1"/>
        <v>-7.5722718003295997E-3</v>
      </c>
      <c r="O23" s="479">
        <f ca="1"/>
        <v>-3.635083962706176E-3</v>
      </c>
      <c r="P23" s="351"/>
      <c r="Q23" s="479">
        <f ca="1"/>
        <v>107.61442863415773</v>
      </c>
      <c r="R23" s="479">
        <f ca="1"/>
        <v>-4.4166002703403562</v>
      </c>
      <c r="S23" s="479">
        <f ca="1"/>
        <v>-4.4166002703403562</v>
      </c>
      <c r="T23" s="479">
        <f ca="1"/>
        <v>-4.4166002703403562</v>
      </c>
    </row>
    <row r="24" spans="1:20">
      <c r="A24" s="253">
        <f t="shared" si="0"/>
        <v>2044</v>
      </c>
      <c r="B24" s="253">
        <v>19</v>
      </c>
      <c r="C24" s="479">
        <f ca="1"/>
        <v>-1.080478262239285</v>
      </c>
      <c r="D24" s="479">
        <f ca="1"/>
        <v>-0.12819587364587548</v>
      </c>
      <c r="E24" s="479">
        <f ca="1"/>
        <v>-3.6372550434720097</v>
      </c>
      <c r="F24" s="479">
        <f ca="1"/>
        <v>-4.8932463327661518E-2</v>
      </c>
      <c r="G24" s="479">
        <f ca="1"/>
        <v>-0.10175759078029367</v>
      </c>
      <c r="H24" s="479">
        <f ca="1"/>
        <v>-0.20306040148739601</v>
      </c>
      <c r="I24" s="479">
        <f ca="1"/>
        <v>-0.36215389263238862</v>
      </c>
      <c r="J24" s="574">
        <f ca="1"/>
        <v>5.3561872111103082E-2</v>
      </c>
      <c r="K24" s="574">
        <f ca="1"/>
        <v>0.15222416366820646</v>
      </c>
      <c r="L24" s="574">
        <f t="shared" ca="1" si="1"/>
        <v>-4.1983801981768902</v>
      </c>
      <c r="M24" s="479">
        <f ca="1"/>
        <v>-4.4041662339561993</v>
      </c>
      <c r="N24" s="479">
        <f ca="1"/>
        <v>-7.5400042376522203E-3</v>
      </c>
      <c r="O24" s="479">
        <f ca="1"/>
        <v>-3.6306408807718071E-3</v>
      </c>
      <c r="P24" s="352"/>
      <c r="Q24" s="479">
        <f ca="1"/>
        <v>107.66772314123276</v>
      </c>
      <c r="R24" s="479">
        <f ca="1"/>
        <v>-4.4041662339561993</v>
      </c>
      <c r="S24" s="479">
        <f ca="1"/>
        <v>-4.4041662339561993</v>
      </c>
      <c r="T24" s="479">
        <f ca="1"/>
        <v>-4.4041662339561993</v>
      </c>
    </row>
    <row r="25" spans="1:20">
      <c r="A25" s="253">
        <f t="shared" si="0"/>
        <v>2045</v>
      </c>
      <c r="B25" s="253">
        <v>20</v>
      </c>
      <c r="C25" s="479">
        <f ca="1"/>
        <v>0</v>
      </c>
      <c r="D25" s="479">
        <f ca="1"/>
        <v>0</v>
      </c>
      <c r="E25" s="479">
        <f ca="1"/>
        <v>0</v>
      </c>
      <c r="F25" s="479">
        <f ca="1"/>
        <v>0</v>
      </c>
      <c r="G25" s="479">
        <f ca="1"/>
        <v>0</v>
      </c>
      <c r="H25" s="479">
        <f ca="1"/>
        <v>0</v>
      </c>
      <c r="I25" s="479">
        <f ca="1"/>
        <v>0</v>
      </c>
      <c r="J25" s="574">
        <f ca="1"/>
        <v>0</v>
      </c>
      <c r="K25" s="574">
        <f ca="1"/>
        <v>0</v>
      </c>
      <c r="L25" s="574">
        <f t="shared" ca="1" si="1"/>
        <v>0</v>
      </c>
      <c r="M25" s="479">
        <f ca="1"/>
        <v>0</v>
      </c>
      <c r="N25" s="479">
        <f ca="1"/>
        <v>0</v>
      </c>
      <c r="O25" s="479">
        <f ca="1"/>
        <v>0</v>
      </c>
      <c r="P25" s="351"/>
      <c r="Q25" s="479" t="e">
        <f ca="1"/>
        <v>#DIV/0!</v>
      </c>
      <c r="R25" s="479" t="e">
        <f ca="1"/>
        <v>#DIV/0!</v>
      </c>
      <c r="S25" s="479" t="e">
        <f ca="1"/>
        <v>#DIV/0!</v>
      </c>
      <c r="T25" s="479" t="e">
        <f ca="1"/>
        <v>#DIV/0!</v>
      </c>
    </row>
    <row r="26" spans="1:20">
      <c r="A26" s="253">
        <f t="shared" si="0"/>
        <v>2046</v>
      </c>
      <c r="B26" s="253">
        <v>21</v>
      </c>
      <c r="C26" s="479">
        <f ca="1"/>
        <v>0</v>
      </c>
      <c r="D26" s="479">
        <f ca="1"/>
        <v>0</v>
      </c>
      <c r="E26" s="479">
        <f ca="1"/>
        <v>0</v>
      </c>
      <c r="F26" s="479">
        <f ca="1"/>
        <v>0</v>
      </c>
      <c r="G26" s="479">
        <f ca="1"/>
        <v>0</v>
      </c>
      <c r="H26" s="479">
        <f ca="1"/>
        <v>0</v>
      </c>
      <c r="I26" s="479">
        <f ca="1"/>
        <v>0</v>
      </c>
      <c r="J26" s="574">
        <f ca="1"/>
        <v>0</v>
      </c>
      <c r="K26" s="574">
        <f ca="1"/>
        <v>0</v>
      </c>
      <c r="L26" s="574">
        <f t="shared" ca="1" si="1"/>
        <v>0</v>
      </c>
      <c r="M26" s="479">
        <f ca="1"/>
        <v>0</v>
      </c>
      <c r="N26" s="479">
        <f ca="1"/>
        <v>0</v>
      </c>
      <c r="O26" s="479">
        <f ca="1"/>
        <v>0</v>
      </c>
      <c r="P26" s="352"/>
      <c r="Q26" s="479" t="e">
        <f ca="1"/>
        <v>#DIV/0!</v>
      </c>
      <c r="R26" s="479" t="e">
        <f ca="1"/>
        <v>#DIV/0!</v>
      </c>
      <c r="S26" s="479" t="e">
        <f ca="1"/>
        <v>#DIV/0!</v>
      </c>
      <c r="T26" s="479" t="e">
        <f ca="1"/>
        <v>#DIV/0!</v>
      </c>
    </row>
    <row r="27" spans="1:20">
      <c r="A27" s="253">
        <f t="shared" si="0"/>
        <v>2047</v>
      </c>
      <c r="B27" s="253">
        <v>22</v>
      </c>
      <c r="C27" s="479">
        <f ca="1"/>
        <v>0</v>
      </c>
      <c r="D27" s="479">
        <f ca="1"/>
        <v>0</v>
      </c>
      <c r="E27" s="479">
        <f ca="1"/>
        <v>0</v>
      </c>
      <c r="F27" s="479">
        <f ca="1"/>
        <v>0</v>
      </c>
      <c r="G27" s="479">
        <f ca="1"/>
        <v>0</v>
      </c>
      <c r="H27" s="479">
        <f ca="1"/>
        <v>0</v>
      </c>
      <c r="I27" s="479">
        <f ca="1"/>
        <v>0</v>
      </c>
      <c r="J27" s="574">
        <f ca="1"/>
        <v>0</v>
      </c>
      <c r="K27" s="574">
        <f ca="1"/>
        <v>0</v>
      </c>
      <c r="L27" s="574">
        <f t="shared" ca="1" si="1"/>
        <v>0</v>
      </c>
      <c r="M27" s="479">
        <f ca="1"/>
        <v>0</v>
      </c>
      <c r="N27" s="479">
        <f ca="1"/>
        <v>0</v>
      </c>
      <c r="O27" s="479">
        <f ca="1"/>
        <v>0</v>
      </c>
      <c r="P27" s="351"/>
      <c r="Q27" s="479" t="e">
        <f ca="1"/>
        <v>#DIV/0!</v>
      </c>
      <c r="R27" s="479" t="e">
        <f ca="1"/>
        <v>#DIV/0!</v>
      </c>
      <c r="S27" s="479" t="e">
        <f ca="1"/>
        <v>#DIV/0!</v>
      </c>
      <c r="T27" s="479" t="e">
        <f ca="1"/>
        <v>#DIV/0!</v>
      </c>
    </row>
    <row r="28" spans="1:20">
      <c r="A28" s="253">
        <f t="shared" si="0"/>
        <v>2048</v>
      </c>
      <c r="B28" s="253">
        <v>23</v>
      </c>
      <c r="C28" s="479">
        <f ca="1"/>
        <v>0</v>
      </c>
      <c r="D28" s="479">
        <f ca="1"/>
        <v>0</v>
      </c>
      <c r="E28" s="479">
        <f ca="1"/>
        <v>0</v>
      </c>
      <c r="F28" s="479">
        <f ca="1"/>
        <v>0</v>
      </c>
      <c r="G28" s="479">
        <f ca="1"/>
        <v>0</v>
      </c>
      <c r="H28" s="479">
        <f ca="1"/>
        <v>0</v>
      </c>
      <c r="I28" s="479">
        <f ca="1"/>
        <v>0</v>
      </c>
      <c r="J28" s="574">
        <f ca="1"/>
        <v>0</v>
      </c>
      <c r="K28" s="574">
        <f ca="1"/>
        <v>0</v>
      </c>
      <c r="L28" s="574">
        <f t="shared" ca="1" si="1"/>
        <v>0</v>
      </c>
      <c r="M28" s="479">
        <f ca="1"/>
        <v>0</v>
      </c>
      <c r="N28" s="479">
        <f ca="1"/>
        <v>0</v>
      </c>
      <c r="O28" s="479">
        <f ca="1"/>
        <v>0</v>
      </c>
      <c r="P28" s="352"/>
      <c r="Q28" s="479" t="e">
        <f ca="1"/>
        <v>#DIV/0!</v>
      </c>
      <c r="R28" s="479" t="e">
        <f ca="1"/>
        <v>#DIV/0!</v>
      </c>
      <c r="S28" s="479" t="e">
        <f ca="1"/>
        <v>#DIV/0!</v>
      </c>
      <c r="T28" s="479" t="e">
        <f ca="1"/>
        <v>#DIV/0!</v>
      </c>
    </row>
    <row r="29" spans="1:20">
      <c r="A29" s="253">
        <f t="shared" si="0"/>
        <v>2049</v>
      </c>
      <c r="B29" s="253">
        <v>24</v>
      </c>
      <c r="C29" s="479">
        <f ca="1"/>
        <v>0</v>
      </c>
      <c r="D29" s="479">
        <f ca="1"/>
        <v>0</v>
      </c>
      <c r="E29" s="479">
        <f ca="1"/>
        <v>0</v>
      </c>
      <c r="F29" s="479">
        <f ca="1"/>
        <v>0</v>
      </c>
      <c r="G29" s="479">
        <f ca="1"/>
        <v>0</v>
      </c>
      <c r="H29" s="479">
        <f ca="1"/>
        <v>0</v>
      </c>
      <c r="I29" s="479">
        <f ca="1"/>
        <v>0</v>
      </c>
      <c r="J29" s="574">
        <f ca="1"/>
        <v>0</v>
      </c>
      <c r="K29" s="574">
        <f ca="1"/>
        <v>0</v>
      </c>
      <c r="L29" s="574">
        <f t="shared" ca="1" si="1"/>
        <v>0</v>
      </c>
      <c r="M29" s="479">
        <f ca="1"/>
        <v>0</v>
      </c>
      <c r="N29" s="479">
        <f ca="1"/>
        <v>0</v>
      </c>
      <c r="O29" s="479">
        <f ca="1"/>
        <v>0</v>
      </c>
      <c r="P29" s="351"/>
      <c r="Q29" s="479" t="e">
        <f ca="1"/>
        <v>#DIV/0!</v>
      </c>
      <c r="R29" s="479" t="e">
        <f ca="1"/>
        <v>#DIV/0!</v>
      </c>
      <c r="S29" s="479" t="e">
        <f ca="1"/>
        <v>#DIV/0!</v>
      </c>
      <c r="T29" s="479" t="e">
        <f ca="1"/>
        <v>#DIV/0!</v>
      </c>
    </row>
    <row r="30" spans="1:20">
      <c r="A30" s="253">
        <f t="shared" si="0"/>
        <v>2050</v>
      </c>
      <c r="B30" s="253">
        <v>25</v>
      </c>
      <c r="C30" s="479">
        <f ca="1"/>
        <v>0</v>
      </c>
      <c r="D30" s="479">
        <f ca="1"/>
        <v>0</v>
      </c>
      <c r="E30" s="479">
        <f ca="1"/>
        <v>0</v>
      </c>
      <c r="F30" s="479">
        <f ca="1"/>
        <v>0</v>
      </c>
      <c r="G30" s="479">
        <f ca="1"/>
        <v>0</v>
      </c>
      <c r="H30" s="479">
        <f ca="1"/>
        <v>0</v>
      </c>
      <c r="I30" s="479">
        <f ca="1"/>
        <v>0</v>
      </c>
      <c r="J30" s="574">
        <f ca="1"/>
        <v>0</v>
      </c>
      <c r="K30" s="574">
        <f ca="1"/>
        <v>0</v>
      </c>
      <c r="L30" s="574">
        <f t="shared" ca="1" si="1"/>
        <v>0</v>
      </c>
      <c r="M30" s="479">
        <f ca="1"/>
        <v>0</v>
      </c>
      <c r="N30" s="479">
        <f ca="1"/>
        <v>0</v>
      </c>
      <c r="O30" s="479">
        <f ca="1"/>
        <v>0</v>
      </c>
      <c r="P30" s="352"/>
      <c r="Q30" s="479" t="e">
        <f ca="1"/>
        <v>#DIV/0!</v>
      </c>
      <c r="R30" s="479" t="e">
        <f ca="1"/>
        <v>#DIV/0!</v>
      </c>
      <c r="S30" s="479" t="e">
        <f ca="1"/>
        <v>#DIV/0!</v>
      </c>
      <c r="T30" s="479" t="e">
        <f ca="1"/>
        <v>#DIV/0!</v>
      </c>
    </row>
    <row r="31" spans="1:20">
      <c r="A31" s="253">
        <f t="shared" si="0"/>
        <v>2051</v>
      </c>
      <c r="B31" s="253">
        <v>26</v>
      </c>
      <c r="C31" s="479">
        <f ca="1"/>
        <v>0</v>
      </c>
      <c r="D31" s="479">
        <f ca="1"/>
        <v>0</v>
      </c>
      <c r="E31" s="479">
        <f ca="1"/>
        <v>0</v>
      </c>
      <c r="F31" s="479">
        <f ca="1"/>
        <v>0</v>
      </c>
      <c r="G31" s="479">
        <f ca="1"/>
        <v>0</v>
      </c>
      <c r="H31" s="479">
        <f ca="1"/>
        <v>0</v>
      </c>
      <c r="I31" s="479">
        <f ca="1"/>
        <v>0</v>
      </c>
      <c r="J31" s="574">
        <f ca="1"/>
        <v>0</v>
      </c>
      <c r="K31" s="574">
        <f ca="1"/>
        <v>0</v>
      </c>
      <c r="L31" s="574">
        <f t="shared" ca="1" si="1"/>
        <v>0</v>
      </c>
      <c r="M31" s="479">
        <f ca="1"/>
        <v>0</v>
      </c>
      <c r="N31" s="479">
        <f ca="1"/>
        <v>0</v>
      </c>
      <c r="O31" s="479">
        <f ca="1"/>
        <v>0</v>
      </c>
      <c r="P31" s="351"/>
      <c r="Q31" s="479" t="e">
        <f ca="1"/>
        <v>#DIV/0!</v>
      </c>
      <c r="R31" s="479" t="e">
        <f ca="1"/>
        <v>#DIV/0!</v>
      </c>
      <c r="S31" s="479" t="e">
        <f ca="1"/>
        <v>#DIV/0!</v>
      </c>
      <c r="T31" s="479" t="e">
        <f ca="1"/>
        <v>#DIV/0!</v>
      </c>
    </row>
    <row r="32" spans="1:20">
      <c r="A32" s="253">
        <f t="shared" si="0"/>
        <v>2052</v>
      </c>
      <c r="B32" s="253">
        <v>27</v>
      </c>
      <c r="C32" s="479">
        <f ca="1"/>
        <v>0</v>
      </c>
      <c r="D32" s="479">
        <f ca="1"/>
        <v>0</v>
      </c>
      <c r="E32" s="479">
        <f ca="1"/>
        <v>0</v>
      </c>
      <c r="F32" s="479">
        <f ca="1"/>
        <v>0</v>
      </c>
      <c r="G32" s="479">
        <f ca="1"/>
        <v>0</v>
      </c>
      <c r="H32" s="479">
        <f ca="1"/>
        <v>0</v>
      </c>
      <c r="I32" s="479">
        <f ca="1"/>
        <v>0</v>
      </c>
      <c r="J32" s="574">
        <f ca="1"/>
        <v>0</v>
      </c>
      <c r="K32" s="574">
        <f ca="1"/>
        <v>0</v>
      </c>
      <c r="L32" s="574">
        <f t="shared" ca="1" si="1"/>
        <v>0</v>
      </c>
      <c r="M32" s="479">
        <f ca="1"/>
        <v>0</v>
      </c>
      <c r="N32" s="479">
        <f ca="1"/>
        <v>0</v>
      </c>
      <c r="O32" s="479">
        <f ca="1"/>
        <v>0</v>
      </c>
      <c r="P32" s="352"/>
      <c r="Q32" s="479" t="e">
        <f ca="1"/>
        <v>#DIV/0!</v>
      </c>
      <c r="R32" s="479" t="e">
        <f ca="1"/>
        <v>#DIV/0!</v>
      </c>
      <c r="S32" s="479" t="e">
        <f ca="1"/>
        <v>#DIV/0!</v>
      </c>
      <c r="T32" s="479" t="e">
        <f ca="1"/>
        <v>#DIV/0!</v>
      </c>
    </row>
    <row r="33" spans="1:20">
      <c r="A33" s="253">
        <f t="shared" si="0"/>
        <v>2053</v>
      </c>
      <c r="B33" s="253">
        <v>28</v>
      </c>
      <c r="C33" s="479">
        <f ca="1"/>
        <v>0</v>
      </c>
      <c r="D33" s="479">
        <f ca="1"/>
        <v>0</v>
      </c>
      <c r="E33" s="479">
        <f ca="1"/>
        <v>0</v>
      </c>
      <c r="F33" s="479">
        <f ca="1"/>
        <v>0</v>
      </c>
      <c r="G33" s="479">
        <f ca="1"/>
        <v>0</v>
      </c>
      <c r="H33" s="479">
        <f ca="1"/>
        <v>0</v>
      </c>
      <c r="I33" s="479">
        <f ca="1"/>
        <v>0</v>
      </c>
      <c r="J33" s="574">
        <f ca="1"/>
        <v>0</v>
      </c>
      <c r="K33" s="574">
        <f ca="1"/>
        <v>0</v>
      </c>
      <c r="L33" s="574">
        <f t="shared" ca="1" si="1"/>
        <v>0</v>
      </c>
      <c r="M33" s="479">
        <f ca="1"/>
        <v>0</v>
      </c>
      <c r="N33" s="479">
        <f ca="1"/>
        <v>0</v>
      </c>
      <c r="O33" s="479">
        <f ca="1"/>
        <v>0</v>
      </c>
      <c r="P33" s="351"/>
      <c r="Q33" s="479" t="e">
        <f ca="1"/>
        <v>#DIV/0!</v>
      </c>
      <c r="R33" s="479" t="e">
        <f ca="1"/>
        <v>#DIV/0!</v>
      </c>
      <c r="S33" s="479" t="e">
        <f ca="1"/>
        <v>#DIV/0!</v>
      </c>
      <c r="T33" s="479" t="e">
        <f ca="1"/>
        <v>#DIV/0!</v>
      </c>
    </row>
    <row r="34" spans="1:20">
      <c r="A34" s="253">
        <f t="shared" si="0"/>
        <v>2054</v>
      </c>
      <c r="B34" s="253">
        <v>29</v>
      </c>
      <c r="C34" s="479">
        <f ca="1"/>
        <v>0</v>
      </c>
      <c r="D34" s="479">
        <f ca="1"/>
        <v>0</v>
      </c>
      <c r="E34" s="479">
        <f ca="1"/>
        <v>0</v>
      </c>
      <c r="F34" s="479">
        <f ca="1"/>
        <v>0</v>
      </c>
      <c r="G34" s="479">
        <f ca="1"/>
        <v>0</v>
      </c>
      <c r="H34" s="479">
        <f ca="1"/>
        <v>0</v>
      </c>
      <c r="I34" s="479">
        <f ca="1"/>
        <v>0</v>
      </c>
      <c r="J34" s="574">
        <f ca="1"/>
        <v>0</v>
      </c>
      <c r="K34" s="574">
        <f ca="1"/>
        <v>0</v>
      </c>
      <c r="L34" s="574">
        <f t="shared" ca="1" si="1"/>
        <v>0</v>
      </c>
      <c r="M34" s="479">
        <f ca="1"/>
        <v>0</v>
      </c>
      <c r="N34" s="479">
        <f ca="1"/>
        <v>0</v>
      </c>
      <c r="O34" s="479">
        <f ca="1"/>
        <v>0</v>
      </c>
      <c r="P34" s="352"/>
      <c r="Q34" s="479" t="e">
        <f ca="1"/>
        <v>#DIV/0!</v>
      </c>
      <c r="R34" s="479" t="e">
        <f ca="1"/>
        <v>#DIV/0!</v>
      </c>
      <c r="S34" s="479" t="e">
        <f ca="1"/>
        <v>#DIV/0!</v>
      </c>
      <c r="T34" s="479" t="e">
        <f ca="1"/>
        <v>#DIV/0!</v>
      </c>
    </row>
    <row r="35" spans="1:20">
      <c r="A35" s="253">
        <f t="shared" si="0"/>
        <v>2055</v>
      </c>
      <c r="B35" s="253">
        <v>30</v>
      </c>
      <c r="C35" s="479">
        <f ca="1"/>
        <v>0</v>
      </c>
      <c r="D35" s="479">
        <f ca="1"/>
        <v>0</v>
      </c>
      <c r="E35" s="479">
        <f ca="1"/>
        <v>0</v>
      </c>
      <c r="F35" s="479">
        <f ca="1"/>
        <v>0</v>
      </c>
      <c r="G35" s="479">
        <f ca="1"/>
        <v>0</v>
      </c>
      <c r="H35" s="479">
        <f ca="1"/>
        <v>0</v>
      </c>
      <c r="I35" s="479">
        <f ca="1"/>
        <v>0</v>
      </c>
      <c r="J35" s="574">
        <f ca="1"/>
        <v>0</v>
      </c>
      <c r="K35" s="574">
        <f ca="1"/>
        <v>0</v>
      </c>
      <c r="L35" s="574">
        <f t="shared" ca="1" si="1"/>
        <v>0</v>
      </c>
      <c r="M35" s="479">
        <f ca="1"/>
        <v>0</v>
      </c>
      <c r="N35" s="479">
        <f ca="1"/>
        <v>0</v>
      </c>
      <c r="O35" s="479">
        <f ca="1"/>
        <v>0</v>
      </c>
      <c r="P35" s="351"/>
      <c r="Q35" s="479" t="e">
        <f ca="1"/>
        <v>#DIV/0!</v>
      </c>
      <c r="R35" s="479" t="e">
        <f ca="1"/>
        <v>#DIV/0!</v>
      </c>
      <c r="S35" s="479" t="e">
        <f ca="1"/>
        <v>#DIV/0!</v>
      </c>
      <c r="T35" s="479" t="e">
        <f ca="1"/>
        <v>#DIV/0!</v>
      </c>
    </row>
    <row r="36" spans="1:20">
      <c r="A36" s="253">
        <f t="shared" si="0"/>
        <v>2056</v>
      </c>
      <c r="B36" s="253">
        <v>31</v>
      </c>
      <c r="C36" s="479">
        <f ca="1"/>
        <v>0</v>
      </c>
      <c r="D36" s="479">
        <f ca="1"/>
        <v>0</v>
      </c>
      <c r="E36" s="479">
        <f ca="1"/>
        <v>0</v>
      </c>
      <c r="F36" s="479">
        <f ca="1"/>
        <v>0</v>
      </c>
      <c r="G36" s="479">
        <f ca="1"/>
        <v>0</v>
      </c>
      <c r="H36" s="479">
        <f ca="1"/>
        <v>0</v>
      </c>
      <c r="I36" s="479">
        <f ca="1"/>
        <v>0</v>
      </c>
      <c r="J36" s="574">
        <f ca="1"/>
        <v>0</v>
      </c>
      <c r="K36" s="574">
        <f ca="1"/>
        <v>0</v>
      </c>
      <c r="L36" s="574">
        <f t="shared" ca="1" si="1"/>
        <v>0</v>
      </c>
      <c r="M36" s="479">
        <f ca="1"/>
        <v>0</v>
      </c>
      <c r="N36" s="479">
        <f ca="1"/>
        <v>0</v>
      </c>
      <c r="O36" s="479">
        <f ca="1"/>
        <v>0</v>
      </c>
      <c r="P36" s="352"/>
      <c r="Q36" s="479" t="e">
        <f ca="1"/>
        <v>#DIV/0!</v>
      </c>
      <c r="R36" s="479" t="e">
        <f ca="1"/>
        <v>#DIV/0!</v>
      </c>
      <c r="S36" s="479" t="e">
        <f ca="1"/>
        <v>#DIV/0!</v>
      </c>
      <c r="T36" s="479" t="e">
        <f ca="1"/>
        <v>#DIV/0!</v>
      </c>
    </row>
    <row r="37" spans="1:20">
      <c r="A37" s="253">
        <f t="shared" si="0"/>
        <v>2057</v>
      </c>
      <c r="B37" s="253">
        <v>32</v>
      </c>
      <c r="C37" s="479">
        <f ca="1"/>
        <v>0</v>
      </c>
      <c r="D37" s="479">
        <f ca="1"/>
        <v>0</v>
      </c>
      <c r="E37" s="479">
        <f ca="1"/>
        <v>0</v>
      </c>
      <c r="F37" s="479">
        <f ca="1"/>
        <v>0</v>
      </c>
      <c r="G37" s="479">
        <f ca="1"/>
        <v>0</v>
      </c>
      <c r="H37" s="479">
        <f ca="1"/>
        <v>0</v>
      </c>
      <c r="I37" s="479">
        <f ca="1"/>
        <v>0</v>
      </c>
      <c r="J37" s="574">
        <f ca="1"/>
        <v>0</v>
      </c>
      <c r="K37" s="574">
        <f ca="1"/>
        <v>0</v>
      </c>
      <c r="L37" s="574">
        <f t="shared" ca="1" si="1"/>
        <v>0</v>
      </c>
      <c r="M37" s="479">
        <f ca="1"/>
        <v>0</v>
      </c>
      <c r="N37" s="479">
        <f ca="1"/>
        <v>0</v>
      </c>
      <c r="O37" s="479">
        <f ca="1"/>
        <v>0</v>
      </c>
      <c r="P37" s="351"/>
      <c r="Q37" s="479" t="e">
        <f ca="1"/>
        <v>#DIV/0!</v>
      </c>
      <c r="R37" s="479" t="e">
        <f ca="1"/>
        <v>#DIV/0!</v>
      </c>
      <c r="S37" s="479" t="e">
        <f ca="1"/>
        <v>#DIV/0!</v>
      </c>
      <c r="T37" s="479" t="e">
        <f ca="1"/>
        <v>#DIV/0!</v>
      </c>
    </row>
    <row r="38" spans="1:20">
      <c r="A38" s="253">
        <f t="shared" ref="A38:A69" si="2">begin_year+B38-1</f>
        <v>2058</v>
      </c>
      <c r="B38" s="253">
        <v>33</v>
      </c>
      <c r="C38" s="479">
        <f ca="1"/>
        <v>0</v>
      </c>
      <c r="D38" s="479">
        <f ca="1"/>
        <v>0</v>
      </c>
      <c r="E38" s="479">
        <f ca="1"/>
        <v>0</v>
      </c>
      <c r="F38" s="479">
        <f ca="1"/>
        <v>0</v>
      </c>
      <c r="G38" s="479">
        <f ca="1"/>
        <v>0</v>
      </c>
      <c r="H38" s="479">
        <f ca="1"/>
        <v>0</v>
      </c>
      <c r="I38" s="479">
        <f ca="1"/>
        <v>0</v>
      </c>
      <c r="J38" s="574">
        <f ca="1"/>
        <v>0</v>
      </c>
      <c r="K38" s="574">
        <f ca="1"/>
        <v>0</v>
      </c>
      <c r="L38" s="574">
        <f t="shared" ca="1" si="1"/>
        <v>0</v>
      </c>
      <c r="M38" s="479">
        <f ca="1"/>
        <v>0</v>
      </c>
      <c r="N38" s="479">
        <f ca="1"/>
        <v>0</v>
      </c>
      <c r="O38" s="479">
        <f ca="1"/>
        <v>0</v>
      </c>
      <c r="P38" s="352"/>
      <c r="Q38" s="479" t="e">
        <f ca="1"/>
        <v>#DIV/0!</v>
      </c>
      <c r="R38" s="479" t="e">
        <f ca="1"/>
        <v>#DIV/0!</v>
      </c>
      <c r="S38" s="479" t="e">
        <f ca="1"/>
        <v>#DIV/0!</v>
      </c>
      <c r="T38" s="479" t="e">
        <f ca="1"/>
        <v>#DIV/0!</v>
      </c>
    </row>
    <row r="39" spans="1:20">
      <c r="A39" s="253">
        <f t="shared" si="2"/>
        <v>2059</v>
      </c>
      <c r="B39" s="253">
        <v>34</v>
      </c>
      <c r="C39" s="479">
        <f ca="1"/>
        <v>0</v>
      </c>
      <c r="D39" s="479">
        <f ca="1"/>
        <v>0</v>
      </c>
      <c r="E39" s="479">
        <f ca="1"/>
        <v>0</v>
      </c>
      <c r="F39" s="479">
        <f ca="1"/>
        <v>0</v>
      </c>
      <c r="G39" s="479">
        <f ca="1"/>
        <v>0</v>
      </c>
      <c r="H39" s="479">
        <f ca="1"/>
        <v>0</v>
      </c>
      <c r="I39" s="479">
        <f ca="1"/>
        <v>0</v>
      </c>
      <c r="J39" s="574">
        <f ca="1"/>
        <v>0</v>
      </c>
      <c r="K39" s="574">
        <f ca="1"/>
        <v>0</v>
      </c>
      <c r="L39" s="574">
        <f t="shared" ca="1" si="1"/>
        <v>0</v>
      </c>
      <c r="M39" s="479">
        <f ca="1"/>
        <v>0</v>
      </c>
      <c r="N39" s="479">
        <f ca="1"/>
        <v>0</v>
      </c>
      <c r="O39" s="479">
        <f ca="1"/>
        <v>0</v>
      </c>
      <c r="P39" s="351"/>
      <c r="Q39" s="479" t="e">
        <f ca="1"/>
        <v>#DIV/0!</v>
      </c>
      <c r="R39" s="479" t="e">
        <f ca="1"/>
        <v>#DIV/0!</v>
      </c>
      <c r="S39" s="479" t="e">
        <f ca="1"/>
        <v>#DIV/0!</v>
      </c>
      <c r="T39" s="479" t="e">
        <f ca="1"/>
        <v>#DIV/0!</v>
      </c>
    </row>
    <row r="40" spans="1:20">
      <c r="A40" s="253">
        <f t="shared" si="2"/>
        <v>2060</v>
      </c>
      <c r="B40" s="253">
        <v>35</v>
      </c>
      <c r="C40" s="479">
        <f ca="1"/>
        <v>0</v>
      </c>
      <c r="D40" s="479">
        <f ca="1"/>
        <v>0</v>
      </c>
      <c r="E40" s="479">
        <f ca="1"/>
        <v>0</v>
      </c>
      <c r="F40" s="479">
        <f ca="1"/>
        <v>0</v>
      </c>
      <c r="G40" s="479">
        <f ca="1"/>
        <v>0</v>
      </c>
      <c r="H40" s="479">
        <f ca="1"/>
        <v>0</v>
      </c>
      <c r="I40" s="479">
        <f ca="1"/>
        <v>0</v>
      </c>
      <c r="J40" s="574">
        <f ca="1"/>
        <v>0</v>
      </c>
      <c r="K40" s="574">
        <f ca="1"/>
        <v>0</v>
      </c>
      <c r="L40" s="574">
        <f t="shared" ca="1" si="1"/>
        <v>0</v>
      </c>
      <c r="M40" s="479">
        <f ca="1"/>
        <v>0</v>
      </c>
      <c r="N40" s="479">
        <f ca="1"/>
        <v>0</v>
      </c>
      <c r="O40" s="479">
        <f ca="1"/>
        <v>0</v>
      </c>
      <c r="P40" s="352"/>
      <c r="Q40" s="479" t="e">
        <f ca="1"/>
        <v>#DIV/0!</v>
      </c>
      <c r="R40" s="479" t="e">
        <f ca="1"/>
        <v>#DIV/0!</v>
      </c>
      <c r="S40" s="479" t="e">
        <f ca="1"/>
        <v>#DIV/0!</v>
      </c>
      <c r="T40" s="479" t="e">
        <f ca="1"/>
        <v>#DIV/0!</v>
      </c>
    </row>
    <row r="41" spans="1:20">
      <c r="A41" s="253">
        <f t="shared" si="2"/>
        <v>2061</v>
      </c>
      <c r="B41" s="253">
        <v>36</v>
      </c>
      <c r="C41" s="479">
        <f ca="1"/>
        <v>0</v>
      </c>
      <c r="D41" s="479">
        <f ca="1"/>
        <v>0</v>
      </c>
      <c r="E41" s="479">
        <f ca="1"/>
        <v>0</v>
      </c>
      <c r="F41" s="479">
        <f ca="1"/>
        <v>0</v>
      </c>
      <c r="G41" s="479">
        <f ca="1"/>
        <v>0</v>
      </c>
      <c r="H41" s="479">
        <f ca="1"/>
        <v>0</v>
      </c>
      <c r="I41" s="479">
        <f ca="1"/>
        <v>0</v>
      </c>
      <c r="J41" s="574">
        <f ca="1"/>
        <v>0</v>
      </c>
      <c r="K41" s="574">
        <f ca="1"/>
        <v>0</v>
      </c>
      <c r="L41" s="574">
        <f t="shared" ca="1" si="1"/>
        <v>0</v>
      </c>
      <c r="M41" s="479">
        <f ca="1"/>
        <v>0</v>
      </c>
      <c r="N41" s="479">
        <f ca="1"/>
        <v>0</v>
      </c>
      <c r="O41" s="479">
        <f ca="1"/>
        <v>0</v>
      </c>
      <c r="P41" s="351"/>
      <c r="Q41" s="479" t="e">
        <f ca="1"/>
        <v>#DIV/0!</v>
      </c>
      <c r="R41" s="479" t="e">
        <f ca="1"/>
        <v>#DIV/0!</v>
      </c>
      <c r="S41" s="479" t="e">
        <f ca="1"/>
        <v>#DIV/0!</v>
      </c>
      <c r="T41" s="479" t="e">
        <f ca="1"/>
        <v>#DIV/0!</v>
      </c>
    </row>
    <row r="42" spans="1:20">
      <c r="A42" s="253">
        <f t="shared" si="2"/>
        <v>2062</v>
      </c>
      <c r="B42" s="253">
        <v>37</v>
      </c>
      <c r="C42" s="479">
        <f ca="1"/>
        <v>0</v>
      </c>
      <c r="D42" s="479">
        <f ca="1"/>
        <v>0</v>
      </c>
      <c r="E42" s="479">
        <f ca="1"/>
        <v>0</v>
      </c>
      <c r="F42" s="479">
        <f ca="1"/>
        <v>0</v>
      </c>
      <c r="G42" s="479">
        <f ca="1"/>
        <v>0</v>
      </c>
      <c r="H42" s="479">
        <f ca="1"/>
        <v>0</v>
      </c>
      <c r="I42" s="479">
        <f ca="1"/>
        <v>0</v>
      </c>
      <c r="J42" s="574">
        <f ca="1"/>
        <v>0</v>
      </c>
      <c r="K42" s="574">
        <f ca="1"/>
        <v>0</v>
      </c>
      <c r="L42" s="574">
        <f t="shared" ca="1" si="1"/>
        <v>0</v>
      </c>
      <c r="M42" s="479">
        <f ca="1"/>
        <v>0</v>
      </c>
      <c r="N42" s="479">
        <f ca="1"/>
        <v>0</v>
      </c>
      <c r="O42" s="479">
        <f ca="1"/>
        <v>0</v>
      </c>
      <c r="P42" s="352"/>
      <c r="Q42" s="479" t="e">
        <f ca="1"/>
        <v>#DIV/0!</v>
      </c>
      <c r="R42" s="479" t="e">
        <f ca="1"/>
        <v>#DIV/0!</v>
      </c>
      <c r="S42" s="479" t="e">
        <f ca="1"/>
        <v>#DIV/0!</v>
      </c>
      <c r="T42" s="479" t="e">
        <f ca="1"/>
        <v>#DIV/0!</v>
      </c>
    </row>
    <row r="43" spans="1:20">
      <c r="A43" s="253">
        <f t="shared" si="2"/>
        <v>2063</v>
      </c>
      <c r="B43" s="253">
        <v>38</v>
      </c>
      <c r="C43" s="479">
        <f ca="1"/>
        <v>0</v>
      </c>
      <c r="D43" s="479">
        <f ca="1"/>
        <v>0</v>
      </c>
      <c r="E43" s="479">
        <f ca="1"/>
        <v>0</v>
      </c>
      <c r="F43" s="479">
        <f ca="1"/>
        <v>0</v>
      </c>
      <c r="G43" s="479">
        <f ca="1"/>
        <v>0</v>
      </c>
      <c r="H43" s="479">
        <f ca="1"/>
        <v>0</v>
      </c>
      <c r="I43" s="479">
        <f ca="1"/>
        <v>0</v>
      </c>
      <c r="J43" s="574">
        <f ca="1"/>
        <v>0</v>
      </c>
      <c r="K43" s="574">
        <f ca="1"/>
        <v>0</v>
      </c>
      <c r="L43" s="574">
        <f t="shared" ca="1" si="1"/>
        <v>0</v>
      </c>
      <c r="M43" s="479">
        <f ca="1"/>
        <v>0</v>
      </c>
      <c r="N43" s="479">
        <f ca="1"/>
        <v>0</v>
      </c>
      <c r="O43" s="479">
        <f ca="1"/>
        <v>0</v>
      </c>
      <c r="P43" s="351"/>
      <c r="Q43" s="479" t="e">
        <f ca="1"/>
        <v>#DIV/0!</v>
      </c>
      <c r="R43" s="479" t="e">
        <f ca="1"/>
        <v>#DIV/0!</v>
      </c>
      <c r="S43" s="479" t="e">
        <f ca="1"/>
        <v>#DIV/0!</v>
      </c>
      <c r="T43" s="479" t="e">
        <f ca="1"/>
        <v>#DIV/0!</v>
      </c>
    </row>
    <row r="44" spans="1:20">
      <c r="A44" s="253">
        <f t="shared" si="2"/>
        <v>2064</v>
      </c>
      <c r="B44" s="253">
        <v>39</v>
      </c>
      <c r="C44" s="479">
        <f ca="1"/>
        <v>0</v>
      </c>
      <c r="D44" s="479">
        <f ca="1"/>
        <v>0</v>
      </c>
      <c r="E44" s="479">
        <f ca="1"/>
        <v>0</v>
      </c>
      <c r="F44" s="479">
        <f ca="1"/>
        <v>0</v>
      </c>
      <c r="G44" s="479">
        <f ca="1"/>
        <v>0</v>
      </c>
      <c r="H44" s="479">
        <f ca="1"/>
        <v>0</v>
      </c>
      <c r="I44" s="479">
        <f ca="1"/>
        <v>0</v>
      </c>
      <c r="J44" s="574">
        <f ca="1"/>
        <v>0</v>
      </c>
      <c r="K44" s="574">
        <f ca="1"/>
        <v>0</v>
      </c>
      <c r="L44" s="574">
        <f t="shared" ca="1" si="1"/>
        <v>0</v>
      </c>
      <c r="M44" s="479">
        <f ca="1"/>
        <v>0</v>
      </c>
      <c r="N44" s="479">
        <f ca="1"/>
        <v>0</v>
      </c>
      <c r="O44" s="479">
        <f ca="1"/>
        <v>0</v>
      </c>
      <c r="P44" s="352"/>
      <c r="Q44" s="479" t="e">
        <f ca="1"/>
        <v>#DIV/0!</v>
      </c>
      <c r="R44" s="479" t="e">
        <f ca="1"/>
        <v>#DIV/0!</v>
      </c>
      <c r="S44" s="479" t="e">
        <f ca="1"/>
        <v>#DIV/0!</v>
      </c>
      <c r="T44" s="479" t="e">
        <f ca="1"/>
        <v>#DIV/0!</v>
      </c>
    </row>
    <row r="45" spans="1:20">
      <c r="A45" s="253">
        <f t="shared" si="2"/>
        <v>2065</v>
      </c>
      <c r="B45" s="253">
        <v>40</v>
      </c>
      <c r="C45" s="479">
        <f ca="1"/>
        <v>0</v>
      </c>
      <c r="D45" s="479">
        <f ca="1"/>
        <v>0</v>
      </c>
      <c r="E45" s="479">
        <f ca="1"/>
        <v>0</v>
      </c>
      <c r="F45" s="479">
        <f ca="1"/>
        <v>0</v>
      </c>
      <c r="G45" s="479">
        <f ca="1"/>
        <v>0</v>
      </c>
      <c r="H45" s="479">
        <f ca="1"/>
        <v>0</v>
      </c>
      <c r="I45" s="479">
        <f ca="1"/>
        <v>0</v>
      </c>
      <c r="J45" s="574">
        <f ca="1"/>
        <v>0</v>
      </c>
      <c r="K45" s="574">
        <f ca="1"/>
        <v>0</v>
      </c>
      <c r="L45" s="574">
        <f t="shared" ca="1" si="1"/>
        <v>0</v>
      </c>
      <c r="M45" s="479">
        <f ca="1"/>
        <v>0</v>
      </c>
      <c r="N45" s="479">
        <f ca="1"/>
        <v>0</v>
      </c>
      <c r="O45" s="479">
        <f ca="1"/>
        <v>0</v>
      </c>
      <c r="P45" s="351"/>
      <c r="Q45" s="479" t="e">
        <f ca="1"/>
        <v>#DIV/0!</v>
      </c>
      <c r="R45" s="479" t="e">
        <f ca="1"/>
        <v>#DIV/0!</v>
      </c>
      <c r="S45" s="479" t="e">
        <f ca="1"/>
        <v>#DIV/0!</v>
      </c>
      <c r="T45" s="479" t="e">
        <f ca="1"/>
        <v>#DIV/0!</v>
      </c>
    </row>
    <row r="46" spans="1:20">
      <c r="A46" s="253">
        <f t="shared" si="2"/>
        <v>2066</v>
      </c>
      <c r="B46" s="253">
        <v>41</v>
      </c>
      <c r="C46" s="479">
        <f ca="1"/>
        <v>0</v>
      </c>
      <c r="D46" s="479">
        <f ca="1"/>
        <v>0</v>
      </c>
      <c r="E46" s="479">
        <f ca="1"/>
        <v>0</v>
      </c>
      <c r="F46" s="479">
        <f ca="1"/>
        <v>0</v>
      </c>
      <c r="G46" s="479">
        <f ca="1"/>
        <v>0</v>
      </c>
      <c r="H46" s="479">
        <f ca="1"/>
        <v>0</v>
      </c>
      <c r="I46" s="479">
        <f ca="1"/>
        <v>0</v>
      </c>
      <c r="J46" s="574">
        <f ca="1"/>
        <v>0</v>
      </c>
      <c r="K46" s="574">
        <f ca="1"/>
        <v>0</v>
      </c>
      <c r="L46" s="574">
        <f t="shared" ca="1" si="1"/>
        <v>0</v>
      </c>
      <c r="M46" s="479">
        <f ca="1"/>
        <v>0</v>
      </c>
      <c r="N46" s="479">
        <f ca="1"/>
        <v>0</v>
      </c>
      <c r="O46" s="479">
        <f ca="1"/>
        <v>0</v>
      </c>
      <c r="P46" s="352"/>
      <c r="Q46" s="479" t="e">
        <f ca="1"/>
        <v>#DIV/0!</v>
      </c>
      <c r="R46" s="479" t="e">
        <f ca="1"/>
        <v>#DIV/0!</v>
      </c>
      <c r="S46" s="479" t="e">
        <f ca="1"/>
        <v>#DIV/0!</v>
      </c>
      <c r="T46" s="479" t="e">
        <f ca="1"/>
        <v>#DIV/0!</v>
      </c>
    </row>
    <row r="47" spans="1:20">
      <c r="A47" s="253">
        <f t="shared" si="2"/>
        <v>2067</v>
      </c>
      <c r="B47" s="253">
        <v>42</v>
      </c>
      <c r="C47" s="479">
        <f ca="1"/>
        <v>0</v>
      </c>
      <c r="D47" s="479">
        <f ca="1"/>
        <v>0</v>
      </c>
      <c r="E47" s="479">
        <f ca="1"/>
        <v>0</v>
      </c>
      <c r="F47" s="479">
        <f ca="1"/>
        <v>0</v>
      </c>
      <c r="G47" s="479">
        <f ca="1"/>
        <v>0</v>
      </c>
      <c r="H47" s="479">
        <f ca="1"/>
        <v>0</v>
      </c>
      <c r="I47" s="479">
        <f ca="1"/>
        <v>0</v>
      </c>
      <c r="J47" s="574">
        <f ca="1"/>
        <v>0</v>
      </c>
      <c r="K47" s="574">
        <f ca="1"/>
        <v>0</v>
      </c>
      <c r="L47" s="574">
        <f t="shared" ca="1" si="1"/>
        <v>0</v>
      </c>
      <c r="M47" s="479">
        <f ca="1"/>
        <v>0</v>
      </c>
      <c r="N47" s="479">
        <f ca="1"/>
        <v>0</v>
      </c>
      <c r="O47" s="479">
        <f ca="1"/>
        <v>0</v>
      </c>
      <c r="P47" s="351"/>
      <c r="Q47" s="479" t="e">
        <f ca="1"/>
        <v>#DIV/0!</v>
      </c>
      <c r="R47" s="479" t="e">
        <f ca="1"/>
        <v>#DIV/0!</v>
      </c>
      <c r="S47" s="479" t="e">
        <f ca="1"/>
        <v>#DIV/0!</v>
      </c>
      <c r="T47" s="479" t="e">
        <f ca="1"/>
        <v>#DIV/0!</v>
      </c>
    </row>
    <row r="48" spans="1:20">
      <c r="A48" s="253">
        <f t="shared" si="2"/>
        <v>2068</v>
      </c>
      <c r="B48" s="253">
        <v>43</v>
      </c>
      <c r="C48" s="479">
        <f ca="1"/>
        <v>0</v>
      </c>
      <c r="D48" s="479">
        <f ca="1"/>
        <v>0</v>
      </c>
      <c r="E48" s="479">
        <f ca="1"/>
        <v>0</v>
      </c>
      <c r="F48" s="479">
        <f ca="1"/>
        <v>0</v>
      </c>
      <c r="G48" s="479">
        <f ca="1"/>
        <v>0</v>
      </c>
      <c r="H48" s="479">
        <f ca="1"/>
        <v>0</v>
      </c>
      <c r="I48" s="479">
        <f ca="1"/>
        <v>0</v>
      </c>
      <c r="J48" s="574">
        <f ca="1"/>
        <v>0</v>
      </c>
      <c r="K48" s="574">
        <f ca="1"/>
        <v>0</v>
      </c>
      <c r="L48" s="574">
        <f t="shared" ca="1" si="1"/>
        <v>0</v>
      </c>
      <c r="M48" s="479">
        <f ca="1"/>
        <v>0</v>
      </c>
      <c r="N48" s="479">
        <f ca="1"/>
        <v>0</v>
      </c>
      <c r="O48" s="479">
        <f ca="1"/>
        <v>0</v>
      </c>
      <c r="P48" s="352"/>
      <c r="Q48" s="479" t="e">
        <f ca="1"/>
        <v>#DIV/0!</v>
      </c>
      <c r="R48" s="479" t="e">
        <f ca="1"/>
        <v>#DIV/0!</v>
      </c>
      <c r="S48" s="479" t="e">
        <f ca="1"/>
        <v>#DIV/0!</v>
      </c>
      <c r="T48" s="479" t="e">
        <f ca="1"/>
        <v>#DIV/0!</v>
      </c>
    </row>
    <row r="49" spans="1:20">
      <c r="A49" s="253">
        <f t="shared" si="2"/>
        <v>2069</v>
      </c>
      <c r="B49" s="253">
        <v>44</v>
      </c>
      <c r="C49" s="479">
        <f ca="1"/>
        <v>0</v>
      </c>
      <c r="D49" s="479">
        <f ca="1"/>
        <v>0</v>
      </c>
      <c r="E49" s="479">
        <f ca="1"/>
        <v>0</v>
      </c>
      <c r="F49" s="479">
        <f ca="1"/>
        <v>0</v>
      </c>
      <c r="G49" s="479">
        <f ca="1"/>
        <v>0</v>
      </c>
      <c r="H49" s="479">
        <f ca="1"/>
        <v>0</v>
      </c>
      <c r="I49" s="479">
        <f ca="1"/>
        <v>0</v>
      </c>
      <c r="J49" s="574">
        <f ca="1"/>
        <v>0</v>
      </c>
      <c r="K49" s="574">
        <f ca="1"/>
        <v>0</v>
      </c>
      <c r="L49" s="574">
        <f t="shared" ca="1" si="1"/>
        <v>0</v>
      </c>
      <c r="M49" s="479">
        <f ca="1"/>
        <v>0</v>
      </c>
      <c r="N49" s="479">
        <f ca="1"/>
        <v>0</v>
      </c>
      <c r="O49" s="479">
        <f ca="1"/>
        <v>0</v>
      </c>
      <c r="P49" s="351"/>
      <c r="Q49" s="479" t="e">
        <f ca="1"/>
        <v>#DIV/0!</v>
      </c>
      <c r="R49" s="479" t="e">
        <f ca="1"/>
        <v>#DIV/0!</v>
      </c>
      <c r="S49" s="479" t="e">
        <f ca="1"/>
        <v>#DIV/0!</v>
      </c>
      <c r="T49" s="479" t="e">
        <f ca="1"/>
        <v>#DIV/0!</v>
      </c>
    </row>
    <row r="50" spans="1:20">
      <c r="A50" s="253">
        <f t="shared" si="2"/>
        <v>2070</v>
      </c>
      <c r="B50" s="253">
        <v>45</v>
      </c>
      <c r="C50" s="479">
        <f ca="1"/>
        <v>0</v>
      </c>
      <c r="D50" s="479">
        <f ca="1"/>
        <v>0</v>
      </c>
      <c r="E50" s="479">
        <f ca="1"/>
        <v>0</v>
      </c>
      <c r="F50" s="479">
        <f ca="1"/>
        <v>0</v>
      </c>
      <c r="G50" s="479">
        <f ca="1"/>
        <v>0</v>
      </c>
      <c r="H50" s="479">
        <f ca="1"/>
        <v>0</v>
      </c>
      <c r="I50" s="479">
        <f ca="1"/>
        <v>0</v>
      </c>
      <c r="J50" s="574">
        <f ca="1"/>
        <v>0</v>
      </c>
      <c r="K50" s="574">
        <f ca="1"/>
        <v>0</v>
      </c>
      <c r="L50" s="574">
        <f t="shared" ca="1" si="1"/>
        <v>0</v>
      </c>
      <c r="M50" s="479">
        <f ca="1"/>
        <v>0</v>
      </c>
      <c r="N50" s="479">
        <f ca="1"/>
        <v>0</v>
      </c>
      <c r="O50" s="479">
        <f ca="1"/>
        <v>0</v>
      </c>
      <c r="P50" s="352"/>
      <c r="Q50" s="479" t="e">
        <f ca="1"/>
        <v>#DIV/0!</v>
      </c>
      <c r="R50" s="479" t="e">
        <f ca="1"/>
        <v>#DIV/0!</v>
      </c>
      <c r="S50" s="479" t="e">
        <f ca="1"/>
        <v>#DIV/0!</v>
      </c>
      <c r="T50" s="479" t="e">
        <f ca="1"/>
        <v>#DIV/0!</v>
      </c>
    </row>
    <row r="51" spans="1:20">
      <c r="A51" s="253">
        <f t="shared" si="2"/>
        <v>2071</v>
      </c>
      <c r="B51" s="253">
        <v>46</v>
      </c>
      <c r="C51" s="479">
        <f ca="1"/>
        <v>0</v>
      </c>
      <c r="D51" s="479">
        <f ca="1"/>
        <v>0</v>
      </c>
      <c r="E51" s="479">
        <f ca="1"/>
        <v>0</v>
      </c>
      <c r="F51" s="479">
        <f ca="1"/>
        <v>0</v>
      </c>
      <c r="G51" s="479">
        <f ca="1"/>
        <v>0</v>
      </c>
      <c r="H51" s="479">
        <f ca="1"/>
        <v>0</v>
      </c>
      <c r="I51" s="479">
        <f ca="1"/>
        <v>0</v>
      </c>
      <c r="J51" s="574">
        <f ca="1"/>
        <v>0</v>
      </c>
      <c r="K51" s="574">
        <f ca="1"/>
        <v>0</v>
      </c>
      <c r="L51" s="574">
        <f t="shared" ca="1" si="1"/>
        <v>0</v>
      </c>
      <c r="M51" s="479">
        <f ca="1"/>
        <v>0</v>
      </c>
      <c r="N51" s="479">
        <f ca="1"/>
        <v>0</v>
      </c>
      <c r="O51" s="479">
        <f ca="1"/>
        <v>0</v>
      </c>
      <c r="P51" s="351"/>
      <c r="Q51" s="479" t="e">
        <f ca="1"/>
        <v>#DIV/0!</v>
      </c>
      <c r="R51" s="479" t="e">
        <f ca="1"/>
        <v>#DIV/0!</v>
      </c>
      <c r="S51" s="479" t="e">
        <f ca="1"/>
        <v>#DIV/0!</v>
      </c>
      <c r="T51" s="479" t="e">
        <f ca="1"/>
        <v>#DIV/0!</v>
      </c>
    </row>
    <row r="52" spans="1:20">
      <c r="A52" s="253">
        <f t="shared" si="2"/>
        <v>2072</v>
      </c>
      <c r="B52" s="253">
        <v>47</v>
      </c>
      <c r="C52" s="479">
        <f ca="1"/>
        <v>0</v>
      </c>
      <c r="D52" s="479">
        <f ca="1"/>
        <v>0</v>
      </c>
      <c r="E52" s="479">
        <f ca="1"/>
        <v>0</v>
      </c>
      <c r="F52" s="479">
        <f ca="1"/>
        <v>0</v>
      </c>
      <c r="G52" s="479">
        <f ca="1"/>
        <v>0</v>
      </c>
      <c r="H52" s="479">
        <f ca="1"/>
        <v>0</v>
      </c>
      <c r="I52" s="479">
        <f ca="1"/>
        <v>0</v>
      </c>
      <c r="J52" s="574">
        <f ca="1"/>
        <v>0</v>
      </c>
      <c r="K52" s="574">
        <f ca="1"/>
        <v>0</v>
      </c>
      <c r="L52" s="574">
        <f t="shared" ca="1" si="1"/>
        <v>0</v>
      </c>
      <c r="M52" s="479">
        <f ca="1"/>
        <v>0</v>
      </c>
      <c r="N52" s="479">
        <f ca="1"/>
        <v>0</v>
      </c>
      <c r="O52" s="479">
        <f ca="1"/>
        <v>0</v>
      </c>
      <c r="P52" s="352"/>
      <c r="Q52" s="479" t="e">
        <f ca="1"/>
        <v>#DIV/0!</v>
      </c>
      <c r="R52" s="479" t="e">
        <f ca="1"/>
        <v>#DIV/0!</v>
      </c>
      <c r="S52" s="479" t="e">
        <f ca="1"/>
        <v>#DIV/0!</v>
      </c>
      <c r="T52" s="479" t="e">
        <f ca="1"/>
        <v>#DIV/0!</v>
      </c>
    </row>
    <row r="53" spans="1:20">
      <c r="A53" s="253">
        <f t="shared" si="2"/>
        <v>2073</v>
      </c>
      <c r="B53" s="253">
        <v>48</v>
      </c>
      <c r="C53" s="479">
        <f ca="1"/>
        <v>0</v>
      </c>
      <c r="D53" s="479">
        <f ca="1"/>
        <v>0</v>
      </c>
      <c r="E53" s="479">
        <f ca="1"/>
        <v>0</v>
      </c>
      <c r="F53" s="479">
        <f ca="1"/>
        <v>0</v>
      </c>
      <c r="G53" s="479">
        <f ca="1"/>
        <v>0</v>
      </c>
      <c r="H53" s="479">
        <f ca="1"/>
        <v>0</v>
      </c>
      <c r="I53" s="479">
        <f ca="1"/>
        <v>0</v>
      </c>
      <c r="J53" s="574">
        <f ca="1"/>
        <v>0</v>
      </c>
      <c r="K53" s="574">
        <f ca="1"/>
        <v>0</v>
      </c>
      <c r="L53" s="574">
        <f t="shared" ca="1" si="1"/>
        <v>0</v>
      </c>
      <c r="M53" s="479">
        <f ca="1"/>
        <v>0</v>
      </c>
      <c r="N53" s="479">
        <f ca="1"/>
        <v>0</v>
      </c>
      <c r="O53" s="479">
        <f ca="1"/>
        <v>0</v>
      </c>
      <c r="P53" s="351"/>
      <c r="Q53" s="479" t="e">
        <f ca="1"/>
        <v>#DIV/0!</v>
      </c>
      <c r="R53" s="479" t="e">
        <f ca="1"/>
        <v>#DIV/0!</v>
      </c>
      <c r="S53" s="479" t="e">
        <f ca="1"/>
        <v>#DIV/0!</v>
      </c>
      <c r="T53" s="479" t="e">
        <f ca="1"/>
        <v>#DIV/0!</v>
      </c>
    </row>
    <row r="54" spans="1:20">
      <c r="A54" s="253">
        <f t="shared" si="2"/>
        <v>2074</v>
      </c>
      <c r="B54" s="253">
        <v>49</v>
      </c>
      <c r="C54" s="479">
        <f ca="1"/>
        <v>0</v>
      </c>
      <c r="D54" s="479">
        <f ca="1"/>
        <v>0</v>
      </c>
      <c r="E54" s="479">
        <f ca="1"/>
        <v>0</v>
      </c>
      <c r="F54" s="479">
        <f ca="1"/>
        <v>0</v>
      </c>
      <c r="G54" s="479">
        <f ca="1"/>
        <v>0</v>
      </c>
      <c r="H54" s="479">
        <f ca="1"/>
        <v>0</v>
      </c>
      <c r="I54" s="479">
        <f ca="1"/>
        <v>0</v>
      </c>
      <c r="J54" s="574">
        <f ca="1"/>
        <v>0</v>
      </c>
      <c r="K54" s="574">
        <f ca="1"/>
        <v>0</v>
      </c>
      <c r="L54" s="574">
        <f t="shared" ca="1" si="1"/>
        <v>0</v>
      </c>
      <c r="M54" s="479">
        <f ca="1"/>
        <v>0</v>
      </c>
      <c r="N54" s="479">
        <f ca="1"/>
        <v>0</v>
      </c>
      <c r="O54" s="479">
        <f ca="1"/>
        <v>0</v>
      </c>
      <c r="P54" s="352"/>
      <c r="Q54" s="479" t="e">
        <f ca="1"/>
        <v>#DIV/0!</v>
      </c>
      <c r="R54" s="479" t="e">
        <f ca="1"/>
        <v>#DIV/0!</v>
      </c>
      <c r="S54" s="479" t="e">
        <f ca="1"/>
        <v>#DIV/0!</v>
      </c>
      <c r="T54" s="479" t="e">
        <f ca="1"/>
        <v>#DIV/0!</v>
      </c>
    </row>
    <row r="55" spans="1:20">
      <c r="A55" s="253">
        <f t="shared" si="2"/>
        <v>2075</v>
      </c>
      <c r="B55" s="253">
        <v>50</v>
      </c>
      <c r="C55" s="479">
        <f ca="1"/>
        <v>0</v>
      </c>
      <c r="D55" s="479">
        <f ca="1"/>
        <v>0</v>
      </c>
      <c r="E55" s="479">
        <f ca="1"/>
        <v>0</v>
      </c>
      <c r="F55" s="479">
        <f ca="1"/>
        <v>0</v>
      </c>
      <c r="G55" s="479">
        <f ca="1"/>
        <v>0</v>
      </c>
      <c r="H55" s="479">
        <f ca="1"/>
        <v>0</v>
      </c>
      <c r="I55" s="479">
        <f ca="1"/>
        <v>0</v>
      </c>
      <c r="J55" s="574">
        <f ca="1"/>
        <v>0</v>
      </c>
      <c r="K55" s="574">
        <f ca="1"/>
        <v>0</v>
      </c>
      <c r="L55" s="574">
        <f t="shared" ca="1" si="1"/>
        <v>0</v>
      </c>
      <c r="M55" s="479">
        <f ca="1"/>
        <v>0</v>
      </c>
      <c r="N55" s="479">
        <f ca="1"/>
        <v>0</v>
      </c>
      <c r="O55" s="479">
        <f ca="1"/>
        <v>0</v>
      </c>
      <c r="P55" s="351"/>
      <c r="Q55" s="479" t="e">
        <f ca="1"/>
        <v>#DIV/0!</v>
      </c>
      <c r="R55" s="479" t="e">
        <f ca="1"/>
        <v>#DIV/0!</v>
      </c>
      <c r="S55" s="479" t="e">
        <f ca="1"/>
        <v>#DIV/0!</v>
      </c>
      <c r="T55" s="479" t="e">
        <f ca="1"/>
        <v>#DIV/0!</v>
      </c>
    </row>
    <row r="56" spans="1:20">
      <c r="A56" s="253">
        <f t="shared" si="2"/>
        <v>2076</v>
      </c>
      <c r="B56" s="253">
        <v>51</v>
      </c>
      <c r="C56" s="479">
        <f ca="1"/>
        <v>0</v>
      </c>
      <c r="D56" s="479">
        <f ca="1"/>
        <v>0</v>
      </c>
      <c r="E56" s="479">
        <f ca="1"/>
        <v>0</v>
      </c>
      <c r="F56" s="479">
        <f ca="1"/>
        <v>0</v>
      </c>
      <c r="G56" s="479">
        <f ca="1"/>
        <v>0</v>
      </c>
      <c r="H56" s="479">
        <f ca="1"/>
        <v>0</v>
      </c>
      <c r="I56" s="479">
        <f ca="1"/>
        <v>0</v>
      </c>
      <c r="J56" s="574">
        <f ca="1"/>
        <v>0</v>
      </c>
      <c r="K56" s="574">
        <f ca="1"/>
        <v>0</v>
      </c>
      <c r="L56" s="574">
        <f t="shared" ca="1" si="1"/>
        <v>0</v>
      </c>
      <c r="M56" s="479">
        <f ca="1"/>
        <v>0</v>
      </c>
      <c r="N56" s="479">
        <f ca="1"/>
        <v>0</v>
      </c>
      <c r="O56" s="479">
        <f ca="1"/>
        <v>0</v>
      </c>
      <c r="P56" s="352"/>
      <c r="Q56" s="479" t="e">
        <f ca="1"/>
        <v>#DIV/0!</v>
      </c>
      <c r="R56" s="479" t="e">
        <f ca="1"/>
        <v>#DIV/0!</v>
      </c>
      <c r="S56" s="479" t="e">
        <f ca="1"/>
        <v>#DIV/0!</v>
      </c>
      <c r="T56" s="479" t="e">
        <f ca="1"/>
        <v>#DIV/0!</v>
      </c>
    </row>
    <row r="57" spans="1:20">
      <c r="A57" s="253">
        <f t="shared" si="2"/>
        <v>2077</v>
      </c>
      <c r="B57" s="253">
        <v>52</v>
      </c>
      <c r="C57" s="479">
        <f ca="1"/>
        <v>0</v>
      </c>
      <c r="D57" s="479">
        <f ca="1"/>
        <v>0</v>
      </c>
      <c r="E57" s="479">
        <f ca="1"/>
        <v>0</v>
      </c>
      <c r="F57" s="479">
        <f ca="1"/>
        <v>0</v>
      </c>
      <c r="G57" s="479">
        <f ca="1"/>
        <v>0</v>
      </c>
      <c r="H57" s="479">
        <f ca="1"/>
        <v>0</v>
      </c>
      <c r="I57" s="479">
        <f ca="1"/>
        <v>0</v>
      </c>
      <c r="J57" s="574">
        <f ca="1"/>
        <v>0</v>
      </c>
      <c r="K57" s="574">
        <f ca="1"/>
        <v>0</v>
      </c>
      <c r="L57" s="574">
        <f t="shared" ca="1" si="1"/>
        <v>0</v>
      </c>
      <c r="M57" s="479">
        <f ca="1"/>
        <v>0</v>
      </c>
      <c r="N57" s="479">
        <f ca="1"/>
        <v>0</v>
      </c>
      <c r="O57" s="479">
        <f ca="1"/>
        <v>0</v>
      </c>
      <c r="P57" s="351"/>
      <c r="Q57" s="479" t="e">
        <f ca="1"/>
        <v>#DIV/0!</v>
      </c>
      <c r="R57" s="479" t="e">
        <f ca="1"/>
        <v>#DIV/0!</v>
      </c>
      <c r="S57" s="479" t="e">
        <f ca="1"/>
        <v>#DIV/0!</v>
      </c>
      <c r="T57" s="479" t="e">
        <f ca="1"/>
        <v>#DIV/0!</v>
      </c>
    </row>
    <row r="58" spans="1:20">
      <c r="A58" s="253">
        <f t="shared" si="2"/>
        <v>2078</v>
      </c>
      <c r="B58" s="253">
        <v>53</v>
      </c>
      <c r="C58" s="479">
        <f ca="1"/>
        <v>0</v>
      </c>
      <c r="D58" s="479">
        <f ca="1"/>
        <v>0</v>
      </c>
      <c r="E58" s="479">
        <f ca="1"/>
        <v>0</v>
      </c>
      <c r="F58" s="479">
        <f ca="1"/>
        <v>0</v>
      </c>
      <c r="G58" s="479">
        <f ca="1"/>
        <v>0</v>
      </c>
      <c r="H58" s="479">
        <f ca="1"/>
        <v>0</v>
      </c>
      <c r="I58" s="479">
        <f ca="1"/>
        <v>0</v>
      </c>
      <c r="J58" s="574">
        <f ca="1"/>
        <v>0</v>
      </c>
      <c r="K58" s="574">
        <f ca="1"/>
        <v>0</v>
      </c>
      <c r="L58" s="574">
        <f t="shared" ca="1" si="1"/>
        <v>0</v>
      </c>
      <c r="M58" s="479">
        <f ca="1"/>
        <v>0</v>
      </c>
      <c r="N58" s="479">
        <f ca="1"/>
        <v>0</v>
      </c>
      <c r="O58" s="479">
        <f ca="1"/>
        <v>0</v>
      </c>
      <c r="P58" s="351"/>
      <c r="Q58" s="479" t="e">
        <f ca="1"/>
        <v>#DIV/0!</v>
      </c>
      <c r="R58" s="479" t="e">
        <f ca="1"/>
        <v>#DIV/0!</v>
      </c>
      <c r="S58" s="479" t="e">
        <f ca="1"/>
        <v>#DIV/0!</v>
      </c>
      <c r="T58" s="479" t="e">
        <f ca="1"/>
        <v>#DIV/0!</v>
      </c>
    </row>
    <row r="59" spans="1:20">
      <c r="A59" s="253">
        <f t="shared" si="2"/>
        <v>2079</v>
      </c>
      <c r="B59" s="253">
        <v>54</v>
      </c>
      <c r="C59" s="479">
        <f ca="1"/>
        <v>0</v>
      </c>
      <c r="D59" s="479">
        <f ca="1"/>
        <v>0</v>
      </c>
      <c r="E59" s="479">
        <f ca="1"/>
        <v>0</v>
      </c>
      <c r="F59" s="479">
        <f ca="1"/>
        <v>0</v>
      </c>
      <c r="G59" s="479">
        <f ca="1"/>
        <v>0</v>
      </c>
      <c r="H59" s="479">
        <f ca="1"/>
        <v>0</v>
      </c>
      <c r="I59" s="479">
        <f ca="1"/>
        <v>0</v>
      </c>
      <c r="J59" s="574">
        <f ca="1"/>
        <v>0</v>
      </c>
      <c r="K59" s="574">
        <f ca="1"/>
        <v>0</v>
      </c>
      <c r="L59" s="574">
        <f t="shared" ca="1" si="1"/>
        <v>0</v>
      </c>
      <c r="M59" s="479">
        <f ca="1"/>
        <v>0</v>
      </c>
      <c r="N59" s="479">
        <f ca="1"/>
        <v>0</v>
      </c>
      <c r="O59" s="479">
        <f ca="1"/>
        <v>0</v>
      </c>
      <c r="P59" s="351"/>
      <c r="Q59" s="479" t="e">
        <f ca="1"/>
        <v>#DIV/0!</v>
      </c>
      <c r="R59" s="479" t="e">
        <f ca="1"/>
        <v>#DIV/0!</v>
      </c>
      <c r="S59" s="479" t="e">
        <f ca="1"/>
        <v>#DIV/0!</v>
      </c>
      <c r="T59" s="479" t="e">
        <f ca="1"/>
        <v>#DIV/0!</v>
      </c>
    </row>
    <row r="60" spans="1:20">
      <c r="A60" s="253">
        <f t="shared" si="2"/>
        <v>2080</v>
      </c>
      <c r="B60" s="253">
        <v>55</v>
      </c>
      <c r="C60" s="479">
        <f ca="1"/>
        <v>0</v>
      </c>
      <c r="D60" s="479">
        <f ca="1"/>
        <v>0</v>
      </c>
      <c r="E60" s="479">
        <f ca="1"/>
        <v>0</v>
      </c>
      <c r="F60" s="479">
        <f ca="1"/>
        <v>0</v>
      </c>
      <c r="G60" s="479">
        <f ca="1"/>
        <v>0</v>
      </c>
      <c r="H60" s="479">
        <f ca="1"/>
        <v>0</v>
      </c>
      <c r="I60" s="479">
        <f ca="1"/>
        <v>0</v>
      </c>
      <c r="J60" s="574">
        <f ca="1"/>
        <v>0</v>
      </c>
      <c r="K60" s="574">
        <f ca="1"/>
        <v>0</v>
      </c>
      <c r="L60" s="574">
        <f t="shared" ca="1" si="1"/>
        <v>0</v>
      </c>
      <c r="M60" s="479">
        <f ca="1"/>
        <v>0</v>
      </c>
      <c r="N60" s="479">
        <f ca="1"/>
        <v>0</v>
      </c>
      <c r="O60" s="479">
        <f ca="1"/>
        <v>0</v>
      </c>
      <c r="P60" s="351"/>
      <c r="Q60" s="479" t="e">
        <f ca="1"/>
        <v>#DIV/0!</v>
      </c>
      <c r="R60" s="479" t="e">
        <f ca="1"/>
        <v>#DIV/0!</v>
      </c>
      <c r="S60" s="479" t="e">
        <f ca="1"/>
        <v>#DIV/0!</v>
      </c>
      <c r="T60" s="479" t="e">
        <f ca="1"/>
        <v>#DIV/0!</v>
      </c>
    </row>
    <row r="61" spans="1:20">
      <c r="A61" s="253">
        <f t="shared" si="2"/>
        <v>2081</v>
      </c>
      <c r="B61" s="253">
        <v>56</v>
      </c>
      <c r="C61" s="479">
        <f ca="1"/>
        <v>0</v>
      </c>
      <c r="D61" s="479">
        <f ca="1"/>
        <v>0</v>
      </c>
      <c r="E61" s="479">
        <f ca="1"/>
        <v>0</v>
      </c>
      <c r="F61" s="479">
        <f ca="1"/>
        <v>0</v>
      </c>
      <c r="G61" s="479">
        <f ca="1"/>
        <v>0</v>
      </c>
      <c r="H61" s="479">
        <f ca="1"/>
        <v>0</v>
      </c>
      <c r="I61" s="479">
        <f ca="1"/>
        <v>0</v>
      </c>
      <c r="J61" s="574">
        <f ca="1"/>
        <v>0</v>
      </c>
      <c r="K61" s="574">
        <f ca="1"/>
        <v>0</v>
      </c>
      <c r="L61" s="574">
        <f t="shared" ca="1" si="1"/>
        <v>0</v>
      </c>
      <c r="M61" s="479">
        <f ca="1"/>
        <v>0</v>
      </c>
      <c r="N61" s="479">
        <f ca="1"/>
        <v>0</v>
      </c>
      <c r="O61" s="479">
        <f ca="1"/>
        <v>0</v>
      </c>
      <c r="P61" s="351"/>
      <c r="Q61" s="479" t="e">
        <f ca="1"/>
        <v>#DIV/0!</v>
      </c>
      <c r="R61" s="479" t="e">
        <f ca="1"/>
        <v>#DIV/0!</v>
      </c>
      <c r="S61" s="479" t="e">
        <f ca="1"/>
        <v>#DIV/0!</v>
      </c>
      <c r="T61" s="479" t="e">
        <f ca="1"/>
        <v>#DIV/0!</v>
      </c>
    </row>
    <row r="62" spans="1:20">
      <c r="A62" s="253">
        <f t="shared" si="2"/>
        <v>2082</v>
      </c>
      <c r="B62" s="253">
        <v>57</v>
      </c>
      <c r="C62" s="479">
        <f ca="1"/>
        <v>0</v>
      </c>
      <c r="D62" s="479">
        <f ca="1"/>
        <v>0</v>
      </c>
      <c r="E62" s="479">
        <f ca="1"/>
        <v>0</v>
      </c>
      <c r="F62" s="479">
        <f ca="1"/>
        <v>0</v>
      </c>
      <c r="G62" s="479">
        <f ca="1"/>
        <v>0</v>
      </c>
      <c r="H62" s="479">
        <f ca="1"/>
        <v>0</v>
      </c>
      <c r="I62" s="479">
        <f ca="1"/>
        <v>0</v>
      </c>
      <c r="J62" s="574">
        <f ca="1"/>
        <v>0</v>
      </c>
      <c r="K62" s="574">
        <f ca="1"/>
        <v>0</v>
      </c>
      <c r="L62" s="574">
        <f t="shared" ca="1" si="1"/>
        <v>0</v>
      </c>
      <c r="M62" s="479">
        <f ca="1"/>
        <v>0</v>
      </c>
      <c r="N62" s="479">
        <f ca="1"/>
        <v>0</v>
      </c>
      <c r="O62" s="479">
        <f ca="1"/>
        <v>0</v>
      </c>
      <c r="P62" s="351"/>
      <c r="Q62" s="479" t="e">
        <f ca="1"/>
        <v>#DIV/0!</v>
      </c>
      <c r="R62" s="479" t="e">
        <f ca="1"/>
        <v>#DIV/0!</v>
      </c>
      <c r="S62" s="479" t="e">
        <f ca="1"/>
        <v>#DIV/0!</v>
      </c>
      <c r="T62" s="479" t="e">
        <f ca="1"/>
        <v>#DIV/0!</v>
      </c>
    </row>
    <row r="63" spans="1:20">
      <c r="A63" s="253">
        <f t="shared" si="2"/>
        <v>2083</v>
      </c>
      <c r="B63" s="253">
        <v>58</v>
      </c>
      <c r="C63" s="479">
        <f ca="1"/>
        <v>0</v>
      </c>
      <c r="D63" s="479">
        <f ca="1"/>
        <v>0</v>
      </c>
      <c r="E63" s="479">
        <f ca="1"/>
        <v>0</v>
      </c>
      <c r="F63" s="479">
        <f ca="1"/>
        <v>0</v>
      </c>
      <c r="G63" s="479">
        <f ca="1"/>
        <v>0</v>
      </c>
      <c r="H63" s="479">
        <f ca="1"/>
        <v>0</v>
      </c>
      <c r="I63" s="479">
        <f ca="1"/>
        <v>0</v>
      </c>
      <c r="J63" s="574">
        <f ca="1"/>
        <v>0</v>
      </c>
      <c r="K63" s="574">
        <f ca="1"/>
        <v>0</v>
      </c>
      <c r="L63" s="574">
        <f t="shared" ca="1" si="1"/>
        <v>0</v>
      </c>
      <c r="M63" s="479">
        <f ca="1"/>
        <v>0</v>
      </c>
      <c r="N63" s="479">
        <f ca="1"/>
        <v>0</v>
      </c>
      <c r="O63" s="479">
        <f ca="1"/>
        <v>0</v>
      </c>
      <c r="P63" s="351"/>
      <c r="Q63" s="479" t="e">
        <f ca="1"/>
        <v>#DIV/0!</v>
      </c>
      <c r="R63" s="479" t="e">
        <f ca="1"/>
        <v>#DIV/0!</v>
      </c>
      <c r="S63" s="479" t="e">
        <f ca="1"/>
        <v>#DIV/0!</v>
      </c>
      <c r="T63" s="479" t="e">
        <f ca="1"/>
        <v>#DIV/0!</v>
      </c>
    </row>
    <row r="64" spans="1:20">
      <c r="A64" s="253">
        <f t="shared" si="2"/>
        <v>2084</v>
      </c>
      <c r="B64" s="253">
        <v>59</v>
      </c>
      <c r="C64" s="479">
        <f ca="1"/>
        <v>0</v>
      </c>
      <c r="D64" s="479">
        <f ca="1"/>
        <v>0</v>
      </c>
      <c r="E64" s="479">
        <f ca="1"/>
        <v>0</v>
      </c>
      <c r="F64" s="479">
        <f ca="1"/>
        <v>0</v>
      </c>
      <c r="G64" s="479">
        <f ca="1"/>
        <v>0</v>
      </c>
      <c r="H64" s="479">
        <f ca="1"/>
        <v>0</v>
      </c>
      <c r="I64" s="479">
        <f ca="1"/>
        <v>0</v>
      </c>
      <c r="J64" s="574">
        <f ca="1"/>
        <v>0</v>
      </c>
      <c r="K64" s="574">
        <f ca="1"/>
        <v>0</v>
      </c>
      <c r="L64" s="574">
        <f t="shared" ca="1" si="1"/>
        <v>0</v>
      </c>
      <c r="M64" s="479">
        <f ca="1"/>
        <v>0</v>
      </c>
      <c r="N64" s="479">
        <f ca="1"/>
        <v>0</v>
      </c>
      <c r="O64" s="479">
        <f ca="1"/>
        <v>0</v>
      </c>
      <c r="P64" s="351"/>
      <c r="Q64" s="479" t="e">
        <f ca="1"/>
        <v>#DIV/0!</v>
      </c>
      <c r="R64" s="479" t="e">
        <f ca="1"/>
        <v>#DIV/0!</v>
      </c>
      <c r="S64" s="479" t="e">
        <f ca="1"/>
        <v>#DIV/0!</v>
      </c>
      <c r="T64" s="479" t="e">
        <f ca="1"/>
        <v>#DIV/0!</v>
      </c>
    </row>
    <row r="65" spans="1:20">
      <c r="A65" s="253">
        <f t="shared" si="2"/>
        <v>2085</v>
      </c>
      <c r="B65" s="253">
        <v>60</v>
      </c>
      <c r="C65" s="479">
        <f ca="1"/>
        <v>0</v>
      </c>
      <c r="D65" s="479">
        <f ca="1"/>
        <v>0</v>
      </c>
      <c r="E65" s="479">
        <f ca="1"/>
        <v>0</v>
      </c>
      <c r="F65" s="479">
        <f ca="1"/>
        <v>0</v>
      </c>
      <c r="G65" s="479">
        <f ca="1"/>
        <v>0</v>
      </c>
      <c r="H65" s="479">
        <f ca="1"/>
        <v>0</v>
      </c>
      <c r="I65" s="479">
        <f ca="1"/>
        <v>0</v>
      </c>
      <c r="J65" s="574">
        <f ca="1"/>
        <v>0</v>
      </c>
      <c r="K65" s="574">
        <f ca="1"/>
        <v>0</v>
      </c>
      <c r="L65" s="574">
        <f t="shared" ca="1" si="1"/>
        <v>0</v>
      </c>
      <c r="M65" s="479">
        <f ca="1"/>
        <v>0</v>
      </c>
      <c r="N65" s="479">
        <f ca="1"/>
        <v>0</v>
      </c>
      <c r="O65" s="479">
        <f ca="1"/>
        <v>0</v>
      </c>
      <c r="P65" s="351"/>
      <c r="Q65" s="479" t="e">
        <f ca="1"/>
        <v>#DIV/0!</v>
      </c>
      <c r="R65" s="479" t="e">
        <f ca="1"/>
        <v>#DIV/0!</v>
      </c>
      <c r="S65" s="479" t="e">
        <f ca="1"/>
        <v>#DIV/0!</v>
      </c>
      <c r="T65" s="479" t="e">
        <f ca="1"/>
        <v>#DIV/0!</v>
      </c>
    </row>
    <row r="66" spans="1:20">
      <c r="A66" s="253">
        <f t="shared" si="2"/>
        <v>2086</v>
      </c>
      <c r="B66" s="253">
        <v>61</v>
      </c>
      <c r="C66" s="479">
        <f ca="1"/>
        <v>0</v>
      </c>
      <c r="D66" s="479">
        <f ca="1"/>
        <v>0</v>
      </c>
      <c r="E66" s="479">
        <f ca="1"/>
        <v>0</v>
      </c>
      <c r="F66" s="479">
        <f ca="1"/>
        <v>0</v>
      </c>
      <c r="G66" s="479">
        <f ca="1"/>
        <v>0</v>
      </c>
      <c r="H66" s="479">
        <f ca="1"/>
        <v>0</v>
      </c>
      <c r="I66" s="479">
        <f ca="1"/>
        <v>0</v>
      </c>
      <c r="J66" s="574">
        <f ca="1"/>
        <v>0</v>
      </c>
      <c r="K66" s="574">
        <f ca="1"/>
        <v>0</v>
      </c>
      <c r="L66" s="574">
        <f t="shared" ca="1" si="1"/>
        <v>0</v>
      </c>
      <c r="M66" s="479">
        <f ca="1"/>
        <v>0</v>
      </c>
      <c r="N66" s="479">
        <f ca="1"/>
        <v>0</v>
      </c>
      <c r="O66" s="479">
        <f ca="1"/>
        <v>0</v>
      </c>
      <c r="P66" s="351"/>
      <c r="Q66" s="479" t="e">
        <f ca="1"/>
        <v>#DIV/0!</v>
      </c>
      <c r="R66" s="479" t="e">
        <f ca="1"/>
        <v>#DIV/0!</v>
      </c>
      <c r="S66" s="479" t="e">
        <f ca="1"/>
        <v>#DIV/0!</v>
      </c>
      <c r="T66" s="479" t="e">
        <f ca="1"/>
        <v>#DIV/0!</v>
      </c>
    </row>
    <row r="67" spans="1:20">
      <c r="A67" s="253">
        <f t="shared" si="2"/>
        <v>2087</v>
      </c>
      <c r="B67" s="253">
        <v>62</v>
      </c>
      <c r="C67" s="479">
        <f ca="1"/>
        <v>0</v>
      </c>
      <c r="D67" s="479">
        <f ca="1"/>
        <v>0</v>
      </c>
      <c r="E67" s="479">
        <f ca="1"/>
        <v>0</v>
      </c>
      <c r="F67" s="479">
        <f ca="1"/>
        <v>0</v>
      </c>
      <c r="G67" s="479">
        <f ca="1"/>
        <v>0</v>
      </c>
      <c r="H67" s="479">
        <f ca="1"/>
        <v>0</v>
      </c>
      <c r="I67" s="479">
        <f ca="1"/>
        <v>0</v>
      </c>
      <c r="J67" s="574">
        <f ca="1"/>
        <v>0</v>
      </c>
      <c r="K67" s="574">
        <f ca="1"/>
        <v>0</v>
      </c>
      <c r="L67" s="574">
        <f t="shared" ca="1" si="1"/>
        <v>0</v>
      </c>
      <c r="M67" s="479">
        <f ca="1"/>
        <v>0</v>
      </c>
      <c r="N67" s="479">
        <f ca="1"/>
        <v>0</v>
      </c>
      <c r="O67" s="479">
        <f ca="1"/>
        <v>0</v>
      </c>
      <c r="P67" s="351"/>
      <c r="Q67" s="479" t="e">
        <f ca="1"/>
        <v>#DIV/0!</v>
      </c>
      <c r="R67" s="479" t="e">
        <f ca="1"/>
        <v>#DIV/0!</v>
      </c>
      <c r="S67" s="479" t="e">
        <f ca="1"/>
        <v>#DIV/0!</v>
      </c>
      <c r="T67" s="479" t="e">
        <f ca="1"/>
        <v>#DIV/0!</v>
      </c>
    </row>
    <row r="68" spans="1:20">
      <c r="A68" s="253">
        <f t="shared" si="2"/>
        <v>2088</v>
      </c>
      <c r="B68" s="253">
        <v>63</v>
      </c>
      <c r="C68" s="479">
        <f ca="1"/>
        <v>0</v>
      </c>
      <c r="D68" s="479">
        <f ca="1"/>
        <v>0</v>
      </c>
      <c r="E68" s="479">
        <f ca="1"/>
        <v>0</v>
      </c>
      <c r="F68" s="479">
        <f ca="1"/>
        <v>0</v>
      </c>
      <c r="G68" s="479">
        <f ca="1"/>
        <v>0</v>
      </c>
      <c r="H68" s="479">
        <f ca="1"/>
        <v>0</v>
      </c>
      <c r="I68" s="479">
        <f ca="1"/>
        <v>0</v>
      </c>
      <c r="J68" s="574">
        <f ca="1"/>
        <v>0</v>
      </c>
      <c r="K68" s="574">
        <f ca="1"/>
        <v>0</v>
      </c>
      <c r="L68" s="574">
        <f t="shared" ca="1" si="1"/>
        <v>0</v>
      </c>
      <c r="M68" s="479">
        <f ca="1"/>
        <v>0</v>
      </c>
      <c r="N68" s="479">
        <f ca="1"/>
        <v>0</v>
      </c>
      <c r="O68" s="479">
        <f ca="1"/>
        <v>0</v>
      </c>
      <c r="P68" s="351"/>
      <c r="Q68" s="479" t="e">
        <f ca="1"/>
        <v>#DIV/0!</v>
      </c>
      <c r="R68" s="479" t="e">
        <f ca="1"/>
        <v>#DIV/0!</v>
      </c>
      <c r="S68" s="479" t="e">
        <f ca="1"/>
        <v>#DIV/0!</v>
      </c>
      <c r="T68" s="479" t="e">
        <f ca="1"/>
        <v>#DIV/0!</v>
      </c>
    </row>
    <row r="69" spans="1:20">
      <c r="A69" s="253">
        <f t="shared" si="2"/>
        <v>2089</v>
      </c>
      <c r="B69" s="253">
        <v>64</v>
      </c>
      <c r="C69" s="479">
        <f ca="1"/>
        <v>0</v>
      </c>
      <c r="D69" s="479">
        <f ca="1"/>
        <v>0</v>
      </c>
      <c r="E69" s="479">
        <f ca="1"/>
        <v>0</v>
      </c>
      <c r="F69" s="479">
        <f ca="1"/>
        <v>0</v>
      </c>
      <c r="G69" s="479">
        <f ca="1"/>
        <v>0</v>
      </c>
      <c r="H69" s="479">
        <f ca="1"/>
        <v>0</v>
      </c>
      <c r="I69" s="479">
        <f ca="1"/>
        <v>0</v>
      </c>
      <c r="J69" s="574">
        <f ca="1"/>
        <v>0</v>
      </c>
      <c r="K69" s="574">
        <f ca="1"/>
        <v>0</v>
      </c>
      <c r="L69" s="574">
        <f t="shared" ca="1" si="1"/>
        <v>0</v>
      </c>
      <c r="M69" s="479">
        <f ca="1"/>
        <v>0</v>
      </c>
      <c r="N69" s="479">
        <f ca="1"/>
        <v>0</v>
      </c>
      <c r="O69" s="479">
        <f ca="1"/>
        <v>0</v>
      </c>
      <c r="P69" s="351"/>
      <c r="Q69" s="479" t="e">
        <f ca="1"/>
        <v>#DIV/0!</v>
      </c>
      <c r="R69" s="479" t="e">
        <f ca="1"/>
        <v>#DIV/0!</v>
      </c>
      <c r="S69" s="479" t="e">
        <f ca="1"/>
        <v>#DIV/0!</v>
      </c>
      <c r="T69" s="479" t="e">
        <f ca="1"/>
        <v>#DIV/0!</v>
      </c>
    </row>
    <row r="70" spans="1:20">
      <c r="A70" s="253">
        <f t="shared" ref="A70:A78" si="3">begin_year+B70-1</f>
        <v>2090</v>
      </c>
      <c r="B70" s="253">
        <v>65</v>
      </c>
      <c r="C70" s="479">
        <f ca="1"/>
        <v>0</v>
      </c>
      <c r="D70" s="479">
        <f ca="1"/>
        <v>0</v>
      </c>
      <c r="E70" s="479">
        <f ca="1"/>
        <v>0</v>
      </c>
      <c r="F70" s="479">
        <f ca="1"/>
        <v>0</v>
      </c>
      <c r="G70" s="479">
        <f ca="1"/>
        <v>0</v>
      </c>
      <c r="H70" s="479">
        <f ca="1"/>
        <v>0</v>
      </c>
      <c r="I70" s="479">
        <f ca="1"/>
        <v>0</v>
      </c>
      <c r="J70" s="574">
        <f ca="1"/>
        <v>0</v>
      </c>
      <c r="K70" s="574">
        <f ca="1"/>
        <v>0</v>
      </c>
      <c r="L70" s="574">
        <f t="shared" ca="1" si="1"/>
        <v>0</v>
      </c>
      <c r="M70" s="479">
        <f ca="1"/>
        <v>0</v>
      </c>
      <c r="N70" s="479">
        <f ca="1"/>
        <v>0</v>
      </c>
      <c r="O70" s="479">
        <f ca="1"/>
        <v>0</v>
      </c>
      <c r="P70" s="351"/>
      <c r="Q70" s="479" t="e">
        <f ca="1"/>
        <v>#DIV/0!</v>
      </c>
      <c r="R70" s="479" t="e">
        <f ca="1"/>
        <v>#DIV/0!</v>
      </c>
      <c r="S70" s="479" t="e">
        <f ca="1"/>
        <v>#DIV/0!</v>
      </c>
      <c r="T70" s="479" t="e">
        <f ca="1"/>
        <v>#DIV/0!</v>
      </c>
    </row>
    <row r="71" spans="1:20">
      <c r="A71" s="253">
        <f t="shared" si="3"/>
        <v>2091</v>
      </c>
      <c r="B71" s="253">
        <v>66</v>
      </c>
      <c r="C71" s="479">
        <f ca="1"/>
        <v>0</v>
      </c>
      <c r="D71" s="479">
        <f ca="1"/>
        <v>0</v>
      </c>
      <c r="E71" s="479">
        <f ca="1"/>
        <v>0</v>
      </c>
      <c r="F71" s="479">
        <f ca="1"/>
        <v>0</v>
      </c>
      <c r="G71" s="479">
        <f ca="1"/>
        <v>0</v>
      </c>
      <c r="H71" s="479">
        <f ca="1"/>
        <v>0</v>
      </c>
      <c r="I71" s="479">
        <f ca="1"/>
        <v>0</v>
      </c>
      <c r="J71" s="574">
        <f ca="1"/>
        <v>0</v>
      </c>
      <c r="K71" s="574">
        <f ca="1"/>
        <v>0</v>
      </c>
      <c r="L71" s="574">
        <f t="shared" ref="L71:L78" ca="1" si="4">M71+J71+K71</f>
        <v>0</v>
      </c>
      <c r="M71" s="479">
        <f ca="1"/>
        <v>0</v>
      </c>
      <c r="N71" s="479">
        <f ca="1"/>
        <v>0</v>
      </c>
      <c r="O71" s="479">
        <f ca="1"/>
        <v>0</v>
      </c>
      <c r="P71" s="351"/>
      <c r="Q71" s="479" t="e">
        <f ca="1"/>
        <v>#DIV/0!</v>
      </c>
      <c r="R71" s="479" t="e">
        <f ca="1"/>
        <v>#DIV/0!</v>
      </c>
      <c r="S71" s="479" t="e">
        <f ca="1"/>
        <v>#DIV/0!</v>
      </c>
      <c r="T71" s="479" t="e">
        <f ca="1"/>
        <v>#DIV/0!</v>
      </c>
    </row>
    <row r="72" spans="1:20">
      <c r="A72" s="253">
        <f t="shared" si="3"/>
        <v>2092</v>
      </c>
      <c r="B72" s="253">
        <v>67</v>
      </c>
      <c r="C72" s="479">
        <f ca="1"/>
        <v>0</v>
      </c>
      <c r="D72" s="479">
        <f ca="1"/>
        <v>0</v>
      </c>
      <c r="E72" s="479">
        <f ca="1"/>
        <v>0</v>
      </c>
      <c r="F72" s="479">
        <f ca="1"/>
        <v>0</v>
      </c>
      <c r="G72" s="479">
        <f ca="1"/>
        <v>0</v>
      </c>
      <c r="H72" s="479">
        <f ca="1"/>
        <v>0</v>
      </c>
      <c r="I72" s="479">
        <f ca="1"/>
        <v>0</v>
      </c>
      <c r="J72" s="574">
        <f ca="1"/>
        <v>0</v>
      </c>
      <c r="K72" s="574">
        <f ca="1"/>
        <v>0</v>
      </c>
      <c r="L72" s="574">
        <f t="shared" ca="1" si="4"/>
        <v>0</v>
      </c>
      <c r="M72" s="479">
        <f ca="1"/>
        <v>0</v>
      </c>
      <c r="N72" s="479">
        <f ca="1"/>
        <v>0</v>
      </c>
      <c r="O72" s="479">
        <f ca="1"/>
        <v>0</v>
      </c>
      <c r="P72" s="351"/>
      <c r="Q72" s="479" t="e">
        <f ca="1"/>
        <v>#DIV/0!</v>
      </c>
      <c r="R72" s="479" t="e">
        <f ca="1"/>
        <v>#DIV/0!</v>
      </c>
      <c r="S72" s="479" t="e">
        <f ca="1"/>
        <v>#DIV/0!</v>
      </c>
      <c r="T72" s="479" t="e">
        <f ca="1"/>
        <v>#DIV/0!</v>
      </c>
    </row>
    <row r="73" spans="1:20">
      <c r="A73" s="253">
        <f t="shared" si="3"/>
        <v>2093</v>
      </c>
      <c r="B73" s="253">
        <v>68</v>
      </c>
      <c r="C73" s="479">
        <f ca="1"/>
        <v>0</v>
      </c>
      <c r="D73" s="479">
        <f ca="1"/>
        <v>0</v>
      </c>
      <c r="E73" s="479">
        <f ca="1"/>
        <v>0</v>
      </c>
      <c r="F73" s="479">
        <f ca="1"/>
        <v>0</v>
      </c>
      <c r="G73" s="479">
        <f ca="1"/>
        <v>0</v>
      </c>
      <c r="H73" s="479">
        <f ca="1"/>
        <v>0</v>
      </c>
      <c r="I73" s="479">
        <f ca="1"/>
        <v>0</v>
      </c>
      <c r="J73" s="574">
        <f ca="1"/>
        <v>0</v>
      </c>
      <c r="K73" s="574">
        <f ca="1"/>
        <v>0</v>
      </c>
      <c r="L73" s="574">
        <f t="shared" ca="1" si="4"/>
        <v>0</v>
      </c>
      <c r="M73" s="479">
        <f ca="1"/>
        <v>0</v>
      </c>
      <c r="N73" s="479">
        <f ca="1"/>
        <v>0</v>
      </c>
      <c r="O73" s="479">
        <f ca="1"/>
        <v>0</v>
      </c>
      <c r="P73" s="351"/>
      <c r="Q73" s="479" t="e">
        <f ca="1"/>
        <v>#DIV/0!</v>
      </c>
      <c r="R73" s="479" t="e">
        <f ca="1"/>
        <v>#DIV/0!</v>
      </c>
      <c r="S73" s="479" t="e">
        <f ca="1"/>
        <v>#DIV/0!</v>
      </c>
      <c r="T73" s="479" t="e">
        <f ca="1"/>
        <v>#DIV/0!</v>
      </c>
    </row>
    <row r="74" spans="1:20">
      <c r="A74" s="253">
        <f t="shared" si="3"/>
        <v>2094</v>
      </c>
      <c r="B74" s="253">
        <v>69</v>
      </c>
      <c r="C74" s="479">
        <f ca="1"/>
        <v>0</v>
      </c>
      <c r="D74" s="479">
        <f ca="1"/>
        <v>0</v>
      </c>
      <c r="E74" s="479">
        <f ca="1"/>
        <v>0</v>
      </c>
      <c r="F74" s="479">
        <f ca="1"/>
        <v>0</v>
      </c>
      <c r="G74" s="479">
        <f ca="1"/>
        <v>0</v>
      </c>
      <c r="H74" s="479">
        <f ca="1"/>
        <v>0</v>
      </c>
      <c r="I74" s="479">
        <f ca="1"/>
        <v>0</v>
      </c>
      <c r="J74" s="574">
        <f ca="1"/>
        <v>0</v>
      </c>
      <c r="K74" s="574">
        <f ca="1"/>
        <v>0</v>
      </c>
      <c r="L74" s="574">
        <f t="shared" ca="1" si="4"/>
        <v>0</v>
      </c>
      <c r="M74" s="479">
        <f ca="1"/>
        <v>0</v>
      </c>
      <c r="N74" s="479">
        <f ca="1"/>
        <v>0</v>
      </c>
      <c r="O74" s="479">
        <f ca="1"/>
        <v>0</v>
      </c>
      <c r="P74" s="351"/>
      <c r="Q74" s="479">
        <f ca="1"/>
        <v>0</v>
      </c>
      <c r="R74" s="479" t="e">
        <f ca="1"/>
        <v>#VALUE!</v>
      </c>
      <c r="S74" s="479" t="e">
        <f ca="1"/>
        <v>#VALUE!</v>
      </c>
      <c r="T74" s="479" t="e">
        <f ca="1"/>
        <v>#VALUE!</v>
      </c>
    </row>
    <row r="75" spans="1:20">
      <c r="A75" s="253">
        <f t="shared" si="3"/>
        <v>2095</v>
      </c>
      <c r="B75" s="253">
        <v>70</v>
      </c>
      <c r="C75" s="479">
        <f ca="1"/>
        <v>0</v>
      </c>
      <c r="D75" s="479">
        <f ca="1"/>
        <v>0</v>
      </c>
      <c r="E75" s="479">
        <f ca="1"/>
        <v>0</v>
      </c>
      <c r="F75" s="479">
        <f ca="1"/>
        <v>0</v>
      </c>
      <c r="G75" s="479">
        <f ca="1"/>
        <v>0</v>
      </c>
      <c r="H75" s="479">
        <f ca="1"/>
        <v>0</v>
      </c>
      <c r="I75" s="479">
        <f ca="1"/>
        <v>0</v>
      </c>
      <c r="J75" s="574">
        <f ca="1"/>
        <v>0</v>
      </c>
      <c r="K75" s="574">
        <f ca="1"/>
        <v>0</v>
      </c>
      <c r="L75" s="574">
        <f t="shared" ca="1" si="4"/>
        <v>0</v>
      </c>
      <c r="M75" s="479">
        <f ca="1"/>
        <v>0</v>
      </c>
      <c r="N75" s="479">
        <f ca="1"/>
        <v>0</v>
      </c>
      <c r="O75" s="479">
        <f ca="1"/>
        <v>0</v>
      </c>
      <c r="P75" s="351"/>
      <c r="Q75" s="479">
        <f ca="1"/>
        <v>0</v>
      </c>
      <c r="R75" s="479" t="e">
        <f ca="1"/>
        <v>#VALUE!</v>
      </c>
      <c r="S75" s="479" t="e">
        <f ca="1"/>
        <v>#VALUE!</v>
      </c>
      <c r="T75" s="479" t="e">
        <f ca="1"/>
        <v>#VALUE!</v>
      </c>
    </row>
    <row r="76" spans="1:20">
      <c r="A76" s="253">
        <f t="shared" si="3"/>
        <v>2096</v>
      </c>
      <c r="B76" s="253">
        <v>71</v>
      </c>
      <c r="C76" s="479">
        <f ca="1"/>
        <v>0</v>
      </c>
      <c r="D76" s="479">
        <f ca="1"/>
        <v>0</v>
      </c>
      <c r="E76" s="479">
        <f ca="1"/>
        <v>0</v>
      </c>
      <c r="F76" s="479">
        <f ca="1"/>
        <v>0</v>
      </c>
      <c r="G76" s="479">
        <f ca="1"/>
        <v>0</v>
      </c>
      <c r="H76" s="479">
        <f ca="1"/>
        <v>0</v>
      </c>
      <c r="I76" s="479">
        <f ca="1"/>
        <v>0</v>
      </c>
      <c r="J76" s="574">
        <f ca="1"/>
        <v>0</v>
      </c>
      <c r="K76" s="574">
        <f ca="1"/>
        <v>0</v>
      </c>
      <c r="L76" s="574">
        <f t="shared" ca="1" si="4"/>
        <v>0</v>
      </c>
      <c r="M76" s="479">
        <f ca="1"/>
        <v>0</v>
      </c>
      <c r="N76" s="479">
        <f ca="1"/>
        <v>0</v>
      </c>
      <c r="O76" s="479">
        <f ca="1"/>
        <v>0</v>
      </c>
      <c r="P76" s="351"/>
      <c r="Q76" s="479">
        <f ca="1"/>
        <v>0</v>
      </c>
      <c r="R76" s="479">
        <f ca="1"/>
        <v>0</v>
      </c>
      <c r="S76" s="479">
        <f ca="1"/>
        <v>0</v>
      </c>
      <c r="T76" s="479">
        <f ca="1"/>
        <v>0</v>
      </c>
    </row>
    <row r="77" spans="1:20">
      <c r="A77" s="253">
        <f t="shared" si="3"/>
        <v>2097</v>
      </c>
      <c r="B77" s="253">
        <v>72</v>
      </c>
      <c r="C77" s="479">
        <f ca="1"/>
        <v>0</v>
      </c>
      <c r="D77" s="479">
        <f ca="1"/>
        <v>0</v>
      </c>
      <c r="E77" s="479">
        <f ca="1"/>
        <v>0</v>
      </c>
      <c r="F77" s="479">
        <f ca="1"/>
        <v>0</v>
      </c>
      <c r="G77" s="479">
        <f ca="1"/>
        <v>0</v>
      </c>
      <c r="H77" s="479">
        <f ca="1"/>
        <v>0</v>
      </c>
      <c r="I77" s="479">
        <f ca="1"/>
        <v>0</v>
      </c>
      <c r="J77" s="574">
        <f ca="1"/>
        <v>0</v>
      </c>
      <c r="K77" s="574">
        <f ca="1"/>
        <v>0</v>
      </c>
      <c r="L77" s="574">
        <f t="shared" ca="1" si="4"/>
        <v>0</v>
      </c>
      <c r="M77" s="479">
        <f ca="1"/>
        <v>0</v>
      </c>
      <c r="N77" s="479">
        <f ca="1"/>
        <v>0</v>
      </c>
      <c r="O77" s="479">
        <f ca="1"/>
        <v>0</v>
      </c>
      <c r="P77" s="351"/>
      <c r="Q77" s="479">
        <f ca="1"/>
        <v>0</v>
      </c>
      <c r="R77" s="479" t="e">
        <f ca="1"/>
        <v>#VALUE!</v>
      </c>
      <c r="S77" s="479" t="e">
        <f ca="1"/>
        <v>#VALUE!</v>
      </c>
      <c r="T77" s="479" t="e">
        <f ca="1"/>
        <v>#VALUE!</v>
      </c>
    </row>
    <row r="78" spans="1:20">
      <c r="A78" s="253">
        <f t="shared" si="3"/>
        <v>2098</v>
      </c>
      <c r="B78" s="253">
        <v>73</v>
      </c>
      <c r="C78" s="479">
        <f ca="1"/>
        <v>0</v>
      </c>
      <c r="D78" s="479">
        <f ca="1"/>
        <v>0</v>
      </c>
      <c r="E78" s="479">
        <f ca="1"/>
        <v>0</v>
      </c>
      <c r="F78" s="479">
        <f ca="1"/>
        <v>0</v>
      </c>
      <c r="G78" s="479">
        <f ca="1"/>
        <v>0</v>
      </c>
      <c r="H78" s="479">
        <f ca="1"/>
        <v>0</v>
      </c>
      <c r="I78" s="479">
        <f ca="1"/>
        <v>0</v>
      </c>
      <c r="J78" s="574">
        <f ca="1"/>
        <v>0</v>
      </c>
      <c r="K78" s="574">
        <f ca="1"/>
        <v>0</v>
      </c>
      <c r="L78" s="574">
        <f t="shared" ca="1" si="4"/>
        <v>0</v>
      </c>
      <c r="M78" s="479">
        <f ca="1"/>
        <v>0</v>
      </c>
      <c r="N78" s="479">
        <f ca="1"/>
        <v>0</v>
      </c>
      <c r="O78" s="479">
        <f ca="1"/>
        <v>0</v>
      </c>
      <c r="P78" s="351"/>
      <c r="Q78" s="479">
        <f ca="1"/>
        <v>0</v>
      </c>
      <c r="R78" s="479" t="e">
        <f ca="1"/>
        <v>#VALUE!</v>
      </c>
      <c r="S78" s="479" t="e">
        <f ca="1"/>
        <v>#VALUE!</v>
      </c>
      <c r="T78" s="479" t="e">
        <f ca="1"/>
        <v>#VALUE!</v>
      </c>
    </row>
    <row r="79" spans="1:20">
      <c r="Q79"/>
    </row>
  </sheetData>
  <phoneticPr fontId="29" type="noConversion"/>
  <pageMargins left="0.75" right="0.75" top="1" bottom="1" header="0.5" footer="0.5"/>
  <pageSetup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3:D21"/>
  <sheetViews>
    <sheetView topLeftCell="A19" workbookViewId="0">
      <selection activeCell="E18" sqref="E18"/>
    </sheetView>
  </sheetViews>
  <sheetFormatPr defaultRowHeight="12.75"/>
  <cols>
    <col min="1" max="1" width="20.5703125" customWidth="1"/>
    <col min="2" max="2" width="18.42578125" customWidth="1"/>
    <col min="3" max="3" width="15.28515625" customWidth="1"/>
    <col min="4" max="6" width="17.7109375" customWidth="1"/>
  </cols>
  <sheetData>
    <row r="3" spans="1:4" ht="31.5" customHeight="1">
      <c r="A3" s="831" t="s">
        <v>900</v>
      </c>
      <c r="B3" s="831"/>
      <c r="C3" s="831"/>
      <c r="D3" s="831"/>
    </row>
    <row r="4" spans="1:4" ht="30">
      <c r="A4" s="580" t="s">
        <v>144</v>
      </c>
      <c r="B4" s="580" t="s">
        <v>901</v>
      </c>
      <c r="C4" s="580" t="s">
        <v>902</v>
      </c>
      <c r="D4" s="580" t="s">
        <v>903</v>
      </c>
    </row>
    <row r="5" spans="1:4" ht="15">
      <c r="A5" s="578" t="s">
        <v>904</v>
      </c>
      <c r="B5" s="579">
        <v>6800</v>
      </c>
      <c r="C5" s="579">
        <v>626.29708004999998</v>
      </c>
      <c r="D5" s="581">
        <f>C5/B5</f>
        <v>9.2102511772058818E-2</v>
      </c>
    </row>
    <row r="6" spans="1:4" ht="15">
      <c r="A6" s="576" t="s">
        <v>905</v>
      </c>
      <c r="B6" s="577">
        <v>2729689</v>
      </c>
      <c r="C6" s="577">
        <v>355223.24560441996</v>
      </c>
      <c r="D6" s="581">
        <f>C6/B6</f>
        <v>0.13013322968456112</v>
      </c>
    </row>
    <row r="7" spans="1:4" ht="15">
      <c r="A7" s="576" t="s">
        <v>906</v>
      </c>
      <c r="B7" s="577">
        <v>172395</v>
      </c>
      <c r="C7" s="577">
        <v>2344.0026097500004</v>
      </c>
      <c r="D7" s="581">
        <f>C7/B7</f>
        <v>1.3596697176542246E-2</v>
      </c>
    </row>
    <row r="8" spans="1:4" ht="15">
      <c r="A8" s="576" t="s">
        <v>364</v>
      </c>
      <c r="B8" s="577">
        <v>185919</v>
      </c>
      <c r="C8" s="577">
        <v>1751.4540298299999</v>
      </c>
      <c r="D8" s="581">
        <f>C8/B8</f>
        <v>9.4205220006024128E-3</v>
      </c>
    </row>
    <row r="9" spans="1:4" ht="150.6" customHeight="1">
      <c r="A9" s="832" t="s">
        <v>907</v>
      </c>
      <c r="B9" s="833"/>
      <c r="C9" s="833"/>
      <c r="D9" s="834"/>
    </row>
    <row r="12" spans="1:4" ht="18">
      <c r="A12" s="831" t="s">
        <v>908</v>
      </c>
      <c r="B12" s="831"/>
      <c r="C12" s="831">
        <v>0</v>
      </c>
      <c r="D12" s="831"/>
    </row>
    <row r="13" spans="1:4" ht="30">
      <c r="A13" s="580" t="s">
        <v>144</v>
      </c>
      <c r="B13" s="580" t="s">
        <v>909</v>
      </c>
      <c r="C13" s="580" t="s">
        <v>910</v>
      </c>
      <c r="D13" s="580" t="s">
        <v>903</v>
      </c>
    </row>
    <row r="14" spans="1:4" ht="15">
      <c r="A14" s="576" t="s">
        <v>904</v>
      </c>
      <c r="B14" s="577">
        <v>1308219</v>
      </c>
      <c r="C14" s="577">
        <v>61616.893860120006</v>
      </c>
      <c r="D14" s="581">
        <f>C14/B14</f>
        <v>4.7099831037555641E-2</v>
      </c>
    </row>
    <row r="15" spans="1:4" ht="15">
      <c r="A15" s="578" t="s">
        <v>905</v>
      </c>
      <c r="B15" s="579">
        <v>3327331</v>
      </c>
      <c r="C15" s="579">
        <v>1326315.5448537802</v>
      </c>
      <c r="D15" s="584">
        <f>C15/B15</f>
        <v>0.39861244488563963</v>
      </c>
    </row>
    <row r="16" spans="1:4" ht="15">
      <c r="A16" s="576" t="s">
        <v>906</v>
      </c>
      <c r="B16" s="577">
        <v>1118787.9027468499</v>
      </c>
      <c r="C16" s="577">
        <v>87113.301113940019</v>
      </c>
      <c r="D16" s="581">
        <f>C16/B16</f>
        <v>7.7863999869912159E-2</v>
      </c>
    </row>
    <row r="17" spans="1:4" ht="15">
      <c r="A17" s="576" t="s">
        <v>364</v>
      </c>
      <c r="B17" s="577">
        <v>28294.097253150074</v>
      </c>
      <c r="C17" s="577">
        <v>3746.839392840001</v>
      </c>
      <c r="D17" s="581">
        <f>C17/B17</f>
        <v>0.13242477253529808</v>
      </c>
    </row>
    <row r="18" spans="1:4" ht="138.6" customHeight="1">
      <c r="A18" s="837" t="s">
        <v>911</v>
      </c>
      <c r="B18" s="837"/>
      <c r="C18" s="837"/>
      <c r="D18" s="837"/>
    </row>
    <row r="21" spans="1:4" ht="39" customHeight="1">
      <c r="A21" s="835"/>
      <c r="B21" s="836"/>
      <c r="C21" s="836"/>
      <c r="D21" s="836"/>
    </row>
  </sheetData>
  <mergeCells count="5">
    <mergeCell ref="A3:D3"/>
    <mergeCell ref="A12:D12"/>
    <mergeCell ref="A9:D9"/>
    <mergeCell ref="A21:D21"/>
    <mergeCell ref="A18:D18"/>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BD79"/>
  <sheetViews>
    <sheetView workbookViewId="0">
      <pane xSplit="1" ySplit="5" topLeftCell="B6" activePane="bottomRight" state="frozen"/>
      <selection pane="topRight" activeCell="B1" sqref="B1"/>
      <selection pane="bottomLeft" activeCell="A5" sqref="A5"/>
      <selection pane="bottomRight" activeCell="BB21" sqref="BB21"/>
    </sheetView>
  </sheetViews>
  <sheetFormatPr defaultRowHeight="12.75"/>
  <cols>
    <col min="1" max="2" width="17.28515625" customWidth="1"/>
    <col min="8" max="8" width="13.7109375" bestFit="1" customWidth="1"/>
    <col min="10" max="11" width="11" customWidth="1"/>
    <col min="12" max="12" width="10.28515625" customWidth="1"/>
    <col min="13" max="27" width="11.28515625" customWidth="1"/>
    <col min="28" max="28" width="9.5703125" bestFit="1" customWidth="1"/>
    <col min="37" max="40" width="11" customWidth="1"/>
  </cols>
  <sheetData>
    <row r="1" spans="1:56" ht="15.75" thickBot="1">
      <c r="A1" s="701" t="s">
        <v>27</v>
      </c>
      <c r="B1" s="809"/>
      <c r="C1" s="809"/>
    </row>
    <row r="2" spans="1:56">
      <c r="AD2">
        <v>1</v>
      </c>
      <c r="AE2">
        <v>2</v>
      </c>
      <c r="AF2">
        <v>3</v>
      </c>
      <c r="AG2">
        <v>4</v>
      </c>
      <c r="AH2">
        <v>5</v>
      </c>
      <c r="AI2">
        <v>6</v>
      </c>
      <c r="AJ2">
        <v>7</v>
      </c>
      <c r="AK2">
        <v>8</v>
      </c>
      <c r="AL2">
        <v>9</v>
      </c>
      <c r="AM2">
        <v>10</v>
      </c>
      <c r="AN2">
        <v>11</v>
      </c>
      <c r="AO2">
        <v>12</v>
      </c>
      <c r="AP2">
        <v>13</v>
      </c>
      <c r="AQ2">
        <v>14</v>
      </c>
      <c r="AR2">
        <v>15</v>
      </c>
      <c r="AS2">
        <v>16</v>
      </c>
      <c r="AT2">
        <v>17</v>
      </c>
      <c r="AU2">
        <v>18</v>
      </c>
      <c r="AV2">
        <v>19</v>
      </c>
      <c r="AW2">
        <v>20</v>
      </c>
      <c r="AX2">
        <v>21</v>
      </c>
      <c r="AY2">
        <v>22</v>
      </c>
      <c r="AZ2">
        <v>23</v>
      </c>
      <c r="BA2">
        <v>24</v>
      </c>
      <c r="BB2">
        <v>25</v>
      </c>
      <c r="BC2">
        <v>26</v>
      </c>
    </row>
    <row r="3" spans="1:56" ht="30" customHeight="1">
      <c r="C3" s="840" t="s">
        <v>490</v>
      </c>
      <c r="D3" s="840"/>
      <c r="E3" s="840"/>
      <c r="F3" s="841"/>
      <c r="G3" s="842" t="s">
        <v>491</v>
      </c>
      <c r="H3" s="840"/>
      <c r="I3" s="841"/>
      <c r="J3" s="794" t="s">
        <v>492</v>
      </c>
      <c r="K3" s="795"/>
      <c r="L3" s="795"/>
      <c r="M3" s="796"/>
      <c r="N3" s="794" t="s">
        <v>493</v>
      </c>
      <c r="O3" s="795"/>
      <c r="P3" s="795"/>
      <c r="Q3" s="795"/>
      <c r="R3" s="795"/>
      <c r="S3" s="795"/>
      <c r="T3" s="795"/>
      <c r="U3" s="795"/>
      <c r="V3" s="795"/>
      <c r="W3" s="795"/>
      <c r="X3" s="795"/>
      <c r="Y3" s="795"/>
      <c r="Z3" s="795"/>
      <c r="AA3" s="795"/>
      <c r="AB3" s="695"/>
      <c r="AC3" s="775" t="s">
        <v>485</v>
      </c>
      <c r="AD3" s="840" t="s">
        <v>490</v>
      </c>
      <c r="AE3" s="840"/>
      <c r="AF3" s="840"/>
      <c r="AG3" s="841"/>
      <c r="AH3" s="842" t="s">
        <v>491</v>
      </c>
      <c r="AI3" s="840"/>
      <c r="AJ3" s="841"/>
      <c r="AK3" s="794" t="s">
        <v>492</v>
      </c>
      <c r="AL3" s="795"/>
      <c r="AM3" s="795"/>
      <c r="AN3" s="796"/>
      <c r="AO3" s="794" t="s">
        <v>493</v>
      </c>
      <c r="AP3" s="795"/>
      <c r="AQ3" s="795"/>
      <c r="AR3" s="795"/>
      <c r="AS3" s="795"/>
      <c r="AT3" s="795"/>
      <c r="AU3" s="795"/>
      <c r="AV3" s="795"/>
      <c r="AW3" s="795"/>
      <c r="AX3" s="795"/>
      <c r="AY3" s="795"/>
      <c r="AZ3" s="795"/>
      <c r="BA3" s="795"/>
      <c r="BB3" s="795"/>
      <c r="BC3" s="695"/>
    </row>
    <row r="4" spans="1:56" ht="15">
      <c r="C4" s="74"/>
      <c r="D4" s="187"/>
      <c r="E4" s="187"/>
      <c r="F4" s="188"/>
      <c r="G4" s="186"/>
      <c r="H4" s="187"/>
      <c r="I4" s="188"/>
      <c r="J4" s="186"/>
      <c r="K4" s="187"/>
      <c r="L4" s="187"/>
      <c r="M4" s="190"/>
      <c r="N4" s="838"/>
      <c r="O4" s="839"/>
      <c r="P4" s="839"/>
      <c r="Q4" s="839"/>
      <c r="R4" s="839"/>
      <c r="S4" s="839"/>
      <c r="T4" s="839"/>
      <c r="U4" s="839"/>
      <c r="V4" s="839"/>
      <c r="W4" s="839"/>
      <c r="X4" s="839"/>
      <c r="Y4" s="839"/>
      <c r="Z4" s="839"/>
      <c r="AA4" s="839"/>
      <c r="AB4" s="697"/>
      <c r="AC4" s="775"/>
      <c r="AD4" s="74"/>
      <c r="AE4" s="187"/>
      <c r="AF4" s="187"/>
      <c r="AG4" s="188"/>
      <c r="AH4" s="186"/>
      <c r="AI4" s="187"/>
      <c r="AJ4" s="188"/>
      <c r="AK4" s="186"/>
      <c r="AL4" s="187"/>
      <c r="AM4" s="187"/>
      <c r="AN4" s="190"/>
      <c r="AO4" s="838"/>
      <c r="AP4" s="839"/>
      <c r="AQ4" s="839"/>
      <c r="AR4" s="839"/>
      <c r="AS4" s="839"/>
      <c r="AT4" s="839"/>
      <c r="AU4" s="839"/>
      <c r="AV4" s="839"/>
      <c r="AW4" s="839"/>
      <c r="AX4" s="839"/>
      <c r="AY4" s="839"/>
      <c r="AZ4" s="839"/>
      <c r="BA4" s="839"/>
      <c r="BB4" s="839"/>
      <c r="BC4" s="697"/>
    </row>
    <row r="5" spans="1:56" ht="45.75" thickBot="1">
      <c r="A5" s="95" t="s">
        <v>268</v>
      </c>
      <c r="B5" s="585" t="s">
        <v>912</v>
      </c>
      <c r="C5" s="654" t="s">
        <v>158</v>
      </c>
      <c r="D5" s="650" t="s">
        <v>166</v>
      </c>
      <c r="E5" s="650" t="s">
        <v>171</v>
      </c>
      <c r="F5" s="132" t="s">
        <v>173</v>
      </c>
      <c r="G5" s="654" t="s">
        <v>180</v>
      </c>
      <c r="H5" s="650" t="s">
        <v>186</v>
      </c>
      <c r="I5" s="132" t="s">
        <v>191</v>
      </c>
      <c r="J5" s="654" t="s">
        <v>197</v>
      </c>
      <c r="K5" s="650" t="s">
        <v>199</v>
      </c>
      <c r="L5" s="650" t="s">
        <v>201</v>
      </c>
      <c r="M5" s="653" t="s">
        <v>494</v>
      </c>
      <c r="N5" s="587" t="s">
        <v>208</v>
      </c>
      <c r="O5" s="661" t="s">
        <v>211</v>
      </c>
      <c r="P5" s="661" t="s">
        <v>213</v>
      </c>
      <c r="Q5" s="661" t="s">
        <v>215</v>
      </c>
      <c r="R5" s="661" t="s">
        <v>219</v>
      </c>
      <c r="S5" s="661" t="s">
        <v>222</v>
      </c>
      <c r="T5" s="661" t="s">
        <v>224</v>
      </c>
      <c r="U5" s="661" t="s">
        <v>228</v>
      </c>
      <c r="V5" s="661" t="s">
        <v>231</v>
      </c>
      <c r="W5" s="661" t="s">
        <v>232</v>
      </c>
      <c r="X5" s="661" t="s">
        <v>235</v>
      </c>
      <c r="Y5" s="661" t="s">
        <v>237</v>
      </c>
      <c r="Z5" s="661" t="s">
        <v>239</v>
      </c>
      <c r="AA5" s="661" t="s">
        <v>242</v>
      </c>
      <c r="AB5" s="661" t="s">
        <v>245</v>
      </c>
      <c r="AC5" s="775"/>
      <c r="AD5" s="654" t="s">
        <v>158</v>
      </c>
      <c r="AE5" s="650" t="s">
        <v>166</v>
      </c>
      <c r="AF5" s="650" t="s">
        <v>171</v>
      </c>
      <c r="AG5" s="132" t="s">
        <v>173</v>
      </c>
      <c r="AH5" s="654" t="s">
        <v>180</v>
      </c>
      <c r="AI5" s="650" t="s">
        <v>186</v>
      </c>
      <c r="AJ5" s="132" t="s">
        <v>191</v>
      </c>
      <c r="AK5" s="654" t="s">
        <v>197</v>
      </c>
      <c r="AL5" s="650" t="s">
        <v>199</v>
      </c>
      <c r="AM5" s="650" t="s">
        <v>201</v>
      </c>
      <c r="AN5" s="132" t="s">
        <v>494</v>
      </c>
      <c r="AO5" s="587" t="s">
        <v>208</v>
      </c>
      <c r="AP5" s="661" t="s">
        <v>211</v>
      </c>
      <c r="AQ5" s="661" t="s">
        <v>213</v>
      </c>
      <c r="AR5" s="661" t="s">
        <v>215</v>
      </c>
      <c r="AS5" s="661" t="s">
        <v>219</v>
      </c>
      <c r="AT5" s="661" t="s">
        <v>222</v>
      </c>
      <c r="AU5" s="661" t="s">
        <v>224</v>
      </c>
      <c r="AV5" s="661" t="s">
        <v>228</v>
      </c>
      <c r="AW5" s="661" t="s">
        <v>231</v>
      </c>
      <c r="AX5" s="661" t="s">
        <v>232</v>
      </c>
      <c r="AY5" s="661" t="s">
        <v>235</v>
      </c>
      <c r="AZ5" s="661" t="s">
        <v>237</v>
      </c>
      <c r="BA5" s="661" t="s">
        <v>239</v>
      </c>
      <c r="BB5" s="661" t="s">
        <v>242</v>
      </c>
      <c r="BC5" s="661" t="s">
        <v>245</v>
      </c>
    </row>
    <row r="6" spans="1:56" ht="15.75" thickTop="1">
      <c r="A6" s="22">
        <f>begin_year+B6-1</f>
        <v>2026</v>
      </c>
      <c r="B6" s="586">
        <v>1</v>
      </c>
      <c r="C6" s="583">
        <f t="array" aca="1" ref="C6:C78" ca="1">IF(B6:B78&lt;=length_year,IF(SUM(sim_sup_oil_ocs)=0,(OFFSET(sim_sup_gas_ocs_atn,begin_year-'Consumer surplus'!$C$10,0)*atlantic_crude_exp_propensity),(OFFSET(sim_sup_oil_ocs_atn,begin_year-'Consumer surplus'!$C$10,0)*atlantic_crude_exp_propensity)),0)</f>
        <v>0</v>
      </c>
      <c r="D6" s="583">
        <f t="array" aca="1" ref="D6:D78" ca="1">IF(B6:B78&lt;=length_year,IF(SUM(sim_sup_oil_ocs)=0,(OFFSET(sim_sup_gas_ocs_atm,begin_year-'Consumer surplus'!$C$10,0)*atlantic_crude_exp_propensity),(OFFSET(sim_sup_oil_ocs_atm,begin_year-'Consumer surplus'!$C$10,0)*atlantic_crude_exp_propensity)),0)</f>
        <v>0</v>
      </c>
      <c r="E6" s="583">
        <f t="array" aca="1" ref="E6:E78" ca="1">IF(B6:B78&lt;=length_year,IF(SUM(sim_sup_oil_ocs)=0,(OFFSET(sim_sup_gas_ocs_ats,begin_year-'Consumer surplus'!$C$10,0)*atlantic_crude_exp_propensity),(OFFSET(sim_sup_oil_ocs_ats,begin_year-'Consumer surplus'!$C$10,0)*atlantic_crude_exp_propensity)),0)</f>
        <v>0</v>
      </c>
      <c r="F6" s="583">
        <f t="array" aca="1" ref="F6:F78" ca="1">IF(B6:B78&lt;=length_year,IF(SUM(sim_sup_oil_ocs)=0,(OFFSET(sim_sup_gas_ocs_atf,begin_year-'Consumer surplus'!$C$10,0)*atlantic_crude_exp_propensity),(OFFSET(sim_sup_oil_ocs_atf,begin_year-'Consumer surplus'!$C$10,0)*atlantic_crude_exp_propensity)),0)</f>
        <v>0</v>
      </c>
      <c r="G6" s="583">
        <f t="array" aca="1" ref="G6:G78" ca="1">IF(B6:B78&lt;=length_year,IF(SUM(sim_sup_oil_ocs)=0,(OFFSET(sim_sup_gas_ocs_gme,begin_year-'Consumer surplus'!$C$10,0)*gom_crude_exp_propensity),(OFFSET(sim_sup_oil_ocs_gme,begin_year-'Consumer surplus'!$C$10,0)*gom_crude_exp_propensity)),0)</f>
        <v>0</v>
      </c>
      <c r="H6" s="583">
        <f t="array" aca="1" ref="H6:H78" ca="1">IF(B6:B78&lt;=length_year,IF(SUM(sim_sup_oil_ocs)=0,(OFFSET(sim_sup_gas_ocs_gmc,begin_year-'Consumer surplus'!$C$10,0)*gom_crude_exp_propensity),(OFFSET(sim_sup_oil_ocs_gmc,begin_year-'Consumer surplus'!$C$10,0)*gom_crude_exp_propensity)),0)</f>
        <v>0</v>
      </c>
      <c r="I6" s="583">
        <f t="array" aca="1" ref="I6:I78" ca="1">IF(B6:B78&lt;=length_year,IF(SUM(sim_sup_oil_ocs)=0,(OFFSET(sim_sup_gas_ocs_gmw,begin_year-'Consumer surplus'!$C$10,0)*gom_crude_exp_propensity),(OFFSET(sim_sup_oil_ocs_gmw,begin_year-'Consumer surplus'!$C$10,0)*gom_crude_exp_propensity)),0)</f>
        <v>0</v>
      </c>
      <c r="J6">
        <f t="array" aca="1" ref="J6:J78" ca="1">IF(B6:B78&lt;=length_year,IF(SUM(sim_sup_oil_ocs)=0,(OFFSET(sim_sup_gas_ocs_pas,begin_year-'Consumer surplus'!$C$10,0)*pacific_crude_exp_propensity),(OFFSET(sim_sup_oil_ocs_pas,begin_year-'Consumer surplus'!$C$10,0)*pacific_crude_exp_propensity)),0)</f>
        <v>0</v>
      </c>
      <c r="K6">
        <f t="array" aca="1" ref="K6:K78" ca="1">IF(B6:B78&lt;=length_year,IF(SUM(sim_sup_oil_ocs)=0,(OFFSET(sim_sup_gas_ocs_pac,begin_year-'Consumer surplus'!$C$10,0)*pacific_crude_exp_propensity),(OFFSET(sim_sup_oil_ocs_pac,begin_year-'Consumer surplus'!$C$10,0)*pacific_crude_exp_propensity)),0)</f>
        <v>0</v>
      </c>
      <c r="L6">
        <f t="array" aca="1" ref="L6:L78" ca="1">IF(B6:B78&lt;=length_year,IF(SUM(sim_sup_oil_ocs)=0,(OFFSET(sim_sup_gas_ocs_pan,begin_year-'Consumer surplus'!$C$10,0)*pacific_crude_exp_propensity),(OFFSET(sim_sup_oil_ocs_pan,begin_year-'Consumer surplus'!$C$10,0)*pacific_crude_exp_propensity)),0)</f>
        <v>0</v>
      </c>
      <c r="M6">
        <f t="array" aca="1" ref="M6:M78" ca="1">IF(B6:B78&lt;=length_year,IF(SUM(sim_sup_oil_ocs)=0,(OFFSET(sim_sup_gas_ocs_paw,begin_year-'Consumer surplus'!$C$10,0)*pacific_crude_exp_propensity),(OFFSET(sim_sup_oil_ocs_paw,begin_year-'Consumer surplus'!$C$10,0)*pacific_crude_exp_propensity)),0)</f>
        <v>0</v>
      </c>
      <c r="N6" s="353">
        <f t="array" aca="1" ref="N6:N78" ca="1">IF(B6:B78&lt;=length_year,IF(SUM(sim_sup_oil_ocs)=0,(OFFSET(sim_sup_gas_ocs_goa,begin_year-'Consumer surplus'!$C$10,0)*ak_crude_exp_propensity),(OFFSET(sim_sup_oil_ocs_goa,begin_year-'Consumer surplus'!$C$10,0)*ak_crude_exp_propensity)),0)</f>
        <v>0</v>
      </c>
      <c r="O6">
        <f t="array" aca="1" ref="O6:O78" ca="1">IF(B6:B78&lt;=length_year,IF(SUM(sim_sup_oil_ocs)=0,(OFFSET(sim_sup_gas_ocs_coo,begin_year-'Consumer surplus'!$C$10,0)*ak_crude_exp_propensity),(OFFSET(sim_sup_oil_ocs_coo,begin_year-'Consumer surplus'!$C$10,0)*ak_crude_exp_propensity)),0)</f>
        <v>0</v>
      </c>
      <c r="P6">
        <f t="array" aca="1" ref="P6:P78" ca="1">IF(B6:B78&lt;=length_year,IF(SUM(sim_sup_oil_ocs)=0,(OFFSET(sim_sup_gas_ocs_kod,begin_year-'Consumer surplus'!$C$10,0)*ak_crude_exp_propensity),(OFFSET(sim_sup_oil_ocs_kod,begin_year-'Consumer surplus'!$C$10,0)*ak_crude_exp_propensity)),0)</f>
        <v>0</v>
      </c>
      <c r="Q6">
        <f t="array" aca="1" ref="Q6:Q78" ca="1">IF(B6:B78&lt;=length_year,IF(SUM(sim_sup_oil_ocs)=0,(OFFSET(sim_sup_gas_ocs_shu,begin_year-'Consumer surplus'!$C$10,0)*ak_crude_exp_propensity),(OFFSET(sim_sup_oil_ocs_shu,begin_year-'Consumer surplus'!$C$10,0)*ak_crude_exp_propensity)),0)</f>
        <v>0</v>
      </c>
      <c r="R6">
        <f t="array" aca="1" ref="R6:R78" ca="1">IF(B6:B78&lt;=length_year,IF(SUM(sim_sup_oil_ocs)=0,(OFFSET(sim_sup_gas_ocs_nab,begin_year-'Consumer surplus'!$C$10,0)*ak_crude_exp_propensity),(OFFSET(sim_sup_oil_ocs_nab,begin_year-'Consumer surplus'!$C$10,0)*ak_crude_exp_propensity)),0)</f>
        <v>0</v>
      </c>
      <c r="S6">
        <f t="array" aca="1" ref="S6:S78" ca="1">IF(B6:B78&lt;=length_year,IF(SUM(sim_sup_oil_ocs)=0,(OFFSET(sim_sup_gas_ocs_ala,begin_year-'Consumer surplus'!$C$10,0)*ak_crude_exp_propensity),(OFFSET(sim_sup_oil_ocs_ala,begin_year-'Consumer surplus'!$C$10,0)*ak_crude_exp_propensity)),0)</f>
        <v>0</v>
      </c>
      <c r="T6">
        <f t="array" aca="1" ref="T6:T78" ca="1">IF(B6:B78&lt;=length_year,IF(SUM(sim_sup_oil_ocs)=0,(OFFSET(sim_sup_gas_ocs_sgb,begin_year-'Consumer surplus'!$C$10,0)*ak_crude_exp_propensity),(OFFSET(sim_sup_oil_ocs_sgb,begin_year-'Consumer surplus'!$C$10,0)*ak_crude_exp_propensity)),0)</f>
        <v>0</v>
      </c>
      <c r="U6">
        <f t="array" aca="1" ref="U6:U78" ca="1">IF(B6:B78&lt;=length_year,IF(SUM(sim_sup_oil_ocs)=0,(OFFSET(sim_sup_gas_ocs_smh,begin_year-'Consumer surplus'!$C$10,0)*ak_crude_exp_propensity),(OFFSET(sim_sup_oil_ocs_smh,begin_year-'Consumer surplus'!$C$10,0)*ak_crude_exp_propensity)),0)</f>
        <v>0</v>
      </c>
      <c r="V6">
        <f t="array" aca="1" ref="V6:V78" ca="1">IF(B6:B78&lt;=length_year,IF(SUM(sim_sup_oil_ocs)=0,(OFFSET(sim_sup_gas_ocs_bow,begin_year-'Consumer surplus'!$C$10,0)*ak_crude_exp_propensity),(OFFSET(sim_sup_oil_ocs_bow,begin_year-'Consumer surplus'!$C$10,0)*ak_crude_exp_propensity)),0)</f>
        <v>0</v>
      </c>
      <c r="W6">
        <f t="array" aca="1" ref="W6:W78" ca="1">IF(B6:B78&lt;=length_year,IF(SUM(sim_sup_oil_ocs)=0,(OFFSET(sim_sup_gas_ocs_alb,begin_year-'Consumer surplus'!$C$10,0)*ak_crude_exp_propensity),(OFFSET(sim_sup_oil_ocs_alb,begin_year-'Consumer surplus'!$C$10,0)*ak_crude_exp_propensity)),0)</f>
        <v>0</v>
      </c>
      <c r="X6">
        <f t="array" aca="1" ref="X6:X78" ca="1">IF(B6:B78&lt;=length_year,IF(SUM(sim_sup_oil_ocs)=0,(OFFSET(sim_sup_gas_ocs_nav,begin_year-'Consumer surplus'!$C$10,0)*ak_crude_exp_propensity),(OFFSET(sim_sup_oil_ocs_nav,begin_year-'Consumer surplus'!$C$10,0)*ak_crude_exp_propensity)),0)</f>
        <v>0</v>
      </c>
      <c r="Y6">
        <f t="array" aca="1" ref="Y6:Y78" ca="1">IF(B6:B78&lt;=length_year,IF(SUM(sim_sup_oil_ocs)=0,(OFFSET(sim_sup_gas_ocs_nor,begin_year-'Consumer surplus'!$C$10,0)*ak_crude_exp_propensity),(OFFSET(sim_sup_oil_ocs_nor,begin_year-'Consumer surplus'!$C$10,0)*ak_crude_exp_propensity)),0)</f>
        <v>0</v>
      </c>
      <c r="Z6">
        <f t="array" aca="1" ref="Z6:Z78" ca="1">IF(B6:B78&lt;=length_year,IF(SUM(sim_sup_oil_ocs)=0,(OFFSET(sim_sup_gas_ocs_hop,begin_year-'Consumer surplus'!$C$10,0)*ak_crude_exp_propensity),(OFFSET(sim_sup_oil_ocs_hop,begin_year-'Consumer surplus'!$C$10,0)*ak_crude_exp_propensity)),0)</f>
        <v>0</v>
      </c>
      <c r="AA6">
        <f t="array" aca="1" ref="AA6:AA78" ca="1">IF(B6:B78&lt;=length_year,IF(SUM(sim_sup_oil_ocs)=0,(OFFSET(sim_sup_gas_ocs_chu,begin_year-'Consumer surplus'!$C$10,0)*ak_crude_exp_propensity),(OFFSET(sim_sup_oil_ocs_chu,begin_year-'Consumer surplus'!$C$10,0)*ak_crude_exp_propensity)),0)</f>
        <v>0</v>
      </c>
      <c r="AB6">
        <f t="array" aca="1" ref="AB6:AB78" ca="1">IF(B6:B78&lt;=length_year,IF(SUM(sim_sup_oil_ocs)=0,(OFFSET(sim_sup_gas_ocs_bea,begin_year-'Consumer surplus'!$C$10,0)*ak_crude_exp_propensity),(OFFSET(sim_sup_oil_ocs_bea,begin_year-'Consumer surplus'!$C$10,0)*ak_crude_exp_propensity)),0)</f>
        <v>0</v>
      </c>
      <c r="AC6">
        <f ca="1">SUM(C6:AB6)</f>
        <v>0</v>
      </c>
      <c r="AD6" s="582">
        <f ca="1">IF($AC6&lt;&gt;0,C6/$AC6,C$79/$AC$79)</f>
        <v>0</v>
      </c>
      <c r="AE6" s="582">
        <f t="shared" ref="AE6:BC6" ca="1" si="0">IF($AC6&lt;&gt;0,D6/$AC6,D$79/$AC$79)</f>
        <v>0</v>
      </c>
      <c r="AF6" s="582">
        <f t="shared" ca="1" si="0"/>
        <v>0</v>
      </c>
      <c r="AG6" s="582">
        <f t="shared" ca="1" si="0"/>
        <v>0</v>
      </c>
      <c r="AH6" s="582">
        <f t="shared" ca="1" si="0"/>
        <v>0</v>
      </c>
      <c r="AI6" s="582">
        <f t="shared" ca="1" si="0"/>
        <v>0.90584093793867426</v>
      </c>
      <c r="AJ6" s="582">
        <f t="shared" ca="1" si="0"/>
        <v>0</v>
      </c>
      <c r="AK6" s="582">
        <f t="shared" ca="1" si="0"/>
        <v>0</v>
      </c>
      <c r="AL6" s="582">
        <f t="shared" ca="1" si="0"/>
        <v>0</v>
      </c>
      <c r="AM6" s="582">
        <f t="shared" ca="1" si="0"/>
        <v>0</v>
      </c>
      <c r="AN6" s="582">
        <f t="shared" ca="1" si="0"/>
        <v>0</v>
      </c>
      <c r="AO6" s="582">
        <f t="shared" ca="1" si="0"/>
        <v>5.0442354675710378E-2</v>
      </c>
      <c r="AP6" s="582">
        <f t="shared" ca="1" si="0"/>
        <v>4.3716707385615658E-2</v>
      </c>
      <c r="AQ6" s="582">
        <f t="shared" ca="1" si="0"/>
        <v>0</v>
      </c>
      <c r="AR6" s="582">
        <f t="shared" ca="1" si="0"/>
        <v>0</v>
      </c>
      <c r="AS6" s="582">
        <f t="shared" ca="1" si="0"/>
        <v>0</v>
      </c>
      <c r="AT6" s="582">
        <f t="shared" ca="1" si="0"/>
        <v>0</v>
      </c>
      <c r="AU6" s="582">
        <f t="shared" ca="1" si="0"/>
        <v>0</v>
      </c>
      <c r="AV6" s="582">
        <f t="shared" ca="1" si="0"/>
        <v>0</v>
      </c>
      <c r="AW6" s="582">
        <f t="shared" ca="1" si="0"/>
        <v>0</v>
      </c>
      <c r="AX6" s="582">
        <f t="shared" ca="1" si="0"/>
        <v>0</v>
      </c>
      <c r="AY6" s="582">
        <f t="shared" ca="1" si="0"/>
        <v>0</v>
      </c>
      <c r="AZ6" s="582">
        <f t="shared" ca="1" si="0"/>
        <v>0</v>
      </c>
      <c r="BA6" s="582">
        <f t="shared" ca="1" si="0"/>
        <v>0</v>
      </c>
      <c r="BB6" s="582">
        <f t="shared" ca="1" si="0"/>
        <v>0</v>
      </c>
      <c r="BC6" s="582">
        <f t="shared" ca="1" si="0"/>
        <v>0</v>
      </c>
      <c r="BD6" s="582">
        <f ca="1">SUM(AD6:BC6)</f>
        <v>1.0000000000000002</v>
      </c>
    </row>
    <row r="7" spans="1:56" ht="15">
      <c r="A7" s="22">
        <f>A6+1</f>
        <v>2027</v>
      </c>
      <c r="B7" s="586">
        <v>2</v>
      </c>
      <c r="C7" s="583">
        <f ca="1"/>
        <v>0</v>
      </c>
      <c r="D7" s="583">
        <f ca="1"/>
        <v>0</v>
      </c>
      <c r="E7" s="583">
        <f ca="1"/>
        <v>0</v>
      </c>
      <c r="F7" s="583">
        <f ca="1"/>
        <v>0</v>
      </c>
      <c r="G7" s="583">
        <f ca="1"/>
        <v>0</v>
      </c>
      <c r="H7" s="583">
        <f ca="1"/>
        <v>0</v>
      </c>
      <c r="I7" s="583">
        <f ca="1"/>
        <v>0</v>
      </c>
      <c r="J7">
        <f ca="1"/>
        <v>0</v>
      </c>
      <c r="K7">
        <f ca="1"/>
        <v>0</v>
      </c>
      <c r="L7">
        <f ca="1"/>
        <v>0</v>
      </c>
      <c r="M7">
        <f ca="1"/>
        <v>0</v>
      </c>
      <c r="N7">
        <f ca="1"/>
        <v>0</v>
      </c>
      <c r="O7">
        <f ca="1"/>
        <v>0</v>
      </c>
      <c r="P7">
        <f ca="1"/>
        <v>0</v>
      </c>
      <c r="Q7">
        <f ca="1"/>
        <v>0</v>
      </c>
      <c r="R7">
        <f ca="1"/>
        <v>0</v>
      </c>
      <c r="S7">
        <f ca="1"/>
        <v>0</v>
      </c>
      <c r="T7">
        <f ca="1"/>
        <v>0</v>
      </c>
      <c r="U7">
        <f ca="1"/>
        <v>0</v>
      </c>
      <c r="V7">
        <f ca="1"/>
        <v>0</v>
      </c>
      <c r="W7">
        <f ca="1"/>
        <v>0</v>
      </c>
      <c r="X7">
        <f ca="1"/>
        <v>0</v>
      </c>
      <c r="Y7">
        <f ca="1"/>
        <v>0</v>
      </c>
      <c r="Z7">
        <f ca="1"/>
        <v>0</v>
      </c>
      <c r="AA7">
        <f ca="1"/>
        <v>0</v>
      </c>
      <c r="AB7">
        <f ca="1"/>
        <v>0</v>
      </c>
      <c r="AC7">
        <f t="shared" ref="AC7:AC70" ca="1" si="1">SUM(C7:AB7)</f>
        <v>0</v>
      </c>
      <c r="AD7" s="582">
        <f t="shared" ref="AD7:AD70" ca="1" si="2">IF($AC7&lt;&gt;0,C7/$AC7,C$79/$AC$79)</f>
        <v>0</v>
      </c>
      <c r="AE7" s="582">
        <f t="shared" ref="AE7:AE70" ca="1" si="3">IF($AC7&lt;&gt;0,D7/$AC7,D$79/$AC$79)</f>
        <v>0</v>
      </c>
      <c r="AF7" s="582">
        <f t="shared" ref="AF7:AF70" ca="1" si="4">IF($AC7&lt;&gt;0,E7/$AC7,E$79/$AC$79)</f>
        <v>0</v>
      </c>
      <c r="AG7" s="582">
        <f t="shared" ref="AG7:AG70" ca="1" si="5">IF($AC7&lt;&gt;0,F7/$AC7,F$79/$AC$79)</f>
        <v>0</v>
      </c>
      <c r="AH7" s="582">
        <f t="shared" ref="AH7:AH70" ca="1" si="6">IF($AC7&lt;&gt;0,G7/$AC7,G$79/$AC$79)</f>
        <v>0</v>
      </c>
      <c r="AI7" s="582">
        <f t="shared" ref="AI7:AI70" ca="1" si="7">IF($AC7&lt;&gt;0,H7/$AC7,H$79/$AC$79)</f>
        <v>0.90584093793867426</v>
      </c>
      <c r="AJ7" s="582">
        <f t="shared" ref="AJ7:AJ70" ca="1" si="8">IF($AC7&lt;&gt;0,I7/$AC7,I$79/$AC$79)</f>
        <v>0</v>
      </c>
      <c r="AK7" s="582">
        <f t="shared" ref="AK7:AK70" ca="1" si="9">IF($AC7&lt;&gt;0,J7/$AC7,J$79/$AC$79)</f>
        <v>0</v>
      </c>
      <c r="AL7" s="582">
        <f t="shared" ref="AL7:AL70" ca="1" si="10">IF($AC7&lt;&gt;0,K7/$AC7,K$79/$AC$79)</f>
        <v>0</v>
      </c>
      <c r="AM7" s="582">
        <f t="shared" ref="AM7:AM70" ca="1" si="11">IF($AC7&lt;&gt;0,L7/$AC7,L$79/$AC$79)</f>
        <v>0</v>
      </c>
      <c r="AN7" s="582">
        <f t="shared" ref="AN7:AN70" ca="1" si="12">IF($AC7&lt;&gt;0,M7/$AC7,M$79/$AC$79)</f>
        <v>0</v>
      </c>
      <c r="AO7" s="582">
        <f t="shared" ref="AO7:AO70" ca="1" si="13">IF($AC7&lt;&gt;0,N7/$AC7,N$79/$AC$79)</f>
        <v>5.0442354675710378E-2</v>
      </c>
      <c r="AP7" s="582">
        <f t="shared" ref="AP7:AP70" ca="1" si="14">IF($AC7&lt;&gt;0,O7/$AC7,O$79/$AC$79)</f>
        <v>4.3716707385615658E-2</v>
      </c>
      <c r="AQ7" s="582">
        <f t="shared" ref="AQ7:AQ70" ca="1" si="15">IF($AC7&lt;&gt;0,P7/$AC7,P$79/$AC$79)</f>
        <v>0</v>
      </c>
      <c r="AR7" s="582">
        <f t="shared" ref="AR7:AR70" ca="1" si="16">IF($AC7&lt;&gt;0,Q7/$AC7,Q$79/$AC$79)</f>
        <v>0</v>
      </c>
      <c r="AS7" s="582">
        <f t="shared" ref="AS7:AS70" ca="1" si="17">IF($AC7&lt;&gt;0,R7/$AC7,R$79/$AC$79)</f>
        <v>0</v>
      </c>
      <c r="AT7" s="582">
        <f t="shared" ref="AT7:AT70" ca="1" si="18">IF($AC7&lt;&gt;0,S7/$AC7,S$79/$AC$79)</f>
        <v>0</v>
      </c>
      <c r="AU7" s="582">
        <f t="shared" ref="AU7:AU70" ca="1" si="19">IF($AC7&lt;&gt;0,T7/$AC7,T$79/$AC$79)</f>
        <v>0</v>
      </c>
      <c r="AV7" s="582">
        <f t="shared" ref="AV7:AV70" ca="1" si="20">IF($AC7&lt;&gt;0,U7/$AC7,U$79/$AC$79)</f>
        <v>0</v>
      </c>
      <c r="AW7" s="582">
        <f t="shared" ref="AW7:AW70" ca="1" si="21">IF($AC7&lt;&gt;0,V7/$AC7,V$79/$AC$79)</f>
        <v>0</v>
      </c>
      <c r="AX7" s="582">
        <f t="shared" ref="AX7:AX70" ca="1" si="22">IF($AC7&lt;&gt;0,W7/$AC7,W$79/$AC$79)</f>
        <v>0</v>
      </c>
      <c r="AY7" s="582">
        <f t="shared" ref="AY7:AY70" ca="1" si="23">IF($AC7&lt;&gt;0,X7/$AC7,X$79/$AC$79)</f>
        <v>0</v>
      </c>
      <c r="AZ7" s="582">
        <f t="shared" ref="AZ7:AZ70" ca="1" si="24">IF($AC7&lt;&gt;0,Y7/$AC7,Y$79/$AC$79)</f>
        <v>0</v>
      </c>
      <c r="BA7" s="582">
        <f t="shared" ref="BA7:BA70" ca="1" si="25">IF($AC7&lt;&gt;0,Z7/$AC7,Z$79/$AC$79)</f>
        <v>0</v>
      </c>
      <c r="BB7" s="582">
        <f t="shared" ref="BB7:BB70" ca="1" si="26">IF($AC7&lt;&gt;0,AA7/$AC7,AA$79/$AC$79)</f>
        <v>0</v>
      </c>
      <c r="BC7" s="582">
        <f t="shared" ref="BC7:BC70" ca="1" si="27">IF($AC7&lt;&gt;0,AB7/$AC7,AB$79/$AC$79)</f>
        <v>0</v>
      </c>
      <c r="BD7" s="582">
        <f t="shared" ref="BD7:BD70" ca="1" si="28">SUM(AD7:BC7)</f>
        <v>1.0000000000000002</v>
      </c>
    </row>
    <row r="8" spans="1:56" ht="15">
      <c r="A8" s="22">
        <f t="shared" ref="A8:A71" si="29">A7+1</f>
        <v>2028</v>
      </c>
      <c r="B8" s="586">
        <v>3</v>
      </c>
      <c r="C8" s="583">
        <f ca="1"/>
        <v>0</v>
      </c>
      <c r="D8" s="583">
        <f ca="1"/>
        <v>0</v>
      </c>
      <c r="E8" s="583">
        <f ca="1"/>
        <v>0</v>
      </c>
      <c r="F8" s="583">
        <f ca="1"/>
        <v>0</v>
      </c>
      <c r="G8" s="583">
        <f ca="1"/>
        <v>0</v>
      </c>
      <c r="H8" s="583">
        <f ca="1"/>
        <v>0</v>
      </c>
      <c r="I8" s="588">
        <f ca="1"/>
        <v>0</v>
      </c>
      <c r="J8">
        <f ca="1"/>
        <v>0</v>
      </c>
      <c r="K8">
        <f ca="1"/>
        <v>0</v>
      </c>
      <c r="L8">
        <f ca="1"/>
        <v>0</v>
      </c>
      <c r="M8">
        <f ca="1"/>
        <v>0</v>
      </c>
      <c r="N8">
        <f ca="1"/>
        <v>0</v>
      </c>
      <c r="O8">
        <f ca="1"/>
        <v>0</v>
      </c>
      <c r="P8">
        <f ca="1"/>
        <v>0</v>
      </c>
      <c r="Q8">
        <f ca="1"/>
        <v>0</v>
      </c>
      <c r="R8">
        <f ca="1"/>
        <v>0</v>
      </c>
      <c r="S8">
        <f ca="1"/>
        <v>0</v>
      </c>
      <c r="T8">
        <f ca="1"/>
        <v>0</v>
      </c>
      <c r="U8">
        <f ca="1"/>
        <v>0</v>
      </c>
      <c r="V8">
        <f ca="1"/>
        <v>0</v>
      </c>
      <c r="W8">
        <f ca="1"/>
        <v>0</v>
      </c>
      <c r="X8">
        <f ca="1"/>
        <v>0</v>
      </c>
      <c r="Y8">
        <f ca="1"/>
        <v>0</v>
      </c>
      <c r="Z8">
        <f ca="1"/>
        <v>0</v>
      </c>
      <c r="AA8">
        <f ca="1"/>
        <v>0</v>
      </c>
      <c r="AB8">
        <f ca="1"/>
        <v>0</v>
      </c>
      <c r="AC8">
        <f t="shared" ca="1" si="1"/>
        <v>0</v>
      </c>
      <c r="AD8" s="582">
        <f t="shared" ca="1" si="2"/>
        <v>0</v>
      </c>
      <c r="AE8" s="582">
        <f t="shared" ca="1" si="3"/>
        <v>0</v>
      </c>
      <c r="AF8" s="582">
        <f t="shared" ca="1" si="4"/>
        <v>0</v>
      </c>
      <c r="AG8" s="582">
        <f t="shared" ca="1" si="5"/>
        <v>0</v>
      </c>
      <c r="AH8" s="582">
        <f t="shared" ca="1" si="6"/>
        <v>0</v>
      </c>
      <c r="AI8" s="582">
        <f t="shared" ca="1" si="7"/>
        <v>0.90584093793867426</v>
      </c>
      <c r="AJ8" s="582">
        <f t="shared" ca="1" si="8"/>
        <v>0</v>
      </c>
      <c r="AK8" s="582">
        <f t="shared" ca="1" si="9"/>
        <v>0</v>
      </c>
      <c r="AL8" s="582">
        <f t="shared" ca="1" si="10"/>
        <v>0</v>
      </c>
      <c r="AM8" s="582">
        <f t="shared" ca="1" si="11"/>
        <v>0</v>
      </c>
      <c r="AN8" s="582">
        <f t="shared" ca="1" si="12"/>
        <v>0</v>
      </c>
      <c r="AO8" s="582">
        <f t="shared" ca="1" si="13"/>
        <v>5.0442354675710378E-2</v>
      </c>
      <c r="AP8" s="582">
        <f t="shared" ca="1" si="14"/>
        <v>4.3716707385615658E-2</v>
      </c>
      <c r="AQ8" s="582">
        <f t="shared" ca="1" si="15"/>
        <v>0</v>
      </c>
      <c r="AR8" s="582">
        <f t="shared" ca="1" si="16"/>
        <v>0</v>
      </c>
      <c r="AS8" s="582">
        <f t="shared" ca="1" si="17"/>
        <v>0</v>
      </c>
      <c r="AT8" s="582">
        <f t="shared" ca="1" si="18"/>
        <v>0</v>
      </c>
      <c r="AU8" s="582">
        <f t="shared" ca="1" si="19"/>
        <v>0</v>
      </c>
      <c r="AV8" s="582">
        <f t="shared" ca="1" si="20"/>
        <v>0</v>
      </c>
      <c r="AW8" s="582">
        <f t="shared" ca="1" si="21"/>
        <v>0</v>
      </c>
      <c r="AX8" s="582">
        <f t="shared" ca="1" si="22"/>
        <v>0</v>
      </c>
      <c r="AY8" s="582">
        <f t="shared" ca="1" si="23"/>
        <v>0</v>
      </c>
      <c r="AZ8" s="582">
        <f t="shared" ca="1" si="24"/>
        <v>0</v>
      </c>
      <c r="BA8" s="582">
        <f t="shared" ca="1" si="25"/>
        <v>0</v>
      </c>
      <c r="BB8" s="582">
        <f t="shared" ca="1" si="26"/>
        <v>0</v>
      </c>
      <c r="BC8" s="582">
        <f t="shared" ca="1" si="27"/>
        <v>0</v>
      </c>
      <c r="BD8" s="582">
        <f t="shared" ca="1" si="28"/>
        <v>1.0000000000000002</v>
      </c>
    </row>
    <row r="9" spans="1:56" ht="15">
      <c r="A9" s="22">
        <f t="shared" si="29"/>
        <v>2029</v>
      </c>
      <c r="B9" s="586">
        <v>4</v>
      </c>
      <c r="C9" s="583">
        <f ca="1"/>
        <v>0</v>
      </c>
      <c r="D9" s="583">
        <f ca="1"/>
        <v>0</v>
      </c>
      <c r="E9" s="583">
        <f ca="1"/>
        <v>0</v>
      </c>
      <c r="F9" s="583">
        <f ca="1"/>
        <v>0</v>
      </c>
      <c r="G9" s="583">
        <f ca="1"/>
        <v>0</v>
      </c>
      <c r="H9" s="583">
        <f ca="1"/>
        <v>0</v>
      </c>
      <c r="I9" s="583">
        <f ca="1"/>
        <v>0</v>
      </c>
      <c r="J9">
        <f ca="1"/>
        <v>0</v>
      </c>
      <c r="K9">
        <f ca="1"/>
        <v>0</v>
      </c>
      <c r="L9">
        <f ca="1"/>
        <v>0</v>
      </c>
      <c r="M9">
        <f ca="1"/>
        <v>0</v>
      </c>
      <c r="N9">
        <f ca="1"/>
        <v>0</v>
      </c>
      <c r="O9">
        <f ca="1"/>
        <v>0</v>
      </c>
      <c r="P9">
        <f ca="1"/>
        <v>0</v>
      </c>
      <c r="Q9">
        <f ca="1"/>
        <v>0</v>
      </c>
      <c r="R9">
        <f ca="1"/>
        <v>0</v>
      </c>
      <c r="S9">
        <f ca="1"/>
        <v>0</v>
      </c>
      <c r="T9">
        <f ca="1"/>
        <v>0</v>
      </c>
      <c r="U9">
        <f ca="1"/>
        <v>0</v>
      </c>
      <c r="V9">
        <f ca="1"/>
        <v>0</v>
      </c>
      <c r="W9">
        <f ca="1"/>
        <v>0</v>
      </c>
      <c r="X9">
        <f ca="1"/>
        <v>0</v>
      </c>
      <c r="Y9">
        <f ca="1"/>
        <v>0</v>
      </c>
      <c r="Z9">
        <f ca="1"/>
        <v>0</v>
      </c>
      <c r="AA9">
        <f ca="1"/>
        <v>0</v>
      </c>
      <c r="AB9">
        <f ca="1"/>
        <v>0</v>
      </c>
      <c r="AC9">
        <f t="shared" ca="1" si="1"/>
        <v>0</v>
      </c>
      <c r="AD9" s="582">
        <f t="shared" ca="1" si="2"/>
        <v>0</v>
      </c>
      <c r="AE9" s="582">
        <f t="shared" ca="1" si="3"/>
        <v>0</v>
      </c>
      <c r="AF9" s="582">
        <f t="shared" ca="1" si="4"/>
        <v>0</v>
      </c>
      <c r="AG9" s="582">
        <f t="shared" ca="1" si="5"/>
        <v>0</v>
      </c>
      <c r="AH9" s="582">
        <f t="shared" ca="1" si="6"/>
        <v>0</v>
      </c>
      <c r="AI9" s="582">
        <f t="shared" ca="1" si="7"/>
        <v>0.90584093793867426</v>
      </c>
      <c r="AJ9" s="582">
        <f t="shared" ca="1" si="8"/>
        <v>0</v>
      </c>
      <c r="AK9" s="582">
        <f t="shared" ca="1" si="9"/>
        <v>0</v>
      </c>
      <c r="AL9" s="582">
        <f t="shared" ca="1" si="10"/>
        <v>0</v>
      </c>
      <c r="AM9" s="582">
        <f t="shared" ca="1" si="11"/>
        <v>0</v>
      </c>
      <c r="AN9" s="582">
        <f t="shared" ca="1" si="12"/>
        <v>0</v>
      </c>
      <c r="AO9" s="582">
        <f t="shared" ca="1" si="13"/>
        <v>5.0442354675710378E-2</v>
      </c>
      <c r="AP9" s="582">
        <f t="shared" ca="1" si="14"/>
        <v>4.3716707385615658E-2</v>
      </c>
      <c r="AQ9" s="582">
        <f t="shared" ca="1" si="15"/>
        <v>0</v>
      </c>
      <c r="AR9" s="582">
        <f t="shared" ca="1" si="16"/>
        <v>0</v>
      </c>
      <c r="AS9" s="582">
        <f t="shared" ca="1" si="17"/>
        <v>0</v>
      </c>
      <c r="AT9" s="582">
        <f t="shared" ca="1" si="18"/>
        <v>0</v>
      </c>
      <c r="AU9" s="582">
        <f t="shared" ca="1" si="19"/>
        <v>0</v>
      </c>
      <c r="AV9" s="582">
        <f t="shared" ca="1" si="20"/>
        <v>0</v>
      </c>
      <c r="AW9" s="582">
        <f t="shared" ca="1" si="21"/>
        <v>0</v>
      </c>
      <c r="AX9" s="582">
        <f t="shared" ca="1" si="22"/>
        <v>0</v>
      </c>
      <c r="AY9" s="582">
        <f t="shared" ca="1" si="23"/>
        <v>0</v>
      </c>
      <c r="AZ9" s="582">
        <f t="shared" ca="1" si="24"/>
        <v>0</v>
      </c>
      <c r="BA9" s="582">
        <f t="shared" ca="1" si="25"/>
        <v>0</v>
      </c>
      <c r="BB9" s="582">
        <f t="shared" ca="1" si="26"/>
        <v>0</v>
      </c>
      <c r="BC9" s="582">
        <f t="shared" ca="1" si="27"/>
        <v>0</v>
      </c>
      <c r="BD9" s="582">
        <f t="shared" ca="1" si="28"/>
        <v>1.0000000000000002</v>
      </c>
    </row>
    <row r="10" spans="1:56" ht="15">
      <c r="A10" s="22">
        <f t="shared" si="29"/>
        <v>2030</v>
      </c>
      <c r="B10" s="586">
        <v>5</v>
      </c>
      <c r="C10" s="583">
        <f ca="1"/>
        <v>0</v>
      </c>
      <c r="D10" s="583">
        <f ca="1"/>
        <v>0</v>
      </c>
      <c r="E10" s="583">
        <f ca="1"/>
        <v>0</v>
      </c>
      <c r="F10" s="583">
        <f ca="1"/>
        <v>0</v>
      </c>
      <c r="G10" s="583">
        <f ca="1"/>
        <v>0</v>
      </c>
      <c r="H10" s="583">
        <f ca="1"/>
        <v>0</v>
      </c>
      <c r="I10" s="583">
        <f ca="1"/>
        <v>0</v>
      </c>
      <c r="J10">
        <f ca="1"/>
        <v>0</v>
      </c>
      <c r="K10">
        <f ca="1"/>
        <v>0</v>
      </c>
      <c r="L10">
        <f ca="1"/>
        <v>0</v>
      </c>
      <c r="M10">
        <f ca="1"/>
        <v>0</v>
      </c>
      <c r="N10">
        <f ca="1"/>
        <v>5.1619298633437879E-5</v>
      </c>
      <c r="O10">
        <f ca="1"/>
        <v>0</v>
      </c>
      <c r="P10">
        <f ca="1"/>
        <v>0</v>
      </c>
      <c r="Q10">
        <f ca="1"/>
        <v>0</v>
      </c>
      <c r="R10">
        <f ca="1"/>
        <v>0</v>
      </c>
      <c r="S10">
        <f ca="1"/>
        <v>0</v>
      </c>
      <c r="T10">
        <f ca="1"/>
        <v>0</v>
      </c>
      <c r="U10">
        <f ca="1"/>
        <v>0</v>
      </c>
      <c r="V10">
        <f ca="1"/>
        <v>0</v>
      </c>
      <c r="W10">
        <f ca="1"/>
        <v>0</v>
      </c>
      <c r="X10">
        <f ca="1"/>
        <v>0</v>
      </c>
      <c r="Y10">
        <f ca="1"/>
        <v>0</v>
      </c>
      <c r="Z10">
        <f ca="1"/>
        <v>0</v>
      </c>
      <c r="AA10">
        <f ca="1"/>
        <v>0</v>
      </c>
      <c r="AB10">
        <f ca="1"/>
        <v>0</v>
      </c>
      <c r="AC10">
        <f t="shared" ca="1" si="1"/>
        <v>5.1619298633437879E-5</v>
      </c>
      <c r="AD10" s="582">
        <f t="shared" ca="1" si="2"/>
        <v>0</v>
      </c>
      <c r="AE10" s="582">
        <f t="shared" ca="1" si="3"/>
        <v>0</v>
      </c>
      <c r="AF10" s="582">
        <f t="shared" ca="1" si="4"/>
        <v>0</v>
      </c>
      <c r="AG10" s="582">
        <f t="shared" ca="1" si="5"/>
        <v>0</v>
      </c>
      <c r="AH10" s="582">
        <f t="shared" ca="1" si="6"/>
        <v>0</v>
      </c>
      <c r="AI10" s="582">
        <f t="shared" ca="1" si="7"/>
        <v>0</v>
      </c>
      <c r="AJ10" s="582">
        <f t="shared" ca="1" si="8"/>
        <v>0</v>
      </c>
      <c r="AK10" s="582">
        <f t="shared" ca="1" si="9"/>
        <v>0</v>
      </c>
      <c r="AL10" s="582">
        <f t="shared" ca="1" si="10"/>
        <v>0</v>
      </c>
      <c r="AM10" s="582">
        <f t="shared" ca="1" si="11"/>
        <v>0</v>
      </c>
      <c r="AN10" s="582">
        <f t="shared" ca="1" si="12"/>
        <v>0</v>
      </c>
      <c r="AO10" s="582">
        <f t="shared" ca="1" si="13"/>
        <v>1</v>
      </c>
      <c r="AP10" s="582">
        <f t="shared" ca="1" si="14"/>
        <v>0</v>
      </c>
      <c r="AQ10" s="582">
        <f t="shared" ca="1" si="15"/>
        <v>0</v>
      </c>
      <c r="AR10" s="582">
        <f t="shared" ca="1" si="16"/>
        <v>0</v>
      </c>
      <c r="AS10" s="582">
        <f t="shared" ca="1" si="17"/>
        <v>0</v>
      </c>
      <c r="AT10" s="582">
        <f t="shared" ca="1" si="18"/>
        <v>0</v>
      </c>
      <c r="AU10" s="582">
        <f t="shared" ca="1" si="19"/>
        <v>0</v>
      </c>
      <c r="AV10" s="582">
        <f t="shared" ca="1" si="20"/>
        <v>0</v>
      </c>
      <c r="AW10" s="582">
        <f t="shared" ca="1" si="21"/>
        <v>0</v>
      </c>
      <c r="AX10" s="582">
        <f t="shared" ca="1" si="22"/>
        <v>0</v>
      </c>
      <c r="AY10" s="582">
        <f t="shared" ca="1" si="23"/>
        <v>0</v>
      </c>
      <c r="AZ10" s="582">
        <f t="shared" ca="1" si="24"/>
        <v>0</v>
      </c>
      <c r="BA10" s="582">
        <f t="shared" ca="1" si="25"/>
        <v>0</v>
      </c>
      <c r="BB10" s="582">
        <f t="shared" ca="1" si="26"/>
        <v>0</v>
      </c>
      <c r="BC10" s="582">
        <f t="shared" ca="1" si="27"/>
        <v>0</v>
      </c>
      <c r="BD10" s="582">
        <f t="shared" ca="1" si="28"/>
        <v>1</v>
      </c>
    </row>
    <row r="11" spans="1:56" ht="15">
      <c r="A11" s="22">
        <f t="shared" si="29"/>
        <v>2031</v>
      </c>
      <c r="B11" s="586">
        <v>6</v>
      </c>
      <c r="C11" s="583">
        <f ca="1"/>
        <v>0</v>
      </c>
      <c r="D11" s="583">
        <f ca="1"/>
        <v>0</v>
      </c>
      <c r="E11" s="583">
        <f ca="1"/>
        <v>0</v>
      </c>
      <c r="F11" s="583">
        <f ca="1"/>
        <v>0</v>
      </c>
      <c r="G11" s="583">
        <f ca="1"/>
        <v>0</v>
      </c>
      <c r="H11" s="583">
        <f ca="1"/>
        <v>0</v>
      </c>
      <c r="I11" s="583">
        <f ca="1"/>
        <v>0</v>
      </c>
      <c r="J11">
        <f ca="1"/>
        <v>0</v>
      </c>
      <c r="K11">
        <f ca="1"/>
        <v>0</v>
      </c>
      <c r="L11">
        <f ca="1"/>
        <v>0</v>
      </c>
      <c r="M11">
        <f ca="1"/>
        <v>0</v>
      </c>
      <c r="N11">
        <f ca="1"/>
        <v>5.1619298633437879E-5</v>
      </c>
      <c r="O11">
        <f ca="1"/>
        <v>0</v>
      </c>
      <c r="P11">
        <f ca="1"/>
        <v>0</v>
      </c>
      <c r="Q11">
        <f ca="1"/>
        <v>0</v>
      </c>
      <c r="R11">
        <f ca="1"/>
        <v>0</v>
      </c>
      <c r="S11">
        <f ca="1"/>
        <v>0</v>
      </c>
      <c r="T11">
        <f ca="1"/>
        <v>0</v>
      </c>
      <c r="U11">
        <f ca="1"/>
        <v>0</v>
      </c>
      <c r="V11">
        <f ca="1"/>
        <v>0</v>
      </c>
      <c r="W11">
        <f ca="1"/>
        <v>0</v>
      </c>
      <c r="X11">
        <f ca="1"/>
        <v>0</v>
      </c>
      <c r="Y11">
        <f ca="1"/>
        <v>0</v>
      </c>
      <c r="Z11">
        <f ca="1"/>
        <v>0</v>
      </c>
      <c r="AA11">
        <f ca="1"/>
        <v>0</v>
      </c>
      <c r="AB11">
        <f ca="1"/>
        <v>0</v>
      </c>
      <c r="AC11">
        <f t="shared" ca="1" si="1"/>
        <v>5.1619298633437879E-5</v>
      </c>
      <c r="AD11" s="582">
        <f t="shared" ca="1" si="2"/>
        <v>0</v>
      </c>
      <c r="AE11" s="582">
        <f t="shared" ca="1" si="3"/>
        <v>0</v>
      </c>
      <c r="AF11" s="582">
        <f t="shared" ca="1" si="4"/>
        <v>0</v>
      </c>
      <c r="AG11" s="582">
        <f t="shared" ca="1" si="5"/>
        <v>0</v>
      </c>
      <c r="AH11" s="582">
        <f t="shared" ca="1" si="6"/>
        <v>0</v>
      </c>
      <c r="AI11" s="582">
        <f t="shared" ca="1" si="7"/>
        <v>0</v>
      </c>
      <c r="AJ11" s="582">
        <f t="shared" ca="1" si="8"/>
        <v>0</v>
      </c>
      <c r="AK11" s="582">
        <f t="shared" ca="1" si="9"/>
        <v>0</v>
      </c>
      <c r="AL11" s="582">
        <f t="shared" ca="1" si="10"/>
        <v>0</v>
      </c>
      <c r="AM11" s="582">
        <f t="shared" ca="1" si="11"/>
        <v>0</v>
      </c>
      <c r="AN11" s="582">
        <f t="shared" ca="1" si="12"/>
        <v>0</v>
      </c>
      <c r="AO11" s="582">
        <f t="shared" ca="1" si="13"/>
        <v>1</v>
      </c>
      <c r="AP11" s="582">
        <f t="shared" ca="1" si="14"/>
        <v>0</v>
      </c>
      <c r="AQ11" s="582">
        <f t="shared" ca="1" si="15"/>
        <v>0</v>
      </c>
      <c r="AR11" s="582">
        <f t="shared" ca="1" si="16"/>
        <v>0</v>
      </c>
      <c r="AS11" s="582">
        <f t="shared" ca="1" si="17"/>
        <v>0</v>
      </c>
      <c r="AT11" s="582">
        <f t="shared" ca="1" si="18"/>
        <v>0</v>
      </c>
      <c r="AU11" s="582">
        <f t="shared" ca="1" si="19"/>
        <v>0</v>
      </c>
      <c r="AV11" s="582">
        <f t="shared" ca="1" si="20"/>
        <v>0</v>
      </c>
      <c r="AW11" s="582">
        <f t="shared" ca="1" si="21"/>
        <v>0</v>
      </c>
      <c r="AX11" s="582">
        <f t="shared" ca="1" si="22"/>
        <v>0</v>
      </c>
      <c r="AY11" s="582">
        <f t="shared" ca="1" si="23"/>
        <v>0</v>
      </c>
      <c r="AZ11" s="582">
        <f t="shared" ca="1" si="24"/>
        <v>0</v>
      </c>
      <c r="BA11" s="582">
        <f t="shared" ca="1" si="25"/>
        <v>0</v>
      </c>
      <c r="BB11" s="582">
        <f t="shared" ca="1" si="26"/>
        <v>0</v>
      </c>
      <c r="BC11" s="582">
        <f t="shared" ca="1" si="27"/>
        <v>0</v>
      </c>
      <c r="BD11" s="582">
        <f t="shared" ca="1" si="28"/>
        <v>1</v>
      </c>
    </row>
    <row r="12" spans="1:56" ht="15">
      <c r="A12" s="22">
        <f t="shared" si="29"/>
        <v>2032</v>
      </c>
      <c r="B12" s="586">
        <v>7</v>
      </c>
      <c r="C12" s="583">
        <f ca="1"/>
        <v>0</v>
      </c>
      <c r="D12" s="583">
        <f ca="1"/>
        <v>0</v>
      </c>
      <c r="E12" s="583">
        <f ca="1"/>
        <v>0</v>
      </c>
      <c r="F12" s="583">
        <f ca="1"/>
        <v>0</v>
      </c>
      <c r="G12" s="583">
        <f ca="1"/>
        <v>0</v>
      </c>
      <c r="H12" s="583">
        <f ca="1"/>
        <v>1.0695881891881734E-3</v>
      </c>
      <c r="I12" s="583">
        <f ca="1"/>
        <v>0</v>
      </c>
      <c r="J12">
        <f ca="1"/>
        <v>0</v>
      </c>
      <c r="K12">
        <f ca="1"/>
        <v>0</v>
      </c>
      <c r="L12">
        <f ca="1"/>
        <v>0</v>
      </c>
      <c r="M12">
        <f ca="1"/>
        <v>0</v>
      </c>
      <c r="N12">
        <f ca="1"/>
        <v>5.1619298633437879E-5</v>
      </c>
      <c r="O12">
        <f ca="1"/>
        <v>5.1619298633437879E-5</v>
      </c>
      <c r="P12">
        <f ca="1"/>
        <v>0</v>
      </c>
      <c r="Q12">
        <f ca="1"/>
        <v>0</v>
      </c>
      <c r="R12">
        <f ca="1"/>
        <v>0</v>
      </c>
      <c r="S12">
        <f ca="1"/>
        <v>0</v>
      </c>
      <c r="T12">
        <f ca="1"/>
        <v>0</v>
      </c>
      <c r="U12">
        <f ca="1"/>
        <v>0</v>
      </c>
      <c r="V12">
        <f ca="1"/>
        <v>0</v>
      </c>
      <c r="W12">
        <f ca="1"/>
        <v>0</v>
      </c>
      <c r="X12">
        <f ca="1"/>
        <v>0</v>
      </c>
      <c r="Y12">
        <f ca="1"/>
        <v>0</v>
      </c>
      <c r="Z12">
        <f ca="1"/>
        <v>0</v>
      </c>
      <c r="AA12">
        <f ca="1"/>
        <v>0</v>
      </c>
      <c r="AB12">
        <f ca="1"/>
        <v>0</v>
      </c>
      <c r="AC12">
        <f t="shared" ca="1" si="1"/>
        <v>1.1728267864550489E-3</v>
      </c>
      <c r="AD12" s="582">
        <f t="shared" ca="1" si="2"/>
        <v>0</v>
      </c>
      <c r="AE12" s="582">
        <f t="shared" ca="1" si="3"/>
        <v>0</v>
      </c>
      <c r="AF12" s="582">
        <f t="shared" ca="1" si="4"/>
        <v>0</v>
      </c>
      <c r="AG12" s="582">
        <f t="shared" ca="1" si="5"/>
        <v>0</v>
      </c>
      <c r="AH12" s="582">
        <f t="shared" ca="1" si="6"/>
        <v>0</v>
      </c>
      <c r="AI12" s="582">
        <f t="shared" ca="1" si="7"/>
        <v>0.91197455714758913</v>
      </c>
      <c r="AJ12" s="582">
        <f t="shared" ca="1" si="8"/>
        <v>0</v>
      </c>
      <c r="AK12" s="582">
        <f t="shared" ca="1" si="9"/>
        <v>0</v>
      </c>
      <c r="AL12" s="582">
        <f t="shared" ca="1" si="10"/>
        <v>0</v>
      </c>
      <c r="AM12" s="582">
        <f t="shared" ca="1" si="11"/>
        <v>0</v>
      </c>
      <c r="AN12" s="582">
        <f t="shared" ca="1" si="12"/>
        <v>0</v>
      </c>
      <c r="AO12" s="582">
        <f t="shared" ca="1" si="13"/>
        <v>4.4012721426205506E-2</v>
      </c>
      <c r="AP12" s="582">
        <f t="shared" ca="1" si="14"/>
        <v>4.4012721426205506E-2</v>
      </c>
      <c r="AQ12" s="582">
        <f t="shared" ca="1" si="15"/>
        <v>0</v>
      </c>
      <c r="AR12" s="582">
        <f t="shared" ca="1" si="16"/>
        <v>0</v>
      </c>
      <c r="AS12" s="582">
        <f t="shared" ca="1" si="17"/>
        <v>0</v>
      </c>
      <c r="AT12" s="582">
        <f t="shared" ca="1" si="18"/>
        <v>0</v>
      </c>
      <c r="AU12" s="582">
        <f t="shared" ca="1" si="19"/>
        <v>0</v>
      </c>
      <c r="AV12" s="582">
        <f t="shared" ca="1" si="20"/>
        <v>0</v>
      </c>
      <c r="AW12" s="582">
        <f t="shared" ca="1" si="21"/>
        <v>0</v>
      </c>
      <c r="AX12" s="582">
        <f t="shared" ca="1" si="22"/>
        <v>0</v>
      </c>
      <c r="AY12" s="582">
        <f t="shared" ca="1" si="23"/>
        <v>0</v>
      </c>
      <c r="AZ12" s="582">
        <f t="shared" ca="1" si="24"/>
        <v>0</v>
      </c>
      <c r="BA12" s="582">
        <f t="shared" ca="1" si="25"/>
        <v>0</v>
      </c>
      <c r="BB12" s="582">
        <f t="shared" ca="1" si="26"/>
        <v>0</v>
      </c>
      <c r="BC12" s="582">
        <f t="shared" ca="1" si="27"/>
        <v>0</v>
      </c>
      <c r="BD12" s="582">
        <f t="shared" ca="1" si="28"/>
        <v>1.0000000000000002</v>
      </c>
    </row>
    <row r="13" spans="1:56" ht="15">
      <c r="A13" s="22">
        <f t="shared" si="29"/>
        <v>2033</v>
      </c>
      <c r="B13" s="586">
        <v>8</v>
      </c>
      <c r="C13" s="583">
        <f ca="1"/>
        <v>0</v>
      </c>
      <c r="D13" s="583">
        <f ca="1"/>
        <v>0</v>
      </c>
      <c r="E13" s="583">
        <f ca="1"/>
        <v>0</v>
      </c>
      <c r="F13" s="583">
        <f ca="1"/>
        <v>0</v>
      </c>
      <c r="G13" s="583">
        <f ca="1"/>
        <v>0</v>
      </c>
      <c r="H13" s="583">
        <f ca="1"/>
        <v>1.0695881891881734E-3</v>
      </c>
      <c r="I13" s="583">
        <f ca="1"/>
        <v>0</v>
      </c>
      <c r="J13">
        <f ca="1"/>
        <v>0</v>
      </c>
      <c r="K13">
        <f ca="1"/>
        <v>0</v>
      </c>
      <c r="L13">
        <f ca="1"/>
        <v>0</v>
      </c>
      <c r="M13">
        <f ca="1"/>
        <v>0</v>
      </c>
      <c r="N13">
        <f ca="1"/>
        <v>5.1619298633437879E-5</v>
      </c>
      <c r="O13">
        <f ca="1"/>
        <v>5.1619298633437879E-5</v>
      </c>
      <c r="P13">
        <f ca="1"/>
        <v>0</v>
      </c>
      <c r="Q13">
        <f ca="1"/>
        <v>0</v>
      </c>
      <c r="R13">
        <f ca="1"/>
        <v>0</v>
      </c>
      <c r="S13">
        <f ca="1"/>
        <v>0</v>
      </c>
      <c r="T13">
        <f ca="1"/>
        <v>0</v>
      </c>
      <c r="U13">
        <f ca="1"/>
        <v>0</v>
      </c>
      <c r="V13">
        <f ca="1"/>
        <v>0</v>
      </c>
      <c r="W13">
        <f ca="1"/>
        <v>0</v>
      </c>
      <c r="X13">
        <f ca="1"/>
        <v>0</v>
      </c>
      <c r="Y13">
        <f ca="1"/>
        <v>0</v>
      </c>
      <c r="Z13">
        <f ca="1"/>
        <v>0</v>
      </c>
      <c r="AA13">
        <f ca="1"/>
        <v>0</v>
      </c>
      <c r="AB13">
        <f ca="1"/>
        <v>0</v>
      </c>
      <c r="AC13">
        <f t="shared" ca="1" si="1"/>
        <v>1.1728267864550489E-3</v>
      </c>
      <c r="AD13" s="582">
        <f t="shared" ca="1" si="2"/>
        <v>0</v>
      </c>
      <c r="AE13" s="582">
        <f t="shared" ca="1" si="3"/>
        <v>0</v>
      </c>
      <c r="AF13" s="582">
        <f t="shared" ca="1" si="4"/>
        <v>0</v>
      </c>
      <c r="AG13" s="582">
        <f t="shared" ca="1" si="5"/>
        <v>0</v>
      </c>
      <c r="AH13" s="582">
        <f t="shared" ca="1" si="6"/>
        <v>0</v>
      </c>
      <c r="AI13" s="582">
        <f t="shared" ca="1" si="7"/>
        <v>0.91197455714758913</v>
      </c>
      <c r="AJ13" s="582">
        <f t="shared" ca="1" si="8"/>
        <v>0</v>
      </c>
      <c r="AK13" s="582">
        <f t="shared" ca="1" si="9"/>
        <v>0</v>
      </c>
      <c r="AL13" s="582">
        <f t="shared" ca="1" si="10"/>
        <v>0</v>
      </c>
      <c r="AM13" s="582">
        <f t="shared" ca="1" si="11"/>
        <v>0</v>
      </c>
      <c r="AN13" s="582">
        <f t="shared" ca="1" si="12"/>
        <v>0</v>
      </c>
      <c r="AO13" s="582">
        <f t="shared" ca="1" si="13"/>
        <v>4.4012721426205506E-2</v>
      </c>
      <c r="AP13" s="582">
        <f t="shared" ca="1" si="14"/>
        <v>4.4012721426205506E-2</v>
      </c>
      <c r="AQ13" s="582">
        <f t="shared" ca="1" si="15"/>
        <v>0</v>
      </c>
      <c r="AR13" s="582">
        <f t="shared" ca="1" si="16"/>
        <v>0</v>
      </c>
      <c r="AS13" s="582">
        <f t="shared" ca="1" si="17"/>
        <v>0</v>
      </c>
      <c r="AT13" s="582">
        <f t="shared" ca="1" si="18"/>
        <v>0</v>
      </c>
      <c r="AU13" s="582">
        <f t="shared" ca="1" si="19"/>
        <v>0</v>
      </c>
      <c r="AV13" s="582">
        <f t="shared" ca="1" si="20"/>
        <v>0</v>
      </c>
      <c r="AW13" s="582">
        <f t="shared" ca="1" si="21"/>
        <v>0</v>
      </c>
      <c r="AX13" s="582">
        <f t="shared" ca="1" si="22"/>
        <v>0</v>
      </c>
      <c r="AY13" s="582">
        <f t="shared" ca="1" si="23"/>
        <v>0</v>
      </c>
      <c r="AZ13" s="582">
        <f t="shared" ca="1" si="24"/>
        <v>0</v>
      </c>
      <c r="BA13" s="582">
        <f t="shared" ca="1" si="25"/>
        <v>0</v>
      </c>
      <c r="BB13" s="582">
        <f t="shared" ca="1" si="26"/>
        <v>0</v>
      </c>
      <c r="BC13" s="582">
        <f t="shared" ca="1" si="27"/>
        <v>0</v>
      </c>
      <c r="BD13" s="582">
        <f t="shared" ca="1" si="28"/>
        <v>1.0000000000000002</v>
      </c>
    </row>
    <row r="14" spans="1:56" ht="15">
      <c r="A14" s="22">
        <f t="shared" si="29"/>
        <v>2034</v>
      </c>
      <c r="B14" s="586">
        <v>9</v>
      </c>
      <c r="C14" s="583">
        <f ca="1"/>
        <v>0</v>
      </c>
      <c r="D14" s="583">
        <f ca="1"/>
        <v>0</v>
      </c>
      <c r="E14" s="583">
        <f ca="1"/>
        <v>0</v>
      </c>
      <c r="F14" s="583">
        <f ca="1"/>
        <v>0</v>
      </c>
      <c r="G14" s="583">
        <f ca="1"/>
        <v>0</v>
      </c>
      <c r="H14" s="583">
        <f ca="1"/>
        <v>1.0695881891881734E-3</v>
      </c>
      <c r="I14" s="583">
        <f ca="1"/>
        <v>0</v>
      </c>
      <c r="J14">
        <f ca="1"/>
        <v>0</v>
      </c>
      <c r="K14">
        <f ca="1"/>
        <v>0</v>
      </c>
      <c r="L14">
        <f ca="1"/>
        <v>0</v>
      </c>
      <c r="M14">
        <f ca="1"/>
        <v>0</v>
      </c>
      <c r="N14">
        <f ca="1"/>
        <v>5.1619298633437879E-5</v>
      </c>
      <c r="O14">
        <f ca="1"/>
        <v>5.1619298633437879E-5</v>
      </c>
      <c r="P14">
        <f ca="1"/>
        <v>0</v>
      </c>
      <c r="Q14">
        <f ca="1"/>
        <v>0</v>
      </c>
      <c r="R14">
        <f ca="1"/>
        <v>0</v>
      </c>
      <c r="S14">
        <f ca="1"/>
        <v>0</v>
      </c>
      <c r="T14">
        <f ca="1"/>
        <v>0</v>
      </c>
      <c r="U14">
        <f ca="1"/>
        <v>0</v>
      </c>
      <c r="V14">
        <f ca="1"/>
        <v>0</v>
      </c>
      <c r="W14">
        <f ca="1"/>
        <v>0</v>
      </c>
      <c r="X14">
        <f ca="1"/>
        <v>0</v>
      </c>
      <c r="Y14">
        <f ca="1"/>
        <v>0</v>
      </c>
      <c r="Z14">
        <f ca="1"/>
        <v>0</v>
      </c>
      <c r="AA14">
        <f ca="1"/>
        <v>0</v>
      </c>
      <c r="AB14">
        <f ca="1"/>
        <v>0</v>
      </c>
      <c r="AC14">
        <f t="shared" ca="1" si="1"/>
        <v>1.1728267864550489E-3</v>
      </c>
      <c r="AD14" s="582">
        <f t="shared" ca="1" si="2"/>
        <v>0</v>
      </c>
      <c r="AE14" s="582">
        <f t="shared" ca="1" si="3"/>
        <v>0</v>
      </c>
      <c r="AF14" s="582">
        <f t="shared" ca="1" si="4"/>
        <v>0</v>
      </c>
      <c r="AG14" s="582">
        <f t="shared" ca="1" si="5"/>
        <v>0</v>
      </c>
      <c r="AH14" s="582">
        <f t="shared" ca="1" si="6"/>
        <v>0</v>
      </c>
      <c r="AI14" s="582">
        <f t="shared" ca="1" si="7"/>
        <v>0.91197455714758913</v>
      </c>
      <c r="AJ14" s="582">
        <f t="shared" ca="1" si="8"/>
        <v>0</v>
      </c>
      <c r="AK14" s="582">
        <f t="shared" ca="1" si="9"/>
        <v>0</v>
      </c>
      <c r="AL14" s="582">
        <f t="shared" ca="1" si="10"/>
        <v>0</v>
      </c>
      <c r="AM14" s="582">
        <f t="shared" ca="1" si="11"/>
        <v>0</v>
      </c>
      <c r="AN14" s="582">
        <f t="shared" ca="1" si="12"/>
        <v>0</v>
      </c>
      <c r="AO14" s="582">
        <f t="shared" ca="1" si="13"/>
        <v>4.4012721426205506E-2</v>
      </c>
      <c r="AP14" s="582">
        <f t="shared" ca="1" si="14"/>
        <v>4.4012721426205506E-2</v>
      </c>
      <c r="AQ14" s="582">
        <f t="shared" ca="1" si="15"/>
        <v>0</v>
      </c>
      <c r="AR14" s="582">
        <f t="shared" ca="1" si="16"/>
        <v>0</v>
      </c>
      <c r="AS14" s="582">
        <f t="shared" ca="1" si="17"/>
        <v>0</v>
      </c>
      <c r="AT14" s="582">
        <f t="shared" ca="1" si="18"/>
        <v>0</v>
      </c>
      <c r="AU14" s="582">
        <f t="shared" ca="1" si="19"/>
        <v>0</v>
      </c>
      <c r="AV14" s="582">
        <f t="shared" ca="1" si="20"/>
        <v>0</v>
      </c>
      <c r="AW14" s="582">
        <f t="shared" ca="1" si="21"/>
        <v>0</v>
      </c>
      <c r="AX14" s="582">
        <f t="shared" ca="1" si="22"/>
        <v>0</v>
      </c>
      <c r="AY14" s="582">
        <f t="shared" ca="1" si="23"/>
        <v>0</v>
      </c>
      <c r="AZ14" s="582">
        <f t="shared" ca="1" si="24"/>
        <v>0</v>
      </c>
      <c r="BA14" s="582">
        <f t="shared" ca="1" si="25"/>
        <v>0</v>
      </c>
      <c r="BB14" s="582">
        <f t="shared" ca="1" si="26"/>
        <v>0</v>
      </c>
      <c r="BC14" s="582">
        <f t="shared" ca="1" si="27"/>
        <v>0</v>
      </c>
      <c r="BD14" s="582">
        <f t="shared" ca="1" si="28"/>
        <v>1.0000000000000002</v>
      </c>
    </row>
    <row r="15" spans="1:56" ht="15">
      <c r="A15" s="22">
        <f t="shared" si="29"/>
        <v>2035</v>
      </c>
      <c r="B15" s="586">
        <v>10</v>
      </c>
      <c r="C15" s="583">
        <f ca="1"/>
        <v>0</v>
      </c>
      <c r="D15" s="583">
        <f ca="1"/>
        <v>0</v>
      </c>
      <c r="E15" s="583">
        <f ca="1"/>
        <v>0</v>
      </c>
      <c r="F15" s="583">
        <f ca="1"/>
        <v>0</v>
      </c>
      <c r="G15" s="583">
        <f ca="1"/>
        <v>0</v>
      </c>
      <c r="H15" s="583">
        <f ca="1"/>
        <v>1.0695881891881734E-3</v>
      </c>
      <c r="I15" s="583">
        <f ca="1"/>
        <v>0</v>
      </c>
      <c r="J15">
        <f ca="1"/>
        <v>0</v>
      </c>
      <c r="K15">
        <f ca="1"/>
        <v>0</v>
      </c>
      <c r="L15">
        <f ca="1"/>
        <v>0</v>
      </c>
      <c r="M15">
        <f ca="1"/>
        <v>0</v>
      </c>
      <c r="N15">
        <f ca="1"/>
        <v>5.1619298633437879E-5</v>
      </c>
      <c r="O15">
        <f ca="1"/>
        <v>5.1619298633437879E-5</v>
      </c>
      <c r="P15">
        <f ca="1"/>
        <v>0</v>
      </c>
      <c r="Q15">
        <f ca="1"/>
        <v>0</v>
      </c>
      <c r="R15">
        <f ca="1"/>
        <v>0</v>
      </c>
      <c r="S15">
        <f ca="1"/>
        <v>0</v>
      </c>
      <c r="T15">
        <f ca="1"/>
        <v>0</v>
      </c>
      <c r="U15">
        <f ca="1"/>
        <v>0</v>
      </c>
      <c r="V15">
        <f ca="1"/>
        <v>0</v>
      </c>
      <c r="W15">
        <f ca="1"/>
        <v>0</v>
      </c>
      <c r="X15">
        <f ca="1"/>
        <v>0</v>
      </c>
      <c r="Y15">
        <f ca="1"/>
        <v>0</v>
      </c>
      <c r="Z15">
        <f ca="1"/>
        <v>0</v>
      </c>
      <c r="AA15">
        <f ca="1"/>
        <v>0</v>
      </c>
      <c r="AB15">
        <f ca="1"/>
        <v>0</v>
      </c>
      <c r="AC15">
        <f t="shared" ca="1" si="1"/>
        <v>1.1728267864550489E-3</v>
      </c>
      <c r="AD15" s="582">
        <f t="shared" ca="1" si="2"/>
        <v>0</v>
      </c>
      <c r="AE15" s="582">
        <f t="shared" ca="1" si="3"/>
        <v>0</v>
      </c>
      <c r="AF15" s="582">
        <f t="shared" ca="1" si="4"/>
        <v>0</v>
      </c>
      <c r="AG15" s="582">
        <f t="shared" ca="1" si="5"/>
        <v>0</v>
      </c>
      <c r="AH15" s="582">
        <f t="shared" ca="1" si="6"/>
        <v>0</v>
      </c>
      <c r="AI15" s="582">
        <f t="shared" ca="1" si="7"/>
        <v>0.91197455714758913</v>
      </c>
      <c r="AJ15" s="582">
        <f t="shared" ca="1" si="8"/>
        <v>0</v>
      </c>
      <c r="AK15" s="582">
        <f t="shared" ca="1" si="9"/>
        <v>0</v>
      </c>
      <c r="AL15" s="582">
        <f t="shared" ca="1" si="10"/>
        <v>0</v>
      </c>
      <c r="AM15" s="582">
        <f t="shared" ca="1" si="11"/>
        <v>0</v>
      </c>
      <c r="AN15" s="582">
        <f t="shared" ca="1" si="12"/>
        <v>0</v>
      </c>
      <c r="AO15" s="582">
        <f t="shared" ca="1" si="13"/>
        <v>4.4012721426205506E-2</v>
      </c>
      <c r="AP15" s="582">
        <f t="shared" ca="1" si="14"/>
        <v>4.4012721426205506E-2</v>
      </c>
      <c r="AQ15" s="582">
        <f t="shared" ca="1" si="15"/>
        <v>0</v>
      </c>
      <c r="AR15" s="582">
        <f t="shared" ca="1" si="16"/>
        <v>0</v>
      </c>
      <c r="AS15" s="582">
        <f t="shared" ca="1" si="17"/>
        <v>0</v>
      </c>
      <c r="AT15" s="582">
        <f t="shared" ca="1" si="18"/>
        <v>0</v>
      </c>
      <c r="AU15" s="582">
        <f t="shared" ca="1" si="19"/>
        <v>0</v>
      </c>
      <c r="AV15" s="582">
        <f t="shared" ca="1" si="20"/>
        <v>0</v>
      </c>
      <c r="AW15" s="582">
        <f t="shared" ca="1" si="21"/>
        <v>0</v>
      </c>
      <c r="AX15" s="582">
        <f t="shared" ca="1" si="22"/>
        <v>0</v>
      </c>
      <c r="AY15" s="582">
        <f t="shared" ca="1" si="23"/>
        <v>0</v>
      </c>
      <c r="AZ15" s="582">
        <f t="shared" ca="1" si="24"/>
        <v>0</v>
      </c>
      <c r="BA15" s="582">
        <f t="shared" ca="1" si="25"/>
        <v>0</v>
      </c>
      <c r="BB15" s="582">
        <f t="shared" ca="1" si="26"/>
        <v>0</v>
      </c>
      <c r="BC15" s="582">
        <f t="shared" ca="1" si="27"/>
        <v>0</v>
      </c>
      <c r="BD15" s="582">
        <f t="shared" ca="1" si="28"/>
        <v>1.0000000000000002</v>
      </c>
    </row>
    <row r="16" spans="1:56" ht="15">
      <c r="A16" s="22">
        <f t="shared" si="29"/>
        <v>2036</v>
      </c>
      <c r="B16" s="586">
        <v>11</v>
      </c>
      <c r="C16" s="583">
        <f ca="1"/>
        <v>0</v>
      </c>
      <c r="D16" s="583">
        <f ca="1"/>
        <v>0</v>
      </c>
      <c r="E16" s="583">
        <f ca="1"/>
        <v>0</v>
      </c>
      <c r="F16" s="583">
        <f ca="1"/>
        <v>0</v>
      </c>
      <c r="G16" s="583">
        <f ca="1"/>
        <v>0</v>
      </c>
      <c r="H16" s="583">
        <f ca="1"/>
        <v>1.0695881891881734E-3</v>
      </c>
      <c r="I16" s="583">
        <f ca="1"/>
        <v>0</v>
      </c>
      <c r="J16">
        <f ca="1"/>
        <v>0</v>
      </c>
      <c r="K16">
        <f ca="1"/>
        <v>0</v>
      </c>
      <c r="L16">
        <f ca="1"/>
        <v>0</v>
      </c>
      <c r="M16">
        <f ca="1"/>
        <v>0</v>
      </c>
      <c r="N16">
        <f ca="1"/>
        <v>5.1619298633437879E-5</v>
      </c>
      <c r="O16">
        <f ca="1"/>
        <v>5.1619298633437879E-5</v>
      </c>
      <c r="P16">
        <f ca="1"/>
        <v>0</v>
      </c>
      <c r="Q16">
        <f ca="1"/>
        <v>0</v>
      </c>
      <c r="R16">
        <f ca="1"/>
        <v>0</v>
      </c>
      <c r="S16">
        <f ca="1"/>
        <v>0</v>
      </c>
      <c r="T16">
        <f ca="1"/>
        <v>0</v>
      </c>
      <c r="U16">
        <f ca="1"/>
        <v>0</v>
      </c>
      <c r="V16">
        <f ca="1"/>
        <v>0</v>
      </c>
      <c r="W16">
        <f ca="1"/>
        <v>0</v>
      </c>
      <c r="X16">
        <f ca="1"/>
        <v>0</v>
      </c>
      <c r="Y16">
        <f ca="1"/>
        <v>0</v>
      </c>
      <c r="Z16">
        <f ca="1"/>
        <v>0</v>
      </c>
      <c r="AA16">
        <f ca="1"/>
        <v>0</v>
      </c>
      <c r="AB16">
        <f ca="1"/>
        <v>0</v>
      </c>
      <c r="AC16">
        <f t="shared" ca="1" si="1"/>
        <v>1.1728267864550489E-3</v>
      </c>
      <c r="AD16" s="582">
        <f t="shared" ca="1" si="2"/>
        <v>0</v>
      </c>
      <c r="AE16" s="582">
        <f t="shared" ca="1" si="3"/>
        <v>0</v>
      </c>
      <c r="AF16" s="582">
        <f t="shared" ca="1" si="4"/>
        <v>0</v>
      </c>
      <c r="AG16" s="582">
        <f t="shared" ca="1" si="5"/>
        <v>0</v>
      </c>
      <c r="AH16" s="582">
        <f t="shared" ca="1" si="6"/>
        <v>0</v>
      </c>
      <c r="AI16" s="582">
        <f t="shared" ca="1" si="7"/>
        <v>0.91197455714758913</v>
      </c>
      <c r="AJ16" s="582">
        <f t="shared" ca="1" si="8"/>
        <v>0</v>
      </c>
      <c r="AK16" s="582">
        <f t="shared" ca="1" si="9"/>
        <v>0</v>
      </c>
      <c r="AL16" s="582">
        <f t="shared" ca="1" si="10"/>
        <v>0</v>
      </c>
      <c r="AM16" s="582">
        <f t="shared" ca="1" si="11"/>
        <v>0</v>
      </c>
      <c r="AN16" s="582">
        <f t="shared" ca="1" si="12"/>
        <v>0</v>
      </c>
      <c r="AO16" s="582">
        <f t="shared" ca="1" si="13"/>
        <v>4.4012721426205506E-2</v>
      </c>
      <c r="AP16" s="582">
        <f t="shared" ca="1" si="14"/>
        <v>4.4012721426205506E-2</v>
      </c>
      <c r="AQ16" s="582">
        <f t="shared" ca="1" si="15"/>
        <v>0</v>
      </c>
      <c r="AR16" s="582">
        <f t="shared" ca="1" si="16"/>
        <v>0</v>
      </c>
      <c r="AS16" s="582">
        <f t="shared" ca="1" si="17"/>
        <v>0</v>
      </c>
      <c r="AT16" s="582">
        <f t="shared" ca="1" si="18"/>
        <v>0</v>
      </c>
      <c r="AU16" s="582">
        <f t="shared" ca="1" si="19"/>
        <v>0</v>
      </c>
      <c r="AV16" s="582">
        <f t="shared" ca="1" si="20"/>
        <v>0</v>
      </c>
      <c r="AW16" s="582">
        <f t="shared" ca="1" si="21"/>
        <v>0</v>
      </c>
      <c r="AX16" s="582">
        <f t="shared" ca="1" si="22"/>
        <v>0</v>
      </c>
      <c r="AY16" s="582">
        <f t="shared" ca="1" si="23"/>
        <v>0</v>
      </c>
      <c r="AZ16" s="582">
        <f t="shared" ca="1" si="24"/>
        <v>0</v>
      </c>
      <c r="BA16" s="582">
        <f t="shared" ca="1" si="25"/>
        <v>0</v>
      </c>
      <c r="BB16" s="582">
        <f t="shared" ca="1" si="26"/>
        <v>0</v>
      </c>
      <c r="BC16" s="582">
        <f t="shared" ca="1" si="27"/>
        <v>0</v>
      </c>
      <c r="BD16" s="582">
        <f t="shared" ca="1" si="28"/>
        <v>1.0000000000000002</v>
      </c>
    </row>
    <row r="17" spans="1:56" ht="15">
      <c r="A17" s="22">
        <f t="shared" si="29"/>
        <v>2037</v>
      </c>
      <c r="B17" s="586">
        <v>12</v>
      </c>
      <c r="C17" s="583">
        <f ca="1"/>
        <v>0</v>
      </c>
      <c r="D17" s="583">
        <f ca="1"/>
        <v>0</v>
      </c>
      <c r="E17" s="583">
        <f ca="1"/>
        <v>0</v>
      </c>
      <c r="F17" s="583">
        <f ca="1"/>
        <v>0</v>
      </c>
      <c r="G17" s="583">
        <f ca="1"/>
        <v>0</v>
      </c>
      <c r="H17" s="583">
        <f ca="1"/>
        <v>1.0695881891881734E-3</v>
      </c>
      <c r="I17" s="583">
        <f ca="1"/>
        <v>0</v>
      </c>
      <c r="J17">
        <f ca="1"/>
        <v>0</v>
      </c>
      <c r="K17">
        <f ca="1"/>
        <v>0</v>
      </c>
      <c r="L17">
        <f ca="1"/>
        <v>0</v>
      </c>
      <c r="M17">
        <f ca="1"/>
        <v>0</v>
      </c>
      <c r="N17">
        <f ca="1"/>
        <v>5.1619298633437879E-5</v>
      </c>
      <c r="O17">
        <f ca="1"/>
        <v>5.1619298633437879E-5</v>
      </c>
      <c r="P17">
        <f ca="1"/>
        <v>0</v>
      </c>
      <c r="Q17">
        <f ca="1"/>
        <v>0</v>
      </c>
      <c r="R17">
        <f ca="1"/>
        <v>0</v>
      </c>
      <c r="S17">
        <f ca="1"/>
        <v>0</v>
      </c>
      <c r="T17">
        <f ca="1"/>
        <v>0</v>
      </c>
      <c r="U17">
        <f ca="1"/>
        <v>0</v>
      </c>
      <c r="V17">
        <f ca="1"/>
        <v>0</v>
      </c>
      <c r="W17">
        <f ca="1"/>
        <v>0</v>
      </c>
      <c r="X17">
        <f ca="1"/>
        <v>0</v>
      </c>
      <c r="Y17">
        <f ca="1"/>
        <v>0</v>
      </c>
      <c r="Z17">
        <f ca="1"/>
        <v>0</v>
      </c>
      <c r="AA17">
        <f ca="1"/>
        <v>0</v>
      </c>
      <c r="AB17">
        <f ca="1"/>
        <v>0</v>
      </c>
      <c r="AC17">
        <f t="shared" ca="1" si="1"/>
        <v>1.1728267864550489E-3</v>
      </c>
      <c r="AD17" s="582">
        <f t="shared" ca="1" si="2"/>
        <v>0</v>
      </c>
      <c r="AE17" s="582">
        <f t="shared" ca="1" si="3"/>
        <v>0</v>
      </c>
      <c r="AF17" s="582">
        <f t="shared" ca="1" si="4"/>
        <v>0</v>
      </c>
      <c r="AG17" s="582">
        <f t="shared" ca="1" si="5"/>
        <v>0</v>
      </c>
      <c r="AH17" s="582">
        <f t="shared" ca="1" si="6"/>
        <v>0</v>
      </c>
      <c r="AI17" s="582">
        <f t="shared" ca="1" si="7"/>
        <v>0.91197455714758913</v>
      </c>
      <c r="AJ17" s="582">
        <f t="shared" ca="1" si="8"/>
        <v>0</v>
      </c>
      <c r="AK17" s="582">
        <f t="shared" ca="1" si="9"/>
        <v>0</v>
      </c>
      <c r="AL17" s="582">
        <f t="shared" ca="1" si="10"/>
        <v>0</v>
      </c>
      <c r="AM17" s="582">
        <f t="shared" ca="1" si="11"/>
        <v>0</v>
      </c>
      <c r="AN17" s="582">
        <f t="shared" ca="1" si="12"/>
        <v>0</v>
      </c>
      <c r="AO17" s="582">
        <f t="shared" ca="1" si="13"/>
        <v>4.4012721426205506E-2</v>
      </c>
      <c r="AP17" s="582">
        <f t="shared" ca="1" si="14"/>
        <v>4.4012721426205506E-2</v>
      </c>
      <c r="AQ17" s="582">
        <f t="shared" ca="1" si="15"/>
        <v>0</v>
      </c>
      <c r="AR17" s="582">
        <f t="shared" ca="1" si="16"/>
        <v>0</v>
      </c>
      <c r="AS17" s="582">
        <f t="shared" ca="1" si="17"/>
        <v>0</v>
      </c>
      <c r="AT17" s="582">
        <f t="shared" ca="1" si="18"/>
        <v>0</v>
      </c>
      <c r="AU17" s="582">
        <f t="shared" ca="1" si="19"/>
        <v>0</v>
      </c>
      <c r="AV17" s="582">
        <f t="shared" ca="1" si="20"/>
        <v>0</v>
      </c>
      <c r="AW17" s="582">
        <f t="shared" ca="1" si="21"/>
        <v>0</v>
      </c>
      <c r="AX17" s="582">
        <f t="shared" ca="1" si="22"/>
        <v>0</v>
      </c>
      <c r="AY17" s="582">
        <f t="shared" ca="1" si="23"/>
        <v>0</v>
      </c>
      <c r="AZ17" s="582">
        <f t="shared" ca="1" si="24"/>
        <v>0</v>
      </c>
      <c r="BA17" s="582">
        <f t="shared" ca="1" si="25"/>
        <v>0</v>
      </c>
      <c r="BB17" s="582">
        <f t="shared" ca="1" si="26"/>
        <v>0</v>
      </c>
      <c r="BC17" s="582">
        <f t="shared" ca="1" si="27"/>
        <v>0</v>
      </c>
      <c r="BD17" s="582">
        <f t="shared" ca="1" si="28"/>
        <v>1.0000000000000002</v>
      </c>
    </row>
    <row r="18" spans="1:56" ht="15">
      <c r="A18" s="22">
        <f t="shared" si="29"/>
        <v>2038</v>
      </c>
      <c r="B18" s="586">
        <v>13</v>
      </c>
      <c r="C18" s="583">
        <f ca="1"/>
        <v>0</v>
      </c>
      <c r="D18" s="583">
        <f ca="1"/>
        <v>0</v>
      </c>
      <c r="E18" s="583">
        <f ca="1"/>
        <v>0</v>
      </c>
      <c r="F18" s="583">
        <f ca="1"/>
        <v>0</v>
      </c>
      <c r="G18" s="583">
        <f ca="1"/>
        <v>0</v>
      </c>
      <c r="H18" s="583">
        <f ca="1"/>
        <v>1.0695881891881734E-3</v>
      </c>
      <c r="I18" s="583">
        <f ca="1"/>
        <v>0</v>
      </c>
      <c r="J18">
        <f ca="1"/>
        <v>0</v>
      </c>
      <c r="K18">
        <f ca="1"/>
        <v>0</v>
      </c>
      <c r="L18">
        <f ca="1"/>
        <v>0</v>
      </c>
      <c r="M18">
        <f ca="1"/>
        <v>0</v>
      </c>
      <c r="N18">
        <f ca="1"/>
        <v>5.1619298633437879E-5</v>
      </c>
      <c r="O18">
        <f ca="1"/>
        <v>5.1619298633437879E-5</v>
      </c>
      <c r="P18">
        <f ca="1"/>
        <v>0</v>
      </c>
      <c r="Q18">
        <f ca="1"/>
        <v>0</v>
      </c>
      <c r="R18">
        <f ca="1"/>
        <v>0</v>
      </c>
      <c r="S18">
        <f ca="1"/>
        <v>0</v>
      </c>
      <c r="T18">
        <f ca="1"/>
        <v>0</v>
      </c>
      <c r="U18">
        <f ca="1"/>
        <v>0</v>
      </c>
      <c r="V18">
        <f ca="1"/>
        <v>0</v>
      </c>
      <c r="W18">
        <f ca="1"/>
        <v>0</v>
      </c>
      <c r="X18">
        <f ca="1"/>
        <v>0</v>
      </c>
      <c r="Y18">
        <f ca="1"/>
        <v>0</v>
      </c>
      <c r="Z18">
        <f ca="1"/>
        <v>0</v>
      </c>
      <c r="AA18">
        <f ca="1"/>
        <v>0</v>
      </c>
      <c r="AB18">
        <f ca="1"/>
        <v>0</v>
      </c>
      <c r="AC18">
        <f t="shared" ca="1" si="1"/>
        <v>1.1728267864550489E-3</v>
      </c>
      <c r="AD18" s="582">
        <f t="shared" ca="1" si="2"/>
        <v>0</v>
      </c>
      <c r="AE18" s="582">
        <f t="shared" ca="1" si="3"/>
        <v>0</v>
      </c>
      <c r="AF18" s="582">
        <f t="shared" ca="1" si="4"/>
        <v>0</v>
      </c>
      <c r="AG18" s="582">
        <f t="shared" ca="1" si="5"/>
        <v>0</v>
      </c>
      <c r="AH18" s="582">
        <f t="shared" ca="1" si="6"/>
        <v>0</v>
      </c>
      <c r="AI18" s="582">
        <f t="shared" ca="1" si="7"/>
        <v>0.91197455714758913</v>
      </c>
      <c r="AJ18" s="582">
        <f t="shared" ca="1" si="8"/>
        <v>0</v>
      </c>
      <c r="AK18" s="582">
        <f t="shared" ca="1" si="9"/>
        <v>0</v>
      </c>
      <c r="AL18" s="582">
        <f t="shared" ca="1" si="10"/>
        <v>0</v>
      </c>
      <c r="AM18" s="582">
        <f t="shared" ca="1" si="11"/>
        <v>0</v>
      </c>
      <c r="AN18" s="582">
        <f t="shared" ca="1" si="12"/>
        <v>0</v>
      </c>
      <c r="AO18" s="582">
        <f t="shared" ca="1" si="13"/>
        <v>4.4012721426205506E-2</v>
      </c>
      <c r="AP18" s="582">
        <f t="shared" ca="1" si="14"/>
        <v>4.4012721426205506E-2</v>
      </c>
      <c r="AQ18" s="582">
        <f t="shared" ca="1" si="15"/>
        <v>0</v>
      </c>
      <c r="AR18" s="582">
        <f t="shared" ca="1" si="16"/>
        <v>0</v>
      </c>
      <c r="AS18" s="582">
        <f t="shared" ca="1" si="17"/>
        <v>0</v>
      </c>
      <c r="AT18" s="582">
        <f t="shared" ca="1" si="18"/>
        <v>0</v>
      </c>
      <c r="AU18" s="582">
        <f t="shared" ca="1" si="19"/>
        <v>0</v>
      </c>
      <c r="AV18" s="582">
        <f t="shared" ca="1" si="20"/>
        <v>0</v>
      </c>
      <c r="AW18" s="582">
        <f t="shared" ca="1" si="21"/>
        <v>0</v>
      </c>
      <c r="AX18" s="582">
        <f t="shared" ca="1" si="22"/>
        <v>0</v>
      </c>
      <c r="AY18" s="582">
        <f t="shared" ca="1" si="23"/>
        <v>0</v>
      </c>
      <c r="AZ18" s="582">
        <f t="shared" ca="1" si="24"/>
        <v>0</v>
      </c>
      <c r="BA18" s="582">
        <f t="shared" ca="1" si="25"/>
        <v>0</v>
      </c>
      <c r="BB18" s="582">
        <f t="shared" ca="1" si="26"/>
        <v>0</v>
      </c>
      <c r="BC18" s="582">
        <f t="shared" ca="1" si="27"/>
        <v>0</v>
      </c>
      <c r="BD18" s="582">
        <f t="shared" ca="1" si="28"/>
        <v>1.0000000000000002</v>
      </c>
    </row>
    <row r="19" spans="1:56" ht="15">
      <c r="A19" s="22">
        <f t="shared" si="29"/>
        <v>2039</v>
      </c>
      <c r="B19" s="586">
        <v>14</v>
      </c>
      <c r="C19" s="583">
        <f ca="1"/>
        <v>0</v>
      </c>
      <c r="D19" s="583">
        <f ca="1"/>
        <v>0</v>
      </c>
      <c r="E19" s="583">
        <f ca="1"/>
        <v>0</v>
      </c>
      <c r="F19" s="583">
        <f ca="1"/>
        <v>0</v>
      </c>
      <c r="G19" s="583">
        <f ca="1"/>
        <v>0</v>
      </c>
      <c r="H19" s="583">
        <f ca="1"/>
        <v>1.0695881891881734E-3</v>
      </c>
      <c r="I19" s="583">
        <f ca="1"/>
        <v>0</v>
      </c>
      <c r="J19">
        <f ca="1"/>
        <v>0</v>
      </c>
      <c r="K19">
        <f ca="1"/>
        <v>0</v>
      </c>
      <c r="L19">
        <f ca="1"/>
        <v>0</v>
      </c>
      <c r="M19">
        <f ca="1"/>
        <v>0</v>
      </c>
      <c r="N19">
        <f ca="1"/>
        <v>5.1619298633437879E-5</v>
      </c>
      <c r="O19">
        <f ca="1"/>
        <v>5.1619298633437879E-5</v>
      </c>
      <c r="P19">
        <f ca="1"/>
        <v>0</v>
      </c>
      <c r="Q19">
        <f ca="1"/>
        <v>0</v>
      </c>
      <c r="R19">
        <f ca="1"/>
        <v>0</v>
      </c>
      <c r="S19">
        <f ca="1"/>
        <v>0</v>
      </c>
      <c r="T19">
        <f ca="1"/>
        <v>0</v>
      </c>
      <c r="U19">
        <f ca="1"/>
        <v>0</v>
      </c>
      <c r="V19">
        <f ca="1"/>
        <v>0</v>
      </c>
      <c r="W19">
        <f ca="1"/>
        <v>0</v>
      </c>
      <c r="X19">
        <f ca="1"/>
        <v>0</v>
      </c>
      <c r="Y19">
        <f ca="1"/>
        <v>0</v>
      </c>
      <c r="Z19">
        <f ca="1"/>
        <v>0</v>
      </c>
      <c r="AA19">
        <f ca="1"/>
        <v>0</v>
      </c>
      <c r="AB19">
        <f ca="1"/>
        <v>0</v>
      </c>
      <c r="AC19">
        <f t="shared" ca="1" si="1"/>
        <v>1.1728267864550489E-3</v>
      </c>
      <c r="AD19" s="582">
        <f t="shared" ca="1" si="2"/>
        <v>0</v>
      </c>
      <c r="AE19" s="582">
        <f t="shared" ca="1" si="3"/>
        <v>0</v>
      </c>
      <c r="AF19" s="582">
        <f t="shared" ca="1" si="4"/>
        <v>0</v>
      </c>
      <c r="AG19" s="582">
        <f t="shared" ca="1" si="5"/>
        <v>0</v>
      </c>
      <c r="AH19" s="582">
        <f t="shared" ca="1" si="6"/>
        <v>0</v>
      </c>
      <c r="AI19" s="582">
        <f t="shared" ca="1" si="7"/>
        <v>0.91197455714758913</v>
      </c>
      <c r="AJ19" s="582">
        <f t="shared" ca="1" si="8"/>
        <v>0</v>
      </c>
      <c r="AK19" s="582">
        <f t="shared" ca="1" si="9"/>
        <v>0</v>
      </c>
      <c r="AL19" s="582">
        <f t="shared" ca="1" si="10"/>
        <v>0</v>
      </c>
      <c r="AM19" s="582">
        <f t="shared" ca="1" si="11"/>
        <v>0</v>
      </c>
      <c r="AN19" s="582">
        <f t="shared" ca="1" si="12"/>
        <v>0</v>
      </c>
      <c r="AO19" s="582">
        <f t="shared" ca="1" si="13"/>
        <v>4.4012721426205506E-2</v>
      </c>
      <c r="AP19" s="582">
        <f t="shared" ca="1" si="14"/>
        <v>4.4012721426205506E-2</v>
      </c>
      <c r="AQ19" s="582">
        <f t="shared" ca="1" si="15"/>
        <v>0</v>
      </c>
      <c r="AR19" s="582">
        <f t="shared" ca="1" si="16"/>
        <v>0</v>
      </c>
      <c r="AS19" s="582">
        <f t="shared" ca="1" si="17"/>
        <v>0</v>
      </c>
      <c r="AT19" s="582">
        <f t="shared" ca="1" si="18"/>
        <v>0</v>
      </c>
      <c r="AU19" s="582">
        <f t="shared" ca="1" si="19"/>
        <v>0</v>
      </c>
      <c r="AV19" s="582">
        <f t="shared" ca="1" si="20"/>
        <v>0</v>
      </c>
      <c r="AW19" s="582">
        <f t="shared" ca="1" si="21"/>
        <v>0</v>
      </c>
      <c r="AX19" s="582">
        <f t="shared" ca="1" si="22"/>
        <v>0</v>
      </c>
      <c r="AY19" s="582">
        <f t="shared" ca="1" si="23"/>
        <v>0</v>
      </c>
      <c r="AZ19" s="582">
        <f t="shared" ca="1" si="24"/>
        <v>0</v>
      </c>
      <c r="BA19" s="582">
        <f t="shared" ca="1" si="25"/>
        <v>0</v>
      </c>
      <c r="BB19" s="582">
        <f t="shared" ca="1" si="26"/>
        <v>0</v>
      </c>
      <c r="BC19" s="582">
        <f t="shared" ca="1" si="27"/>
        <v>0</v>
      </c>
      <c r="BD19" s="582">
        <f t="shared" ca="1" si="28"/>
        <v>1.0000000000000002</v>
      </c>
    </row>
    <row r="20" spans="1:56" ht="15">
      <c r="A20" s="22">
        <f t="shared" si="29"/>
        <v>2040</v>
      </c>
      <c r="B20" s="586">
        <v>15</v>
      </c>
      <c r="C20" s="583">
        <f ca="1"/>
        <v>0</v>
      </c>
      <c r="D20" s="583">
        <f ca="1"/>
        <v>0</v>
      </c>
      <c r="E20" s="583">
        <f ca="1"/>
        <v>0</v>
      </c>
      <c r="F20" s="583">
        <f ca="1"/>
        <v>0</v>
      </c>
      <c r="G20" s="583">
        <f ca="1"/>
        <v>0</v>
      </c>
      <c r="H20" s="583">
        <f ca="1"/>
        <v>1.0695881891881734E-3</v>
      </c>
      <c r="I20" s="583">
        <f ca="1"/>
        <v>0</v>
      </c>
      <c r="J20">
        <f ca="1"/>
        <v>0</v>
      </c>
      <c r="K20">
        <f ca="1"/>
        <v>0</v>
      </c>
      <c r="L20">
        <f ca="1"/>
        <v>0</v>
      </c>
      <c r="M20">
        <f ca="1"/>
        <v>0</v>
      </c>
      <c r="N20">
        <f ca="1"/>
        <v>5.1619298633437879E-5</v>
      </c>
      <c r="O20">
        <f ca="1"/>
        <v>5.1619298633437879E-5</v>
      </c>
      <c r="P20">
        <f ca="1"/>
        <v>0</v>
      </c>
      <c r="Q20">
        <f ca="1"/>
        <v>0</v>
      </c>
      <c r="R20">
        <f ca="1"/>
        <v>0</v>
      </c>
      <c r="S20">
        <f ca="1"/>
        <v>0</v>
      </c>
      <c r="T20">
        <f ca="1"/>
        <v>0</v>
      </c>
      <c r="U20">
        <f ca="1"/>
        <v>0</v>
      </c>
      <c r="V20">
        <f ca="1"/>
        <v>0</v>
      </c>
      <c r="W20">
        <f ca="1"/>
        <v>0</v>
      </c>
      <c r="X20">
        <f ca="1"/>
        <v>0</v>
      </c>
      <c r="Y20">
        <f ca="1"/>
        <v>0</v>
      </c>
      <c r="Z20">
        <f ca="1"/>
        <v>0</v>
      </c>
      <c r="AA20">
        <f ca="1"/>
        <v>0</v>
      </c>
      <c r="AB20">
        <f ca="1"/>
        <v>0</v>
      </c>
      <c r="AC20">
        <f t="shared" ca="1" si="1"/>
        <v>1.1728267864550489E-3</v>
      </c>
      <c r="AD20" s="582">
        <f t="shared" ca="1" si="2"/>
        <v>0</v>
      </c>
      <c r="AE20" s="582">
        <f t="shared" ca="1" si="3"/>
        <v>0</v>
      </c>
      <c r="AF20" s="582">
        <f t="shared" ca="1" si="4"/>
        <v>0</v>
      </c>
      <c r="AG20" s="582">
        <f t="shared" ca="1" si="5"/>
        <v>0</v>
      </c>
      <c r="AH20" s="582">
        <f t="shared" ca="1" si="6"/>
        <v>0</v>
      </c>
      <c r="AI20" s="582">
        <f t="shared" ca="1" si="7"/>
        <v>0.91197455714758913</v>
      </c>
      <c r="AJ20" s="582">
        <f t="shared" ca="1" si="8"/>
        <v>0</v>
      </c>
      <c r="AK20" s="582">
        <f t="shared" ca="1" si="9"/>
        <v>0</v>
      </c>
      <c r="AL20" s="582">
        <f t="shared" ca="1" si="10"/>
        <v>0</v>
      </c>
      <c r="AM20" s="582">
        <f t="shared" ca="1" si="11"/>
        <v>0</v>
      </c>
      <c r="AN20" s="582">
        <f t="shared" ca="1" si="12"/>
        <v>0</v>
      </c>
      <c r="AO20" s="582">
        <f t="shared" ca="1" si="13"/>
        <v>4.4012721426205506E-2</v>
      </c>
      <c r="AP20" s="582">
        <f t="shared" ca="1" si="14"/>
        <v>4.4012721426205506E-2</v>
      </c>
      <c r="AQ20" s="582">
        <f t="shared" ca="1" si="15"/>
        <v>0</v>
      </c>
      <c r="AR20" s="582">
        <f t="shared" ca="1" si="16"/>
        <v>0</v>
      </c>
      <c r="AS20" s="582">
        <f t="shared" ca="1" si="17"/>
        <v>0</v>
      </c>
      <c r="AT20" s="582">
        <f t="shared" ca="1" si="18"/>
        <v>0</v>
      </c>
      <c r="AU20" s="582">
        <f t="shared" ca="1" si="19"/>
        <v>0</v>
      </c>
      <c r="AV20" s="582">
        <f t="shared" ca="1" si="20"/>
        <v>0</v>
      </c>
      <c r="AW20" s="582">
        <f t="shared" ca="1" si="21"/>
        <v>0</v>
      </c>
      <c r="AX20" s="582">
        <f t="shared" ca="1" si="22"/>
        <v>0</v>
      </c>
      <c r="AY20" s="582">
        <f t="shared" ca="1" si="23"/>
        <v>0</v>
      </c>
      <c r="AZ20" s="582">
        <f t="shared" ca="1" si="24"/>
        <v>0</v>
      </c>
      <c r="BA20" s="582">
        <f t="shared" ca="1" si="25"/>
        <v>0</v>
      </c>
      <c r="BB20" s="582">
        <f t="shared" ca="1" si="26"/>
        <v>0</v>
      </c>
      <c r="BC20" s="582">
        <f t="shared" ca="1" si="27"/>
        <v>0</v>
      </c>
      <c r="BD20" s="582">
        <f t="shared" ca="1" si="28"/>
        <v>1.0000000000000002</v>
      </c>
    </row>
    <row r="21" spans="1:56" ht="15">
      <c r="A21" s="22">
        <f t="shared" si="29"/>
        <v>2041</v>
      </c>
      <c r="B21" s="586">
        <v>16</v>
      </c>
      <c r="C21" s="583">
        <f ca="1"/>
        <v>0</v>
      </c>
      <c r="D21" s="583">
        <f ca="1"/>
        <v>0</v>
      </c>
      <c r="E21" s="583">
        <f ca="1"/>
        <v>0</v>
      </c>
      <c r="F21" s="583">
        <f ca="1"/>
        <v>0</v>
      </c>
      <c r="G21" s="583">
        <f ca="1"/>
        <v>0</v>
      </c>
      <c r="H21" s="583">
        <f ca="1"/>
        <v>1.0695881891881734E-3</v>
      </c>
      <c r="I21" s="583">
        <f ca="1"/>
        <v>0</v>
      </c>
      <c r="J21">
        <f ca="1"/>
        <v>0</v>
      </c>
      <c r="K21">
        <f ca="1"/>
        <v>0</v>
      </c>
      <c r="L21">
        <f ca="1"/>
        <v>0</v>
      </c>
      <c r="M21">
        <f ca="1"/>
        <v>0</v>
      </c>
      <c r="N21">
        <f ca="1"/>
        <v>5.1619298633437879E-5</v>
      </c>
      <c r="O21">
        <f ca="1"/>
        <v>5.1619298633437879E-5</v>
      </c>
      <c r="P21">
        <f ca="1"/>
        <v>0</v>
      </c>
      <c r="Q21">
        <f ca="1"/>
        <v>0</v>
      </c>
      <c r="R21">
        <f ca="1"/>
        <v>0</v>
      </c>
      <c r="S21">
        <f ca="1"/>
        <v>0</v>
      </c>
      <c r="T21">
        <f ca="1"/>
        <v>0</v>
      </c>
      <c r="U21">
        <f ca="1"/>
        <v>0</v>
      </c>
      <c r="V21">
        <f ca="1"/>
        <v>0</v>
      </c>
      <c r="W21">
        <f ca="1"/>
        <v>0</v>
      </c>
      <c r="X21">
        <f ca="1"/>
        <v>0</v>
      </c>
      <c r="Y21">
        <f ca="1"/>
        <v>0</v>
      </c>
      <c r="Z21">
        <f ca="1"/>
        <v>0</v>
      </c>
      <c r="AA21">
        <f ca="1"/>
        <v>0</v>
      </c>
      <c r="AB21">
        <f ca="1"/>
        <v>0</v>
      </c>
      <c r="AC21">
        <f t="shared" ca="1" si="1"/>
        <v>1.1728267864550489E-3</v>
      </c>
      <c r="AD21" s="582">
        <f t="shared" ca="1" si="2"/>
        <v>0</v>
      </c>
      <c r="AE21" s="582">
        <f t="shared" ca="1" si="3"/>
        <v>0</v>
      </c>
      <c r="AF21" s="582">
        <f t="shared" ca="1" si="4"/>
        <v>0</v>
      </c>
      <c r="AG21" s="582">
        <f t="shared" ca="1" si="5"/>
        <v>0</v>
      </c>
      <c r="AH21" s="582">
        <f t="shared" ca="1" si="6"/>
        <v>0</v>
      </c>
      <c r="AI21" s="582">
        <f t="shared" ca="1" si="7"/>
        <v>0.91197455714758913</v>
      </c>
      <c r="AJ21" s="582">
        <f t="shared" ca="1" si="8"/>
        <v>0</v>
      </c>
      <c r="AK21" s="582">
        <f t="shared" ca="1" si="9"/>
        <v>0</v>
      </c>
      <c r="AL21" s="582">
        <f t="shared" ca="1" si="10"/>
        <v>0</v>
      </c>
      <c r="AM21" s="582">
        <f t="shared" ca="1" si="11"/>
        <v>0</v>
      </c>
      <c r="AN21" s="582">
        <f t="shared" ca="1" si="12"/>
        <v>0</v>
      </c>
      <c r="AO21" s="582">
        <f t="shared" ca="1" si="13"/>
        <v>4.4012721426205506E-2</v>
      </c>
      <c r="AP21" s="582">
        <f t="shared" ca="1" si="14"/>
        <v>4.4012721426205506E-2</v>
      </c>
      <c r="AQ21" s="582">
        <f t="shared" ca="1" si="15"/>
        <v>0</v>
      </c>
      <c r="AR21" s="582">
        <f t="shared" ca="1" si="16"/>
        <v>0</v>
      </c>
      <c r="AS21" s="582">
        <f t="shared" ca="1" si="17"/>
        <v>0</v>
      </c>
      <c r="AT21" s="582">
        <f t="shared" ca="1" si="18"/>
        <v>0</v>
      </c>
      <c r="AU21" s="582">
        <f t="shared" ca="1" si="19"/>
        <v>0</v>
      </c>
      <c r="AV21" s="582">
        <f t="shared" ca="1" si="20"/>
        <v>0</v>
      </c>
      <c r="AW21" s="582">
        <f t="shared" ca="1" si="21"/>
        <v>0</v>
      </c>
      <c r="AX21" s="582">
        <f t="shared" ca="1" si="22"/>
        <v>0</v>
      </c>
      <c r="AY21" s="582">
        <f t="shared" ca="1" si="23"/>
        <v>0</v>
      </c>
      <c r="AZ21" s="582">
        <f t="shared" ca="1" si="24"/>
        <v>0</v>
      </c>
      <c r="BA21" s="582">
        <f t="shared" ca="1" si="25"/>
        <v>0</v>
      </c>
      <c r="BB21" s="582">
        <f t="shared" ca="1" si="26"/>
        <v>0</v>
      </c>
      <c r="BC21" s="582">
        <f t="shared" ca="1" si="27"/>
        <v>0</v>
      </c>
      <c r="BD21" s="582">
        <f t="shared" ca="1" si="28"/>
        <v>1.0000000000000002</v>
      </c>
    </row>
    <row r="22" spans="1:56" ht="15">
      <c r="A22" s="22">
        <f t="shared" si="29"/>
        <v>2042</v>
      </c>
      <c r="B22" s="586">
        <v>17</v>
      </c>
      <c r="C22" s="583">
        <f ca="1"/>
        <v>0</v>
      </c>
      <c r="D22" s="583">
        <f ca="1"/>
        <v>0</v>
      </c>
      <c r="E22" s="583">
        <f ca="1"/>
        <v>0</v>
      </c>
      <c r="F22" s="583">
        <f ca="1"/>
        <v>0</v>
      </c>
      <c r="G22" s="583">
        <f ca="1"/>
        <v>0</v>
      </c>
      <c r="H22" s="583">
        <f ca="1"/>
        <v>1.0695881891881734E-3</v>
      </c>
      <c r="I22" s="583">
        <f ca="1"/>
        <v>0</v>
      </c>
      <c r="J22">
        <f ca="1"/>
        <v>0</v>
      </c>
      <c r="K22">
        <f ca="1"/>
        <v>0</v>
      </c>
      <c r="L22">
        <f ca="1"/>
        <v>0</v>
      </c>
      <c r="M22">
        <f ca="1"/>
        <v>0</v>
      </c>
      <c r="N22">
        <f ca="1"/>
        <v>5.1619298633437879E-5</v>
      </c>
      <c r="O22">
        <f ca="1"/>
        <v>5.1619298633437879E-5</v>
      </c>
      <c r="P22">
        <f ca="1"/>
        <v>0</v>
      </c>
      <c r="Q22">
        <f ca="1"/>
        <v>0</v>
      </c>
      <c r="R22">
        <f ca="1"/>
        <v>0</v>
      </c>
      <c r="S22">
        <f ca="1"/>
        <v>0</v>
      </c>
      <c r="T22">
        <f ca="1"/>
        <v>0</v>
      </c>
      <c r="U22">
        <f ca="1"/>
        <v>0</v>
      </c>
      <c r="V22">
        <f ca="1"/>
        <v>0</v>
      </c>
      <c r="W22">
        <f ca="1"/>
        <v>0</v>
      </c>
      <c r="X22">
        <f ca="1"/>
        <v>0</v>
      </c>
      <c r="Y22">
        <f ca="1"/>
        <v>0</v>
      </c>
      <c r="Z22">
        <f ca="1"/>
        <v>0</v>
      </c>
      <c r="AA22">
        <f ca="1"/>
        <v>0</v>
      </c>
      <c r="AB22">
        <f ca="1"/>
        <v>0</v>
      </c>
      <c r="AC22">
        <f t="shared" ca="1" si="1"/>
        <v>1.1728267864550489E-3</v>
      </c>
      <c r="AD22" s="582">
        <f t="shared" ca="1" si="2"/>
        <v>0</v>
      </c>
      <c r="AE22" s="582">
        <f t="shared" ca="1" si="3"/>
        <v>0</v>
      </c>
      <c r="AF22" s="582">
        <f t="shared" ca="1" si="4"/>
        <v>0</v>
      </c>
      <c r="AG22" s="582">
        <f t="shared" ca="1" si="5"/>
        <v>0</v>
      </c>
      <c r="AH22" s="582">
        <f t="shared" ca="1" si="6"/>
        <v>0</v>
      </c>
      <c r="AI22" s="582">
        <f t="shared" ca="1" si="7"/>
        <v>0.91197455714758913</v>
      </c>
      <c r="AJ22" s="582">
        <f t="shared" ca="1" si="8"/>
        <v>0</v>
      </c>
      <c r="AK22" s="582">
        <f t="shared" ca="1" si="9"/>
        <v>0</v>
      </c>
      <c r="AL22" s="582">
        <f t="shared" ca="1" si="10"/>
        <v>0</v>
      </c>
      <c r="AM22" s="582">
        <f t="shared" ca="1" si="11"/>
        <v>0</v>
      </c>
      <c r="AN22" s="582">
        <f t="shared" ca="1" si="12"/>
        <v>0</v>
      </c>
      <c r="AO22" s="582">
        <f t="shared" ca="1" si="13"/>
        <v>4.4012721426205506E-2</v>
      </c>
      <c r="AP22" s="582">
        <f t="shared" ca="1" si="14"/>
        <v>4.4012721426205506E-2</v>
      </c>
      <c r="AQ22" s="582">
        <f t="shared" ca="1" si="15"/>
        <v>0</v>
      </c>
      <c r="AR22" s="582">
        <f t="shared" ca="1" si="16"/>
        <v>0</v>
      </c>
      <c r="AS22" s="582">
        <f t="shared" ca="1" si="17"/>
        <v>0</v>
      </c>
      <c r="AT22" s="582">
        <f t="shared" ca="1" si="18"/>
        <v>0</v>
      </c>
      <c r="AU22" s="582">
        <f t="shared" ca="1" si="19"/>
        <v>0</v>
      </c>
      <c r="AV22" s="582">
        <f t="shared" ca="1" si="20"/>
        <v>0</v>
      </c>
      <c r="AW22" s="582">
        <f t="shared" ca="1" si="21"/>
        <v>0</v>
      </c>
      <c r="AX22" s="582">
        <f t="shared" ca="1" si="22"/>
        <v>0</v>
      </c>
      <c r="AY22" s="582">
        <f t="shared" ca="1" si="23"/>
        <v>0</v>
      </c>
      <c r="AZ22" s="582">
        <f t="shared" ca="1" si="24"/>
        <v>0</v>
      </c>
      <c r="BA22" s="582">
        <f t="shared" ca="1" si="25"/>
        <v>0</v>
      </c>
      <c r="BB22" s="582">
        <f t="shared" ca="1" si="26"/>
        <v>0</v>
      </c>
      <c r="BC22" s="582">
        <f t="shared" ca="1" si="27"/>
        <v>0</v>
      </c>
      <c r="BD22" s="582">
        <f t="shared" ca="1" si="28"/>
        <v>1.0000000000000002</v>
      </c>
    </row>
    <row r="23" spans="1:56" ht="15">
      <c r="A23" s="22">
        <f t="shared" si="29"/>
        <v>2043</v>
      </c>
      <c r="B23" s="586">
        <v>18</v>
      </c>
      <c r="C23" s="583">
        <f ca="1"/>
        <v>0</v>
      </c>
      <c r="D23" s="583">
        <f ca="1"/>
        <v>0</v>
      </c>
      <c r="E23" s="583">
        <f ca="1"/>
        <v>0</v>
      </c>
      <c r="F23" s="583">
        <f ca="1"/>
        <v>0</v>
      </c>
      <c r="G23" s="583">
        <f ca="1"/>
        <v>0</v>
      </c>
      <c r="H23" s="583">
        <f ca="1"/>
        <v>1.0695881891881734E-3</v>
      </c>
      <c r="I23" s="583">
        <f ca="1"/>
        <v>0</v>
      </c>
      <c r="J23">
        <f ca="1"/>
        <v>0</v>
      </c>
      <c r="K23">
        <f ca="1"/>
        <v>0</v>
      </c>
      <c r="L23">
        <f ca="1"/>
        <v>0</v>
      </c>
      <c r="M23">
        <f ca="1"/>
        <v>0</v>
      </c>
      <c r="N23">
        <f ca="1"/>
        <v>5.1619298633437879E-5</v>
      </c>
      <c r="O23">
        <f ca="1"/>
        <v>5.1619298633437879E-5</v>
      </c>
      <c r="P23">
        <f ca="1"/>
        <v>0</v>
      </c>
      <c r="Q23">
        <f ca="1"/>
        <v>0</v>
      </c>
      <c r="R23">
        <f ca="1"/>
        <v>0</v>
      </c>
      <c r="S23">
        <f ca="1"/>
        <v>0</v>
      </c>
      <c r="T23">
        <f ca="1"/>
        <v>0</v>
      </c>
      <c r="U23">
        <f ca="1"/>
        <v>0</v>
      </c>
      <c r="V23">
        <f ca="1"/>
        <v>0</v>
      </c>
      <c r="W23">
        <f ca="1"/>
        <v>0</v>
      </c>
      <c r="X23">
        <f ca="1"/>
        <v>0</v>
      </c>
      <c r="Y23">
        <f ca="1"/>
        <v>0</v>
      </c>
      <c r="Z23">
        <f ca="1"/>
        <v>0</v>
      </c>
      <c r="AA23">
        <f ca="1"/>
        <v>0</v>
      </c>
      <c r="AB23">
        <f ca="1"/>
        <v>0</v>
      </c>
      <c r="AC23">
        <f t="shared" ca="1" si="1"/>
        <v>1.1728267864550489E-3</v>
      </c>
      <c r="AD23" s="582">
        <f t="shared" ca="1" si="2"/>
        <v>0</v>
      </c>
      <c r="AE23" s="582">
        <f t="shared" ca="1" si="3"/>
        <v>0</v>
      </c>
      <c r="AF23" s="582">
        <f t="shared" ca="1" si="4"/>
        <v>0</v>
      </c>
      <c r="AG23" s="582">
        <f t="shared" ca="1" si="5"/>
        <v>0</v>
      </c>
      <c r="AH23" s="582">
        <f t="shared" ca="1" si="6"/>
        <v>0</v>
      </c>
      <c r="AI23" s="582">
        <f t="shared" ca="1" si="7"/>
        <v>0.91197455714758913</v>
      </c>
      <c r="AJ23" s="582">
        <f t="shared" ca="1" si="8"/>
        <v>0</v>
      </c>
      <c r="AK23" s="582">
        <f t="shared" ca="1" si="9"/>
        <v>0</v>
      </c>
      <c r="AL23" s="582">
        <f t="shared" ca="1" si="10"/>
        <v>0</v>
      </c>
      <c r="AM23" s="582">
        <f t="shared" ca="1" si="11"/>
        <v>0</v>
      </c>
      <c r="AN23" s="582">
        <f t="shared" ca="1" si="12"/>
        <v>0</v>
      </c>
      <c r="AO23" s="582">
        <f t="shared" ca="1" si="13"/>
        <v>4.4012721426205506E-2</v>
      </c>
      <c r="AP23" s="582">
        <f t="shared" ca="1" si="14"/>
        <v>4.4012721426205506E-2</v>
      </c>
      <c r="AQ23" s="582">
        <f t="shared" ca="1" si="15"/>
        <v>0</v>
      </c>
      <c r="AR23" s="582">
        <f t="shared" ca="1" si="16"/>
        <v>0</v>
      </c>
      <c r="AS23" s="582">
        <f t="shared" ca="1" si="17"/>
        <v>0</v>
      </c>
      <c r="AT23" s="582">
        <f t="shared" ca="1" si="18"/>
        <v>0</v>
      </c>
      <c r="AU23" s="582">
        <f t="shared" ca="1" si="19"/>
        <v>0</v>
      </c>
      <c r="AV23" s="582">
        <f t="shared" ca="1" si="20"/>
        <v>0</v>
      </c>
      <c r="AW23" s="582">
        <f t="shared" ca="1" si="21"/>
        <v>0</v>
      </c>
      <c r="AX23" s="582">
        <f t="shared" ca="1" si="22"/>
        <v>0</v>
      </c>
      <c r="AY23" s="582">
        <f t="shared" ca="1" si="23"/>
        <v>0</v>
      </c>
      <c r="AZ23" s="582">
        <f t="shared" ca="1" si="24"/>
        <v>0</v>
      </c>
      <c r="BA23" s="582">
        <f t="shared" ca="1" si="25"/>
        <v>0</v>
      </c>
      <c r="BB23" s="582">
        <f t="shared" ca="1" si="26"/>
        <v>0</v>
      </c>
      <c r="BC23" s="582">
        <f t="shared" ca="1" si="27"/>
        <v>0</v>
      </c>
      <c r="BD23" s="582">
        <f t="shared" ca="1" si="28"/>
        <v>1.0000000000000002</v>
      </c>
    </row>
    <row r="24" spans="1:56" ht="15">
      <c r="A24" s="22">
        <f t="shared" si="29"/>
        <v>2044</v>
      </c>
      <c r="B24" s="586">
        <v>19</v>
      </c>
      <c r="C24" s="583">
        <f ca="1"/>
        <v>0</v>
      </c>
      <c r="D24" s="583">
        <f ca="1"/>
        <v>0</v>
      </c>
      <c r="E24" s="583">
        <f ca="1"/>
        <v>0</v>
      </c>
      <c r="F24" s="583">
        <f ca="1"/>
        <v>0</v>
      </c>
      <c r="G24" s="583">
        <f ca="1"/>
        <v>0</v>
      </c>
      <c r="H24" s="583">
        <f ca="1"/>
        <v>1.0695881891881734E-3</v>
      </c>
      <c r="I24" s="583">
        <f ca="1"/>
        <v>0</v>
      </c>
      <c r="J24">
        <f ca="1"/>
        <v>0</v>
      </c>
      <c r="K24">
        <f ca="1"/>
        <v>0</v>
      </c>
      <c r="L24">
        <f ca="1"/>
        <v>0</v>
      </c>
      <c r="M24">
        <f ca="1"/>
        <v>0</v>
      </c>
      <c r="N24">
        <f ca="1"/>
        <v>5.1619298633437879E-5</v>
      </c>
      <c r="O24">
        <f ca="1"/>
        <v>5.1619298633437879E-5</v>
      </c>
      <c r="P24">
        <f ca="1"/>
        <v>0</v>
      </c>
      <c r="Q24">
        <f ca="1"/>
        <v>0</v>
      </c>
      <c r="R24">
        <f ca="1"/>
        <v>0</v>
      </c>
      <c r="S24">
        <f ca="1"/>
        <v>0</v>
      </c>
      <c r="T24">
        <f ca="1"/>
        <v>0</v>
      </c>
      <c r="U24">
        <f ca="1"/>
        <v>0</v>
      </c>
      <c r="V24">
        <f ca="1"/>
        <v>0</v>
      </c>
      <c r="W24">
        <f ca="1"/>
        <v>0</v>
      </c>
      <c r="X24">
        <f ca="1"/>
        <v>0</v>
      </c>
      <c r="Y24">
        <f ca="1"/>
        <v>0</v>
      </c>
      <c r="Z24">
        <f ca="1"/>
        <v>0</v>
      </c>
      <c r="AA24">
        <f ca="1"/>
        <v>0</v>
      </c>
      <c r="AB24">
        <f ca="1"/>
        <v>0</v>
      </c>
      <c r="AC24">
        <f t="shared" ca="1" si="1"/>
        <v>1.1728267864550489E-3</v>
      </c>
      <c r="AD24" s="582">
        <f t="shared" ca="1" si="2"/>
        <v>0</v>
      </c>
      <c r="AE24" s="582">
        <f t="shared" ca="1" si="3"/>
        <v>0</v>
      </c>
      <c r="AF24" s="582">
        <f t="shared" ca="1" si="4"/>
        <v>0</v>
      </c>
      <c r="AG24" s="582">
        <f t="shared" ca="1" si="5"/>
        <v>0</v>
      </c>
      <c r="AH24" s="582">
        <f t="shared" ca="1" si="6"/>
        <v>0</v>
      </c>
      <c r="AI24" s="582">
        <f t="shared" ca="1" si="7"/>
        <v>0.91197455714758913</v>
      </c>
      <c r="AJ24" s="582">
        <f t="shared" ca="1" si="8"/>
        <v>0</v>
      </c>
      <c r="AK24" s="582">
        <f t="shared" ca="1" si="9"/>
        <v>0</v>
      </c>
      <c r="AL24" s="582">
        <f t="shared" ca="1" si="10"/>
        <v>0</v>
      </c>
      <c r="AM24" s="582">
        <f t="shared" ca="1" si="11"/>
        <v>0</v>
      </c>
      <c r="AN24" s="582">
        <f t="shared" ca="1" si="12"/>
        <v>0</v>
      </c>
      <c r="AO24" s="582">
        <f t="shared" ca="1" si="13"/>
        <v>4.4012721426205506E-2</v>
      </c>
      <c r="AP24" s="582">
        <f t="shared" ca="1" si="14"/>
        <v>4.4012721426205506E-2</v>
      </c>
      <c r="AQ24" s="582">
        <f t="shared" ca="1" si="15"/>
        <v>0</v>
      </c>
      <c r="AR24" s="582">
        <f t="shared" ca="1" si="16"/>
        <v>0</v>
      </c>
      <c r="AS24" s="582">
        <f t="shared" ca="1" si="17"/>
        <v>0</v>
      </c>
      <c r="AT24" s="582">
        <f t="shared" ca="1" si="18"/>
        <v>0</v>
      </c>
      <c r="AU24" s="582">
        <f t="shared" ca="1" si="19"/>
        <v>0</v>
      </c>
      <c r="AV24" s="582">
        <f t="shared" ca="1" si="20"/>
        <v>0</v>
      </c>
      <c r="AW24" s="582">
        <f t="shared" ca="1" si="21"/>
        <v>0</v>
      </c>
      <c r="AX24" s="582">
        <f t="shared" ca="1" si="22"/>
        <v>0</v>
      </c>
      <c r="AY24" s="582">
        <f t="shared" ca="1" si="23"/>
        <v>0</v>
      </c>
      <c r="AZ24" s="582">
        <f t="shared" ca="1" si="24"/>
        <v>0</v>
      </c>
      <c r="BA24" s="582">
        <f t="shared" ca="1" si="25"/>
        <v>0</v>
      </c>
      <c r="BB24" s="582">
        <f t="shared" ca="1" si="26"/>
        <v>0</v>
      </c>
      <c r="BC24" s="582">
        <f t="shared" ca="1" si="27"/>
        <v>0</v>
      </c>
      <c r="BD24" s="582">
        <f t="shared" ca="1" si="28"/>
        <v>1.0000000000000002</v>
      </c>
    </row>
    <row r="25" spans="1:56" ht="15">
      <c r="A25" s="22">
        <f t="shared" si="29"/>
        <v>2045</v>
      </c>
      <c r="B25" s="586">
        <v>20</v>
      </c>
      <c r="C25" s="583">
        <f ca="1"/>
        <v>0</v>
      </c>
      <c r="D25" s="583">
        <f ca="1"/>
        <v>0</v>
      </c>
      <c r="E25" s="583">
        <f ca="1"/>
        <v>0</v>
      </c>
      <c r="F25" s="583">
        <f ca="1"/>
        <v>0</v>
      </c>
      <c r="G25" s="583">
        <f ca="1"/>
        <v>0</v>
      </c>
      <c r="H25" s="583">
        <f ca="1"/>
        <v>0</v>
      </c>
      <c r="I25" s="583">
        <f ca="1"/>
        <v>0</v>
      </c>
      <c r="J25">
        <f ca="1"/>
        <v>0</v>
      </c>
      <c r="K25">
        <f ca="1"/>
        <v>0</v>
      </c>
      <c r="L25">
        <f ca="1"/>
        <v>0</v>
      </c>
      <c r="M25">
        <f ca="1"/>
        <v>0</v>
      </c>
      <c r="N25">
        <f ca="1"/>
        <v>0</v>
      </c>
      <c r="O25">
        <f ca="1"/>
        <v>0</v>
      </c>
      <c r="P25">
        <f ca="1"/>
        <v>0</v>
      </c>
      <c r="Q25">
        <f ca="1"/>
        <v>0</v>
      </c>
      <c r="R25">
        <f ca="1"/>
        <v>0</v>
      </c>
      <c r="S25">
        <f ca="1"/>
        <v>0</v>
      </c>
      <c r="T25">
        <f ca="1"/>
        <v>0</v>
      </c>
      <c r="U25">
        <f ca="1"/>
        <v>0</v>
      </c>
      <c r="V25">
        <f ca="1"/>
        <v>0</v>
      </c>
      <c r="W25">
        <f ca="1"/>
        <v>0</v>
      </c>
      <c r="X25">
        <f ca="1"/>
        <v>0</v>
      </c>
      <c r="Y25">
        <f ca="1"/>
        <v>0</v>
      </c>
      <c r="Z25">
        <f ca="1"/>
        <v>0</v>
      </c>
      <c r="AA25">
        <f ca="1"/>
        <v>0</v>
      </c>
      <c r="AB25">
        <f ca="1"/>
        <v>0</v>
      </c>
      <c r="AC25">
        <f t="shared" ca="1" si="1"/>
        <v>0</v>
      </c>
      <c r="AD25" s="582">
        <f t="shared" ca="1" si="2"/>
        <v>0</v>
      </c>
      <c r="AE25" s="582">
        <f t="shared" ca="1" si="3"/>
        <v>0</v>
      </c>
      <c r="AF25" s="582">
        <f t="shared" ca="1" si="4"/>
        <v>0</v>
      </c>
      <c r="AG25" s="582">
        <f t="shared" ca="1" si="5"/>
        <v>0</v>
      </c>
      <c r="AH25" s="582">
        <f t="shared" ca="1" si="6"/>
        <v>0</v>
      </c>
      <c r="AI25" s="582">
        <f t="shared" ca="1" si="7"/>
        <v>0.90584093793867426</v>
      </c>
      <c r="AJ25" s="582">
        <f t="shared" ca="1" si="8"/>
        <v>0</v>
      </c>
      <c r="AK25" s="582">
        <f t="shared" ca="1" si="9"/>
        <v>0</v>
      </c>
      <c r="AL25" s="582">
        <f t="shared" ca="1" si="10"/>
        <v>0</v>
      </c>
      <c r="AM25" s="582">
        <f t="shared" ca="1" si="11"/>
        <v>0</v>
      </c>
      <c r="AN25" s="582">
        <f t="shared" ca="1" si="12"/>
        <v>0</v>
      </c>
      <c r="AO25" s="582">
        <f t="shared" ca="1" si="13"/>
        <v>5.0442354675710378E-2</v>
      </c>
      <c r="AP25" s="582">
        <f t="shared" ca="1" si="14"/>
        <v>4.3716707385615658E-2</v>
      </c>
      <c r="AQ25" s="582">
        <f t="shared" ca="1" si="15"/>
        <v>0</v>
      </c>
      <c r="AR25" s="582">
        <f t="shared" ca="1" si="16"/>
        <v>0</v>
      </c>
      <c r="AS25" s="582">
        <f t="shared" ca="1" si="17"/>
        <v>0</v>
      </c>
      <c r="AT25" s="582">
        <f t="shared" ca="1" si="18"/>
        <v>0</v>
      </c>
      <c r="AU25" s="582">
        <f t="shared" ca="1" si="19"/>
        <v>0</v>
      </c>
      <c r="AV25" s="582">
        <f t="shared" ca="1" si="20"/>
        <v>0</v>
      </c>
      <c r="AW25" s="582">
        <f t="shared" ca="1" si="21"/>
        <v>0</v>
      </c>
      <c r="AX25" s="582">
        <f t="shared" ca="1" si="22"/>
        <v>0</v>
      </c>
      <c r="AY25" s="582">
        <f t="shared" ca="1" si="23"/>
        <v>0</v>
      </c>
      <c r="AZ25" s="582">
        <f t="shared" ca="1" si="24"/>
        <v>0</v>
      </c>
      <c r="BA25" s="582">
        <f t="shared" ca="1" si="25"/>
        <v>0</v>
      </c>
      <c r="BB25" s="582">
        <f t="shared" ca="1" si="26"/>
        <v>0</v>
      </c>
      <c r="BC25" s="582">
        <f t="shared" ca="1" si="27"/>
        <v>0</v>
      </c>
      <c r="BD25" s="582">
        <f t="shared" ca="1" si="28"/>
        <v>1.0000000000000002</v>
      </c>
    </row>
    <row r="26" spans="1:56" ht="15">
      <c r="A26" s="22">
        <f t="shared" si="29"/>
        <v>2046</v>
      </c>
      <c r="B26" s="586">
        <v>21</v>
      </c>
      <c r="C26" s="583">
        <f ca="1"/>
        <v>0</v>
      </c>
      <c r="D26" s="583">
        <f ca="1"/>
        <v>0</v>
      </c>
      <c r="E26" s="583">
        <f ca="1"/>
        <v>0</v>
      </c>
      <c r="F26" s="583">
        <f ca="1"/>
        <v>0</v>
      </c>
      <c r="G26" s="583">
        <f ca="1"/>
        <v>0</v>
      </c>
      <c r="H26" s="583">
        <f ca="1"/>
        <v>0</v>
      </c>
      <c r="I26" s="583">
        <f ca="1"/>
        <v>0</v>
      </c>
      <c r="J26">
        <f ca="1"/>
        <v>0</v>
      </c>
      <c r="K26">
        <f ca="1"/>
        <v>0</v>
      </c>
      <c r="L26">
        <f ca="1"/>
        <v>0</v>
      </c>
      <c r="M26">
        <f ca="1"/>
        <v>0</v>
      </c>
      <c r="N26">
        <f ca="1"/>
        <v>0</v>
      </c>
      <c r="O26">
        <f ca="1"/>
        <v>0</v>
      </c>
      <c r="P26">
        <f ca="1"/>
        <v>0</v>
      </c>
      <c r="Q26">
        <f ca="1"/>
        <v>0</v>
      </c>
      <c r="R26">
        <f ca="1"/>
        <v>0</v>
      </c>
      <c r="S26">
        <f ca="1"/>
        <v>0</v>
      </c>
      <c r="T26">
        <f ca="1"/>
        <v>0</v>
      </c>
      <c r="U26">
        <f ca="1"/>
        <v>0</v>
      </c>
      <c r="V26">
        <f ca="1"/>
        <v>0</v>
      </c>
      <c r="W26">
        <f ca="1"/>
        <v>0</v>
      </c>
      <c r="X26">
        <f ca="1"/>
        <v>0</v>
      </c>
      <c r="Y26">
        <f ca="1"/>
        <v>0</v>
      </c>
      <c r="Z26">
        <f ca="1"/>
        <v>0</v>
      </c>
      <c r="AA26">
        <f ca="1"/>
        <v>0</v>
      </c>
      <c r="AB26">
        <f ca="1"/>
        <v>0</v>
      </c>
      <c r="AC26">
        <f t="shared" ca="1" si="1"/>
        <v>0</v>
      </c>
      <c r="AD26" s="582">
        <f t="shared" ca="1" si="2"/>
        <v>0</v>
      </c>
      <c r="AE26" s="582">
        <f t="shared" ca="1" si="3"/>
        <v>0</v>
      </c>
      <c r="AF26" s="582">
        <f t="shared" ca="1" si="4"/>
        <v>0</v>
      </c>
      <c r="AG26" s="582">
        <f t="shared" ca="1" si="5"/>
        <v>0</v>
      </c>
      <c r="AH26" s="582">
        <f t="shared" ca="1" si="6"/>
        <v>0</v>
      </c>
      <c r="AI26" s="582">
        <f t="shared" ca="1" si="7"/>
        <v>0.90584093793867426</v>
      </c>
      <c r="AJ26" s="582">
        <f t="shared" ca="1" si="8"/>
        <v>0</v>
      </c>
      <c r="AK26" s="582">
        <f t="shared" ca="1" si="9"/>
        <v>0</v>
      </c>
      <c r="AL26" s="582">
        <f t="shared" ca="1" si="10"/>
        <v>0</v>
      </c>
      <c r="AM26" s="582">
        <f t="shared" ca="1" si="11"/>
        <v>0</v>
      </c>
      <c r="AN26" s="582">
        <f t="shared" ca="1" si="12"/>
        <v>0</v>
      </c>
      <c r="AO26" s="582">
        <f t="shared" ca="1" si="13"/>
        <v>5.0442354675710378E-2</v>
      </c>
      <c r="AP26" s="582">
        <f t="shared" ca="1" si="14"/>
        <v>4.3716707385615658E-2</v>
      </c>
      <c r="AQ26" s="582">
        <f t="shared" ca="1" si="15"/>
        <v>0</v>
      </c>
      <c r="AR26" s="582">
        <f t="shared" ca="1" si="16"/>
        <v>0</v>
      </c>
      <c r="AS26" s="582">
        <f t="shared" ca="1" si="17"/>
        <v>0</v>
      </c>
      <c r="AT26" s="582">
        <f t="shared" ca="1" si="18"/>
        <v>0</v>
      </c>
      <c r="AU26" s="582">
        <f t="shared" ca="1" si="19"/>
        <v>0</v>
      </c>
      <c r="AV26" s="582">
        <f t="shared" ca="1" si="20"/>
        <v>0</v>
      </c>
      <c r="AW26" s="582">
        <f t="shared" ca="1" si="21"/>
        <v>0</v>
      </c>
      <c r="AX26" s="582">
        <f t="shared" ca="1" si="22"/>
        <v>0</v>
      </c>
      <c r="AY26" s="582">
        <f t="shared" ca="1" si="23"/>
        <v>0</v>
      </c>
      <c r="AZ26" s="582">
        <f t="shared" ca="1" si="24"/>
        <v>0</v>
      </c>
      <c r="BA26" s="582">
        <f t="shared" ca="1" si="25"/>
        <v>0</v>
      </c>
      <c r="BB26" s="582">
        <f t="shared" ca="1" si="26"/>
        <v>0</v>
      </c>
      <c r="BC26" s="582">
        <f t="shared" ca="1" si="27"/>
        <v>0</v>
      </c>
      <c r="BD26" s="582">
        <f t="shared" ca="1" si="28"/>
        <v>1.0000000000000002</v>
      </c>
    </row>
    <row r="27" spans="1:56" ht="15">
      <c r="A27" s="22">
        <f t="shared" si="29"/>
        <v>2047</v>
      </c>
      <c r="B27" s="586">
        <v>22</v>
      </c>
      <c r="C27" s="583">
        <f ca="1"/>
        <v>0</v>
      </c>
      <c r="D27" s="583">
        <f ca="1"/>
        <v>0</v>
      </c>
      <c r="E27" s="583">
        <f ca="1"/>
        <v>0</v>
      </c>
      <c r="F27" s="583">
        <f ca="1"/>
        <v>0</v>
      </c>
      <c r="G27" s="583">
        <f ca="1"/>
        <v>0</v>
      </c>
      <c r="H27" s="583">
        <f ca="1"/>
        <v>0</v>
      </c>
      <c r="I27" s="583">
        <f ca="1"/>
        <v>0</v>
      </c>
      <c r="J27">
        <f ca="1"/>
        <v>0</v>
      </c>
      <c r="K27">
        <f ca="1"/>
        <v>0</v>
      </c>
      <c r="L27">
        <f ca="1"/>
        <v>0</v>
      </c>
      <c r="M27">
        <f ca="1"/>
        <v>0</v>
      </c>
      <c r="N27">
        <f ca="1"/>
        <v>0</v>
      </c>
      <c r="O27">
        <f ca="1"/>
        <v>0</v>
      </c>
      <c r="P27">
        <f ca="1"/>
        <v>0</v>
      </c>
      <c r="Q27">
        <f ca="1"/>
        <v>0</v>
      </c>
      <c r="R27">
        <f ca="1"/>
        <v>0</v>
      </c>
      <c r="S27">
        <f ca="1"/>
        <v>0</v>
      </c>
      <c r="T27">
        <f ca="1"/>
        <v>0</v>
      </c>
      <c r="U27">
        <f ca="1"/>
        <v>0</v>
      </c>
      <c r="V27">
        <f ca="1"/>
        <v>0</v>
      </c>
      <c r="W27">
        <f ca="1"/>
        <v>0</v>
      </c>
      <c r="X27">
        <f ca="1"/>
        <v>0</v>
      </c>
      <c r="Y27">
        <f ca="1"/>
        <v>0</v>
      </c>
      <c r="Z27">
        <f ca="1"/>
        <v>0</v>
      </c>
      <c r="AA27">
        <f ca="1"/>
        <v>0</v>
      </c>
      <c r="AB27">
        <f ca="1"/>
        <v>0</v>
      </c>
      <c r="AC27">
        <f t="shared" ca="1" si="1"/>
        <v>0</v>
      </c>
      <c r="AD27" s="582">
        <f t="shared" ca="1" si="2"/>
        <v>0</v>
      </c>
      <c r="AE27" s="582">
        <f t="shared" ca="1" si="3"/>
        <v>0</v>
      </c>
      <c r="AF27" s="582">
        <f t="shared" ca="1" si="4"/>
        <v>0</v>
      </c>
      <c r="AG27" s="582">
        <f t="shared" ca="1" si="5"/>
        <v>0</v>
      </c>
      <c r="AH27" s="582">
        <f t="shared" ca="1" si="6"/>
        <v>0</v>
      </c>
      <c r="AI27" s="582">
        <f t="shared" ca="1" si="7"/>
        <v>0.90584093793867426</v>
      </c>
      <c r="AJ27" s="582">
        <f t="shared" ca="1" si="8"/>
        <v>0</v>
      </c>
      <c r="AK27" s="582">
        <f t="shared" ca="1" si="9"/>
        <v>0</v>
      </c>
      <c r="AL27" s="582">
        <f t="shared" ca="1" si="10"/>
        <v>0</v>
      </c>
      <c r="AM27" s="582">
        <f t="shared" ca="1" si="11"/>
        <v>0</v>
      </c>
      <c r="AN27" s="582">
        <f t="shared" ca="1" si="12"/>
        <v>0</v>
      </c>
      <c r="AO27" s="582">
        <f t="shared" ca="1" si="13"/>
        <v>5.0442354675710378E-2</v>
      </c>
      <c r="AP27" s="582">
        <f t="shared" ca="1" si="14"/>
        <v>4.3716707385615658E-2</v>
      </c>
      <c r="AQ27" s="582">
        <f t="shared" ca="1" si="15"/>
        <v>0</v>
      </c>
      <c r="AR27" s="582">
        <f t="shared" ca="1" si="16"/>
        <v>0</v>
      </c>
      <c r="AS27" s="582">
        <f t="shared" ca="1" si="17"/>
        <v>0</v>
      </c>
      <c r="AT27" s="582">
        <f t="shared" ca="1" si="18"/>
        <v>0</v>
      </c>
      <c r="AU27" s="582">
        <f t="shared" ca="1" si="19"/>
        <v>0</v>
      </c>
      <c r="AV27" s="582">
        <f t="shared" ca="1" si="20"/>
        <v>0</v>
      </c>
      <c r="AW27" s="582">
        <f t="shared" ca="1" si="21"/>
        <v>0</v>
      </c>
      <c r="AX27" s="582">
        <f t="shared" ca="1" si="22"/>
        <v>0</v>
      </c>
      <c r="AY27" s="582">
        <f t="shared" ca="1" si="23"/>
        <v>0</v>
      </c>
      <c r="AZ27" s="582">
        <f t="shared" ca="1" si="24"/>
        <v>0</v>
      </c>
      <c r="BA27" s="582">
        <f t="shared" ca="1" si="25"/>
        <v>0</v>
      </c>
      <c r="BB27" s="582">
        <f t="shared" ca="1" si="26"/>
        <v>0</v>
      </c>
      <c r="BC27" s="582">
        <f t="shared" ca="1" si="27"/>
        <v>0</v>
      </c>
      <c r="BD27" s="582">
        <f t="shared" ca="1" si="28"/>
        <v>1.0000000000000002</v>
      </c>
    </row>
    <row r="28" spans="1:56" ht="15">
      <c r="A28" s="22">
        <f t="shared" si="29"/>
        <v>2048</v>
      </c>
      <c r="B28" s="586">
        <v>23</v>
      </c>
      <c r="C28" s="583">
        <f ca="1"/>
        <v>0</v>
      </c>
      <c r="D28" s="583">
        <f ca="1"/>
        <v>0</v>
      </c>
      <c r="E28" s="583">
        <f ca="1"/>
        <v>0</v>
      </c>
      <c r="F28" s="583">
        <f ca="1"/>
        <v>0</v>
      </c>
      <c r="G28" s="583">
        <f ca="1"/>
        <v>0</v>
      </c>
      <c r="H28" s="583">
        <f ca="1"/>
        <v>0</v>
      </c>
      <c r="I28" s="583">
        <f ca="1"/>
        <v>0</v>
      </c>
      <c r="J28">
        <f ca="1"/>
        <v>0</v>
      </c>
      <c r="K28">
        <f ca="1"/>
        <v>0</v>
      </c>
      <c r="L28">
        <f ca="1"/>
        <v>0</v>
      </c>
      <c r="M28">
        <f ca="1"/>
        <v>0</v>
      </c>
      <c r="N28">
        <f ca="1"/>
        <v>0</v>
      </c>
      <c r="O28">
        <f ca="1"/>
        <v>0</v>
      </c>
      <c r="P28">
        <f ca="1"/>
        <v>0</v>
      </c>
      <c r="Q28">
        <f ca="1"/>
        <v>0</v>
      </c>
      <c r="R28">
        <f ca="1"/>
        <v>0</v>
      </c>
      <c r="S28">
        <f ca="1"/>
        <v>0</v>
      </c>
      <c r="T28">
        <f ca="1"/>
        <v>0</v>
      </c>
      <c r="U28">
        <f ca="1"/>
        <v>0</v>
      </c>
      <c r="V28">
        <f ca="1"/>
        <v>0</v>
      </c>
      <c r="W28">
        <f ca="1"/>
        <v>0</v>
      </c>
      <c r="X28">
        <f ca="1"/>
        <v>0</v>
      </c>
      <c r="Y28">
        <f ca="1"/>
        <v>0</v>
      </c>
      <c r="Z28">
        <f ca="1"/>
        <v>0</v>
      </c>
      <c r="AA28">
        <f ca="1"/>
        <v>0</v>
      </c>
      <c r="AB28">
        <f ca="1"/>
        <v>0</v>
      </c>
      <c r="AC28">
        <f t="shared" ca="1" si="1"/>
        <v>0</v>
      </c>
      <c r="AD28" s="582">
        <f t="shared" ca="1" si="2"/>
        <v>0</v>
      </c>
      <c r="AE28" s="582">
        <f t="shared" ca="1" si="3"/>
        <v>0</v>
      </c>
      <c r="AF28" s="582">
        <f t="shared" ca="1" si="4"/>
        <v>0</v>
      </c>
      <c r="AG28" s="582">
        <f t="shared" ca="1" si="5"/>
        <v>0</v>
      </c>
      <c r="AH28" s="582">
        <f t="shared" ca="1" si="6"/>
        <v>0</v>
      </c>
      <c r="AI28" s="582">
        <f t="shared" ca="1" si="7"/>
        <v>0.90584093793867426</v>
      </c>
      <c r="AJ28" s="582">
        <f t="shared" ca="1" si="8"/>
        <v>0</v>
      </c>
      <c r="AK28" s="582">
        <f t="shared" ca="1" si="9"/>
        <v>0</v>
      </c>
      <c r="AL28" s="582">
        <f t="shared" ca="1" si="10"/>
        <v>0</v>
      </c>
      <c r="AM28" s="582">
        <f t="shared" ca="1" si="11"/>
        <v>0</v>
      </c>
      <c r="AN28" s="582">
        <f t="shared" ca="1" si="12"/>
        <v>0</v>
      </c>
      <c r="AO28" s="582">
        <f t="shared" ca="1" si="13"/>
        <v>5.0442354675710378E-2</v>
      </c>
      <c r="AP28" s="582">
        <f t="shared" ca="1" si="14"/>
        <v>4.3716707385615658E-2</v>
      </c>
      <c r="AQ28" s="582">
        <f t="shared" ca="1" si="15"/>
        <v>0</v>
      </c>
      <c r="AR28" s="582">
        <f t="shared" ca="1" si="16"/>
        <v>0</v>
      </c>
      <c r="AS28" s="582">
        <f t="shared" ca="1" si="17"/>
        <v>0</v>
      </c>
      <c r="AT28" s="582">
        <f t="shared" ca="1" si="18"/>
        <v>0</v>
      </c>
      <c r="AU28" s="582">
        <f t="shared" ca="1" si="19"/>
        <v>0</v>
      </c>
      <c r="AV28" s="582">
        <f t="shared" ca="1" si="20"/>
        <v>0</v>
      </c>
      <c r="AW28" s="582">
        <f t="shared" ca="1" si="21"/>
        <v>0</v>
      </c>
      <c r="AX28" s="582">
        <f t="shared" ca="1" si="22"/>
        <v>0</v>
      </c>
      <c r="AY28" s="582">
        <f t="shared" ca="1" si="23"/>
        <v>0</v>
      </c>
      <c r="AZ28" s="582">
        <f t="shared" ca="1" si="24"/>
        <v>0</v>
      </c>
      <c r="BA28" s="582">
        <f t="shared" ca="1" si="25"/>
        <v>0</v>
      </c>
      <c r="BB28" s="582">
        <f t="shared" ca="1" si="26"/>
        <v>0</v>
      </c>
      <c r="BC28" s="582">
        <f t="shared" ca="1" si="27"/>
        <v>0</v>
      </c>
      <c r="BD28" s="582">
        <f t="shared" ca="1" si="28"/>
        <v>1.0000000000000002</v>
      </c>
    </row>
    <row r="29" spans="1:56" ht="15">
      <c r="A29" s="22">
        <f t="shared" si="29"/>
        <v>2049</v>
      </c>
      <c r="B29" s="586">
        <v>24</v>
      </c>
      <c r="C29" s="583">
        <f ca="1"/>
        <v>0</v>
      </c>
      <c r="D29" s="583">
        <f ca="1"/>
        <v>0</v>
      </c>
      <c r="E29" s="583">
        <f ca="1"/>
        <v>0</v>
      </c>
      <c r="F29" s="583">
        <f ca="1"/>
        <v>0</v>
      </c>
      <c r="G29" s="583">
        <f ca="1"/>
        <v>0</v>
      </c>
      <c r="H29" s="583">
        <f ca="1"/>
        <v>0</v>
      </c>
      <c r="I29" s="583">
        <f ca="1"/>
        <v>0</v>
      </c>
      <c r="J29">
        <f ca="1"/>
        <v>0</v>
      </c>
      <c r="K29">
        <f ca="1"/>
        <v>0</v>
      </c>
      <c r="L29">
        <f ca="1"/>
        <v>0</v>
      </c>
      <c r="M29">
        <f ca="1"/>
        <v>0</v>
      </c>
      <c r="N29">
        <f ca="1"/>
        <v>0</v>
      </c>
      <c r="O29">
        <f ca="1"/>
        <v>0</v>
      </c>
      <c r="P29">
        <f ca="1"/>
        <v>0</v>
      </c>
      <c r="Q29">
        <f ca="1"/>
        <v>0</v>
      </c>
      <c r="R29">
        <f ca="1"/>
        <v>0</v>
      </c>
      <c r="S29">
        <f ca="1"/>
        <v>0</v>
      </c>
      <c r="T29">
        <f ca="1"/>
        <v>0</v>
      </c>
      <c r="U29">
        <f ca="1"/>
        <v>0</v>
      </c>
      <c r="V29">
        <f ca="1"/>
        <v>0</v>
      </c>
      <c r="W29">
        <f ca="1"/>
        <v>0</v>
      </c>
      <c r="X29">
        <f ca="1"/>
        <v>0</v>
      </c>
      <c r="Y29">
        <f ca="1"/>
        <v>0</v>
      </c>
      <c r="Z29">
        <f ca="1"/>
        <v>0</v>
      </c>
      <c r="AA29">
        <f ca="1"/>
        <v>0</v>
      </c>
      <c r="AB29">
        <f ca="1"/>
        <v>0</v>
      </c>
      <c r="AC29">
        <f t="shared" ca="1" si="1"/>
        <v>0</v>
      </c>
      <c r="AD29" s="582">
        <f t="shared" ca="1" si="2"/>
        <v>0</v>
      </c>
      <c r="AE29" s="582">
        <f t="shared" ca="1" si="3"/>
        <v>0</v>
      </c>
      <c r="AF29" s="582">
        <f t="shared" ca="1" si="4"/>
        <v>0</v>
      </c>
      <c r="AG29" s="582">
        <f t="shared" ca="1" si="5"/>
        <v>0</v>
      </c>
      <c r="AH29" s="582">
        <f t="shared" ca="1" si="6"/>
        <v>0</v>
      </c>
      <c r="AI29" s="582">
        <f t="shared" ca="1" si="7"/>
        <v>0.90584093793867426</v>
      </c>
      <c r="AJ29" s="582">
        <f t="shared" ca="1" si="8"/>
        <v>0</v>
      </c>
      <c r="AK29" s="582">
        <f t="shared" ca="1" si="9"/>
        <v>0</v>
      </c>
      <c r="AL29" s="582">
        <f t="shared" ca="1" si="10"/>
        <v>0</v>
      </c>
      <c r="AM29" s="582">
        <f t="shared" ca="1" si="11"/>
        <v>0</v>
      </c>
      <c r="AN29" s="582">
        <f t="shared" ca="1" si="12"/>
        <v>0</v>
      </c>
      <c r="AO29" s="582">
        <f t="shared" ca="1" si="13"/>
        <v>5.0442354675710378E-2</v>
      </c>
      <c r="AP29" s="582">
        <f t="shared" ca="1" si="14"/>
        <v>4.3716707385615658E-2</v>
      </c>
      <c r="AQ29" s="582">
        <f t="shared" ca="1" si="15"/>
        <v>0</v>
      </c>
      <c r="AR29" s="582">
        <f t="shared" ca="1" si="16"/>
        <v>0</v>
      </c>
      <c r="AS29" s="582">
        <f t="shared" ca="1" si="17"/>
        <v>0</v>
      </c>
      <c r="AT29" s="582">
        <f t="shared" ca="1" si="18"/>
        <v>0</v>
      </c>
      <c r="AU29" s="582">
        <f t="shared" ca="1" si="19"/>
        <v>0</v>
      </c>
      <c r="AV29" s="582">
        <f t="shared" ca="1" si="20"/>
        <v>0</v>
      </c>
      <c r="AW29" s="582">
        <f t="shared" ca="1" si="21"/>
        <v>0</v>
      </c>
      <c r="AX29" s="582">
        <f t="shared" ca="1" si="22"/>
        <v>0</v>
      </c>
      <c r="AY29" s="582">
        <f t="shared" ca="1" si="23"/>
        <v>0</v>
      </c>
      <c r="AZ29" s="582">
        <f t="shared" ca="1" si="24"/>
        <v>0</v>
      </c>
      <c r="BA29" s="582">
        <f t="shared" ca="1" si="25"/>
        <v>0</v>
      </c>
      <c r="BB29" s="582">
        <f t="shared" ca="1" si="26"/>
        <v>0</v>
      </c>
      <c r="BC29" s="582">
        <f t="shared" ca="1" si="27"/>
        <v>0</v>
      </c>
      <c r="BD29" s="582">
        <f t="shared" ca="1" si="28"/>
        <v>1.0000000000000002</v>
      </c>
    </row>
    <row r="30" spans="1:56" ht="15">
      <c r="A30" s="22">
        <f t="shared" si="29"/>
        <v>2050</v>
      </c>
      <c r="B30" s="586">
        <v>25</v>
      </c>
      <c r="C30" s="583">
        <f ca="1"/>
        <v>0</v>
      </c>
      <c r="D30" s="583">
        <f ca="1"/>
        <v>0</v>
      </c>
      <c r="E30" s="583">
        <f ca="1"/>
        <v>0</v>
      </c>
      <c r="F30" s="583">
        <f ca="1"/>
        <v>0</v>
      </c>
      <c r="G30" s="583">
        <f ca="1"/>
        <v>0</v>
      </c>
      <c r="H30" s="583">
        <f ca="1"/>
        <v>0</v>
      </c>
      <c r="I30" s="583">
        <f ca="1"/>
        <v>0</v>
      </c>
      <c r="J30">
        <f ca="1"/>
        <v>0</v>
      </c>
      <c r="K30">
        <f ca="1"/>
        <v>0</v>
      </c>
      <c r="L30">
        <f ca="1"/>
        <v>0</v>
      </c>
      <c r="M30">
        <f ca="1"/>
        <v>0</v>
      </c>
      <c r="N30">
        <f ca="1"/>
        <v>0</v>
      </c>
      <c r="O30">
        <f ca="1"/>
        <v>0</v>
      </c>
      <c r="P30">
        <f ca="1"/>
        <v>0</v>
      </c>
      <c r="Q30">
        <f ca="1"/>
        <v>0</v>
      </c>
      <c r="R30">
        <f ca="1"/>
        <v>0</v>
      </c>
      <c r="S30">
        <f ca="1"/>
        <v>0</v>
      </c>
      <c r="T30">
        <f ca="1"/>
        <v>0</v>
      </c>
      <c r="U30">
        <f ca="1"/>
        <v>0</v>
      </c>
      <c r="V30">
        <f ca="1"/>
        <v>0</v>
      </c>
      <c r="W30">
        <f ca="1"/>
        <v>0</v>
      </c>
      <c r="X30">
        <f ca="1"/>
        <v>0</v>
      </c>
      <c r="Y30">
        <f ca="1"/>
        <v>0</v>
      </c>
      <c r="Z30">
        <f ca="1"/>
        <v>0</v>
      </c>
      <c r="AA30">
        <f ca="1"/>
        <v>0</v>
      </c>
      <c r="AB30">
        <f ca="1"/>
        <v>0</v>
      </c>
      <c r="AC30">
        <f t="shared" ca="1" si="1"/>
        <v>0</v>
      </c>
      <c r="AD30" s="582">
        <f t="shared" ca="1" si="2"/>
        <v>0</v>
      </c>
      <c r="AE30" s="582">
        <f t="shared" ca="1" si="3"/>
        <v>0</v>
      </c>
      <c r="AF30" s="582">
        <f t="shared" ca="1" si="4"/>
        <v>0</v>
      </c>
      <c r="AG30" s="582">
        <f t="shared" ca="1" si="5"/>
        <v>0</v>
      </c>
      <c r="AH30" s="582">
        <f t="shared" ca="1" si="6"/>
        <v>0</v>
      </c>
      <c r="AI30" s="582">
        <f t="shared" ca="1" si="7"/>
        <v>0.90584093793867426</v>
      </c>
      <c r="AJ30" s="582">
        <f t="shared" ca="1" si="8"/>
        <v>0</v>
      </c>
      <c r="AK30" s="582">
        <f t="shared" ca="1" si="9"/>
        <v>0</v>
      </c>
      <c r="AL30" s="582">
        <f t="shared" ca="1" si="10"/>
        <v>0</v>
      </c>
      <c r="AM30" s="582">
        <f t="shared" ca="1" si="11"/>
        <v>0</v>
      </c>
      <c r="AN30" s="582">
        <f t="shared" ca="1" si="12"/>
        <v>0</v>
      </c>
      <c r="AO30" s="582">
        <f t="shared" ca="1" si="13"/>
        <v>5.0442354675710378E-2</v>
      </c>
      <c r="AP30" s="582">
        <f t="shared" ca="1" si="14"/>
        <v>4.3716707385615658E-2</v>
      </c>
      <c r="AQ30" s="582">
        <f t="shared" ca="1" si="15"/>
        <v>0</v>
      </c>
      <c r="AR30" s="582">
        <f t="shared" ca="1" si="16"/>
        <v>0</v>
      </c>
      <c r="AS30" s="582">
        <f t="shared" ca="1" si="17"/>
        <v>0</v>
      </c>
      <c r="AT30" s="582">
        <f t="shared" ca="1" si="18"/>
        <v>0</v>
      </c>
      <c r="AU30" s="582">
        <f t="shared" ca="1" si="19"/>
        <v>0</v>
      </c>
      <c r="AV30" s="582">
        <f t="shared" ca="1" si="20"/>
        <v>0</v>
      </c>
      <c r="AW30" s="582">
        <f t="shared" ca="1" si="21"/>
        <v>0</v>
      </c>
      <c r="AX30" s="582">
        <f t="shared" ca="1" si="22"/>
        <v>0</v>
      </c>
      <c r="AY30" s="582">
        <f t="shared" ca="1" si="23"/>
        <v>0</v>
      </c>
      <c r="AZ30" s="582">
        <f t="shared" ca="1" si="24"/>
        <v>0</v>
      </c>
      <c r="BA30" s="582">
        <f t="shared" ca="1" si="25"/>
        <v>0</v>
      </c>
      <c r="BB30" s="582">
        <f t="shared" ca="1" si="26"/>
        <v>0</v>
      </c>
      <c r="BC30" s="582">
        <f t="shared" ca="1" si="27"/>
        <v>0</v>
      </c>
      <c r="BD30" s="582">
        <f t="shared" ca="1" si="28"/>
        <v>1.0000000000000002</v>
      </c>
    </row>
    <row r="31" spans="1:56" ht="15">
      <c r="A31" s="22">
        <f t="shared" si="29"/>
        <v>2051</v>
      </c>
      <c r="B31" s="586">
        <v>26</v>
      </c>
      <c r="C31" s="583">
        <f ca="1"/>
        <v>0</v>
      </c>
      <c r="D31" s="583">
        <f ca="1"/>
        <v>0</v>
      </c>
      <c r="E31" s="583">
        <f ca="1"/>
        <v>0</v>
      </c>
      <c r="F31" s="583">
        <f ca="1"/>
        <v>0</v>
      </c>
      <c r="G31" s="583">
        <f ca="1"/>
        <v>0</v>
      </c>
      <c r="H31" s="583">
        <f ca="1"/>
        <v>0</v>
      </c>
      <c r="I31" s="583">
        <f ca="1"/>
        <v>0</v>
      </c>
      <c r="J31">
        <f ca="1"/>
        <v>0</v>
      </c>
      <c r="K31">
        <f ca="1"/>
        <v>0</v>
      </c>
      <c r="L31">
        <f ca="1"/>
        <v>0</v>
      </c>
      <c r="M31">
        <f ca="1"/>
        <v>0</v>
      </c>
      <c r="N31">
        <f ca="1"/>
        <v>0</v>
      </c>
      <c r="O31">
        <f ca="1"/>
        <v>0</v>
      </c>
      <c r="P31">
        <f ca="1"/>
        <v>0</v>
      </c>
      <c r="Q31">
        <f ca="1"/>
        <v>0</v>
      </c>
      <c r="R31">
        <f ca="1"/>
        <v>0</v>
      </c>
      <c r="S31">
        <f ca="1"/>
        <v>0</v>
      </c>
      <c r="T31">
        <f ca="1"/>
        <v>0</v>
      </c>
      <c r="U31">
        <f ca="1"/>
        <v>0</v>
      </c>
      <c r="V31">
        <f ca="1"/>
        <v>0</v>
      </c>
      <c r="W31">
        <f ca="1"/>
        <v>0</v>
      </c>
      <c r="X31">
        <f ca="1"/>
        <v>0</v>
      </c>
      <c r="Y31">
        <f ca="1"/>
        <v>0</v>
      </c>
      <c r="Z31">
        <f ca="1"/>
        <v>0</v>
      </c>
      <c r="AA31">
        <f ca="1"/>
        <v>0</v>
      </c>
      <c r="AB31">
        <f ca="1"/>
        <v>0</v>
      </c>
      <c r="AC31">
        <f t="shared" ca="1" si="1"/>
        <v>0</v>
      </c>
      <c r="AD31" s="582">
        <f t="shared" ca="1" si="2"/>
        <v>0</v>
      </c>
      <c r="AE31" s="582">
        <f t="shared" ca="1" si="3"/>
        <v>0</v>
      </c>
      <c r="AF31" s="582">
        <f t="shared" ca="1" si="4"/>
        <v>0</v>
      </c>
      <c r="AG31" s="582">
        <f t="shared" ca="1" si="5"/>
        <v>0</v>
      </c>
      <c r="AH31" s="582">
        <f t="shared" ca="1" si="6"/>
        <v>0</v>
      </c>
      <c r="AI31" s="582">
        <f t="shared" ca="1" si="7"/>
        <v>0.90584093793867426</v>
      </c>
      <c r="AJ31" s="582">
        <f t="shared" ca="1" si="8"/>
        <v>0</v>
      </c>
      <c r="AK31" s="582">
        <f t="shared" ca="1" si="9"/>
        <v>0</v>
      </c>
      <c r="AL31" s="582">
        <f t="shared" ca="1" si="10"/>
        <v>0</v>
      </c>
      <c r="AM31" s="582">
        <f t="shared" ca="1" si="11"/>
        <v>0</v>
      </c>
      <c r="AN31" s="582">
        <f t="shared" ca="1" si="12"/>
        <v>0</v>
      </c>
      <c r="AO31" s="582">
        <f t="shared" ca="1" si="13"/>
        <v>5.0442354675710378E-2</v>
      </c>
      <c r="AP31" s="582">
        <f t="shared" ca="1" si="14"/>
        <v>4.3716707385615658E-2</v>
      </c>
      <c r="AQ31" s="582">
        <f t="shared" ca="1" si="15"/>
        <v>0</v>
      </c>
      <c r="AR31" s="582">
        <f t="shared" ca="1" si="16"/>
        <v>0</v>
      </c>
      <c r="AS31" s="582">
        <f t="shared" ca="1" si="17"/>
        <v>0</v>
      </c>
      <c r="AT31" s="582">
        <f t="shared" ca="1" si="18"/>
        <v>0</v>
      </c>
      <c r="AU31" s="582">
        <f t="shared" ca="1" si="19"/>
        <v>0</v>
      </c>
      <c r="AV31" s="582">
        <f t="shared" ca="1" si="20"/>
        <v>0</v>
      </c>
      <c r="AW31" s="582">
        <f t="shared" ca="1" si="21"/>
        <v>0</v>
      </c>
      <c r="AX31" s="582">
        <f t="shared" ca="1" si="22"/>
        <v>0</v>
      </c>
      <c r="AY31" s="582">
        <f t="shared" ca="1" si="23"/>
        <v>0</v>
      </c>
      <c r="AZ31" s="582">
        <f t="shared" ca="1" si="24"/>
        <v>0</v>
      </c>
      <c r="BA31" s="582">
        <f t="shared" ca="1" si="25"/>
        <v>0</v>
      </c>
      <c r="BB31" s="582">
        <f t="shared" ca="1" si="26"/>
        <v>0</v>
      </c>
      <c r="BC31" s="582">
        <f t="shared" ca="1" si="27"/>
        <v>0</v>
      </c>
      <c r="BD31" s="582">
        <f t="shared" ca="1" si="28"/>
        <v>1.0000000000000002</v>
      </c>
    </row>
    <row r="32" spans="1:56" ht="15">
      <c r="A32" s="22">
        <f t="shared" si="29"/>
        <v>2052</v>
      </c>
      <c r="B32" s="586">
        <v>27</v>
      </c>
      <c r="C32" s="583">
        <f ca="1"/>
        <v>0</v>
      </c>
      <c r="D32" s="583">
        <f ca="1"/>
        <v>0</v>
      </c>
      <c r="E32" s="583">
        <f ca="1"/>
        <v>0</v>
      </c>
      <c r="F32" s="583">
        <f ca="1"/>
        <v>0</v>
      </c>
      <c r="G32" s="583">
        <f ca="1"/>
        <v>0</v>
      </c>
      <c r="H32" s="583">
        <f ca="1"/>
        <v>0</v>
      </c>
      <c r="I32" s="583">
        <f ca="1"/>
        <v>0</v>
      </c>
      <c r="J32">
        <f ca="1"/>
        <v>0</v>
      </c>
      <c r="K32">
        <f ca="1"/>
        <v>0</v>
      </c>
      <c r="L32">
        <f ca="1"/>
        <v>0</v>
      </c>
      <c r="M32">
        <f ca="1"/>
        <v>0</v>
      </c>
      <c r="N32">
        <f ca="1"/>
        <v>0</v>
      </c>
      <c r="O32">
        <f ca="1"/>
        <v>0</v>
      </c>
      <c r="P32">
        <f ca="1"/>
        <v>0</v>
      </c>
      <c r="Q32">
        <f ca="1"/>
        <v>0</v>
      </c>
      <c r="R32">
        <f ca="1"/>
        <v>0</v>
      </c>
      <c r="S32">
        <f ca="1"/>
        <v>0</v>
      </c>
      <c r="T32">
        <f ca="1"/>
        <v>0</v>
      </c>
      <c r="U32">
        <f ca="1"/>
        <v>0</v>
      </c>
      <c r="V32">
        <f ca="1"/>
        <v>0</v>
      </c>
      <c r="W32">
        <f ca="1"/>
        <v>0</v>
      </c>
      <c r="X32">
        <f ca="1"/>
        <v>0</v>
      </c>
      <c r="Y32">
        <f ca="1"/>
        <v>0</v>
      </c>
      <c r="Z32">
        <f ca="1"/>
        <v>0</v>
      </c>
      <c r="AA32">
        <f ca="1"/>
        <v>0</v>
      </c>
      <c r="AB32">
        <f ca="1"/>
        <v>0</v>
      </c>
      <c r="AC32">
        <f t="shared" ca="1" si="1"/>
        <v>0</v>
      </c>
      <c r="AD32" s="582">
        <f t="shared" ca="1" si="2"/>
        <v>0</v>
      </c>
      <c r="AE32" s="582">
        <f t="shared" ca="1" si="3"/>
        <v>0</v>
      </c>
      <c r="AF32" s="582">
        <f t="shared" ca="1" si="4"/>
        <v>0</v>
      </c>
      <c r="AG32" s="582">
        <f t="shared" ca="1" si="5"/>
        <v>0</v>
      </c>
      <c r="AH32" s="582">
        <f t="shared" ca="1" si="6"/>
        <v>0</v>
      </c>
      <c r="AI32" s="582">
        <f t="shared" ca="1" si="7"/>
        <v>0.90584093793867426</v>
      </c>
      <c r="AJ32" s="582">
        <f t="shared" ca="1" si="8"/>
        <v>0</v>
      </c>
      <c r="AK32" s="582">
        <f t="shared" ca="1" si="9"/>
        <v>0</v>
      </c>
      <c r="AL32" s="582">
        <f t="shared" ca="1" si="10"/>
        <v>0</v>
      </c>
      <c r="AM32" s="582">
        <f t="shared" ca="1" si="11"/>
        <v>0</v>
      </c>
      <c r="AN32" s="582">
        <f t="shared" ca="1" si="12"/>
        <v>0</v>
      </c>
      <c r="AO32" s="582">
        <f t="shared" ca="1" si="13"/>
        <v>5.0442354675710378E-2</v>
      </c>
      <c r="AP32" s="582">
        <f t="shared" ca="1" si="14"/>
        <v>4.3716707385615658E-2</v>
      </c>
      <c r="AQ32" s="582">
        <f t="shared" ca="1" si="15"/>
        <v>0</v>
      </c>
      <c r="AR32" s="582">
        <f t="shared" ca="1" si="16"/>
        <v>0</v>
      </c>
      <c r="AS32" s="582">
        <f t="shared" ca="1" si="17"/>
        <v>0</v>
      </c>
      <c r="AT32" s="582">
        <f t="shared" ca="1" si="18"/>
        <v>0</v>
      </c>
      <c r="AU32" s="582">
        <f t="shared" ca="1" si="19"/>
        <v>0</v>
      </c>
      <c r="AV32" s="582">
        <f t="shared" ca="1" si="20"/>
        <v>0</v>
      </c>
      <c r="AW32" s="582">
        <f t="shared" ca="1" si="21"/>
        <v>0</v>
      </c>
      <c r="AX32" s="582">
        <f t="shared" ca="1" si="22"/>
        <v>0</v>
      </c>
      <c r="AY32" s="582">
        <f t="shared" ca="1" si="23"/>
        <v>0</v>
      </c>
      <c r="AZ32" s="582">
        <f t="shared" ca="1" si="24"/>
        <v>0</v>
      </c>
      <c r="BA32" s="582">
        <f t="shared" ca="1" si="25"/>
        <v>0</v>
      </c>
      <c r="BB32" s="582">
        <f t="shared" ca="1" si="26"/>
        <v>0</v>
      </c>
      <c r="BC32" s="582">
        <f t="shared" ca="1" si="27"/>
        <v>0</v>
      </c>
      <c r="BD32" s="582">
        <f t="shared" ca="1" si="28"/>
        <v>1.0000000000000002</v>
      </c>
    </row>
    <row r="33" spans="1:56" ht="15">
      <c r="A33" s="22">
        <f t="shared" si="29"/>
        <v>2053</v>
      </c>
      <c r="B33" s="586">
        <v>28</v>
      </c>
      <c r="C33" s="583">
        <f ca="1"/>
        <v>0</v>
      </c>
      <c r="D33" s="583">
        <f ca="1"/>
        <v>0</v>
      </c>
      <c r="E33" s="583">
        <f ca="1"/>
        <v>0</v>
      </c>
      <c r="F33" s="583">
        <f ca="1"/>
        <v>0</v>
      </c>
      <c r="G33" s="583">
        <f ca="1"/>
        <v>0</v>
      </c>
      <c r="H33" s="583">
        <f ca="1"/>
        <v>0</v>
      </c>
      <c r="I33" s="583">
        <f ca="1"/>
        <v>0</v>
      </c>
      <c r="J33">
        <f ca="1"/>
        <v>0</v>
      </c>
      <c r="K33">
        <f ca="1"/>
        <v>0</v>
      </c>
      <c r="L33">
        <f ca="1"/>
        <v>0</v>
      </c>
      <c r="M33">
        <f ca="1"/>
        <v>0</v>
      </c>
      <c r="N33">
        <f ca="1"/>
        <v>0</v>
      </c>
      <c r="O33">
        <f ca="1"/>
        <v>0</v>
      </c>
      <c r="P33">
        <f ca="1"/>
        <v>0</v>
      </c>
      <c r="Q33">
        <f ca="1"/>
        <v>0</v>
      </c>
      <c r="R33">
        <f ca="1"/>
        <v>0</v>
      </c>
      <c r="S33">
        <f ca="1"/>
        <v>0</v>
      </c>
      <c r="T33">
        <f ca="1"/>
        <v>0</v>
      </c>
      <c r="U33">
        <f ca="1"/>
        <v>0</v>
      </c>
      <c r="V33">
        <f ca="1"/>
        <v>0</v>
      </c>
      <c r="W33">
        <f ca="1"/>
        <v>0</v>
      </c>
      <c r="X33">
        <f ca="1"/>
        <v>0</v>
      </c>
      <c r="Y33">
        <f ca="1"/>
        <v>0</v>
      </c>
      <c r="Z33">
        <f ca="1"/>
        <v>0</v>
      </c>
      <c r="AA33">
        <f ca="1"/>
        <v>0</v>
      </c>
      <c r="AB33">
        <f ca="1"/>
        <v>0</v>
      </c>
      <c r="AC33">
        <f t="shared" ca="1" si="1"/>
        <v>0</v>
      </c>
      <c r="AD33" s="582">
        <f t="shared" ca="1" si="2"/>
        <v>0</v>
      </c>
      <c r="AE33" s="582">
        <f t="shared" ca="1" si="3"/>
        <v>0</v>
      </c>
      <c r="AF33" s="582">
        <f t="shared" ca="1" si="4"/>
        <v>0</v>
      </c>
      <c r="AG33" s="582">
        <f t="shared" ca="1" si="5"/>
        <v>0</v>
      </c>
      <c r="AH33" s="582">
        <f t="shared" ca="1" si="6"/>
        <v>0</v>
      </c>
      <c r="AI33" s="582">
        <f t="shared" ca="1" si="7"/>
        <v>0.90584093793867426</v>
      </c>
      <c r="AJ33" s="582">
        <f t="shared" ca="1" si="8"/>
        <v>0</v>
      </c>
      <c r="AK33" s="582">
        <f t="shared" ca="1" si="9"/>
        <v>0</v>
      </c>
      <c r="AL33" s="582">
        <f t="shared" ca="1" si="10"/>
        <v>0</v>
      </c>
      <c r="AM33" s="582">
        <f t="shared" ca="1" si="11"/>
        <v>0</v>
      </c>
      <c r="AN33" s="582">
        <f t="shared" ca="1" si="12"/>
        <v>0</v>
      </c>
      <c r="AO33" s="582">
        <f t="shared" ca="1" si="13"/>
        <v>5.0442354675710378E-2</v>
      </c>
      <c r="AP33" s="582">
        <f t="shared" ca="1" si="14"/>
        <v>4.3716707385615658E-2</v>
      </c>
      <c r="AQ33" s="582">
        <f t="shared" ca="1" si="15"/>
        <v>0</v>
      </c>
      <c r="AR33" s="582">
        <f t="shared" ca="1" si="16"/>
        <v>0</v>
      </c>
      <c r="AS33" s="582">
        <f t="shared" ca="1" si="17"/>
        <v>0</v>
      </c>
      <c r="AT33" s="582">
        <f t="shared" ca="1" si="18"/>
        <v>0</v>
      </c>
      <c r="AU33" s="582">
        <f t="shared" ca="1" si="19"/>
        <v>0</v>
      </c>
      <c r="AV33" s="582">
        <f t="shared" ca="1" si="20"/>
        <v>0</v>
      </c>
      <c r="AW33" s="582">
        <f t="shared" ca="1" si="21"/>
        <v>0</v>
      </c>
      <c r="AX33" s="582">
        <f t="shared" ca="1" si="22"/>
        <v>0</v>
      </c>
      <c r="AY33" s="582">
        <f t="shared" ca="1" si="23"/>
        <v>0</v>
      </c>
      <c r="AZ33" s="582">
        <f t="shared" ca="1" si="24"/>
        <v>0</v>
      </c>
      <c r="BA33" s="582">
        <f t="shared" ca="1" si="25"/>
        <v>0</v>
      </c>
      <c r="BB33" s="582">
        <f t="shared" ca="1" si="26"/>
        <v>0</v>
      </c>
      <c r="BC33" s="582">
        <f t="shared" ca="1" si="27"/>
        <v>0</v>
      </c>
      <c r="BD33" s="582">
        <f t="shared" ca="1" si="28"/>
        <v>1.0000000000000002</v>
      </c>
    </row>
    <row r="34" spans="1:56" ht="15">
      <c r="A34" s="22">
        <f t="shared" si="29"/>
        <v>2054</v>
      </c>
      <c r="B34" s="586">
        <v>29</v>
      </c>
      <c r="C34" s="583">
        <f ca="1"/>
        <v>0</v>
      </c>
      <c r="D34" s="583">
        <f ca="1"/>
        <v>0</v>
      </c>
      <c r="E34" s="583">
        <f ca="1"/>
        <v>0</v>
      </c>
      <c r="F34" s="583">
        <f ca="1"/>
        <v>0</v>
      </c>
      <c r="G34" s="583">
        <f ca="1"/>
        <v>0</v>
      </c>
      <c r="H34" s="583">
        <f ca="1"/>
        <v>0</v>
      </c>
      <c r="I34" s="583">
        <f ca="1"/>
        <v>0</v>
      </c>
      <c r="J34">
        <f ca="1"/>
        <v>0</v>
      </c>
      <c r="K34">
        <f ca="1"/>
        <v>0</v>
      </c>
      <c r="L34">
        <f ca="1"/>
        <v>0</v>
      </c>
      <c r="M34">
        <f ca="1"/>
        <v>0</v>
      </c>
      <c r="N34">
        <f ca="1"/>
        <v>0</v>
      </c>
      <c r="O34">
        <f ca="1"/>
        <v>0</v>
      </c>
      <c r="P34">
        <f ca="1"/>
        <v>0</v>
      </c>
      <c r="Q34">
        <f ca="1"/>
        <v>0</v>
      </c>
      <c r="R34">
        <f ca="1"/>
        <v>0</v>
      </c>
      <c r="S34">
        <f ca="1"/>
        <v>0</v>
      </c>
      <c r="T34">
        <f ca="1"/>
        <v>0</v>
      </c>
      <c r="U34">
        <f ca="1"/>
        <v>0</v>
      </c>
      <c r="V34">
        <f ca="1"/>
        <v>0</v>
      </c>
      <c r="W34">
        <f ca="1"/>
        <v>0</v>
      </c>
      <c r="X34">
        <f ca="1"/>
        <v>0</v>
      </c>
      <c r="Y34">
        <f ca="1"/>
        <v>0</v>
      </c>
      <c r="Z34">
        <f ca="1"/>
        <v>0</v>
      </c>
      <c r="AA34">
        <f ca="1"/>
        <v>0</v>
      </c>
      <c r="AB34">
        <f ca="1"/>
        <v>0</v>
      </c>
      <c r="AC34">
        <f t="shared" ca="1" si="1"/>
        <v>0</v>
      </c>
      <c r="AD34" s="582">
        <f t="shared" ca="1" si="2"/>
        <v>0</v>
      </c>
      <c r="AE34" s="582">
        <f t="shared" ca="1" si="3"/>
        <v>0</v>
      </c>
      <c r="AF34" s="582">
        <f t="shared" ca="1" si="4"/>
        <v>0</v>
      </c>
      <c r="AG34" s="582">
        <f t="shared" ca="1" si="5"/>
        <v>0</v>
      </c>
      <c r="AH34" s="582">
        <f t="shared" ca="1" si="6"/>
        <v>0</v>
      </c>
      <c r="AI34" s="582">
        <f t="shared" ca="1" si="7"/>
        <v>0.90584093793867426</v>
      </c>
      <c r="AJ34" s="582">
        <f t="shared" ca="1" si="8"/>
        <v>0</v>
      </c>
      <c r="AK34" s="582">
        <f t="shared" ca="1" si="9"/>
        <v>0</v>
      </c>
      <c r="AL34" s="582">
        <f t="shared" ca="1" si="10"/>
        <v>0</v>
      </c>
      <c r="AM34" s="582">
        <f t="shared" ca="1" si="11"/>
        <v>0</v>
      </c>
      <c r="AN34" s="582">
        <f t="shared" ca="1" si="12"/>
        <v>0</v>
      </c>
      <c r="AO34" s="582">
        <f t="shared" ca="1" si="13"/>
        <v>5.0442354675710378E-2</v>
      </c>
      <c r="AP34" s="582">
        <f t="shared" ca="1" si="14"/>
        <v>4.3716707385615658E-2</v>
      </c>
      <c r="AQ34" s="582">
        <f t="shared" ca="1" si="15"/>
        <v>0</v>
      </c>
      <c r="AR34" s="582">
        <f t="shared" ca="1" si="16"/>
        <v>0</v>
      </c>
      <c r="AS34" s="582">
        <f t="shared" ca="1" si="17"/>
        <v>0</v>
      </c>
      <c r="AT34" s="582">
        <f t="shared" ca="1" si="18"/>
        <v>0</v>
      </c>
      <c r="AU34" s="582">
        <f t="shared" ca="1" si="19"/>
        <v>0</v>
      </c>
      <c r="AV34" s="582">
        <f t="shared" ca="1" si="20"/>
        <v>0</v>
      </c>
      <c r="AW34" s="582">
        <f t="shared" ca="1" si="21"/>
        <v>0</v>
      </c>
      <c r="AX34" s="582">
        <f t="shared" ca="1" si="22"/>
        <v>0</v>
      </c>
      <c r="AY34" s="582">
        <f t="shared" ca="1" si="23"/>
        <v>0</v>
      </c>
      <c r="AZ34" s="582">
        <f t="shared" ca="1" si="24"/>
        <v>0</v>
      </c>
      <c r="BA34" s="582">
        <f t="shared" ca="1" si="25"/>
        <v>0</v>
      </c>
      <c r="BB34" s="582">
        <f t="shared" ca="1" si="26"/>
        <v>0</v>
      </c>
      <c r="BC34" s="582">
        <f t="shared" ca="1" si="27"/>
        <v>0</v>
      </c>
      <c r="BD34" s="582">
        <f t="shared" ca="1" si="28"/>
        <v>1.0000000000000002</v>
      </c>
    </row>
    <row r="35" spans="1:56" ht="15">
      <c r="A35" s="22">
        <f t="shared" si="29"/>
        <v>2055</v>
      </c>
      <c r="B35" s="586">
        <v>30</v>
      </c>
      <c r="C35" s="583">
        <f ca="1"/>
        <v>0</v>
      </c>
      <c r="D35" s="583">
        <f ca="1"/>
        <v>0</v>
      </c>
      <c r="E35" s="583">
        <f ca="1"/>
        <v>0</v>
      </c>
      <c r="F35" s="583">
        <f ca="1"/>
        <v>0</v>
      </c>
      <c r="G35" s="583">
        <f ca="1"/>
        <v>0</v>
      </c>
      <c r="H35" s="583">
        <f ca="1"/>
        <v>0</v>
      </c>
      <c r="I35" s="583">
        <f ca="1"/>
        <v>0</v>
      </c>
      <c r="J35">
        <f ca="1"/>
        <v>0</v>
      </c>
      <c r="K35">
        <f ca="1"/>
        <v>0</v>
      </c>
      <c r="L35">
        <f ca="1"/>
        <v>0</v>
      </c>
      <c r="M35">
        <f ca="1"/>
        <v>0</v>
      </c>
      <c r="N35">
        <f ca="1"/>
        <v>0</v>
      </c>
      <c r="O35">
        <f ca="1"/>
        <v>0</v>
      </c>
      <c r="P35">
        <f ca="1"/>
        <v>0</v>
      </c>
      <c r="Q35">
        <f ca="1"/>
        <v>0</v>
      </c>
      <c r="R35">
        <f ca="1"/>
        <v>0</v>
      </c>
      <c r="S35">
        <f ca="1"/>
        <v>0</v>
      </c>
      <c r="T35">
        <f ca="1"/>
        <v>0</v>
      </c>
      <c r="U35">
        <f ca="1"/>
        <v>0</v>
      </c>
      <c r="V35">
        <f ca="1"/>
        <v>0</v>
      </c>
      <c r="W35">
        <f ca="1"/>
        <v>0</v>
      </c>
      <c r="X35">
        <f ca="1"/>
        <v>0</v>
      </c>
      <c r="Y35">
        <f ca="1"/>
        <v>0</v>
      </c>
      <c r="Z35">
        <f ca="1"/>
        <v>0</v>
      </c>
      <c r="AA35">
        <f ca="1"/>
        <v>0</v>
      </c>
      <c r="AB35">
        <f ca="1"/>
        <v>0</v>
      </c>
      <c r="AC35">
        <f t="shared" ca="1" si="1"/>
        <v>0</v>
      </c>
      <c r="AD35" s="582">
        <f t="shared" ca="1" si="2"/>
        <v>0</v>
      </c>
      <c r="AE35" s="582">
        <f t="shared" ca="1" si="3"/>
        <v>0</v>
      </c>
      <c r="AF35" s="582">
        <f t="shared" ca="1" si="4"/>
        <v>0</v>
      </c>
      <c r="AG35" s="582">
        <f t="shared" ca="1" si="5"/>
        <v>0</v>
      </c>
      <c r="AH35" s="582">
        <f t="shared" ca="1" si="6"/>
        <v>0</v>
      </c>
      <c r="AI35" s="582">
        <f t="shared" ca="1" si="7"/>
        <v>0.90584093793867426</v>
      </c>
      <c r="AJ35" s="582">
        <f t="shared" ca="1" si="8"/>
        <v>0</v>
      </c>
      <c r="AK35" s="582">
        <f t="shared" ca="1" si="9"/>
        <v>0</v>
      </c>
      <c r="AL35" s="582">
        <f t="shared" ca="1" si="10"/>
        <v>0</v>
      </c>
      <c r="AM35" s="582">
        <f t="shared" ca="1" si="11"/>
        <v>0</v>
      </c>
      <c r="AN35" s="582">
        <f t="shared" ca="1" si="12"/>
        <v>0</v>
      </c>
      <c r="AO35" s="582">
        <f t="shared" ca="1" si="13"/>
        <v>5.0442354675710378E-2</v>
      </c>
      <c r="AP35" s="582">
        <f t="shared" ca="1" si="14"/>
        <v>4.3716707385615658E-2</v>
      </c>
      <c r="AQ35" s="582">
        <f t="shared" ca="1" si="15"/>
        <v>0</v>
      </c>
      <c r="AR35" s="582">
        <f t="shared" ca="1" si="16"/>
        <v>0</v>
      </c>
      <c r="AS35" s="582">
        <f t="shared" ca="1" si="17"/>
        <v>0</v>
      </c>
      <c r="AT35" s="582">
        <f t="shared" ca="1" si="18"/>
        <v>0</v>
      </c>
      <c r="AU35" s="582">
        <f t="shared" ca="1" si="19"/>
        <v>0</v>
      </c>
      <c r="AV35" s="582">
        <f t="shared" ca="1" si="20"/>
        <v>0</v>
      </c>
      <c r="AW35" s="582">
        <f t="shared" ca="1" si="21"/>
        <v>0</v>
      </c>
      <c r="AX35" s="582">
        <f t="shared" ca="1" si="22"/>
        <v>0</v>
      </c>
      <c r="AY35" s="582">
        <f t="shared" ca="1" si="23"/>
        <v>0</v>
      </c>
      <c r="AZ35" s="582">
        <f t="shared" ca="1" si="24"/>
        <v>0</v>
      </c>
      <c r="BA35" s="582">
        <f t="shared" ca="1" si="25"/>
        <v>0</v>
      </c>
      <c r="BB35" s="582">
        <f t="shared" ca="1" si="26"/>
        <v>0</v>
      </c>
      <c r="BC35" s="582">
        <f t="shared" ca="1" si="27"/>
        <v>0</v>
      </c>
      <c r="BD35" s="582">
        <f t="shared" ca="1" si="28"/>
        <v>1.0000000000000002</v>
      </c>
    </row>
    <row r="36" spans="1:56" ht="15">
      <c r="A36" s="22">
        <f t="shared" si="29"/>
        <v>2056</v>
      </c>
      <c r="B36" s="586">
        <v>31</v>
      </c>
      <c r="C36" s="583">
        <f ca="1"/>
        <v>0</v>
      </c>
      <c r="D36" s="583">
        <f ca="1"/>
        <v>0</v>
      </c>
      <c r="E36" s="583">
        <f ca="1"/>
        <v>0</v>
      </c>
      <c r="F36" s="583">
        <f ca="1"/>
        <v>0</v>
      </c>
      <c r="G36" s="583">
        <f ca="1"/>
        <v>0</v>
      </c>
      <c r="H36" s="583">
        <f ca="1"/>
        <v>0</v>
      </c>
      <c r="I36" s="583">
        <f ca="1"/>
        <v>0</v>
      </c>
      <c r="J36">
        <f ca="1"/>
        <v>0</v>
      </c>
      <c r="K36">
        <f ca="1"/>
        <v>0</v>
      </c>
      <c r="L36">
        <f ca="1"/>
        <v>0</v>
      </c>
      <c r="M36">
        <f ca="1"/>
        <v>0</v>
      </c>
      <c r="N36">
        <f ca="1"/>
        <v>0</v>
      </c>
      <c r="O36">
        <f ca="1"/>
        <v>0</v>
      </c>
      <c r="P36">
        <f ca="1"/>
        <v>0</v>
      </c>
      <c r="Q36">
        <f ca="1"/>
        <v>0</v>
      </c>
      <c r="R36">
        <f ca="1"/>
        <v>0</v>
      </c>
      <c r="S36">
        <f ca="1"/>
        <v>0</v>
      </c>
      <c r="T36">
        <f ca="1"/>
        <v>0</v>
      </c>
      <c r="U36">
        <f ca="1"/>
        <v>0</v>
      </c>
      <c r="V36">
        <f ca="1"/>
        <v>0</v>
      </c>
      <c r="W36">
        <f ca="1"/>
        <v>0</v>
      </c>
      <c r="X36">
        <f ca="1"/>
        <v>0</v>
      </c>
      <c r="Y36">
        <f ca="1"/>
        <v>0</v>
      </c>
      <c r="Z36">
        <f ca="1"/>
        <v>0</v>
      </c>
      <c r="AA36">
        <f ca="1"/>
        <v>0</v>
      </c>
      <c r="AB36">
        <f ca="1"/>
        <v>0</v>
      </c>
      <c r="AC36">
        <f t="shared" ca="1" si="1"/>
        <v>0</v>
      </c>
      <c r="AD36" s="582">
        <f t="shared" ca="1" si="2"/>
        <v>0</v>
      </c>
      <c r="AE36" s="582">
        <f t="shared" ca="1" si="3"/>
        <v>0</v>
      </c>
      <c r="AF36" s="582">
        <f t="shared" ca="1" si="4"/>
        <v>0</v>
      </c>
      <c r="AG36" s="582">
        <f t="shared" ca="1" si="5"/>
        <v>0</v>
      </c>
      <c r="AH36" s="582">
        <f t="shared" ca="1" si="6"/>
        <v>0</v>
      </c>
      <c r="AI36" s="582">
        <f t="shared" ca="1" si="7"/>
        <v>0.90584093793867426</v>
      </c>
      <c r="AJ36" s="582">
        <f t="shared" ca="1" si="8"/>
        <v>0</v>
      </c>
      <c r="AK36" s="582">
        <f t="shared" ca="1" si="9"/>
        <v>0</v>
      </c>
      <c r="AL36" s="582">
        <f t="shared" ca="1" si="10"/>
        <v>0</v>
      </c>
      <c r="AM36" s="582">
        <f t="shared" ca="1" si="11"/>
        <v>0</v>
      </c>
      <c r="AN36" s="582">
        <f t="shared" ca="1" si="12"/>
        <v>0</v>
      </c>
      <c r="AO36" s="582">
        <f t="shared" ca="1" si="13"/>
        <v>5.0442354675710378E-2</v>
      </c>
      <c r="AP36" s="582">
        <f t="shared" ca="1" si="14"/>
        <v>4.3716707385615658E-2</v>
      </c>
      <c r="AQ36" s="582">
        <f t="shared" ca="1" si="15"/>
        <v>0</v>
      </c>
      <c r="AR36" s="582">
        <f t="shared" ca="1" si="16"/>
        <v>0</v>
      </c>
      <c r="AS36" s="582">
        <f t="shared" ca="1" si="17"/>
        <v>0</v>
      </c>
      <c r="AT36" s="582">
        <f t="shared" ca="1" si="18"/>
        <v>0</v>
      </c>
      <c r="AU36" s="582">
        <f t="shared" ca="1" si="19"/>
        <v>0</v>
      </c>
      <c r="AV36" s="582">
        <f t="shared" ca="1" si="20"/>
        <v>0</v>
      </c>
      <c r="AW36" s="582">
        <f t="shared" ca="1" si="21"/>
        <v>0</v>
      </c>
      <c r="AX36" s="582">
        <f t="shared" ca="1" si="22"/>
        <v>0</v>
      </c>
      <c r="AY36" s="582">
        <f t="shared" ca="1" si="23"/>
        <v>0</v>
      </c>
      <c r="AZ36" s="582">
        <f t="shared" ca="1" si="24"/>
        <v>0</v>
      </c>
      <c r="BA36" s="582">
        <f t="shared" ca="1" si="25"/>
        <v>0</v>
      </c>
      <c r="BB36" s="582">
        <f t="shared" ca="1" si="26"/>
        <v>0</v>
      </c>
      <c r="BC36" s="582">
        <f t="shared" ca="1" si="27"/>
        <v>0</v>
      </c>
      <c r="BD36" s="582">
        <f t="shared" ca="1" si="28"/>
        <v>1.0000000000000002</v>
      </c>
    </row>
    <row r="37" spans="1:56" ht="15">
      <c r="A37" s="22">
        <f t="shared" si="29"/>
        <v>2057</v>
      </c>
      <c r="B37" s="586">
        <v>32</v>
      </c>
      <c r="C37" s="583">
        <f ca="1"/>
        <v>0</v>
      </c>
      <c r="D37" s="583">
        <f ca="1"/>
        <v>0</v>
      </c>
      <c r="E37" s="583">
        <f ca="1"/>
        <v>0</v>
      </c>
      <c r="F37" s="583">
        <f ca="1"/>
        <v>0</v>
      </c>
      <c r="G37" s="583">
        <f ca="1"/>
        <v>0</v>
      </c>
      <c r="H37" s="583">
        <f ca="1"/>
        <v>0</v>
      </c>
      <c r="I37" s="583">
        <f ca="1"/>
        <v>0</v>
      </c>
      <c r="J37">
        <f ca="1"/>
        <v>0</v>
      </c>
      <c r="K37">
        <f ca="1"/>
        <v>0</v>
      </c>
      <c r="L37">
        <f ca="1"/>
        <v>0</v>
      </c>
      <c r="M37">
        <f ca="1"/>
        <v>0</v>
      </c>
      <c r="N37">
        <f ca="1"/>
        <v>0</v>
      </c>
      <c r="O37">
        <f ca="1"/>
        <v>0</v>
      </c>
      <c r="P37">
        <f ca="1"/>
        <v>0</v>
      </c>
      <c r="Q37">
        <f ca="1"/>
        <v>0</v>
      </c>
      <c r="R37">
        <f ca="1"/>
        <v>0</v>
      </c>
      <c r="S37">
        <f ca="1"/>
        <v>0</v>
      </c>
      <c r="T37">
        <f ca="1"/>
        <v>0</v>
      </c>
      <c r="U37">
        <f ca="1"/>
        <v>0</v>
      </c>
      <c r="V37">
        <f ca="1"/>
        <v>0</v>
      </c>
      <c r="W37">
        <f ca="1"/>
        <v>0</v>
      </c>
      <c r="X37">
        <f ca="1"/>
        <v>0</v>
      </c>
      <c r="Y37">
        <f ca="1"/>
        <v>0</v>
      </c>
      <c r="Z37">
        <f ca="1"/>
        <v>0</v>
      </c>
      <c r="AA37">
        <f ca="1"/>
        <v>0</v>
      </c>
      <c r="AB37">
        <f ca="1"/>
        <v>0</v>
      </c>
      <c r="AC37">
        <f t="shared" ca="1" si="1"/>
        <v>0</v>
      </c>
      <c r="AD37" s="582">
        <f t="shared" ca="1" si="2"/>
        <v>0</v>
      </c>
      <c r="AE37" s="582">
        <f t="shared" ca="1" si="3"/>
        <v>0</v>
      </c>
      <c r="AF37" s="582">
        <f t="shared" ca="1" si="4"/>
        <v>0</v>
      </c>
      <c r="AG37" s="582">
        <f t="shared" ca="1" si="5"/>
        <v>0</v>
      </c>
      <c r="AH37" s="582">
        <f t="shared" ca="1" si="6"/>
        <v>0</v>
      </c>
      <c r="AI37" s="582">
        <f t="shared" ca="1" si="7"/>
        <v>0.90584093793867426</v>
      </c>
      <c r="AJ37" s="582">
        <f t="shared" ca="1" si="8"/>
        <v>0</v>
      </c>
      <c r="AK37" s="582">
        <f t="shared" ca="1" si="9"/>
        <v>0</v>
      </c>
      <c r="AL37" s="582">
        <f t="shared" ca="1" si="10"/>
        <v>0</v>
      </c>
      <c r="AM37" s="582">
        <f t="shared" ca="1" si="11"/>
        <v>0</v>
      </c>
      <c r="AN37" s="582">
        <f t="shared" ca="1" si="12"/>
        <v>0</v>
      </c>
      <c r="AO37" s="582">
        <f t="shared" ca="1" si="13"/>
        <v>5.0442354675710378E-2</v>
      </c>
      <c r="AP37" s="582">
        <f t="shared" ca="1" si="14"/>
        <v>4.3716707385615658E-2</v>
      </c>
      <c r="AQ37" s="582">
        <f t="shared" ca="1" si="15"/>
        <v>0</v>
      </c>
      <c r="AR37" s="582">
        <f t="shared" ca="1" si="16"/>
        <v>0</v>
      </c>
      <c r="AS37" s="582">
        <f t="shared" ca="1" si="17"/>
        <v>0</v>
      </c>
      <c r="AT37" s="582">
        <f t="shared" ca="1" si="18"/>
        <v>0</v>
      </c>
      <c r="AU37" s="582">
        <f t="shared" ca="1" si="19"/>
        <v>0</v>
      </c>
      <c r="AV37" s="582">
        <f t="shared" ca="1" si="20"/>
        <v>0</v>
      </c>
      <c r="AW37" s="582">
        <f t="shared" ca="1" si="21"/>
        <v>0</v>
      </c>
      <c r="AX37" s="582">
        <f t="shared" ca="1" si="22"/>
        <v>0</v>
      </c>
      <c r="AY37" s="582">
        <f t="shared" ca="1" si="23"/>
        <v>0</v>
      </c>
      <c r="AZ37" s="582">
        <f t="shared" ca="1" si="24"/>
        <v>0</v>
      </c>
      <c r="BA37" s="582">
        <f t="shared" ca="1" si="25"/>
        <v>0</v>
      </c>
      <c r="BB37" s="582">
        <f t="shared" ca="1" si="26"/>
        <v>0</v>
      </c>
      <c r="BC37" s="582">
        <f t="shared" ca="1" si="27"/>
        <v>0</v>
      </c>
      <c r="BD37" s="582">
        <f t="shared" ca="1" si="28"/>
        <v>1.0000000000000002</v>
      </c>
    </row>
    <row r="38" spans="1:56" ht="15">
      <c r="A38" s="22">
        <f t="shared" si="29"/>
        <v>2058</v>
      </c>
      <c r="B38" s="586">
        <v>33</v>
      </c>
      <c r="C38" s="583">
        <f ca="1"/>
        <v>0</v>
      </c>
      <c r="D38" s="583">
        <f ca="1"/>
        <v>0</v>
      </c>
      <c r="E38" s="583">
        <f ca="1"/>
        <v>0</v>
      </c>
      <c r="F38" s="583">
        <f ca="1"/>
        <v>0</v>
      </c>
      <c r="G38" s="583">
        <f ca="1"/>
        <v>0</v>
      </c>
      <c r="H38" s="583">
        <f ca="1"/>
        <v>0</v>
      </c>
      <c r="I38" s="583">
        <f ca="1"/>
        <v>0</v>
      </c>
      <c r="J38">
        <f ca="1"/>
        <v>0</v>
      </c>
      <c r="K38">
        <f ca="1"/>
        <v>0</v>
      </c>
      <c r="L38">
        <f ca="1"/>
        <v>0</v>
      </c>
      <c r="M38">
        <f ca="1"/>
        <v>0</v>
      </c>
      <c r="N38">
        <f ca="1"/>
        <v>0</v>
      </c>
      <c r="O38">
        <f ca="1"/>
        <v>0</v>
      </c>
      <c r="P38">
        <f ca="1"/>
        <v>0</v>
      </c>
      <c r="Q38">
        <f ca="1"/>
        <v>0</v>
      </c>
      <c r="R38">
        <f ca="1"/>
        <v>0</v>
      </c>
      <c r="S38">
        <f ca="1"/>
        <v>0</v>
      </c>
      <c r="T38">
        <f ca="1"/>
        <v>0</v>
      </c>
      <c r="U38">
        <f ca="1"/>
        <v>0</v>
      </c>
      <c r="V38">
        <f ca="1"/>
        <v>0</v>
      </c>
      <c r="W38">
        <f ca="1"/>
        <v>0</v>
      </c>
      <c r="X38">
        <f ca="1"/>
        <v>0</v>
      </c>
      <c r="Y38">
        <f ca="1"/>
        <v>0</v>
      </c>
      <c r="Z38">
        <f ca="1"/>
        <v>0</v>
      </c>
      <c r="AA38">
        <f ca="1"/>
        <v>0</v>
      </c>
      <c r="AB38">
        <f ca="1"/>
        <v>0</v>
      </c>
      <c r="AC38">
        <f t="shared" ca="1" si="1"/>
        <v>0</v>
      </c>
      <c r="AD38" s="582">
        <f t="shared" ca="1" si="2"/>
        <v>0</v>
      </c>
      <c r="AE38" s="582">
        <f t="shared" ca="1" si="3"/>
        <v>0</v>
      </c>
      <c r="AF38" s="582">
        <f t="shared" ca="1" si="4"/>
        <v>0</v>
      </c>
      <c r="AG38" s="582">
        <f t="shared" ca="1" si="5"/>
        <v>0</v>
      </c>
      <c r="AH38" s="582">
        <f t="shared" ca="1" si="6"/>
        <v>0</v>
      </c>
      <c r="AI38" s="582">
        <f t="shared" ca="1" si="7"/>
        <v>0.90584093793867426</v>
      </c>
      <c r="AJ38" s="582">
        <f t="shared" ca="1" si="8"/>
        <v>0</v>
      </c>
      <c r="AK38" s="582">
        <f t="shared" ca="1" si="9"/>
        <v>0</v>
      </c>
      <c r="AL38" s="582">
        <f t="shared" ca="1" si="10"/>
        <v>0</v>
      </c>
      <c r="AM38" s="582">
        <f t="shared" ca="1" si="11"/>
        <v>0</v>
      </c>
      <c r="AN38" s="582">
        <f t="shared" ca="1" si="12"/>
        <v>0</v>
      </c>
      <c r="AO38" s="582">
        <f t="shared" ca="1" si="13"/>
        <v>5.0442354675710378E-2</v>
      </c>
      <c r="AP38" s="582">
        <f t="shared" ca="1" si="14"/>
        <v>4.3716707385615658E-2</v>
      </c>
      <c r="AQ38" s="582">
        <f t="shared" ca="1" si="15"/>
        <v>0</v>
      </c>
      <c r="AR38" s="582">
        <f t="shared" ca="1" si="16"/>
        <v>0</v>
      </c>
      <c r="AS38" s="582">
        <f t="shared" ca="1" si="17"/>
        <v>0</v>
      </c>
      <c r="AT38" s="582">
        <f t="shared" ca="1" si="18"/>
        <v>0</v>
      </c>
      <c r="AU38" s="582">
        <f t="shared" ca="1" si="19"/>
        <v>0</v>
      </c>
      <c r="AV38" s="582">
        <f t="shared" ca="1" si="20"/>
        <v>0</v>
      </c>
      <c r="AW38" s="582">
        <f t="shared" ca="1" si="21"/>
        <v>0</v>
      </c>
      <c r="AX38" s="582">
        <f t="shared" ca="1" si="22"/>
        <v>0</v>
      </c>
      <c r="AY38" s="582">
        <f t="shared" ca="1" si="23"/>
        <v>0</v>
      </c>
      <c r="AZ38" s="582">
        <f t="shared" ca="1" si="24"/>
        <v>0</v>
      </c>
      <c r="BA38" s="582">
        <f t="shared" ca="1" si="25"/>
        <v>0</v>
      </c>
      <c r="BB38" s="582">
        <f t="shared" ca="1" si="26"/>
        <v>0</v>
      </c>
      <c r="BC38" s="582">
        <f t="shared" ca="1" si="27"/>
        <v>0</v>
      </c>
      <c r="BD38" s="582">
        <f t="shared" ca="1" si="28"/>
        <v>1.0000000000000002</v>
      </c>
    </row>
    <row r="39" spans="1:56" ht="15">
      <c r="A39" s="22">
        <f t="shared" si="29"/>
        <v>2059</v>
      </c>
      <c r="B39" s="586">
        <v>34</v>
      </c>
      <c r="C39" s="583">
        <f ca="1"/>
        <v>0</v>
      </c>
      <c r="D39" s="583">
        <f ca="1"/>
        <v>0</v>
      </c>
      <c r="E39" s="583">
        <f ca="1"/>
        <v>0</v>
      </c>
      <c r="F39" s="583">
        <f ca="1"/>
        <v>0</v>
      </c>
      <c r="G39" s="583">
        <f ca="1"/>
        <v>0</v>
      </c>
      <c r="H39" s="583">
        <f ca="1"/>
        <v>0</v>
      </c>
      <c r="I39" s="583">
        <f ca="1"/>
        <v>0</v>
      </c>
      <c r="J39">
        <f ca="1"/>
        <v>0</v>
      </c>
      <c r="K39">
        <f ca="1"/>
        <v>0</v>
      </c>
      <c r="L39">
        <f ca="1"/>
        <v>0</v>
      </c>
      <c r="M39">
        <f ca="1"/>
        <v>0</v>
      </c>
      <c r="N39">
        <f ca="1"/>
        <v>0</v>
      </c>
      <c r="O39">
        <f ca="1"/>
        <v>0</v>
      </c>
      <c r="P39">
        <f ca="1"/>
        <v>0</v>
      </c>
      <c r="Q39">
        <f ca="1"/>
        <v>0</v>
      </c>
      <c r="R39">
        <f ca="1"/>
        <v>0</v>
      </c>
      <c r="S39">
        <f ca="1"/>
        <v>0</v>
      </c>
      <c r="T39">
        <f ca="1"/>
        <v>0</v>
      </c>
      <c r="U39">
        <f ca="1"/>
        <v>0</v>
      </c>
      <c r="V39">
        <f ca="1"/>
        <v>0</v>
      </c>
      <c r="W39">
        <f ca="1"/>
        <v>0</v>
      </c>
      <c r="X39">
        <f ca="1"/>
        <v>0</v>
      </c>
      <c r="Y39">
        <f ca="1"/>
        <v>0</v>
      </c>
      <c r="Z39">
        <f ca="1"/>
        <v>0</v>
      </c>
      <c r="AA39">
        <f ca="1"/>
        <v>0</v>
      </c>
      <c r="AB39">
        <f ca="1"/>
        <v>0</v>
      </c>
      <c r="AC39">
        <f t="shared" ca="1" si="1"/>
        <v>0</v>
      </c>
      <c r="AD39" s="582">
        <f t="shared" ca="1" si="2"/>
        <v>0</v>
      </c>
      <c r="AE39" s="582">
        <f t="shared" ca="1" si="3"/>
        <v>0</v>
      </c>
      <c r="AF39" s="582">
        <f t="shared" ca="1" si="4"/>
        <v>0</v>
      </c>
      <c r="AG39" s="582">
        <f t="shared" ca="1" si="5"/>
        <v>0</v>
      </c>
      <c r="AH39" s="582">
        <f t="shared" ca="1" si="6"/>
        <v>0</v>
      </c>
      <c r="AI39" s="582">
        <f t="shared" ca="1" si="7"/>
        <v>0.90584093793867426</v>
      </c>
      <c r="AJ39" s="582">
        <f t="shared" ca="1" si="8"/>
        <v>0</v>
      </c>
      <c r="AK39" s="582">
        <f t="shared" ca="1" si="9"/>
        <v>0</v>
      </c>
      <c r="AL39" s="582">
        <f t="shared" ca="1" si="10"/>
        <v>0</v>
      </c>
      <c r="AM39" s="582">
        <f t="shared" ca="1" si="11"/>
        <v>0</v>
      </c>
      <c r="AN39" s="582">
        <f t="shared" ca="1" si="12"/>
        <v>0</v>
      </c>
      <c r="AO39" s="582">
        <f t="shared" ca="1" si="13"/>
        <v>5.0442354675710378E-2</v>
      </c>
      <c r="AP39" s="582">
        <f t="shared" ca="1" si="14"/>
        <v>4.3716707385615658E-2</v>
      </c>
      <c r="AQ39" s="582">
        <f t="shared" ca="1" si="15"/>
        <v>0</v>
      </c>
      <c r="AR39" s="582">
        <f t="shared" ca="1" si="16"/>
        <v>0</v>
      </c>
      <c r="AS39" s="582">
        <f t="shared" ca="1" si="17"/>
        <v>0</v>
      </c>
      <c r="AT39" s="582">
        <f t="shared" ca="1" si="18"/>
        <v>0</v>
      </c>
      <c r="AU39" s="582">
        <f t="shared" ca="1" si="19"/>
        <v>0</v>
      </c>
      <c r="AV39" s="582">
        <f t="shared" ca="1" si="20"/>
        <v>0</v>
      </c>
      <c r="AW39" s="582">
        <f t="shared" ca="1" si="21"/>
        <v>0</v>
      </c>
      <c r="AX39" s="582">
        <f t="shared" ca="1" si="22"/>
        <v>0</v>
      </c>
      <c r="AY39" s="582">
        <f t="shared" ca="1" si="23"/>
        <v>0</v>
      </c>
      <c r="AZ39" s="582">
        <f t="shared" ca="1" si="24"/>
        <v>0</v>
      </c>
      <c r="BA39" s="582">
        <f t="shared" ca="1" si="25"/>
        <v>0</v>
      </c>
      <c r="BB39" s="582">
        <f t="shared" ca="1" si="26"/>
        <v>0</v>
      </c>
      <c r="BC39" s="582">
        <f t="shared" ca="1" si="27"/>
        <v>0</v>
      </c>
      <c r="BD39" s="582">
        <f t="shared" ca="1" si="28"/>
        <v>1.0000000000000002</v>
      </c>
    </row>
    <row r="40" spans="1:56" ht="15">
      <c r="A40" s="22">
        <f t="shared" si="29"/>
        <v>2060</v>
      </c>
      <c r="B40" s="586">
        <v>35</v>
      </c>
      <c r="C40" s="583">
        <f ca="1"/>
        <v>0</v>
      </c>
      <c r="D40" s="583">
        <f ca="1"/>
        <v>0</v>
      </c>
      <c r="E40" s="583">
        <f ca="1"/>
        <v>0</v>
      </c>
      <c r="F40" s="583">
        <f ca="1"/>
        <v>0</v>
      </c>
      <c r="G40" s="583">
        <f ca="1"/>
        <v>0</v>
      </c>
      <c r="H40" s="583">
        <f ca="1"/>
        <v>0</v>
      </c>
      <c r="I40" s="583">
        <f ca="1"/>
        <v>0</v>
      </c>
      <c r="J40">
        <f ca="1"/>
        <v>0</v>
      </c>
      <c r="K40">
        <f ca="1"/>
        <v>0</v>
      </c>
      <c r="L40">
        <f ca="1"/>
        <v>0</v>
      </c>
      <c r="M40">
        <f ca="1"/>
        <v>0</v>
      </c>
      <c r="N40">
        <f ca="1"/>
        <v>0</v>
      </c>
      <c r="O40">
        <f ca="1"/>
        <v>0</v>
      </c>
      <c r="P40">
        <f ca="1"/>
        <v>0</v>
      </c>
      <c r="Q40">
        <f ca="1"/>
        <v>0</v>
      </c>
      <c r="R40">
        <f ca="1"/>
        <v>0</v>
      </c>
      <c r="S40">
        <f ca="1"/>
        <v>0</v>
      </c>
      <c r="T40">
        <f ca="1"/>
        <v>0</v>
      </c>
      <c r="U40">
        <f ca="1"/>
        <v>0</v>
      </c>
      <c r="V40">
        <f ca="1"/>
        <v>0</v>
      </c>
      <c r="W40">
        <f ca="1"/>
        <v>0</v>
      </c>
      <c r="X40">
        <f ca="1"/>
        <v>0</v>
      </c>
      <c r="Y40">
        <f ca="1"/>
        <v>0</v>
      </c>
      <c r="Z40">
        <f ca="1"/>
        <v>0</v>
      </c>
      <c r="AA40">
        <f ca="1"/>
        <v>0</v>
      </c>
      <c r="AB40">
        <f ca="1"/>
        <v>0</v>
      </c>
      <c r="AC40">
        <f t="shared" ca="1" si="1"/>
        <v>0</v>
      </c>
      <c r="AD40" s="582">
        <f t="shared" ca="1" si="2"/>
        <v>0</v>
      </c>
      <c r="AE40" s="582">
        <f t="shared" ca="1" si="3"/>
        <v>0</v>
      </c>
      <c r="AF40" s="582">
        <f t="shared" ca="1" si="4"/>
        <v>0</v>
      </c>
      <c r="AG40" s="582">
        <f t="shared" ca="1" si="5"/>
        <v>0</v>
      </c>
      <c r="AH40" s="582">
        <f t="shared" ca="1" si="6"/>
        <v>0</v>
      </c>
      <c r="AI40" s="582">
        <f t="shared" ca="1" si="7"/>
        <v>0.90584093793867426</v>
      </c>
      <c r="AJ40" s="582">
        <f t="shared" ca="1" si="8"/>
        <v>0</v>
      </c>
      <c r="AK40" s="582">
        <f t="shared" ca="1" si="9"/>
        <v>0</v>
      </c>
      <c r="AL40" s="582">
        <f t="shared" ca="1" si="10"/>
        <v>0</v>
      </c>
      <c r="AM40" s="582">
        <f t="shared" ca="1" si="11"/>
        <v>0</v>
      </c>
      <c r="AN40" s="582">
        <f t="shared" ca="1" si="12"/>
        <v>0</v>
      </c>
      <c r="AO40" s="582">
        <f t="shared" ca="1" si="13"/>
        <v>5.0442354675710378E-2</v>
      </c>
      <c r="AP40" s="582">
        <f t="shared" ca="1" si="14"/>
        <v>4.3716707385615658E-2</v>
      </c>
      <c r="AQ40" s="582">
        <f t="shared" ca="1" si="15"/>
        <v>0</v>
      </c>
      <c r="AR40" s="582">
        <f t="shared" ca="1" si="16"/>
        <v>0</v>
      </c>
      <c r="AS40" s="582">
        <f t="shared" ca="1" si="17"/>
        <v>0</v>
      </c>
      <c r="AT40" s="582">
        <f t="shared" ca="1" si="18"/>
        <v>0</v>
      </c>
      <c r="AU40" s="582">
        <f t="shared" ca="1" si="19"/>
        <v>0</v>
      </c>
      <c r="AV40" s="582">
        <f t="shared" ca="1" si="20"/>
        <v>0</v>
      </c>
      <c r="AW40" s="582">
        <f t="shared" ca="1" si="21"/>
        <v>0</v>
      </c>
      <c r="AX40" s="582">
        <f t="shared" ca="1" si="22"/>
        <v>0</v>
      </c>
      <c r="AY40" s="582">
        <f t="shared" ca="1" si="23"/>
        <v>0</v>
      </c>
      <c r="AZ40" s="582">
        <f t="shared" ca="1" si="24"/>
        <v>0</v>
      </c>
      <c r="BA40" s="582">
        <f t="shared" ca="1" si="25"/>
        <v>0</v>
      </c>
      <c r="BB40" s="582">
        <f t="shared" ca="1" si="26"/>
        <v>0</v>
      </c>
      <c r="BC40" s="582">
        <f t="shared" ca="1" si="27"/>
        <v>0</v>
      </c>
      <c r="BD40" s="582">
        <f t="shared" ca="1" si="28"/>
        <v>1.0000000000000002</v>
      </c>
    </row>
    <row r="41" spans="1:56" ht="15">
      <c r="A41" s="22">
        <f t="shared" si="29"/>
        <v>2061</v>
      </c>
      <c r="B41" s="586">
        <v>36</v>
      </c>
      <c r="C41" s="583">
        <f ca="1"/>
        <v>0</v>
      </c>
      <c r="D41" s="583">
        <f ca="1"/>
        <v>0</v>
      </c>
      <c r="E41" s="583">
        <f ca="1"/>
        <v>0</v>
      </c>
      <c r="F41" s="583">
        <f ca="1"/>
        <v>0</v>
      </c>
      <c r="G41" s="583">
        <f ca="1"/>
        <v>0</v>
      </c>
      <c r="H41" s="583">
        <f ca="1"/>
        <v>0</v>
      </c>
      <c r="I41" s="583">
        <f ca="1"/>
        <v>0</v>
      </c>
      <c r="J41">
        <f ca="1"/>
        <v>0</v>
      </c>
      <c r="K41">
        <f ca="1"/>
        <v>0</v>
      </c>
      <c r="L41">
        <f ca="1"/>
        <v>0</v>
      </c>
      <c r="M41">
        <f ca="1"/>
        <v>0</v>
      </c>
      <c r="N41">
        <f ca="1"/>
        <v>0</v>
      </c>
      <c r="O41">
        <f ca="1"/>
        <v>0</v>
      </c>
      <c r="P41">
        <f ca="1"/>
        <v>0</v>
      </c>
      <c r="Q41">
        <f ca="1"/>
        <v>0</v>
      </c>
      <c r="R41">
        <f ca="1"/>
        <v>0</v>
      </c>
      <c r="S41">
        <f ca="1"/>
        <v>0</v>
      </c>
      <c r="T41">
        <f ca="1"/>
        <v>0</v>
      </c>
      <c r="U41">
        <f ca="1"/>
        <v>0</v>
      </c>
      <c r="V41">
        <f ca="1"/>
        <v>0</v>
      </c>
      <c r="W41">
        <f ca="1"/>
        <v>0</v>
      </c>
      <c r="X41">
        <f ca="1"/>
        <v>0</v>
      </c>
      <c r="Y41">
        <f ca="1"/>
        <v>0</v>
      </c>
      <c r="Z41">
        <f ca="1"/>
        <v>0</v>
      </c>
      <c r="AA41">
        <f ca="1"/>
        <v>0</v>
      </c>
      <c r="AB41">
        <f ca="1"/>
        <v>0</v>
      </c>
      <c r="AC41">
        <f t="shared" ca="1" si="1"/>
        <v>0</v>
      </c>
      <c r="AD41" s="582">
        <f t="shared" ca="1" si="2"/>
        <v>0</v>
      </c>
      <c r="AE41" s="582">
        <f t="shared" ca="1" si="3"/>
        <v>0</v>
      </c>
      <c r="AF41" s="582">
        <f t="shared" ca="1" si="4"/>
        <v>0</v>
      </c>
      <c r="AG41" s="582">
        <f t="shared" ca="1" si="5"/>
        <v>0</v>
      </c>
      <c r="AH41" s="582">
        <f t="shared" ca="1" si="6"/>
        <v>0</v>
      </c>
      <c r="AI41" s="582">
        <f t="shared" ca="1" si="7"/>
        <v>0.90584093793867426</v>
      </c>
      <c r="AJ41" s="582">
        <f t="shared" ca="1" si="8"/>
        <v>0</v>
      </c>
      <c r="AK41" s="582">
        <f t="shared" ca="1" si="9"/>
        <v>0</v>
      </c>
      <c r="AL41" s="582">
        <f t="shared" ca="1" si="10"/>
        <v>0</v>
      </c>
      <c r="AM41" s="582">
        <f t="shared" ca="1" si="11"/>
        <v>0</v>
      </c>
      <c r="AN41" s="582">
        <f t="shared" ca="1" si="12"/>
        <v>0</v>
      </c>
      <c r="AO41" s="582">
        <f t="shared" ca="1" si="13"/>
        <v>5.0442354675710378E-2</v>
      </c>
      <c r="AP41" s="582">
        <f t="shared" ca="1" si="14"/>
        <v>4.3716707385615658E-2</v>
      </c>
      <c r="AQ41" s="582">
        <f t="shared" ca="1" si="15"/>
        <v>0</v>
      </c>
      <c r="AR41" s="582">
        <f t="shared" ca="1" si="16"/>
        <v>0</v>
      </c>
      <c r="AS41" s="582">
        <f t="shared" ca="1" si="17"/>
        <v>0</v>
      </c>
      <c r="AT41" s="582">
        <f t="shared" ca="1" si="18"/>
        <v>0</v>
      </c>
      <c r="AU41" s="582">
        <f t="shared" ca="1" si="19"/>
        <v>0</v>
      </c>
      <c r="AV41" s="582">
        <f t="shared" ca="1" si="20"/>
        <v>0</v>
      </c>
      <c r="AW41" s="582">
        <f t="shared" ca="1" si="21"/>
        <v>0</v>
      </c>
      <c r="AX41" s="582">
        <f t="shared" ca="1" si="22"/>
        <v>0</v>
      </c>
      <c r="AY41" s="582">
        <f t="shared" ca="1" si="23"/>
        <v>0</v>
      </c>
      <c r="AZ41" s="582">
        <f t="shared" ca="1" si="24"/>
        <v>0</v>
      </c>
      <c r="BA41" s="582">
        <f t="shared" ca="1" si="25"/>
        <v>0</v>
      </c>
      <c r="BB41" s="582">
        <f t="shared" ca="1" si="26"/>
        <v>0</v>
      </c>
      <c r="BC41" s="582">
        <f t="shared" ca="1" si="27"/>
        <v>0</v>
      </c>
      <c r="BD41" s="582">
        <f t="shared" ca="1" si="28"/>
        <v>1.0000000000000002</v>
      </c>
    </row>
    <row r="42" spans="1:56" ht="15">
      <c r="A42" s="22">
        <f t="shared" si="29"/>
        <v>2062</v>
      </c>
      <c r="B42" s="586">
        <v>37</v>
      </c>
      <c r="C42" s="583">
        <f ca="1"/>
        <v>0</v>
      </c>
      <c r="D42" s="583">
        <f ca="1"/>
        <v>0</v>
      </c>
      <c r="E42" s="583">
        <f ca="1"/>
        <v>0</v>
      </c>
      <c r="F42" s="583">
        <f ca="1"/>
        <v>0</v>
      </c>
      <c r="G42" s="583">
        <f ca="1"/>
        <v>0</v>
      </c>
      <c r="H42" s="583">
        <f ca="1"/>
        <v>0</v>
      </c>
      <c r="I42" s="583">
        <f ca="1"/>
        <v>0</v>
      </c>
      <c r="J42">
        <f ca="1"/>
        <v>0</v>
      </c>
      <c r="K42">
        <f ca="1"/>
        <v>0</v>
      </c>
      <c r="L42">
        <f ca="1"/>
        <v>0</v>
      </c>
      <c r="M42">
        <f ca="1"/>
        <v>0</v>
      </c>
      <c r="N42">
        <f ca="1"/>
        <v>0</v>
      </c>
      <c r="O42">
        <f ca="1"/>
        <v>0</v>
      </c>
      <c r="P42">
        <f ca="1"/>
        <v>0</v>
      </c>
      <c r="Q42">
        <f ca="1"/>
        <v>0</v>
      </c>
      <c r="R42">
        <f ca="1"/>
        <v>0</v>
      </c>
      <c r="S42">
        <f ca="1"/>
        <v>0</v>
      </c>
      <c r="T42">
        <f ca="1"/>
        <v>0</v>
      </c>
      <c r="U42">
        <f ca="1"/>
        <v>0</v>
      </c>
      <c r="V42">
        <f ca="1"/>
        <v>0</v>
      </c>
      <c r="W42">
        <f ca="1"/>
        <v>0</v>
      </c>
      <c r="X42">
        <f ca="1"/>
        <v>0</v>
      </c>
      <c r="Y42">
        <f ca="1"/>
        <v>0</v>
      </c>
      <c r="Z42">
        <f ca="1"/>
        <v>0</v>
      </c>
      <c r="AA42">
        <f ca="1"/>
        <v>0</v>
      </c>
      <c r="AB42">
        <f ca="1"/>
        <v>0</v>
      </c>
      <c r="AC42">
        <f t="shared" ca="1" si="1"/>
        <v>0</v>
      </c>
      <c r="AD42" s="582">
        <f t="shared" ca="1" si="2"/>
        <v>0</v>
      </c>
      <c r="AE42" s="582">
        <f t="shared" ca="1" si="3"/>
        <v>0</v>
      </c>
      <c r="AF42" s="582">
        <f t="shared" ca="1" si="4"/>
        <v>0</v>
      </c>
      <c r="AG42" s="582">
        <f t="shared" ca="1" si="5"/>
        <v>0</v>
      </c>
      <c r="AH42" s="582">
        <f t="shared" ca="1" si="6"/>
        <v>0</v>
      </c>
      <c r="AI42" s="582">
        <f t="shared" ca="1" si="7"/>
        <v>0.90584093793867426</v>
      </c>
      <c r="AJ42" s="582">
        <f t="shared" ca="1" si="8"/>
        <v>0</v>
      </c>
      <c r="AK42" s="582">
        <f t="shared" ca="1" si="9"/>
        <v>0</v>
      </c>
      <c r="AL42" s="582">
        <f t="shared" ca="1" si="10"/>
        <v>0</v>
      </c>
      <c r="AM42" s="582">
        <f t="shared" ca="1" si="11"/>
        <v>0</v>
      </c>
      <c r="AN42" s="582">
        <f t="shared" ca="1" si="12"/>
        <v>0</v>
      </c>
      <c r="AO42" s="582">
        <f t="shared" ca="1" si="13"/>
        <v>5.0442354675710378E-2</v>
      </c>
      <c r="AP42" s="582">
        <f t="shared" ca="1" si="14"/>
        <v>4.3716707385615658E-2</v>
      </c>
      <c r="AQ42" s="582">
        <f t="shared" ca="1" si="15"/>
        <v>0</v>
      </c>
      <c r="AR42" s="582">
        <f t="shared" ca="1" si="16"/>
        <v>0</v>
      </c>
      <c r="AS42" s="582">
        <f t="shared" ca="1" si="17"/>
        <v>0</v>
      </c>
      <c r="AT42" s="582">
        <f t="shared" ca="1" si="18"/>
        <v>0</v>
      </c>
      <c r="AU42" s="582">
        <f t="shared" ca="1" si="19"/>
        <v>0</v>
      </c>
      <c r="AV42" s="582">
        <f t="shared" ca="1" si="20"/>
        <v>0</v>
      </c>
      <c r="AW42" s="582">
        <f t="shared" ca="1" si="21"/>
        <v>0</v>
      </c>
      <c r="AX42" s="582">
        <f t="shared" ca="1" si="22"/>
        <v>0</v>
      </c>
      <c r="AY42" s="582">
        <f t="shared" ca="1" si="23"/>
        <v>0</v>
      </c>
      <c r="AZ42" s="582">
        <f t="shared" ca="1" si="24"/>
        <v>0</v>
      </c>
      <c r="BA42" s="582">
        <f t="shared" ca="1" si="25"/>
        <v>0</v>
      </c>
      <c r="BB42" s="582">
        <f t="shared" ca="1" si="26"/>
        <v>0</v>
      </c>
      <c r="BC42" s="582">
        <f t="shared" ca="1" si="27"/>
        <v>0</v>
      </c>
      <c r="BD42" s="582">
        <f t="shared" ca="1" si="28"/>
        <v>1.0000000000000002</v>
      </c>
    </row>
    <row r="43" spans="1:56" ht="15">
      <c r="A43" s="22">
        <f t="shared" si="29"/>
        <v>2063</v>
      </c>
      <c r="B43" s="586">
        <v>38</v>
      </c>
      <c r="C43" s="583">
        <f ca="1"/>
        <v>0</v>
      </c>
      <c r="D43" s="583">
        <f ca="1"/>
        <v>0</v>
      </c>
      <c r="E43" s="583">
        <f ca="1"/>
        <v>0</v>
      </c>
      <c r="F43" s="583">
        <f ca="1"/>
        <v>0</v>
      </c>
      <c r="G43" s="583">
        <f ca="1"/>
        <v>0</v>
      </c>
      <c r="H43" s="583">
        <f ca="1"/>
        <v>0</v>
      </c>
      <c r="I43" s="583">
        <f ca="1"/>
        <v>0</v>
      </c>
      <c r="J43">
        <f ca="1"/>
        <v>0</v>
      </c>
      <c r="K43">
        <f ca="1"/>
        <v>0</v>
      </c>
      <c r="L43">
        <f ca="1"/>
        <v>0</v>
      </c>
      <c r="M43">
        <f ca="1"/>
        <v>0</v>
      </c>
      <c r="N43">
        <f ca="1"/>
        <v>0</v>
      </c>
      <c r="O43">
        <f ca="1"/>
        <v>0</v>
      </c>
      <c r="P43">
        <f ca="1"/>
        <v>0</v>
      </c>
      <c r="Q43">
        <f ca="1"/>
        <v>0</v>
      </c>
      <c r="R43">
        <f ca="1"/>
        <v>0</v>
      </c>
      <c r="S43">
        <f ca="1"/>
        <v>0</v>
      </c>
      <c r="T43">
        <f ca="1"/>
        <v>0</v>
      </c>
      <c r="U43">
        <f ca="1"/>
        <v>0</v>
      </c>
      <c r="V43">
        <f ca="1"/>
        <v>0</v>
      </c>
      <c r="W43">
        <f ca="1"/>
        <v>0</v>
      </c>
      <c r="X43">
        <f ca="1"/>
        <v>0</v>
      </c>
      <c r="Y43">
        <f ca="1"/>
        <v>0</v>
      </c>
      <c r="Z43">
        <f ca="1"/>
        <v>0</v>
      </c>
      <c r="AA43">
        <f ca="1"/>
        <v>0</v>
      </c>
      <c r="AB43">
        <f ca="1"/>
        <v>0</v>
      </c>
      <c r="AC43">
        <f t="shared" ca="1" si="1"/>
        <v>0</v>
      </c>
      <c r="AD43" s="582">
        <f t="shared" ca="1" si="2"/>
        <v>0</v>
      </c>
      <c r="AE43" s="582">
        <f t="shared" ca="1" si="3"/>
        <v>0</v>
      </c>
      <c r="AF43" s="582">
        <f t="shared" ca="1" si="4"/>
        <v>0</v>
      </c>
      <c r="AG43" s="582">
        <f t="shared" ca="1" si="5"/>
        <v>0</v>
      </c>
      <c r="AH43" s="582">
        <f t="shared" ca="1" si="6"/>
        <v>0</v>
      </c>
      <c r="AI43" s="582">
        <f t="shared" ca="1" si="7"/>
        <v>0.90584093793867426</v>
      </c>
      <c r="AJ43" s="582">
        <f t="shared" ca="1" si="8"/>
        <v>0</v>
      </c>
      <c r="AK43" s="582">
        <f t="shared" ca="1" si="9"/>
        <v>0</v>
      </c>
      <c r="AL43" s="582">
        <f t="shared" ca="1" si="10"/>
        <v>0</v>
      </c>
      <c r="AM43" s="582">
        <f t="shared" ca="1" si="11"/>
        <v>0</v>
      </c>
      <c r="AN43" s="582">
        <f t="shared" ca="1" si="12"/>
        <v>0</v>
      </c>
      <c r="AO43" s="582">
        <f t="shared" ca="1" si="13"/>
        <v>5.0442354675710378E-2</v>
      </c>
      <c r="AP43" s="582">
        <f t="shared" ca="1" si="14"/>
        <v>4.3716707385615658E-2</v>
      </c>
      <c r="AQ43" s="582">
        <f t="shared" ca="1" si="15"/>
        <v>0</v>
      </c>
      <c r="AR43" s="582">
        <f t="shared" ca="1" si="16"/>
        <v>0</v>
      </c>
      <c r="AS43" s="582">
        <f t="shared" ca="1" si="17"/>
        <v>0</v>
      </c>
      <c r="AT43" s="582">
        <f t="shared" ca="1" si="18"/>
        <v>0</v>
      </c>
      <c r="AU43" s="582">
        <f t="shared" ca="1" si="19"/>
        <v>0</v>
      </c>
      <c r="AV43" s="582">
        <f t="shared" ca="1" si="20"/>
        <v>0</v>
      </c>
      <c r="AW43" s="582">
        <f t="shared" ca="1" si="21"/>
        <v>0</v>
      </c>
      <c r="AX43" s="582">
        <f t="shared" ca="1" si="22"/>
        <v>0</v>
      </c>
      <c r="AY43" s="582">
        <f t="shared" ca="1" si="23"/>
        <v>0</v>
      </c>
      <c r="AZ43" s="582">
        <f t="shared" ca="1" si="24"/>
        <v>0</v>
      </c>
      <c r="BA43" s="582">
        <f t="shared" ca="1" si="25"/>
        <v>0</v>
      </c>
      <c r="BB43" s="582">
        <f t="shared" ca="1" si="26"/>
        <v>0</v>
      </c>
      <c r="BC43" s="582">
        <f t="shared" ca="1" si="27"/>
        <v>0</v>
      </c>
      <c r="BD43" s="582">
        <f t="shared" ca="1" si="28"/>
        <v>1.0000000000000002</v>
      </c>
    </row>
    <row r="44" spans="1:56" ht="15">
      <c r="A44" s="22">
        <f t="shared" si="29"/>
        <v>2064</v>
      </c>
      <c r="B44" s="586">
        <v>39</v>
      </c>
      <c r="C44" s="583">
        <f ca="1"/>
        <v>0</v>
      </c>
      <c r="D44" s="583">
        <f ca="1"/>
        <v>0</v>
      </c>
      <c r="E44" s="583">
        <f ca="1"/>
        <v>0</v>
      </c>
      <c r="F44" s="583">
        <f ca="1"/>
        <v>0</v>
      </c>
      <c r="G44" s="583">
        <f ca="1"/>
        <v>0</v>
      </c>
      <c r="H44" s="583">
        <f ca="1"/>
        <v>0</v>
      </c>
      <c r="I44" s="583">
        <f ca="1"/>
        <v>0</v>
      </c>
      <c r="J44">
        <f ca="1"/>
        <v>0</v>
      </c>
      <c r="K44">
        <f ca="1"/>
        <v>0</v>
      </c>
      <c r="L44">
        <f ca="1"/>
        <v>0</v>
      </c>
      <c r="M44">
        <f ca="1"/>
        <v>0</v>
      </c>
      <c r="N44">
        <f ca="1"/>
        <v>0</v>
      </c>
      <c r="O44">
        <f ca="1"/>
        <v>0</v>
      </c>
      <c r="P44">
        <f ca="1"/>
        <v>0</v>
      </c>
      <c r="Q44">
        <f ca="1"/>
        <v>0</v>
      </c>
      <c r="R44">
        <f ca="1"/>
        <v>0</v>
      </c>
      <c r="S44">
        <f ca="1"/>
        <v>0</v>
      </c>
      <c r="T44">
        <f ca="1"/>
        <v>0</v>
      </c>
      <c r="U44">
        <f ca="1"/>
        <v>0</v>
      </c>
      <c r="V44">
        <f ca="1"/>
        <v>0</v>
      </c>
      <c r="W44">
        <f ca="1"/>
        <v>0</v>
      </c>
      <c r="X44">
        <f ca="1"/>
        <v>0</v>
      </c>
      <c r="Y44">
        <f ca="1"/>
        <v>0</v>
      </c>
      <c r="Z44">
        <f ca="1"/>
        <v>0</v>
      </c>
      <c r="AA44">
        <f ca="1"/>
        <v>0</v>
      </c>
      <c r="AB44">
        <f ca="1"/>
        <v>0</v>
      </c>
      <c r="AC44">
        <f t="shared" ca="1" si="1"/>
        <v>0</v>
      </c>
      <c r="AD44" s="582">
        <f t="shared" ca="1" si="2"/>
        <v>0</v>
      </c>
      <c r="AE44" s="582">
        <f t="shared" ca="1" si="3"/>
        <v>0</v>
      </c>
      <c r="AF44" s="582">
        <f t="shared" ca="1" si="4"/>
        <v>0</v>
      </c>
      <c r="AG44" s="582">
        <f t="shared" ca="1" si="5"/>
        <v>0</v>
      </c>
      <c r="AH44" s="582">
        <f t="shared" ca="1" si="6"/>
        <v>0</v>
      </c>
      <c r="AI44" s="582">
        <f t="shared" ca="1" si="7"/>
        <v>0.90584093793867426</v>
      </c>
      <c r="AJ44" s="582">
        <f t="shared" ca="1" si="8"/>
        <v>0</v>
      </c>
      <c r="AK44" s="582">
        <f t="shared" ca="1" si="9"/>
        <v>0</v>
      </c>
      <c r="AL44" s="582">
        <f t="shared" ca="1" si="10"/>
        <v>0</v>
      </c>
      <c r="AM44" s="582">
        <f t="shared" ca="1" si="11"/>
        <v>0</v>
      </c>
      <c r="AN44" s="582">
        <f t="shared" ca="1" si="12"/>
        <v>0</v>
      </c>
      <c r="AO44" s="582">
        <f t="shared" ca="1" si="13"/>
        <v>5.0442354675710378E-2</v>
      </c>
      <c r="AP44" s="582">
        <f t="shared" ca="1" si="14"/>
        <v>4.3716707385615658E-2</v>
      </c>
      <c r="AQ44" s="582">
        <f t="shared" ca="1" si="15"/>
        <v>0</v>
      </c>
      <c r="AR44" s="582">
        <f t="shared" ca="1" si="16"/>
        <v>0</v>
      </c>
      <c r="AS44" s="582">
        <f t="shared" ca="1" si="17"/>
        <v>0</v>
      </c>
      <c r="AT44" s="582">
        <f t="shared" ca="1" si="18"/>
        <v>0</v>
      </c>
      <c r="AU44" s="582">
        <f t="shared" ca="1" si="19"/>
        <v>0</v>
      </c>
      <c r="AV44" s="582">
        <f t="shared" ca="1" si="20"/>
        <v>0</v>
      </c>
      <c r="AW44" s="582">
        <f t="shared" ca="1" si="21"/>
        <v>0</v>
      </c>
      <c r="AX44" s="582">
        <f t="shared" ca="1" si="22"/>
        <v>0</v>
      </c>
      <c r="AY44" s="582">
        <f t="shared" ca="1" si="23"/>
        <v>0</v>
      </c>
      <c r="AZ44" s="582">
        <f t="shared" ca="1" si="24"/>
        <v>0</v>
      </c>
      <c r="BA44" s="582">
        <f t="shared" ca="1" si="25"/>
        <v>0</v>
      </c>
      <c r="BB44" s="582">
        <f t="shared" ca="1" si="26"/>
        <v>0</v>
      </c>
      <c r="BC44" s="582">
        <f t="shared" ca="1" si="27"/>
        <v>0</v>
      </c>
      <c r="BD44" s="582">
        <f t="shared" ca="1" si="28"/>
        <v>1.0000000000000002</v>
      </c>
    </row>
    <row r="45" spans="1:56" ht="15">
      <c r="A45" s="22">
        <f t="shared" si="29"/>
        <v>2065</v>
      </c>
      <c r="B45" s="586">
        <v>40</v>
      </c>
      <c r="C45" s="583">
        <f ca="1"/>
        <v>0</v>
      </c>
      <c r="D45" s="583">
        <f ca="1"/>
        <v>0</v>
      </c>
      <c r="E45" s="583">
        <f ca="1"/>
        <v>0</v>
      </c>
      <c r="F45" s="583">
        <f ca="1"/>
        <v>0</v>
      </c>
      <c r="G45" s="583">
        <f ca="1"/>
        <v>0</v>
      </c>
      <c r="H45" s="583">
        <f ca="1"/>
        <v>0</v>
      </c>
      <c r="I45" s="583">
        <f ca="1"/>
        <v>0</v>
      </c>
      <c r="J45">
        <f ca="1"/>
        <v>0</v>
      </c>
      <c r="K45">
        <f ca="1"/>
        <v>0</v>
      </c>
      <c r="L45">
        <f ca="1"/>
        <v>0</v>
      </c>
      <c r="M45">
        <f ca="1"/>
        <v>0</v>
      </c>
      <c r="N45">
        <f ca="1"/>
        <v>0</v>
      </c>
      <c r="O45">
        <f ca="1"/>
        <v>0</v>
      </c>
      <c r="P45">
        <f ca="1"/>
        <v>0</v>
      </c>
      <c r="Q45">
        <f ca="1"/>
        <v>0</v>
      </c>
      <c r="R45">
        <f ca="1"/>
        <v>0</v>
      </c>
      <c r="S45">
        <f ca="1"/>
        <v>0</v>
      </c>
      <c r="T45">
        <f ca="1"/>
        <v>0</v>
      </c>
      <c r="U45">
        <f ca="1"/>
        <v>0</v>
      </c>
      <c r="V45">
        <f ca="1"/>
        <v>0</v>
      </c>
      <c r="W45">
        <f ca="1"/>
        <v>0</v>
      </c>
      <c r="X45">
        <f ca="1"/>
        <v>0</v>
      </c>
      <c r="Y45">
        <f ca="1"/>
        <v>0</v>
      </c>
      <c r="Z45">
        <f ca="1"/>
        <v>0</v>
      </c>
      <c r="AA45">
        <f ca="1"/>
        <v>0</v>
      </c>
      <c r="AB45">
        <f ca="1"/>
        <v>0</v>
      </c>
      <c r="AC45">
        <f t="shared" ca="1" si="1"/>
        <v>0</v>
      </c>
      <c r="AD45" s="582">
        <f t="shared" ca="1" si="2"/>
        <v>0</v>
      </c>
      <c r="AE45" s="582">
        <f t="shared" ca="1" si="3"/>
        <v>0</v>
      </c>
      <c r="AF45" s="582">
        <f t="shared" ca="1" si="4"/>
        <v>0</v>
      </c>
      <c r="AG45" s="582">
        <f t="shared" ca="1" si="5"/>
        <v>0</v>
      </c>
      <c r="AH45" s="582">
        <f t="shared" ca="1" si="6"/>
        <v>0</v>
      </c>
      <c r="AI45" s="582">
        <f t="shared" ca="1" si="7"/>
        <v>0.90584093793867426</v>
      </c>
      <c r="AJ45" s="582">
        <f t="shared" ca="1" si="8"/>
        <v>0</v>
      </c>
      <c r="AK45" s="582">
        <f t="shared" ca="1" si="9"/>
        <v>0</v>
      </c>
      <c r="AL45" s="582">
        <f t="shared" ca="1" si="10"/>
        <v>0</v>
      </c>
      <c r="AM45" s="582">
        <f t="shared" ca="1" si="11"/>
        <v>0</v>
      </c>
      <c r="AN45" s="582">
        <f t="shared" ca="1" si="12"/>
        <v>0</v>
      </c>
      <c r="AO45" s="582">
        <f t="shared" ca="1" si="13"/>
        <v>5.0442354675710378E-2</v>
      </c>
      <c r="AP45" s="582">
        <f t="shared" ca="1" si="14"/>
        <v>4.3716707385615658E-2</v>
      </c>
      <c r="AQ45" s="582">
        <f t="shared" ca="1" si="15"/>
        <v>0</v>
      </c>
      <c r="AR45" s="582">
        <f t="shared" ca="1" si="16"/>
        <v>0</v>
      </c>
      <c r="AS45" s="582">
        <f t="shared" ca="1" si="17"/>
        <v>0</v>
      </c>
      <c r="AT45" s="582">
        <f t="shared" ca="1" si="18"/>
        <v>0</v>
      </c>
      <c r="AU45" s="582">
        <f t="shared" ca="1" si="19"/>
        <v>0</v>
      </c>
      <c r="AV45" s="582">
        <f t="shared" ca="1" si="20"/>
        <v>0</v>
      </c>
      <c r="AW45" s="582">
        <f t="shared" ca="1" si="21"/>
        <v>0</v>
      </c>
      <c r="AX45" s="582">
        <f t="shared" ca="1" si="22"/>
        <v>0</v>
      </c>
      <c r="AY45" s="582">
        <f t="shared" ca="1" si="23"/>
        <v>0</v>
      </c>
      <c r="AZ45" s="582">
        <f t="shared" ca="1" si="24"/>
        <v>0</v>
      </c>
      <c r="BA45" s="582">
        <f t="shared" ca="1" si="25"/>
        <v>0</v>
      </c>
      <c r="BB45" s="582">
        <f t="shared" ca="1" si="26"/>
        <v>0</v>
      </c>
      <c r="BC45" s="582">
        <f t="shared" ca="1" si="27"/>
        <v>0</v>
      </c>
      <c r="BD45" s="582">
        <f t="shared" ca="1" si="28"/>
        <v>1.0000000000000002</v>
      </c>
    </row>
    <row r="46" spans="1:56" ht="15">
      <c r="A46" s="22">
        <f t="shared" si="29"/>
        <v>2066</v>
      </c>
      <c r="B46" s="586">
        <v>41</v>
      </c>
      <c r="C46" s="583">
        <f ca="1"/>
        <v>0</v>
      </c>
      <c r="D46" s="583">
        <f ca="1"/>
        <v>0</v>
      </c>
      <c r="E46" s="583">
        <f ca="1"/>
        <v>0</v>
      </c>
      <c r="F46" s="583">
        <f ca="1"/>
        <v>0</v>
      </c>
      <c r="G46" s="583">
        <f ca="1"/>
        <v>0</v>
      </c>
      <c r="H46" s="583">
        <f ca="1"/>
        <v>0</v>
      </c>
      <c r="I46" s="583">
        <f ca="1"/>
        <v>0</v>
      </c>
      <c r="J46">
        <f ca="1"/>
        <v>0</v>
      </c>
      <c r="K46">
        <f ca="1"/>
        <v>0</v>
      </c>
      <c r="L46">
        <f ca="1"/>
        <v>0</v>
      </c>
      <c r="M46">
        <f ca="1"/>
        <v>0</v>
      </c>
      <c r="N46">
        <f ca="1"/>
        <v>0</v>
      </c>
      <c r="O46">
        <f ca="1"/>
        <v>0</v>
      </c>
      <c r="P46">
        <f ca="1"/>
        <v>0</v>
      </c>
      <c r="Q46">
        <f ca="1"/>
        <v>0</v>
      </c>
      <c r="R46">
        <f ca="1"/>
        <v>0</v>
      </c>
      <c r="S46">
        <f ca="1"/>
        <v>0</v>
      </c>
      <c r="T46">
        <f ca="1"/>
        <v>0</v>
      </c>
      <c r="U46">
        <f ca="1"/>
        <v>0</v>
      </c>
      <c r="V46">
        <f ca="1"/>
        <v>0</v>
      </c>
      <c r="W46">
        <f ca="1"/>
        <v>0</v>
      </c>
      <c r="X46">
        <f ca="1"/>
        <v>0</v>
      </c>
      <c r="Y46">
        <f ca="1"/>
        <v>0</v>
      </c>
      <c r="Z46">
        <f ca="1"/>
        <v>0</v>
      </c>
      <c r="AA46">
        <f ca="1"/>
        <v>0</v>
      </c>
      <c r="AB46">
        <f ca="1"/>
        <v>0</v>
      </c>
      <c r="AC46">
        <f t="shared" ca="1" si="1"/>
        <v>0</v>
      </c>
      <c r="AD46" s="582">
        <f t="shared" ca="1" si="2"/>
        <v>0</v>
      </c>
      <c r="AE46" s="582">
        <f t="shared" ca="1" si="3"/>
        <v>0</v>
      </c>
      <c r="AF46" s="582">
        <f t="shared" ca="1" si="4"/>
        <v>0</v>
      </c>
      <c r="AG46" s="582">
        <f t="shared" ca="1" si="5"/>
        <v>0</v>
      </c>
      <c r="AH46" s="582">
        <f t="shared" ca="1" si="6"/>
        <v>0</v>
      </c>
      <c r="AI46" s="582">
        <f t="shared" ca="1" si="7"/>
        <v>0.90584093793867426</v>
      </c>
      <c r="AJ46" s="582">
        <f t="shared" ca="1" si="8"/>
        <v>0</v>
      </c>
      <c r="AK46" s="582">
        <f t="shared" ca="1" si="9"/>
        <v>0</v>
      </c>
      <c r="AL46" s="582">
        <f t="shared" ca="1" si="10"/>
        <v>0</v>
      </c>
      <c r="AM46" s="582">
        <f t="shared" ca="1" si="11"/>
        <v>0</v>
      </c>
      <c r="AN46" s="582">
        <f t="shared" ca="1" si="12"/>
        <v>0</v>
      </c>
      <c r="AO46" s="582">
        <f t="shared" ca="1" si="13"/>
        <v>5.0442354675710378E-2</v>
      </c>
      <c r="AP46" s="582">
        <f t="shared" ca="1" si="14"/>
        <v>4.3716707385615658E-2</v>
      </c>
      <c r="AQ46" s="582">
        <f t="shared" ca="1" si="15"/>
        <v>0</v>
      </c>
      <c r="AR46" s="582">
        <f t="shared" ca="1" si="16"/>
        <v>0</v>
      </c>
      <c r="AS46" s="582">
        <f t="shared" ca="1" si="17"/>
        <v>0</v>
      </c>
      <c r="AT46" s="582">
        <f t="shared" ca="1" si="18"/>
        <v>0</v>
      </c>
      <c r="AU46" s="582">
        <f t="shared" ca="1" si="19"/>
        <v>0</v>
      </c>
      <c r="AV46" s="582">
        <f t="shared" ca="1" si="20"/>
        <v>0</v>
      </c>
      <c r="AW46" s="582">
        <f t="shared" ca="1" si="21"/>
        <v>0</v>
      </c>
      <c r="AX46" s="582">
        <f t="shared" ca="1" si="22"/>
        <v>0</v>
      </c>
      <c r="AY46" s="582">
        <f t="shared" ca="1" si="23"/>
        <v>0</v>
      </c>
      <c r="AZ46" s="582">
        <f t="shared" ca="1" si="24"/>
        <v>0</v>
      </c>
      <c r="BA46" s="582">
        <f t="shared" ca="1" si="25"/>
        <v>0</v>
      </c>
      <c r="BB46" s="582">
        <f t="shared" ca="1" si="26"/>
        <v>0</v>
      </c>
      <c r="BC46" s="582">
        <f t="shared" ca="1" si="27"/>
        <v>0</v>
      </c>
      <c r="BD46" s="582">
        <f t="shared" ca="1" si="28"/>
        <v>1.0000000000000002</v>
      </c>
    </row>
    <row r="47" spans="1:56" ht="15">
      <c r="A47" s="22">
        <f t="shared" si="29"/>
        <v>2067</v>
      </c>
      <c r="B47" s="586">
        <v>42</v>
      </c>
      <c r="C47" s="583">
        <f ca="1"/>
        <v>0</v>
      </c>
      <c r="D47" s="583">
        <f ca="1"/>
        <v>0</v>
      </c>
      <c r="E47" s="583">
        <f ca="1"/>
        <v>0</v>
      </c>
      <c r="F47" s="583">
        <f ca="1"/>
        <v>0</v>
      </c>
      <c r="G47" s="583">
        <f ca="1"/>
        <v>0</v>
      </c>
      <c r="H47" s="583">
        <f ca="1"/>
        <v>0</v>
      </c>
      <c r="I47" s="583">
        <f ca="1"/>
        <v>0</v>
      </c>
      <c r="J47">
        <f ca="1"/>
        <v>0</v>
      </c>
      <c r="K47">
        <f ca="1"/>
        <v>0</v>
      </c>
      <c r="L47">
        <f ca="1"/>
        <v>0</v>
      </c>
      <c r="M47">
        <f ca="1"/>
        <v>0</v>
      </c>
      <c r="N47">
        <f ca="1"/>
        <v>0</v>
      </c>
      <c r="O47">
        <f ca="1"/>
        <v>0</v>
      </c>
      <c r="P47">
        <f ca="1"/>
        <v>0</v>
      </c>
      <c r="Q47">
        <f ca="1"/>
        <v>0</v>
      </c>
      <c r="R47">
        <f ca="1"/>
        <v>0</v>
      </c>
      <c r="S47">
        <f ca="1"/>
        <v>0</v>
      </c>
      <c r="T47">
        <f ca="1"/>
        <v>0</v>
      </c>
      <c r="U47">
        <f ca="1"/>
        <v>0</v>
      </c>
      <c r="V47">
        <f ca="1"/>
        <v>0</v>
      </c>
      <c r="W47">
        <f ca="1"/>
        <v>0</v>
      </c>
      <c r="X47">
        <f ca="1"/>
        <v>0</v>
      </c>
      <c r="Y47">
        <f ca="1"/>
        <v>0</v>
      </c>
      <c r="Z47">
        <f ca="1"/>
        <v>0</v>
      </c>
      <c r="AA47">
        <f ca="1"/>
        <v>0</v>
      </c>
      <c r="AB47">
        <f ca="1"/>
        <v>0</v>
      </c>
      <c r="AC47">
        <f t="shared" ca="1" si="1"/>
        <v>0</v>
      </c>
      <c r="AD47" s="582">
        <f t="shared" ca="1" si="2"/>
        <v>0</v>
      </c>
      <c r="AE47" s="582">
        <f t="shared" ca="1" si="3"/>
        <v>0</v>
      </c>
      <c r="AF47" s="582">
        <f t="shared" ca="1" si="4"/>
        <v>0</v>
      </c>
      <c r="AG47" s="582">
        <f t="shared" ca="1" si="5"/>
        <v>0</v>
      </c>
      <c r="AH47" s="582">
        <f t="shared" ca="1" si="6"/>
        <v>0</v>
      </c>
      <c r="AI47" s="582">
        <f t="shared" ca="1" si="7"/>
        <v>0.90584093793867426</v>
      </c>
      <c r="AJ47" s="582">
        <f t="shared" ca="1" si="8"/>
        <v>0</v>
      </c>
      <c r="AK47" s="582">
        <f t="shared" ca="1" si="9"/>
        <v>0</v>
      </c>
      <c r="AL47" s="582">
        <f t="shared" ca="1" si="10"/>
        <v>0</v>
      </c>
      <c r="AM47" s="582">
        <f t="shared" ca="1" si="11"/>
        <v>0</v>
      </c>
      <c r="AN47" s="582">
        <f t="shared" ca="1" si="12"/>
        <v>0</v>
      </c>
      <c r="AO47" s="582">
        <f t="shared" ca="1" si="13"/>
        <v>5.0442354675710378E-2</v>
      </c>
      <c r="AP47" s="582">
        <f t="shared" ca="1" si="14"/>
        <v>4.3716707385615658E-2</v>
      </c>
      <c r="AQ47" s="582">
        <f t="shared" ca="1" si="15"/>
        <v>0</v>
      </c>
      <c r="AR47" s="582">
        <f t="shared" ca="1" si="16"/>
        <v>0</v>
      </c>
      <c r="AS47" s="582">
        <f t="shared" ca="1" si="17"/>
        <v>0</v>
      </c>
      <c r="AT47" s="582">
        <f t="shared" ca="1" si="18"/>
        <v>0</v>
      </c>
      <c r="AU47" s="582">
        <f t="shared" ca="1" si="19"/>
        <v>0</v>
      </c>
      <c r="AV47" s="582">
        <f t="shared" ca="1" si="20"/>
        <v>0</v>
      </c>
      <c r="AW47" s="582">
        <f t="shared" ca="1" si="21"/>
        <v>0</v>
      </c>
      <c r="AX47" s="582">
        <f t="shared" ca="1" si="22"/>
        <v>0</v>
      </c>
      <c r="AY47" s="582">
        <f t="shared" ca="1" si="23"/>
        <v>0</v>
      </c>
      <c r="AZ47" s="582">
        <f t="shared" ca="1" si="24"/>
        <v>0</v>
      </c>
      <c r="BA47" s="582">
        <f t="shared" ca="1" si="25"/>
        <v>0</v>
      </c>
      <c r="BB47" s="582">
        <f t="shared" ca="1" si="26"/>
        <v>0</v>
      </c>
      <c r="BC47" s="582">
        <f t="shared" ca="1" si="27"/>
        <v>0</v>
      </c>
      <c r="BD47" s="582">
        <f t="shared" ca="1" si="28"/>
        <v>1.0000000000000002</v>
      </c>
    </row>
    <row r="48" spans="1:56" ht="15">
      <c r="A48" s="22">
        <f t="shared" si="29"/>
        <v>2068</v>
      </c>
      <c r="B48" s="586">
        <v>43</v>
      </c>
      <c r="C48" s="583">
        <f ca="1"/>
        <v>0</v>
      </c>
      <c r="D48" s="583">
        <f ca="1"/>
        <v>0</v>
      </c>
      <c r="E48" s="583">
        <f ca="1"/>
        <v>0</v>
      </c>
      <c r="F48" s="583">
        <f ca="1"/>
        <v>0</v>
      </c>
      <c r="G48" s="583">
        <f ca="1"/>
        <v>0</v>
      </c>
      <c r="H48" s="583">
        <f ca="1"/>
        <v>0</v>
      </c>
      <c r="I48" s="583">
        <f ca="1"/>
        <v>0</v>
      </c>
      <c r="J48">
        <f ca="1"/>
        <v>0</v>
      </c>
      <c r="K48">
        <f ca="1"/>
        <v>0</v>
      </c>
      <c r="L48">
        <f ca="1"/>
        <v>0</v>
      </c>
      <c r="M48">
        <f ca="1"/>
        <v>0</v>
      </c>
      <c r="N48">
        <f ca="1"/>
        <v>0</v>
      </c>
      <c r="O48">
        <f ca="1"/>
        <v>0</v>
      </c>
      <c r="P48">
        <f ca="1"/>
        <v>0</v>
      </c>
      <c r="Q48">
        <f ca="1"/>
        <v>0</v>
      </c>
      <c r="R48">
        <f ca="1"/>
        <v>0</v>
      </c>
      <c r="S48">
        <f ca="1"/>
        <v>0</v>
      </c>
      <c r="T48">
        <f ca="1"/>
        <v>0</v>
      </c>
      <c r="U48">
        <f ca="1"/>
        <v>0</v>
      </c>
      <c r="V48">
        <f ca="1"/>
        <v>0</v>
      </c>
      <c r="W48">
        <f ca="1"/>
        <v>0</v>
      </c>
      <c r="X48">
        <f ca="1"/>
        <v>0</v>
      </c>
      <c r="Y48">
        <f ca="1"/>
        <v>0</v>
      </c>
      <c r="Z48">
        <f ca="1"/>
        <v>0</v>
      </c>
      <c r="AA48">
        <f ca="1"/>
        <v>0</v>
      </c>
      <c r="AB48">
        <f ca="1"/>
        <v>0</v>
      </c>
      <c r="AC48">
        <f t="shared" ca="1" si="1"/>
        <v>0</v>
      </c>
      <c r="AD48" s="582">
        <f t="shared" ca="1" si="2"/>
        <v>0</v>
      </c>
      <c r="AE48" s="582">
        <f t="shared" ca="1" si="3"/>
        <v>0</v>
      </c>
      <c r="AF48" s="582">
        <f t="shared" ca="1" si="4"/>
        <v>0</v>
      </c>
      <c r="AG48" s="582">
        <f t="shared" ca="1" si="5"/>
        <v>0</v>
      </c>
      <c r="AH48" s="582">
        <f t="shared" ca="1" si="6"/>
        <v>0</v>
      </c>
      <c r="AI48" s="582">
        <f t="shared" ca="1" si="7"/>
        <v>0.90584093793867426</v>
      </c>
      <c r="AJ48" s="582">
        <f t="shared" ca="1" si="8"/>
        <v>0</v>
      </c>
      <c r="AK48" s="582">
        <f t="shared" ca="1" si="9"/>
        <v>0</v>
      </c>
      <c r="AL48" s="582">
        <f t="shared" ca="1" si="10"/>
        <v>0</v>
      </c>
      <c r="AM48" s="582">
        <f t="shared" ca="1" si="11"/>
        <v>0</v>
      </c>
      <c r="AN48" s="582">
        <f t="shared" ca="1" si="12"/>
        <v>0</v>
      </c>
      <c r="AO48" s="582">
        <f t="shared" ca="1" si="13"/>
        <v>5.0442354675710378E-2</v>
      </c>
      <c r="AP48" s="582">
        <f t="shared" ca="1" si="14"/>
        <v>4.3716707385615658E-2</v>
      </c>
      <c r="AQ48" s="582">
        <f t="shared" ca="1" si="15"/>
        <v>0</v>
      </c>
      <c r="AR48" s="582">
        <f t="shared" ca="1" si="16"/>
        <v>0</v>
      </c>
      <c r="AS48" s="582">
        <f t="shared" ca="1" si="17"/>
        <v>0</v>
      </c>
      <c r="AT48" s="582">
        <f t="shared" ca="1" si="18"/>
        <v>0</v>
      </c>
      <c r="AU48" s="582">
        <f t="shared" ca="1" si="19"/>
        <v>0</v>
      </c>
      <c r="AV48" s="582">
        <f t="shared" ca="1" si="20"/>
        <v>0</v>
      </c>
      <c r="AW48" s="582">
        <f t="shared" ca="1" si="21"/>
        <v>0</v>
      </c>
      <c r="AX48" s="582">
        <f t="shared" ca="1" si="22"/>
        <v>0</v>
      </c>
      <c r="AY48" s="582">
        <f t="shared" ca="1" si="23"/>
        <v>0</v>
      </c>
      <c r="AZ48" s="582">
        <f t="shared" ca="1" si="24"/>
        <v>0</v>
      </c>
      <c r="BA48" s="582">
        <f t="shared" ca="1" si="25"/>
        <v>0</v>
      </c>
      <c r="BB48" s="582">
        <f t="shared" ca="1" si="26"/>
        <v>0</v>
      </c>
      <c r="BC48" s="582">
        <f t="shared" ca="1" si="27"/>
        <v>0</v>
      </c>
      <c r="BD48" s="582">
        <f t="shared" ca="1" si="28"/>
        <v>1.0000000000000002</v>
      </c>
    </row>
    <row r="49" spans="1:56" ht="15">
      <c r="A49" s="22">
        <f t="shared" si="29"/>
        <v>2069</v>
      </c>
      <c r="B49" s="586">
        <v>44</v>
      </c>
      <c r="C49" s="583">
        <f ca="1"/>
        <v>0</v>
      </c>
      <c r="D49" s="583">
        <f ca="1"/>
        <v>0</v>
      </c>
      <c r="E49" s="583">
        <f ca="1"/>
        <v>0</v>
      </c>
      <c r="F49" s="583">
        <f ca="1"/>
        <v>0</v>
      </c>
      <c r="G49" s="583">
        <f ca="1"/>
        <v>0</v>
      </c>
      <c r="H49" s="583">
        <f ca="1"/>
        <v>0</v>
      </c>
      <c r="I49" s="583">
        <f ca="1"/>
        <v>0</v>
      </c>
      <c r="J49">
        <f ca="1"/>
        <v>0</v>
      </c>
      <c r="K49">
        <f ca="1"/>
        <v>0</v>
      </c>
      <c r="L49">
        <f ca="1"/>
        <v>0</v>
      </c>
      <c r="M49">
        <f ca="1"/>
        <v>0</v>
      </c>
      <c r="N49">
        <f ca="1"/>
        <v>0</v>
      </c>
      <c r="O49">
        <f ca="1"/>
        <v>0</v>
      </c>
      <c r="P49">
        <f ca="1"/>
        <v>0</v>
      </c>
      <c r="Q49">
        <f ca="1"/>
        <v>0</v>
      </c>
      <c r="R49">
        <f ca="1"/>
        <v>0</v>
      </c>
      <c r="S49">
        <f ca="1"/>
        <v>0</v>
      </c>
      <c r="T49">
        <f ca="1"/>
        <v>0</v>
      </c>
      <c r="U49">
        <f ca="1"/>
        <v>0</v>
      </c>
      <c r="V49">
        <f ca="1"/>
        <v>0</v>
      </c>
      <c r="W49">
        <f ca="1"/>
        <v>0</v>
      </c>
      <c r="X49">
        <f ca="1"/>
        <v>0</v>
      </c>
      <c r="Y49">
        <f ca="1"/>
        <v>0</v>
      </c>
      <c r="Z49">
        <f ca="1"/>
        <v>0</v>
      </c>
      <c r="AA49">
        <f ca="1"/>
        <v>0</v>
      </c>
      <c r="AB49">
        <f ca="1"/>
        <v>0</v>
      </c>
      <c r="AC49">
        <f t="shared" ca="1" si="1"/>
        <v>0</v>
      </c>
      <c r="AD49" s="582">
        <f t="shared" ca="1" si="2"/>
        <v>0</v>
      </c>
      <c r="AE49" s="582">
        <f t="shared" ca="1" si="3"/>
        <v>0</v>
      </c>
      <c r="AF49" s="582">
        <f t="shared" ca="1" si="4"/>
        <v>0</v>
      </c>
      <c r="AG49" s="582">
        <f t="shared" ca="1" si="5"/>
        <v>0</v>
      </c>
      <c r="AH49" s="582">
        <f t="shared" ca="1" si="6"/>
        <v>0</v>
      </c>
      <c r="AI49" s="582">
        <f t="shared" ca="1" si="7"/>
        <v>0.90584093793867426</v>
      </c>
      <c r="AJ49" s="582">
        <f t="shared" ca="1" si="8"/>
        <v>0</v>
      </c>
      <c r="AK49" s="582">
        <f t="shared" ca="1" si="9"/>
        <v>0</v>
      </c>
      <c r="AL49" s="582">
        <f t="shared" ca="1" si="10"/>
        <v>0</v>
      </c>
      <c r="AM49" s="582">
        <f t="shared" ca="1" si="11"/>
        <v>0</v>
      </c>
      <c r="AN49" s="582">
        <f t="shared" ca="1" si="12"/>
        <v>0</v>
      </c>
      <c r="AO49" s="582">
        <f t="shared" ca="1" si="13"/>
        <v>5.0442354675710378E-2</v>
      </c>
      <c r="AP49" s="582">
        <f t="shared" ca="1" si="14"/>
        <v>4.3716707385615658E-2</v>
      </c>
      <c r="AQ49" s="582">
        <f t="shared" ca="1" si="15"/>
        <v>0</v>
      </c>
      <c r="AR49" s="582">
        <f t="shared" ca="1" si="16"/>
        <v>0</v>
      </c>
      <c r="AS49" s="582">
        <f t="shared" ca="1" si="17"/>
        <v>0</v>
      </c>
      <c r="AT49" s="582">
        <f t="shared" ca="1" si="18"/>
        <v>0</v>
      </c>
      <c r="AU49" s="582">
        <f t="shared" ca="1" si="19"/>
        <v>0</v>
      </c>
      <c r="AV49" s="582">
        <f t="shared" ca="1" si="20"/>
        <v>0</v>
      </c>
      <c r="AW49" s="582">
        <f t="shared" ca="1" si="21"/>
        <v>0</v>
      </c>
      <c r="AX49" s="582">
        <f t="shared" ca="1" si="22"/>
        <v>0</v>
      </c>
      <c r="AY49" s="582">
        <f t="shared" ca="1" si="23"/>
        <v>0</v>
      </c>
      <c r="AZ49" s="582">
        <f t="shared" ca="1" si="24"/>
        <v>0</v>
      </c>
      <c r="BA49" s="582">
        <f t="shared" ca="1" si="25"/>
        <v>0</v>
      </c>
      <c r="BB49" s="582">
        <f t="shared" ca="1" si="26"/>
        <v>0</v>
      </c>
      <c r="BC49" s="582">
        <f t="shared" ca="1" si="27"/>
        <v>0</v>
      </c>
      <c r="BD49" s="582">
        <f t="shared" ca="1" si="28"/>
        <v>1.0000000000000002</v>
      </c>
    </row>
    <row r="50" spans="1:56" ht="15">
      <c r="A50" s="22">
        <f t="shared" si="29"/>
        <v>2070</v>
      </c>
      <c r="B50" s="586">
        <v>45</v>
      </c>
      <c r="C50" s="583">
        <f ca="1"/>
        <v>0</v>
      </c>
      <c r="D50" s="583">
        <f ca="1"/>
        <v>0</v>
      </c>
      <c r="E50" s="583">
        <f ca="1"/>
        <v>0</v>
      </c>
      <c r="F50" s="583">
        <f ca="1"/>
        <v>0</v>
      </c>
      <c r="G50" s="583">
        <f ca="1"/>
        <v>0</v>
      </c>
      <c r="H50" s="583">
        <f ca="1"/>
        <v>0</v>
      </c>
      <c r="I50" s="583">
        <f ca="1"/>
        <v>0</v>
      </c>
      <c r="J50">
        <f ca="1"/>
        <v>0</v>
      </c>
      <c r="K50">
        <f ca="1"/>
        <v>0</v>
      </c>
      <c r="L50">
        <f ca="1"/>
        <v>0</v>
      </c>
      <c r="M50">
        <f ca="1"/>
        <v>0</v>
      </c>
      <c r="N50">
        <f ca="1"/>
        <v>0</v>
      </c>
      <c r="O50">
        <f ca="1"/>
        <v>0</v>
      </c>
      <c r="P50">
        <f ca="1"/>
        <v>0</v>
      </c>
      <c r="Q50">
        <f ca="1"/>
        <v>0</v>
      </c>
      <c r="R50">
        <f ca="1"/>
        <v>0</v>
      </c>
      <c r="S50">
        <f ca="1"/>
        <v>0</v>
      </c>
      <c r="T50">
        <f ca="1"/>
        <v>0</v>
      </c>
      <c r="U50">
        <f ca="1"/>
        <v>0</v>
      </c>
      <c r="V50">
        <f ca="1"/>
        <v>0</v>
      </c>
      <c r="W50">
        <f ca="1"/>
        <v>0</v>
      </c>
      <c r="X50">
        <f ca="1"/>
        <v>0</v>
      </c>
      <c r="Y50">
        <f ca="1"/>
        <v>0</v>
      </c>
      <c r="Z50">
        <f ca="1"/>
        <v>0</v>
      </c>
      <c r="AA50">
        <f ca="1"/>
        <v>0</v>
      </c>
      <c r="AB50">
        <f ca="1"/>
        <v>0</v>
      </c>
      <c r="AC50">
        <f t="shared" ca="1" si="1"/>
        <v>0</v>
      </c>
      <c r="AD50" s="582">
        <f t="shared" ca="1" si="2"/>
        <v>0</v>
      </c>
      <c r="AE50" s="582">
        <f t="shared" ca="1" si="3"/>
        <v>0</v>
      </c>
      <c r="AF50" s="582">
        <f t="shared" ca="1" si="4"/>
        <v>0</v>
      </c>
      <c r="AG50" s="582">
        <f t="shared" ca="1" si="5"/>
        <v>0</v>
      </c>
      <c r="AH50" s="582">
        <f t="shared" ca="1" si="6"/>
        <v>0</v>
      </c>
      <c r="AI50" s="582">
        <f t="shared" ca="1" si="7"/>
        <v>0.90584093793867426</v>
      </c>
      <c r="AJ50" s="582">
        <f t="shared" ca="1" si="8"/>
        <v>0</v>
      </c>
      <c r="AK50" s="582">
        <f t="shared" ca="1" si="9"/>
        <v>0</v>
      </c>
      <c r="AL50" s="582">
        <f t="shared" ca="1" si="10"/>
        <v>0</v>
      </c>
      <c r="AM50" s="582">
        <f t="shared" ca="1" si="11"/>
        <v>0</v>
      </c>
      <c r="AN50" s="582">
        <f t="shared" ca="1" si="12"/>
        <v>0</v>
      </c>
      <c r="AO50" s="582">
        <f t="shared" ca="1" si="13"/>
        <v>5.0442354675710378E-2</v>
      </c>
      <c r="AP50" s="582">
        <f t="shared" ca="1" si="14"/>
        <v>4.3716707385615658E-2</v>
      </c>
      <c r="AQ50" s="582">
        <f t="shared" ca="1" si="15"/>
        <v>0</v>
      </c>
      <c r="AR50" s="582">
        <f t="shared" ca="1" si="16"/>
        <v>0</v>
      </c>
      <c r="AS50" s="582">
        <f t="shared" ca="1" si="17"/>
        <v>0</v>
      </c>
      <c r="AT50" s="582">
        <f t="shared" ca="1" si="18"/>
        <v>0</v>
      </c>
      <c r="AU50" s="582">
        <f t="shared" ca="1" si="19"/>
        <v>0</v>
      </c>
      <c r="AV50" s="582">
        <f t="shared" ca="1" si="20"/>
        <v>0</v>
      </c>
      <c r="AW50" s="582">
        <f t="shared" ca="1" si="21"/>
        <v>0</v>
      </c>
      <c r="AX50" s="582">
        <f t="shared" ca="1" si="22"/>
        <v>0</v>
      </c>
      <c r="AY50" s="582">
        <f t="shared" ca="1" si="23"/>
        <v>0</v>
      </c>
      <c r="AZ50" s="582">
        <f t="shared" ca="1" si="24"/>
        <v>0</v>
      </c>
      <c r="BA50" s="582">
        <f t="shared" ca="1" si="25"/>
        <v>0</v>
      </c>
      <c r="BB50" s="582">
        <f t="shared" ca="1" si="26"/>
        <v>0</v>
      </c>
      <c r="BC50" s="582">
        <f t="shared" ca="1" si="27"/>
        <v>0</v>
      </c>
      <c r="BD50" s="582">
        <f t="shared" ca="1" si="28"/>
        <v>1.0000000000000002</v>
      </c>
    </row>
    <row r="51" spans="1:56" ht="15">
      <c r="A51" s="22">
        <f t="shared" si="29"/>
        <v>2071</v>
      </c>
      <c r="B51" s="586">
        <v>46</v>
      </c>
      <c r="C51" s="583">
        <f ca="1"/>
        <v>0</v>
      </c>
      <c r="D51" s="583">
        <f ca="1"/>
        <v>0</v>
      </c>
      <c r="E51" s="583">
        <f ca="1"/>
        <v>0</v>
      </c>
      <c r="F51" s="583">
        <f ca="1"/>
        <v>0</v>
      </c>
      <c r="G51" s="583">
        <f ca="1"/>
        <v>0</v>
      </c>
      <c r="H51" s="583">
        <f ca="1"/>
        <v>0</v>
      </c>
      <c r="I51" s="583">
        <f ca="1"/>
        <v>0</v>
      </c>
      <c r="J51">
        <f ca="1"/>
        <v>0</v>
      </c>
      <c r="K51">
        <f ca="1"/>
        <v>0</v>
      </c>
      <c r="L51">
        <f ca="1"/>
        <v>0</v>
      </c>
      <c r="M51">
        <f ca="1"/>
        <v>0</v>
      </c>
      <c r="N51">
        <f ca="1"/>
        <v>0</v>
      </c>
      <c r="O51">
        <f ca="1"/>
        <v>0</v>
      </c>
      <c r="P51">
        <f ca="1"/>
        <v>0</v>
      </c>
      <c r="Q51">
        <f ca="1"/>
        <v>0</v>
      </c>
      <c r="R51">
        <f ca="1"/>
        <v>0</v>
      </c>
      <c r="S51">
        <f ca="1"/>
        <v>0</v>
      </c>
      <c r="T51">
        <f ca="1"/>
        <v>0</v>
      </c>
      <c r="U51">
        <f ca="1"/>
        <v>0</v>
      </c>
      <c r="V51">
        <f ca="1"/>
        <v>0</v>
      </c>
      <c r="W51">
        <f ca="1"/>
        <v>0</v>
      </c>
      <c r="X51">
        <f ca="1"/>
        <v>0</v>
      </c>
      <c r="Y51">
        <f ca="1"/>
        <v>0</v>
      </c>
      <c r="Z51">
        <f ca="1"/>
        <v>0</v>
      </c>
      <c r="AA51">
        <f ca="1"/>
        <v>0</v>
      </c>
      <c r="AB51">
        <f ca="1"/>
        <v>0</v>
      </c>
      <c r="AC51">
        <f t="shared" ca="1" si="1"/>
        <v>0</v>
      </c>
      <c r="AD51" s="582">
        <f t="shared" ca="1" si="2"/>
        <v>0</v>
      </c>
      <c r="AE51" s="582">
        <f t="shared" ca="1" si="3"/>
        <v>0</v>
      </c>
      <c r="AF51" s="582">
        <f t="shared" ca="1" si="4"/>
        <v>0</v>
      </c>
      <c r="AG51" s="582">
        <f t="shared" ca="1" si="5"/>
        <v>0</v>
      </c>
      <c r="AH51" s="582">
        <f t="shared" ca="1" si="6"/>
        <v>0</v>
      </c>
      <c r="AI51" s="582">
        <f t="shared" ca="1" si="7"/>
        <v>0.90584093793867426</v>
      </c>
      <c r="AJ51" s="582">
        <f t="shared" ca="1" si="8"/>
        <v>0</v>
      </c>
      <c r="AK51" s="582">
        <f t="shared" ca="1" si="9"/>
        <v>0</v>
      </c>
      <c r="AL51" s="582">
        <f t="shared" ca="1" si="10"/>
        <v>0</v>
      </c>
      <c r="AM51" s="582">
        <f t="shared" ca="1" si="11"/>
        <v>0</v>
      </c>
      <c r="AN51" s="582">
        <f t="shared" ca="1" si="12"/>
        <v>0</v>
      </c>
      <c r="AO51" s="582">
        <f t="shared" ca="1" si="13"/>
        <v>5.0442354675710378E-2</v>
      </c>
      <c r="AP51" s="582">
        <f t="shared" ca="1" si="14"/>
        <v>4.3716707385615658E-2</v>
      </c>
      <c r="AQ51" s="582">
        <f t="shared" ca="1" si="15"/>
        <v>0</v>
      </c>
      <c r="AR51" s="582">
        <f t="shared" ca="1" si="16"/>
        <v>0</v>
      </c>
      <c r="AS51" s="582">
        <f t="shared" ca="1" si="17"/>
        <v>0</v>
      </c>
      <c r="AT51" s="582">
        <f t="shared" ca="1" si="18"/>
        <v>0</v>
      </c>
      <c r="AU51" s="582">
        <f t="shared" ca="1" si="19"/>
        <v>0</v>
      </c>
      <c r="AV51" s="582">
        <f t="shared" ca="1" si="20"/>
        <v>0</v>
      </c>
      <c r="AW51" s="582">
        <f t="shared" ca="1" si="21"/>
        <v>0</v>
      </c>
      <c r="AX51" s="582">
        <f t="shared" ca="1" si="22"/>
        <v>0</v>
      </c>
      <c r="AY51" s="582">
        <f t="shared" ca="1" si="23"/>
        <v>0</v>
      </c>
      <c r="AZ51" s="582">
        <f t="shared" ca="1" si="24"/>
        <v>0</v>
      </c>
      <c r="BA51" s="582">
        <f t="shared" ca="1" si="25"/>
        <v>0</v>
      </c>
      <c r="BB51" s="582">
        <f t="shared" ca="1" si="26"/>
        <v>0</v>
      </c>
      <c r="BC51" s="582">
        <f t="shared" ca="1" si="27"/>
        <v>0</v>
      </c>
      <c r="BD51" s="582">
        <f t="shared" ca="1" si="28"/>
        <v>1.0000000000000002</v>
      </c>
    </row>
    <row r="52" spans="1:56" ht="15">
      <c r="A52" s="22">
        <f t="shared" si="29"/>
        <v>2072</v>
      </c>
      <c r="B52" s="586">
        <v>47</v>
      </c>
      <c r="C52" s="583">
        <f ca="1"/>
        <v>0</v>
      </c>
      <c r="D52" s="583">
        <f ca="1"/>
        <v>0</v>
      </c>
      <c r="E52" s="583">
        <f ca="1"/>
        <v>0</v>
      </c>
      <c r="F52" s="583">
        <f ca="1"/>
        <v>0</v>
      </c>
      <c r="G52" s="583">
        <f ca="1"/>
        <v>0</v>
      </c>
      <c r="H52" s="583">
        <f ca="1"/>
        <v>0</v>
      </c>
      <c r="I52" s="588">
        <f ca="1"/>
        <v>0</v>
      </c>
      <c r="J52">
        <f ca="1"/>
        <v>0</v>
      </c>
      <c r="K52">
        <f ca="1"/>
        <v>0</v>
      </c>
      <c r="L52">
        <f ca="1"/>
        <v>0</v>
      </c>
      <c r="M52">
        <f ca="1"/>
        <v>0</v>
      </c>
      <c r="N52">
        <f ca="1"/>
        <v>0</v>
      </c>
      <c r="O52">
        <f ca="1"/>
        <v>0</v>
      </c>
      <c r="P52">
        <f ca="1"/>
        <v>0</v>
      </c>
      <c r="Q52">
        <f ca="1"/>
        <v>0</v>
      </c>
      <c r="R52">
        <f ca="1"/>
        <v>0</v>
      </c>
      <c r="S52">
        <f ca="1"/>
        <v>0</v>
      </c>
      <c r="T52">
        <f ca="1"/>
        <v>0</v>
      </c>
      <c r="U52">
        <f ca="1"/>
        <v>0</v>
      </c>
      <c r="V52">
        <f ca="1"/>
        <v>0</v>
      </c>
      <c r="W52">
        <f ca="1"/>
        <v>0</v>
      </c>
      <c r="X52">
        <f ca="1"/>
        <v>0</v>
      </c>
      <c r="Y52">
        <f ca="1"/>
        <v>0</v>
      </c>
      <c r="Z52">
        <f ca="1"/>
        <v>0</v>
      </c>
      <c r="AA52">
        <f ca="1"/>
        <v>0</v>
      </c>
      <c r="AB52">
        <f ca="1"/>
        <v>0</v>
      </c>
      <c r="AC52">
        <f t="shared" ca="1" si="1"/>
        <v>0</v>
      </c>
      <c r="AD52" s="582">
        <f t="shared" ca="1" si="2"/>
        <v>0</v>
      </c>
      <c r="AE52" s="582">
        <f t="shared" ca="1" si="3"/>
        <v>0</v>
      </c>
      <c r="AF52" s="582">
        <f t="shared" ca="1" si="4"/>
        <v>0</v>
      </c>
      <c r="AG52" s="582">
        <f t="shared" ca="1" si="5"/>
        <v>0</v>
      </c>
      <c r="AH52" s="582">
        <f t="shared" ca="1" si="6"/>
        <v>0</v>
      </c>
      <c r="AI52" s="582">
        <f t="shared" ca="1" si="7"/>
        <v>0.90584093793867426</v>
      </c>
      <c r="AJ52" s="582">
        <f t="shared" ca="1" si="8"/>
        <v>0</v>
      </c>
      <c r="AK52" s="582">
        <f t="shared" ca="1" si="9"/>
        <v>0</v>
      </c>
      <c r="AL52" s="582">
        <f t="shared" ca="1" si="10"/>
        <v>0</v>
      </c>
      <c r="AM52" s="582">
        <f t="shared" ca="1" si="11"/>
        <v>0</v>
      </c>
      <c r="AN52" s="582">
        <f t="shared" ca="1" si="12"/>
        <v>0</v>
      </c>
      <c r="AO52" s="582">
        <f t="shared" ca="1" si="13"/>
        <v>5.0442354675710378E-2</v>
      </c>
      <c r="AP52" s="582">
        <f t="shared" ca="1" si="14"/>
        <v>4.3716707385615658E-2</v>
      </c>
      <c r="AQ52" s="582">
        <f t="shared" ca="1" si="15"/>
        <v>0</v>
      </c>
      <c r="AR52" s="582">
        <f t="shared" ca="1" si="16"/>
        <v>0</v>
      </c>
      <c r="AS52" s="582">
        <f t="shared" ca="1" si="17"/>
        <v>0</v>
      </c>
      <c r="AT52" s="582">
        <f t="shared" ca="1" si="18"/>
        <v>0</v>
      </c>
      <c r="AU52" s="582">
        <f t="shared" ca="1" si="19"/>
        <v>0</v>
      </c>
      <c r="AV52" s="582">
        <f t="shared" ca="1" si="20"/>
        <v>0</v>
      </c>
      <c r="AW52" s="582">
        <f t="shared" ca="1" si="21"/>
        <v>0</v>
      </c>
      <c r="AX52" s="582">
        <f t="shared" ca="1" si="22"/>
        <v>0</v>
      </c>
      <c r="AY52" s="582">
        <f t="shared" ca="1" si="23"/>
        <v>0</v>
      </c>
      <c r="AZ52" s="582">
        <f t="shared" ca="1" si="24"/>
        <v>0</v>
      </c>
      <c r="BA52" s="582">
        <f t="shared" ca="1" si="25"/>
        <v>0</v>
      </c>
      <c r="BB52" s="582">
        <f t="shared" ca="1" si="26"/>
        <v>0</v>
      </c>
      <c r="BC52" s="582">
        <f t="shared" ca="1" si="27"/>
        <v>0</v>
      </c>
      <c r="BD52" s="582">
        <f t="shared" ca="1" si="28"/>
        <v>1.0000000000000002</v>
      </c>
    </row>
    <row r="53" spans="1:56" ht="15">
      <c r="A53" s="22">
        <f t="shared" si="29"/>
        <v>2073</v>
      </c>
      <c r="B53" s="586">
        <v>48</v>
      </c>
      <c r="C53" s="583">
        <f ca="1"/>
        <v>0</v>
      </c>
      <c r="D53" s="583">
        <f ca="1"/>
        <v>0</v>
      </c>
      <c r="E53" s="583">
        <f ca="1"/>
        <v>0</v>
      </c>
      <c r="F53" s="583">
        <f ca="1"/>
        <v>0</v>
      </c>
      <c r="G53" s="583">
        <f ca="1"/>
        <v>0</v>
      </c>
      <c r="H53" s="583">
        <f ca="1"/>
        <v>0</v>
      </c>
      <c r="I53" s="588">
        <f ca="1"/>
        <v>0</v>
      </c>
      <c r="J53">
        <f ca="1"/>
        <v>0</v>
      </c>
      <c r="K53">
        <f ca="1"/>
        <v>0</v>
      </c>
      <c r="L53">
        <f ca="1"/>
        <v>0</v>
      </c>
      <c r="M53">
        <f ca="1"/>
        <v>0</v>
      </c>
      <c r="N53">
        <f ca="1"/>
        <v>0</v>
      </c>
      <c r="O53">
        <f ca="1"/>
        <v>0</v>
      </c>
      <c r="P53">
        <f ca="1"/>
        <v>0</v>
      </c>
      <c r="Q53">
        <f ca="1"/>
        <v>0</v>
      </c>
      <c r="R53">
        <f ca="1"/>
        <v>0</v>
      </c>
      <c r="S53">
        <f ca="1"/>
        <v>0</v>
      </c>
      <c r="T53">
        <f ca="1"/>
        <v>0</v>
      </c>
      <c r="U53">
        <f ca="1"/>
        <v>0</v>
      </c>
      <c r="V53">
        <f ca="1"/>
        <v>0</v>
      </c>
      <c r="W53">
        <f ca="1"/>
        <v>0</v>
      </c>
      <c r="X53">
        <f ca="1"/>
        <v>0</v>
      </c>
      <c r="Y53">
        <f ca="1"/>
        <v>0</v>
      </c>
      <c r="Z53">
        <f ca="1"/>
        <v>0</v>
      </c>
      <c r="AA53">
        <f ca="1"/>
        <v>0</v>
      </c>
      <c r="AB53">
        <f ca="1"/>
        <v>0</v>
      </c>
      <c r="AC53">
        <f t="shared" ca="1" si="1"/>
        <v>0</v>
      </c>
      <c r="AD53" s="582">
        <f t="shared" ca="1" si="2"/>
        <v>0</v>
      </c>
      <c r="AE53" s="582">
        <f t="shared" ca="1" si="3"/>
        <v>0</v>
      </c>
      <c r="AF53" s="582">
        <f t="shared" ca="1" si="4"/>
        <v>0</v>
      </c>
      <c r="AG53" s="582">
        <f t="shared" ca="1" si="5"/>
        <v>0</v>
      </c>
      <c r="AH53" s="582">
        <f t="shared" ca="1" si="6"/>
        <v>0</v>
      </c>
      <c r="AI53" s="582">
        <f t="shared" ca="1" si="7"/>
        <v>0.90584093793867426</v>
      </c>
      <c r="AJ53" s="582">
        <f t="shared" ca="1" si="8"/>
        <v>0</v>
      </c>
      <c r="AK53" s="582">
        <f t="shared" ca="1" si="9"/>
        <v>0</v>
      </c>
      <c r="AL53" s="582">
        <f t="shared" ca="1" si="10"/>
        <v>0</v>
      </c>
      <c r="AM53" s="582">
        <f t="shared" ca="1" si="11"/>
        <v>0</v>
      </c>
      <c r="AN53" s="582">
        <f t="shared" ca="1" si="12"/>
        <v>0</v>
      </c>
      <c r="AO53" s="582">
        <f t="shared" ca="1" si="13"/>
        <v>5.0442354675710378E-2</v>
      </c>
      <c r="AP53" s="582">
        <f t="shared" ca="1" si="14"/>
        <v>4.3716707385615658E-2</v>
      </c>
      <c r="AQ53" s="582">
        <f t="shared" ca="1" si="15"/>
        <v>0</v>
      </c>
      <c r="AR53" s="582">
        <f t="shared" ca="1" si="16"/>
        <v>0</v>
      </c>
      <c r="AS53" s="582">
        <f t="shared" ca="1" si="17"/>
        <v>0</v>
      </c>
      <c r="AT53" s="582">
        <f t="shared" ca="1" si="18"/>
        <v>0</v>
      </c>
      <c r="AU53" s="582">
        <f t="shared" ca="1" si="19"/>
        <v>0</v>
      </c>
      <c r="AV53" s="582">
        <f t="shared" ca="1" si="20"/>
        <v>0</v>
      </c>
      <c r="AW53" s="582">
        <f t="shared" ca="1" si="21"/>
        <v>0</v>
      </c>
      <c r="AX53" s="582">
        <f t="shared" ca="1" si="22"/>
        <v>0</v>
      </c>
      <c r="AY53" s="582">
        <f t="shared" ca="1" si="23"/>
        <v>0</v>
      </c>
      <c r="AZ53" s="582">
        <f t="shared" ca="1" si="24"/>
        <v>0</v>
      </c>
      <c r="BA53" s="582">
        <f t="shared" ca="1" si="25"/>
        <v>0</v>
      </c>
      <c r="BB53" s="582">
        <f t="shared" ca="1" si="26"/>
        <v>0</v>
      </c>
      <c r="BC53" s="582">
        <f t="shared" ca="1" si="27"/>
        <v>0</v>
      </c>
      <c r="BD53" s="582">
        <f t="shared" ca="1" si="28"/>
        <v>1.0000000000000002</v>
      </c>
    </row>
    <row r="54" spans="1:56" ht="15">
      <c r="A54" s="22">
        <f t="shared" si="29"/>
        <v>2074</v>
      </c>
      <c r="B54" s="586">
        <v>49</v>
      </c>
      <c r="C54" s="583">
        <f ca="1"/>
        <v>0</v>
      </c>
      <c r="D54" s="583">
        <f ca="1"/>
        <v>0</v>
      </c>
      <c r="E54" s="583">
        <f ca="1"/>
        <v>0</v>
      </c>
      <c r="F54" s="583">
        <f ca="1"/>
        <v>0</v>
      </c>
      <c r="G54" s="583">
        <f ca="1"/>
        <v>0</v>
      </c>
      <c r="H54" s="583">
        <f ca="1"/>
        <v>0</v>
      </c>
      <c r="I54" s="588">
        <f ca="1"/>
        <v>0</v>
      </c>
      <c r="J54">
        <f ca="1"/>
        <v>0</v>
      </c>
      <c r="K54">
        <f ca="1"/>
        <v>0</v>
      </c>
      <c r="L54">
        <f ca="1"/>
        <v>0</v>
      </c>
      <c r="M54">
        <f ca="1"/>
        <v>0</v>
      </c>
      <c r="N54">
        <f ca="1"/>
        <v>0</v>
      </c>
      <c r="O54">
        <f ca="1"/>
        <v>0</v>
      </c>
      <c r="P54">
        <f ca="1"/>
        <v>0</v>
      </c>
      <c r="Q54">
        <f ca="1"/>
        <v>0</v>
      </c>
      <c r="R54">
        <f ca="1"/>
        <v>0</v>
      </c>
      <c r="S54">
        <f ca="1"/>
        <v>0</v>
      </c>
      <c r="T54">
        <f ca="1"/>
        <v>0</v>
      </c>
      <c r="U54">
        <f ca="1"/>
        <v>0</v>
      </c>
      <c r="V54">
        <f ca="1"/>
        <v>0</v>
      </c>
      <c r="W54">
        <f ca="1"/>
        <v>0</v>
      </c>
      <c r="X54">
        <f ca="1"/>
        <v>0</v>
      </c>
      <c r="Y54">
        <f ca="1"/>
        <v>0</v>
      </c>
      <c r="Z54">
        <f ca="1"/>
        <v>0</v>
      </c>
      <c r="AA54">
        <f ca="1"/>
        <v>0</v>
      </c>
      <c r="AB54">
        <f ca="1"/>
        <v>0</v>
      </c>
      <c r="AC54">
        <f t="shared" ca="1" si="1"/>
        <v>0</v>
      </c>
      <c r="AD54" s="582">
        <f t="shared" ca="1" si="2"/>
        <v>0</v>
      </c>
      <c r="AE54" s="582">
        <f t="shared" ca="1" si="3"/>
        <v>0</v>
      </c>
      <c r="AF54" s="582">
        <f t="shared" ca="1" si="4"/>
        <v>0</v>
      </c>
      <c r="AG54" s="582">
        <f t="shared" ca="1" si="5"/>
        <v>0</v>
      </c>
      <c r="AH54" s="582">
        <f t="shared" ca="1" si="6"/>
        <v>0</v>
      </c>
      <c r="AI54" s="582">
        <f t="shared" ca="1" si="7"/>
        <v>0.90584093793867426</v>
      </c>
      <c r="AJ54" s="582">
        <f t="shared" ca="1" si="8"/>
        <v>0</v>
      </c>
      <c r="AK54" s="582">
        <f t="shared" ca="1" si="9"/>
        <v>0</v>
      </c>
      <c r="AL54" s="582">
        <f t="shared" ca="1" si="10"/>
        <v>0</v>
      </c>
      <c r="AM54" s="582">
        <f t="shared" ca="1" si="11"/>
        <v>0</v>
      </c>
      <c r="AN54" s="582">
        <f t="shared" ca="1" si="12"/>
        <v>0</v>
      </c>
      <c r="AO54" s="582">
        <f t="shared" ca="1" si="13"/>
        <v>5.0442354675710378E-2</v>
      </c>
      <c r="AP54" s="582">
        <f t="shared" ca="1" si="14"/>
        <v>4.3716707385615658E-2</v>
      </c>
      <c r="AQ54" s="582">
        <f t="shared" ca="1" si="15"/>
        <v>0</v>
      </c>
      <c r="AR54" s="582">
        <f t="shared" ca="1" si="16"/>
        <v>0</v>
      </c>
      <c r="AS54" s="582">
        <f t="shared" ca="1" si="17"/>
        <v>0</v>
      </c>
      <c r="AT54" s="582">
        <f t="shared" ca="1" si="18"/>
        <v>0</v>
      </c>
      <c r="AU54" s="582">
        <f t="shared" ca="1" si="19"/>
        <v>0</v>
      </c>
      <c r="AV54" s="582">
        <f t="shared" ca="1" si="20"/>
        <v>0</v>
      </c>
      <c r="AW54" s="582">
        <f t="shared" ca="1" si="21"/>
        <v>0</v>
      </c>
      <c r="AX54" s="582">
        <f t="shared" ca="1" si="22"/>
        <v>0</v>
      </c>
      <c r="AY54" s="582">
        <f t="shared" ca="1" si="23"/>
        <v>0</v>
      </c>
      <c r="AZ54" s="582">
        <f t="shared" ca="1" si="24"/>
        <v>0</v>
      </c>
      <c r="BA54" s="582">
        <f t="shared" ca="1" si="25"/>
        <v>0</v>
      </c>
      <c r="BB54" s="582">
        <f t="shared" ca="1" si="26"/>
        <v>0</v>
      </c>
      <c r="BC54" s="582">
        <f t="shared" ca="1" si="27"/>
        <v>0</v>
      </c>
      <c r="BD54" s="582">
        <f t="shared" ca="1" si="28"/>
        <v>1.0000000000000002</v>
      </c>
    </row>
    <row r="55" spans="1:56" ht="15">
      <c r="A55" s="22">
        <f t="shared" si="29"/>
        <v>2075</v>
      </c>
      <c r="B55" s="586">
        <v>50</v>
      </c>
      <c r="C55" s="583">
        <f ca="1"/>
        <v>0</v>
      </c>
      <c r="D55" s="583">
        <f ca="1"/>
        <v>0</v>
      </c>
      <c r="E55" s="583">
        <f ca="1"/>
        <v>0</v>
      </c>
      <c r="F55" s="583">
        <f ca="1"/>
        <v>0</v>
      </c>
      <c r="G55" s="583">
        <f ca="1"/>
        <v>0</v>
      </c>
      <c r="H55" s="583">
        <f ca="1"/>
        <v>0</v>
      </c>
      <c r="I55" s="583">
        <f ca="1"/>
        <v>0</v>
      </c>
      <c r="J55">
        <f ca="1"/>
        <v>0</v>
      </c>
      <c r="K55">
        <f ca="1"/>
        <v>0</v>
      </c>
      <c r="L55">
        <f ca="1"/>
        <v>0</v>
      </c>
      <c r="M55">
        <f ca="1"/>
        <v>0</v>
      </c>
      <c r="N55">
        <f ca="1"/>
        <v>0</v>
      </c>
      <c r="O55">
        <f ca="1"/>
        <v>0</v>
      </c>
      <c r="P55">
        <f ca="1"/>
        <v>0</v>
      </c>
      <c r="Q55">
        <f ca="1"/>
        <v>0</v>
      </c>
      <c r="R55">
        <f ca="1"/>
        <v>0</v>
      </c>
      <c r="S55">
        <f ca="1"/>
        <v>0</v>
      </c>
      <c r="T55">
        <f ca="1"/>
        <v>0</v>
      </c>
      <c r="U55">
        <f ca="1"/>
        <v>0</v>
      </c>
      <c r="V55">
        <f ca="1"/>
        <v>0</v>
      </c>
      <c r="W55">
        <f ca="1"/>
        <v>0</v>
      </c>
      <c r="X55">
        <f ca="1"/>
        <v>0</v>
      </c>
      <c r="Y55">
        <f ca="1"/>
        <v>0</v>
      </c>
      <c r="Z55">
        <f ca="1"/>
        <v>0</v>
      </c>
      <c r="AA55">
        <f ca="1"/>
        <v>0</v>
      </c>
      <c r="AB55">
        <f ca="1"/>
        <v>0</v>
      </c>
      <c r="AC55">
        <f t="shared" ca="1" si="1"/>
        <v>0</v>
      </c>
      <c r="AD55" s="582">
        <f t="shared" ca="1" si="2"/>
        <v>0</v>
      </c>
      <c r="AE55" s="582">
        <f t="shared" ca="1" si="3"/>
        <v>0</v>
      </c>
      <c r="AF55" s="582">
        <f t="shared" ca="1" si="4"/>
        <v>0</v>
      </c>
      <c r="AG55" s="582">
        <f t="shared" ca="1" si="5"/>
        <v>0</v>
      </c>
      <c r="AH55" s="582">
        <f t="shared" ca="1" si="6"/>
        <v>0</v>
      </c>
      <c r="AI55" s="582">
        <f t="shared" ca="1" si="7"/>
        <v>0.90584093793867426</v>
      </c>
      <c r="AJ55" s="582">
        <f t="shared" ca="1" si="8"/>
        <v>0</v>
      </c>
      <c r="AK55" s="582">
        <f t="shared" ca="1" si="9"/>
        <v>0</v>
      </c>
      <c r="AL55" s="582">
        <f t="shared" ca="1" si="10"/>
        <v>0</v>
      </c>
      <c r="AM55" s="582">
        <f t="shared" ca="1" si="11"/>
        <v>0</v>
      </c>
      <c r="AN55" s="582">
        <f t="shared" ca="1" si="12"/>
        <v>0</v>
      </c>
      <c r="AO55" s="582">
        <f t="shared" ca="1" si="13"/>
        <v>5.0442354675710378E-2</v>
      </c>
      <c r="AP55" s="582">
        <f t="shared" ca="1" si="14"/>
        <v>4.3716707385615658E-2</v>
      </c>
      <c r="AQ55" s="582">
        <f t="shared" ca="1" si="15"/>
        <v>0</v>
      </c>
      <c r="AR55" s="582">
        <f t="shared" ca="1" si="16"/>
        <v>0</v>
      </c>
      <c r="AS55" s="582">
        <f t="shared" ca="1" si="17"/>
        <v>0</v>
      </c>
      <c r="AT55" s="582">
        <f t="shared" ca="1" si="18"/>
        <v>0</v>
      </c>
      <c r="AU55" s="582">
        <f t="shared" ca="1" si="19"/>
        <v>0</v>
      </c>
      <c r="AV55" s="582">
        <f t="shared" ca="1" si="20"/>
        <v>0</v>
      </c>
      <c r="AW55" s="582">
        <f t="shared" ca="1" si="21"/>
        <v>0</v>
      </c>
      <c r="AX55" s="582">
        <f t="shared" ca="1" si="22"/>
        <v>0</v>
      </c>
      <c r="AY55" s="582">
        <f t="shared" ca="1" si="23"/>
        <v>0</v>
      </c>
      <c r="AZ55" s="582">
        <f t="shared" ca="1" si="24"/>
        <v>0</v>
      </c>
      <c r="BA55" s="582">
        <f t="shared" ca="1" si="25"/>
        <v>0</v>
      </c>
      <c r="BB55" s="582">
        <f t="shared" ca="1" si="26"/>
        <v>0</v>
      </c>
      <c r="BC55" s="582">
        <f t="shared" ca="1" si="27"/>
        <v>0</v>
      </c>
      <c r="BD55" s="582">
        <f t="shared" ca="1" si="28"/>
        <v>1.0000000000000002</v>
      </c>
    </row>
    <row r="56" spans="1:56" ht="15">
      <c r="A56" s="22">
        <f t="shared" si="29"/>
        <v>2076</v>
      </c>
      <c r="B56" s="586">
        <v>51</v>
      </c>
      <c r="C56" s="583">
        <f ca="1"/>
        <v>0</v>
      </c>
      <c r="D56" s="583">
        <f ca="1"/>
        <v>0</v>
      </c>
      <c r="E56" s="583">
        <f ca="1"/>
        <v>0</v>
      </c>
      <c r="F56" s="583">
        <f ca="1"/>
        <v>0</v>
      </c>
      <c r="G56" s="583">
        <f ca="1"/>
        <v>0</v>
      </c>
      <c r="H56" s="583">
        <f ca="1"/>
        <v>0</v>
      </c>
      <c r="I56" s="583">
        <f ca="1"/>
        <v>0</v>
      </c>
      <c r="J56">
        <f ca="1"/>
        <v>0</v>
      </c>
      <c r="K56">
        <f ca="1"/>
        <v>0</v>
      </c>
      <c r="L56">
        <f ca="1"/>
        <v>0</v>
      </c>
      <c r="M56">
        <f ca="1"/>
        <v>0</v>
      </c>
      <c r="N56">
        <f ca="1"/>
        <v>0</v>
      </c>
      <c r="O56">
        <f ca="1"/>
        <v>0</v>
      </c>
      <c r="P56">
        <f ca="1"/>
        <v>0</v>
      </c>
      <c r="Q56">
        <f ca="1"/>
        <v>0</v>
      </c>
      <c r="R56">
        <f ca="1"/>
        <v>0</v>
      </c>
      <c r="S56">
        <f ca="1"/>
        <v>0</v>
      </c>
      <c r="T56">
        <f ca="1"/>
        <v>0</v>
      </c>
      <c r="U56">
        <f ca="1"/>
        <v>0</v>
      </c>
      <c r="V56">
        <f ca="1"/>
        <v>0</v>
      </c>
      <c r="W56">
        <f ca="1"/>
        <v>0</v>
      </c>
      <c r="X56">
        <f ca="1"/>
        <v>0</v>
      </c>
      <c r="Y56">
        <f ca="1"/>
        <v>0</v>
      </c>
      <c r="Z56">
        <f ca="1"/>
        <v>0</v>
      </c>
      <c r="AA56">
        <f ca="1"/>
        <v>0</v>
      </c>
      <c r="AB56">
        <f ca="1"/>
        <v>0</v>
      </c>
      <c r="AC56">
        <f t="shared" ca="1" si="1"/>
        <v>0</v>
      </c>
      <c r="AD56" s="582">
        <f t="shared" ca="1" si="2"/>
        <v>0</v>
      </c>
      <c r="AE56" s="582">
        <f t="shared" ca="1" si="3"/>
        <v>0</v>
      </c>
      <c r="AF56" s="582">
        <f t="shared" ca="1" si="4"/>
        <v>0</v>
      </c>
      <c r="AG56" s="582">
        <f t="shared" ca="1" si="5"/>
        <v>0</v>
      </c>
      <c r="AH56" s="582">
        <f t="shared" ca="1" si="6"/>
        <v>0</v>
      </c>
      <c r="AI56" s="582">
        <f t="shared" ca="1" si="7"/>
        <v>0.90584093793867426</v>
      </c>
      <c r="AJ56" s="582">
        <f t="shared" ca="1" si="8"/>
        <v>0</v>
      </c>
      <c r="AK56" s="582">
        <f t="shared" ca="1" si="9"/>
        <v>0</v>
      </c>
      <c r="AL56" s="582">
        <f t="shared" ca="1" si="10"/>
        <v>0</v>
      </c>
      <c r="AM56" s="582">
        <f t="shared" ca="1" si="11"/>
        <v>0</v>
      </c>
      <c r="AN56" s="582">
        <f t="shared" ca="1" si="12"/>
        <v>0</v>
      </c>
      <c r="AO56" s="582">
        <f t="shared" ca="1" si="13"/>
        <v>5.0442354675710378E-2</v>
      </c>
      <c r="AP56" s="582">
        <f t="shared" ca="1" si="14"/>
        <v>4.3716707385615658E-2</v>
      </c>
      <c r="AQ56" s="582">
        <f t="shared" ca="1" si="15"/>
        <v>0</v>
      </c>
      <c r="AR56" s="582">
        <f t="shared" ca="1" si="16"/>
        <v>0</v>
      </c>
      <c r="AS56" s="582">
        <f t="shared" ca="1" si="17"/>
        <v>0</v>
      </c>
      <c r="AT56" s="582">
        <f t="shared" ca="1" si="18"/>
        <v>0</v>
      </c>
      <c r="AU56" s="582">
        <f t="shared" ca="1" si="19"/>
        <v>0</v>
      </c>
      <c r="AV56" s="582">
        <f t="shared" ca="1" si="20"/>
        <v>0</v>
      </c>
      <c r="AW56" s="582">
        <f t="shared" ca="1" si="21"/>
        <v>0</v>
      </c>
      <c r="AX56" s="582">
        <f t="shared" ca="1" si="22"/>
        <v>0</v>
      </c>
      <c r="AY56" s="582">
        <f t="shared" ca="1" si="23"/>
        <v>0</v>
      </c>
      <c r="AZ56" s="582">
        <f t="shared" ca="1" si="24"/>
        <v>0</v>
      </c>
      <c r="BA56" s="582">
        <f t="shared" ca="1" si="25"/>
        <v>0</v>
      </c>
      <c r="BB56" s="582">
        <f t="shared" ca="1" si="26"/>
        <v>0</v>
      </c>
      <c r="BC56" s="582">
        <f t="shared" ca="1" si="27"/>
        <v>0</v>
      </c>
      <c r="BD56" s="582">
        <f t="shared" ca="1" si="28"/>
        <v>1.0000000000000002</v>
      </c>
    </row>
    <row r="57" spans="1:56" ht="15">
      <c r="A57" s="22">
        <f t="shared" si="29"/>
        <v>2077</v>
      </c>
      <c r="B57" s="586">
        <v>52</v>
      </c>
      <c r="C57" s="583">
        <f ca="1"/>
        <v>0</v>
      </c>
      <c r="D57" s="583">
        <f ca="1"/>
        <v>0</v>
      </c>
      <c r="E57" s="583">
        <f ca="1"/>
        <v>0</v>
      </c>
      <c r="F57" s="583">
        <f ca="1"/>
        <v>0</v>
      </c>
      <c r="G57" s="583">
        <f ca="1"/>
        <v>0</v>
      </c>
      <c r="H57" s="583">
        <f ca="1"/>
        <v>0</v>
      </c>
      <c r="I57" s="583">
        <f ca="1"/>
        <v>0</v>
      </c>
      <c r="J57">
        <f ca="1"/>
        <v>0</v>
      </c>
      <c r="K57">
        <f ca="1"/>
        <v>0</v>
      </c>
      <c r="L57">
        <f ca="1"/>
        <v>0</v>
      </c>
      <c r="M57">
        <f ca="1"/>
        <v>0</v>
      </c>
      <c r="N57">
        <f ca="1"/>
        <v>0</v>
      </c>
      <c r="O57">
        <f ca="1"/>
        <v>0</v>
      </c>
      <c r="P57">
        <f ca="1"/>
        <v>0</v>
      </c>
      <c r="Q57">
        <f ca="1"/>
        <v>0</v>
      </c>
      <c r="R57">
        <f ca="1"/>
        <v>0</v>
      </c>
      <c r="S57">
        <f ca="1"/>
        <v>0</v>
      </c>
      <c r="T57">
        <f ca="1"/>
        <v>0</v>
      </c>
      <c r="U57">
        <f ca="1"/>
        <v>0</v>
      </c>
      <c r="V57">
        <f ca="1"/>
        <v>0</v>
      </c>
      <c r="W57">
        <f ca="1"/>
        <v>0</v>
      </c>
      <c r="X57">
        <f ca="1"/>
        <v>0</v>
      </c>
      <c r="Y57">
        <f ca="1"/>
        <v>0</v>
      </c>
      <c r="Z57">
        <f ca="1"/>
        <v>0</v>
      </c>
      <c r="AA57">
        <f ca="1"/>
        <v>0</v>
      </c>
      <c r="AB57">
        <f ca="1"/>
        <v>0</v>
      </c>
      <c r="AC57">
        <f t="shared" ca="1" si="1"/>
        <v>0</v>
      </c>
      <c r="AD57" s="582">
        <f t="shared" ca="1" si="2"/>
        <v>0</v>
      </c>
      <c r="AE57" s="582">
        <f t="shared" ca="1" si="3"/>
        <v>0</v>
      </c>
      <c r="AF57" s="582">
        <f t="shared" ca="1" si="4"/>
        <v>0</v>
      </c>
      <c r="AG57" s="582">
        <f t="shared" ca="1" si="5"/>
        <v>0</v>
      </c>
      <c r="AH57" s="582">
        <f t="shared" ca="1" si="6"/>
        <v>0</v>
      </c>
      <c r="AI57" s="582">
        <f t="shared" ca="1" si="7"/>
        <v>0.90584093793867426</v>
      </c>
      <c r="AJ57" s="582">
        <f t="shared" ca="1" si="8"/>
        <v>0</v>
      </c>
      <c r="AK57" s="582">
        <f t="shared" ca="1" si="9"/>
        <v>0</v>
      </c>
      <c r="AL57" s="582">
        <f t="shared" ca="1" si="10"/>
        <v>0</v>
      </c>
      <c r="AM57" s="582">
        <f t="shared" ca="1" si="11"/>
        <v>0</v>
      </c>
      <c r="AN57" s="582">
        <f t="shared" ca="1" si="12"/>
        <v>0</v>
      </c>
      <c r="AO57" s="582">
        <f t="shared" ca="1" si="13"/>
        <v>5.0442354675710378E-2</v>
      </c>
      <c r="AP57" s="582">
        <f t="shared" ca="1" si="14"/>
        <v>4.3716707385615658E-2</v>
      </c>
      <c r="AQ57" s="582">
        <f t="shared" ca="1" si="15"/>
        <v>0</v>
      </c>
      <c r="AR57" s="582">
        <f t="shared" ca="1" si="16"/>
        <v>0</v>
      </c>
      <c r="AS57" s="582">
        <f t="shared" ca="1" si="17"/>
        <v>0</v>
      </c>
      <c r="AT57" s="582">
        <f t="shared" ca="1" si="18"/>
        <v>0</v>
      </c>
      <c r="AU57" s="582">
        <f t="shared" ca="1" si="19"/>
        <v>0</v>
      </c>
      <c r="AV57" s="582">
        <f t="shared" ca="1" si="20"/>
        <v>0</v>
      </c>
      <c r="AW57" s="582">
        <f t="shared" ca="1" si="21"/>
        <v>0</v>
      </c>
      <c r="AX57" s="582">
        <f t="shared" ca="1" si="22"/>
        <v>0</v>
      </c>
      <c r="AY57" s="582">
        <f t="shared" ca="1" si="23"/>
        <v>0</v>
      </c>
      <c r="AZ57" s="582">
        <f t="shared" ca="1" si="24"/>
        <v>0</v>
      </c>
      <c r="BA57" s="582">
        <f t="shared" ca="1" si="25"/>
        <v>0</v>
      </c>
      <c r="BB57" s="582">
        <f t="shared" ca="1" si="26"/>
        <v>0</v>
      </c>
      <c r="BC57" s="582">
        <f t="shared" ca="1" si="27"/>
        <v>0</v>
      </c>
      <c r="BD57" s="582">
        <f t="shared" ca="1" si="28"/>
        <v>1.0000000000000002</v>
      </c>
    </row>
    <row r="58" spans="1:56" ht="15">
      <c r="A58" s="22">
        <f t="shared" si="29"/>
        <v>2078</v>
      </c>
      <c r="B58" s="586">
        <v>53</v>
      </c>
      <c r="C58" s="583">
        <f ca="1"/>
        <v>0</v>
      </c>
      <c r="D58" s="583">
        <f ca="1"/>
        <v>0</v>
      </c>
      <c r="E58" s="583">
        <f ca="1"/>
        <v>0</v>
      </c>
      <c r="F58" s="583">
        <f ca="1"/>
        <v>0</v>
      </c>
      <c r="G58" s="583">
        <f ca="1"/>
        <v>0</v>
      </c>
      <c r="H58" s="583">
        <f ca="1"/>
        <v>0</v>
      </c>
      <c r="I58" s="583">
        <f ca="1"/>
        <v>0</v>
      </c>
      <c r="J58">
        <f ca="1"/>
        <v>0</v>
      </c>
      <c r="K58">
        <f ca="1"/>
        <v>0</v>
      </c>
      <c r="L58">
        <f ca="1"/>
        <v>0</v>
      </c>
      <c r="M58">
        <f ca="1"/>
        <v>0</v>
      </c>
      <c r="N58">
        <f ca="1"/>
        <v>0</v>
      </c>
      <c r="O58">
        <f ca="1"/>
        <v>0</v>
      </c>
      <c r="P58">
        <f ca="1"/>
        <v>0</v>
      </c>
      <c r="Q58">
        <f ca="1"/>
        <v>0</v>
      </c>
      <c r="R58">
        <f ca="1"/>
        <v>0</v>
      </c>
      <c r="S58">
        <f ca="1"/>
        <v>0</v>
      </c>
      <c r="T58">
        <f ca="1"/>
        <v>0</v>
      </c>
      <c r="U58">
        <f ca="1"/>
        <v>0</v>
      </c>
      <c r="V58">
        <f ca="1"/>
        <v>0</v>
      </c>
      <c r="W58">
        <f ca="1"/>
        <v>0</v>
      </c>
      <c r="X58">
        <f ca="1"/>
        <v>0</v>
      </c>
      <c r="Y58">
        <f ca="1"/>
        <v>0</v>
      </c>
      <c r="Z58">
        <f ca="1"/>
        <v>0</v>
      </c>
      <c r="AA58">
        <f ca="1"/>
        <v>0</v>
      </c>
      <c r="AB58">
        <f ca="1"/>
        <v>0</v>
      </c>
      <c r="AC58">
        <f t="shared" ca="1" si="1"/>
        <v>0</v>
      </c>
      <c r="AD58" s="582">
        <f t="shared" ca="1" si="2"/>
        <v>0</v>
      </c>
      <c r="AE58" s="582">
        <f t="shared" ca="1" si="3"/>
        <v>0</v>
      </c>
      <c r="AF58" s="582">
        <f t="shared" ca="1" si="4"/>
        <v>0</v>
      </c>
      <c r="AG58" s="582">
        <f t="shared" ca="1" si="5"/>
        <v>0</v>
      </c>
      <c r="AH58" s="582">
        <f t="shared" ca="1" si="6"/>
        <v>0</v>
      </c>
      <c r="AI58" s="582">
        <f t="shared" ca="1" si="7"/>
        <v>0.90584093793867426</v>
      </c>
      <c r="AJ58" s="582">
        <f t="shared" ca="1" si="8"/>
        <v>0</v>
      </c>
      <c r="AK58" s="582">
        <f t="shared" ca="1" si="9"/>
        <v>0</v>
      </c>
      <c r="AL58" s="582">
        <f t="shared" ca="1" si="10"/>
        <v>0</v>
      </c>
      <c r="AM58" s="582">
        <f t="shared" ca="1" si="11"/>
        <v>0</v>
      </c>
      <c r="AN58" s="582">
        <f t="shared" ca="1" si="12"/>
        <v>0</v>
      </c>
      <c r="AO58" s="582">
        <f t="shared" ca="1" si="13"/>
        <v>5.0442354675710378E-2</v>
      </c>
      <c r="AP58" s="582">
        <f t="shared" ca="1" si="14"/>
        <v>4.3716707385615658E-2</v>
      </c>
      <c r="AQ58" s="582">
        <f t="shared" ca="1" si="15"/>
        <v>0</v>
      </c>
      <c r="AR58" s="582">
        <f t="shared" ca="1" si="16"/>
        <v>0</v>
      </c>
      <c r="AS58" s="582">
        <f t="shared" ca="1" si="17"/>
        <v>0</v>
      </c>
      <c r="AT58" s="582">
        <f t="shared" ca="1" si="18"/>
        <v>0</v>
      </c>
      <c r="AU58" s="582">
        <f t="shared" ca="1" si="19"/>
        <v>0</v>
      </c>
      <c r="AV58" s="582">
        <f t="shared" ca="1" si="20"/>
        <v>0</v>
      </c>
      <c r="AW58" s="582">
        <f t="shared" ca="1" si="21"/>
        <v>0</v>
      </c>
      <c r="AX58" s="582">
        <f t="shared" ca="1" si="22"/>
        <v>0</v>
      </c>
      <c r="AY58" s="582">
        <f t="shared" ca="1" si="23"/>
        <v>0</v>
      </c>
      <c r="AZ58" s="582">
        <f t="shared" ca="1" si="24"/>
        <v>0</v>
      </c>
      <c r="BA58" s="582">
        <f t="shared" ca="1" si="25"/>
        <v>0</v>
      </c>
      <c r="BB58" s="582">
        <f t="shared" ca="1" si="26"/>
        <v>0</v>
      </c>
      <c r="BC58" s="582">
        <f t="shared" ca="1" si="27"/>
        <v>0</v>
      </c>
      <c r="BD58" s="582">
        <f t="shared" ca="1" si="28"/>
        <v>1.0000000000000002</v>
      </c>
    </row>
    <row r="59" spans="1:56" ht="15">
      <c r="A59" s="22">
        <f t="shared" si="29"/>
        <v>2079</v>
      </c>
      <c r="B59" s="586">
        <v>54</v>
      </c>
      <c r="C59" s="583">
        <f ca="1"/>
        <v>0</v>
      </c>
      <c r="D59" s="583">
        <f ca="1"/>
        <v>0</v>
      </c>
      <c r="E59" s="583">
        <f ca="1"/>
        <v>0</v>
      </c>
      <c r="F59" s="583">
        <f ca="1"/>
        <v>0</v>
      </c>
      <c r="G59" s="583">
        <f ca="1"/>
        <v>0</v>
      </c>
      <c r="H59" s="583">
        <f ca="1"/>
        <v>0</v>
      </c>
      <c r="I59" s="583">
        <f ca="1"/>
        <v>0</v>
      </c>
      <c r="J59">
        <f ca="1"/>
        <v>0</v>
      </c>
      <c r="K59">
        <f ca="1"/>
        <v>0</v>
      </c>
      <c r="L59">
        <f ca="1"/>
        <v>0</v>
      </c>
      <c r="M59">
        <f ca="1"/>
        <v>0</v>
      </c>
      <c r="N59">
        <f ca="1"/>
        <v>0</v>
      </c>
      <c r="O59">
        <f ca="1"/>
        <v>0</v>
      </c>
      <c r="P59">
        <f ca="1"/>
        <v>0</v>
      </c>
      <c r="Q59">
        <f ca="1"/>
        <v>0</v>
      </c>
      <c r="R59">
        <f ca="1"/>
        <v>0</v>
      </c>
      <c r="S59">
        <f ca="1"/>
        <v>0</v>
      </c>
      <c r="T59">
        <f ca="1"/>
        <v>0</v>
      </c>
      <c r="U59">
        <f ca="1"/>
        <v>0</v>
      </c>
      <c r="V59">
        <f ca="1"/>
        <v>0</v>
      </c>
      <c r="W59">
        <f ca="1"/>
        <v>0</v>
      </c>
      <c r="X59">
        <f ca="1"/>
        <v>0</v>
      </c>
      <c r="Y59">
        <f ca="1"/>
        <v>0</v>
      </c>
      <c r="Z59">
        <f ca="1"/>
        <v>0</v>
      </c>
      <c r="AA59">
        <f ca="1"/>
        <v>0</v>
      </c>
      <c r="AB59">
        <f ca="1"/>
        <v>0</v>
      </c>
      <c r="AC59">
        <f t="shared" ca="1" si="1"/>
        <v>0</v>
      </c>
      <c r="AD59" s="582">
        <f t="shared" ca="1" si="2"/>
        <v>0</v>
      </c>
      <c r="AE59" s="582">
        <f t="shared" ca="1" si="3"/>
        <v>0</v>
      </c>
      <c r="AF59" s="582">
        <f t="shared" ca="1" si="4"/>
        <v>0</v>
      </c>
      <c r="AG59" s="582">
        <f t="shared" ca="1" si="5"/>
        <v>0</v>
      </c>
      <c r="AH59" s="582">
        <f t="shared" ca="1" si="6"/>
        <v>0</v>
      </c>
      <c r="AI59" s="582">
        <f t="shared" ca="1" si="7"/>
        <v>0.90584093793867426</v>
      </c>
      <c r="AJ59" s="582">
        <f t="shared" ca="1" si="8"/>
        <v>0</v>
      </c>
      <c r="AK59" s="582">
        <f t="shared" ca="1" si="9"/>
        <v>0</v>
      </c>
      <c r="AL59" s="582">
        <f t="shared" ca="1" si="10"/>
        <v>0</v>
      </c>
      <c r="AM59" s="582">
        <f t="shared" ca="1" si="11"/>
        <v>0</v>
      </c>
      <c r="AN59" s="582">
        <f t="shared" ca="1" si="12"/>
        <v>0</v>
      </c>
      <c r="AO59" s="582">
        <f t="shared" ca="1" si="13"/>
        <v>5.0442354675710378E-2</v>
      </c>
      <c r="AP59" s="582">
        <f t="shared" ca="1" si="14"/>
        <v>4.3716707385615658E-2</v>
      </c>
      <c r="AQ59" s="582">
        <f t="shared" ca="1" si="15"/>
        <v>0</v>
      </c>
      <c r="AR59" s="582">
        <f t="shared" ca="1" si="16"/>
        <v>0</v>
      </c>
      <c r="AS59" s="582">
        <f t="shared" ca="1" si="17"/>
        <v>0</v>
      </c>
      <c r="AT59" s="582">
        <f t="shared" ca="1" si="18"/>
        <v>0</v>
      </c>
      <c r="AU59" s="582">
        <f t="shared" ca="1" si="19"/>
        <v>0</v>
      </c>
      <c r="AV59" s="582">
        <f t="shared" ca="1" si="20"/>
        <v>0</v>
      </c>
      <c r="AW59" s="582">
        <f t="shared" ca="1" si="21"/>
        <v>0</v>
      </c>
      <c r="AX59" s="582">
        <f t="shared" ca="1" si="22"/>
        <v>0</v>
      </c>
      <c r="AY59" s="582">
        <f t="shared" ca="1" si="23"/>
        <v>0</v>
      </c>
      <c r="AZ59" s="582">
        <f t="shared" ca="1" si="24"/>
        <v>0</v>
      </c>
      <c r="BA59" s="582">
        <f t="shared" ca="1" si="25"/>
        <v>0</v>
      </c>
      <c r="BB59" s="582">
        <f t="shared" ca="1" si="26"/>
        <v>0</v>
      </c>
      <c r="BC59" s="582">
        <f t="shared" ca="1" si="27"/>
        <v>0</v>
      </c>
      <c r="BD59" s="582">
        <f t="shared" ca="1" si="28"/>
        <v>1.0000000000000002</v>
      </c>
    </row>
    <row r="60" spans="1:56" ht="15">
      <c r="A60" s="22">
        <f t="shared" si="29"/>
        <v>2080</v>
      </c>
      <c r="B60" s="586">
        <v>55</v>
      </c>
      <c r="C60" s="583">
        <f ca="1"/>
        <v>0</v>
      </c>
      <c r="D60" s="583">
        <f ca="1"/>
        <v>0</v>
      </c>
      <c r="E60" s="583">
        <f ca="1"/>
        <v>0</v>
      </c>
      <c r="F60" s="583">
        <f ca="1"/>
        <v>0</v>
      </c>
      <c r="G60" s="583">
        <f ca="1"/>
        <v>0</v>
      </c>
      <c r="H60" s="583">
        <f ca="1"/>
        <v>0</v>
      </c>
      <c r="I60" s="583">
        <f ca="1"/>
        <v>0</v>
      </c>
      <c r="J60">
        <f ca="1"/>
        <v>0</v>
      </c>
      <c r="K60">
        <f ca="1"/>
        <v>0</v>
      </c>
      <c r="L60">
        <f ca="1"/>
        <v>0</v>
      </c>
      <c r="M60">
        <f ca="1"/>
        <v>0</v>
      </c>
      <c r="N60">
        <f ca="1"/>
        <v>0</v>
      </c>
      <c r="O60">
        <f ca="1"/>
        <v>0</v>
      </c>
      <c r="P60">
        <f ca="1"/>
        <v>0</v>
      </c>
      <c r="Q60">
        <f ca="1"/>
        <v>0</v>
      </c>
      <c r="R60">
        <f ca="1"/>
        <v>0</v>
      </c>
      <c r="S60">
        <f ca="1"/>
        <v>0</v>
      </c>
      <c r="T60">
        <f ca="1"/>
        <v>0</v>
      </c>
      <c r="U60">
        <f ca="1"/>
        <v>0</v>
      </c>
      <c r="V60">
        <f ca="1"/>
        <v>0</v>
      </c>
      <c r="W60">
        <f ca="1"/>
        <v>0</v>
      </c>
      <c r="X60">
        <f ca="1"/>
        <v>0</v>
      </c>
      <c r="Y60">
        <f ca="1"/>
        <v>0</v>
      </c>
      <c r="Z60">
        <f ca="1"/>
        <v>0</v>
      </c>
      <c r="AA60">
        <f ca="1"/>
        <v>0</v>
      </c>
      <c r="AB60">
        <f ca="1"/>
        <v>0</v>
      </c>
      <c r="AC60">
        <f t="shared" ca="1" si="1"/>
        <v>0</v>
      </c>
      <c r="AD60" s="582">
        <f t="shared" ca="1" si="2"/>
        <v>0</v>
      </c>
      <c r="AE60" s="582">
        <f t="shared" ca="1" si="3"/>
        <v>0</v>
      </c>
      <c r="AF60" s="582">
        <f t="shared" ca="1" si="4"/>
        <v>0</v>
      </c>
      <c r="AG60" s="582">
        <f t="shared" ca="1" si="5"/>
        <v>0</v>
      </c>
      <c r="AH60" s="582">
        <f t="shared" ca="1" si="6"/>
        <v>0</v>
      </c>
      <c r="AI60" s="582">
        <f t="shared" ca="1" si="7"/>
        <v>0.90584093793867426</v>
      </c>
      <c r="AJ60" s="582">
        <f t="shared" ca="1" si="8"/>
        <v>0</v>
      </c>
      <c r="AK60" s="582">
        <f t="shared" ca="1" si="9"/>
        <v>0</v>
      </c>
      <c r="AL60" s="582">
        <f t="shared" ca="1" si="10"/>
        <v>0</v>
      </c>
      <c r="AM60" s="582">
        <f t="shared" ca="1" si="11"/>
        <v>0</v>
      </c>
      <c r="AN60" s="582">
        <f t="shared" ca="1" si="12"/>
        <v>0</v>
      </c>
      <c r="AO60" s="582">
        <f t="shared" ca="1" si="13"/>
        <v>5.0442354675710378E-2</v>
      </c>
      <c r="AP60" s="582">
        <f t="shared" ca="1" si="14"/>
        <v>4.3716707385615658E-2</v>
      </c>
      <c r="AQ60" s="582">
        <f t="shared" ca="1" si="15"/>
        <v>0</v>
      </c>
      <c r="AR60" s="582">
        <f t="shared" ca="1" si="16"/>
        <v>0</v>
      </c>
      <c r="AS60" s="582">
        <f t="shared" ca="1" si="17"/>
        <v>0</v>
      </c>
      <c r="AT60" s="582">
        <f t="shared" ca="1" si="18"/>
        <v>0</v>
      </c>
      <c r="AU60" s="582">
        <f t="shared" ca="1" si="19"/>
        <v>0</v>
      </c>
      <c r="AV60" s="582">
        <f t="shared" ca="1" si="20"/>
        <v>0</v>
      </c>
      <c r="AW60" s="582">
        <f t="shared" ca="1" si="21"/>
        <v>0</v>
      </c>
      <c r="AX60" s="582">
        <f t="shared" ca="1" si="22"/>
        <v>0</v>
      </c>
      <c r="AY60" s="582">
        <f t="shared" ca="1" si="23"/>
        <v>0</v>
      </c>
      <c r="AZ60" s="582">
        <f t="shared" ca="1" si="24"/>
        <v>0</v>
      </c>
      <c r="BA60" s="582">
        <f t="shared" ca="1" si="25"/>
        <v>0</v>
      </c>
      <c r="BB60" s="582">
        <f t="shared" ca="1" si="26"/>
        <v>0</v>
      </c>
      <c r="BC60" s="582">
        <f t="shared" ca="1" si="27"/>
        <v>0</v>
      </c>
      <c r="BD60" s="582">
        <f t="shared" ca="1" si="28"/>
        <v>1.0000000000000002</v>
      </c>
    </row>
    <row r="61" spans="1:56" ht="15">
      <c r="A61" s="22">
        <f t="shared" si="29"/>
        <v>2081</v>
      </c>
      <c r="B61" s="586">
        <v>56</v>
      </c>
      <c r="C61" s="583">
        <f ca="1"/>
        <v>0</v>
      </c>
      <c r="D61" s="583">
        <f ca="1"/>
        <v>0</v>
      </c>
      <c r="E61" s="583">
        <f ca="1"/>
        <v>0</v>
      </c>
      <c r="F61" s="583">
        <f ca="1"/>
        <v>0</v>
      </c>
      <c r="G61" s="583">
        <f ca="1"/>
        <v>0</v>
      </c>
      <c r="H61" s="583">
        <f ca="1"/>
        <v>0</v>
      </c>
      <c r="I61" s="583">
        <f ca="1"/>
        <v>0</v>
      </c>
      <c r="J61">
        <f ca="1"/>
        <v>0</v>
      </c>
      <c r="K61">
        <f ca="1"/>
        <v>0</v>
      </c>
      <c r="L61">
        <f ca="1"/>
        <v>0</v>
      </c>
      <c r="M61">
        <f ca="1"/>
        <v>0</v>
      </c>
      <c r="N61">
        <f ca="1"/>
        <v>0</v>
      </c>
      <c r="O61">
        <f ca="1"/>
        <v>0</v>
      </c>
      <c r="P61">
        <f ca="1"/>
        <v>0</v>
      </c>
      <c r="Q61">
        <f ca="1"/>
        <v>0</v>
      </c>
      <c r="R61">
        <f ca="1"/>
        <v>0</v>
      </c>
      <c r="S61">
        <f ca="1"/>
        <v>0</v>
      </c>
      <c r="T61">
        <f ca="1"/>
        <v>0</v>
      </c>
      <c r="U61">
        <f ca="1"/>
        <v>0</v>
      </c>
      <c r="V61">
        <f ca="1"/>
        <v>0</v>
      </c>
      <c r="W61">
        <f ca="1"/>
        <v>0</v>
      </c>
      <c r="X61">
        <f ca="1"/>
        <v>0</v>
      </c>
      <c r="Y61">
        <f ca="1"/>
        <v>0</v>
      </c>
      <c r="Z61">
        <f ca="1"/>
        <v>0</v>
      </c>
      <c r="AA61">
        <f ca="1"/>
        <v>0</v>
      </c>
      <c r="AB61">
        <f ca="1"/>
        <v>0</v>
      </c>
      <c r="AC61">
        <f t="shared" ca="1" si="1"/>
        <v>0</v>
      </c>
      <c r="AD61" s="582">
        <f t="shared" ca="1" si="2"/>
        <v>0</v>
      </c>
      <c r="AE61" s="582">
        <f t="shared" ca="1" si="3"/>
        <v>0</v>
      </c>
      <c r="AF61" s="582">
        <f t="shared" ca="1" si="4"/>
        <v>0</v>
      </c>
      <c r="AG61" s="582">
        <f t="shared" ca="1" si="5"/>
        <v>0</v>
      </c>
      <c r="AH61" s="582">
        <f t="shared" ca="1" si="6"/>
        <v>0</v>
      </c>
      <c r="AI61" s="582">
        <f t="shared" ca="1" si="7"/>
        <v>0.90584093793867426</v>
      </c>
      <c r="AJ61" s="582">
        <f t="shared" ca="1" si="8"/>
        <v>0</v>
      </c>
      <c r="AK61" s="582">
        <f t="shared" ca="1" si="9"/>
        <v>0</v>
      </c>
      <c r="AL61" s="582">
        <f t="shared" ca="1" si="10"/>
        <v>0</v>
      </c>
      <c r="AM61" s="582">
        <f t="shared" ca="1" si="11"/>
        <v>0</v>
      </c>
      <c r="AN61" s="582">
        <f t="shared" ca="1" si="12"/>
        <v>0</v>
      </c>
      <c r="AO61" s="582">
        <f t="shared" ca="1" si="13"/>
        <v>5.0442354675710378E-2</v>
      </c>
      <c r="AP61" s="582">
        <f t="shared" ca="1" si="14"/>
        <v>4.3716707385615658E-2</v>
      </c>
      <c r="AQ61" s="582">
        <f t="shared" ca="1" si="15"/>
        <v>0</v>
      </c>
      <c r="AR61" s="582">
        <f t="shared" ca="1" si="16"/>
        <v>0</v>
      </c>
      <c r="AS61" s="582">
        <f t="shared" ca="1" si="17"/>
        <v>0</v>
      </c>
      <c r="AT61" s="582">
        <f t="shared" ca="1" si="18"/>
        <v>0</v>
      </c>
      <c r="AU61" s="582">
        <f t="shared" ca="1" si="19"/>
        <v>0</v>
      </c>
      <c r="AV61" s="582">
        <f t="shared" ca="1" si="20"/>
        <v>0</v>
      </c>
      <c r="AW61" s="582">
        <f t="shared" ca="1" si="21"/>
        <v>0</v>
      </c>
      <c r="AX61" s="582">
        <f t="shared" ca="1" si="22"/>
        <v>0</v>
      </c>
      <c r="AY61" s="582">
        <f t="shared" ca="1" si="23"/>
        <v>0</v>
      </c>
      <c r="AZ61" s="582">
        <f t="shared" ca="1" si="24"/>
        <v>0</v>
      </c>
      <c r="BA61" s="582">
        <f t="shared" ca="1" si="25"/>
        <v>0</v>
      </c>
      <c r="BB61" s="582">
        <f t="shared" ca="1" si="26"/>
        <v>0</v>
      </c>
      <c r="BC61" s="582">
        <f t="shared" ca="1" si="27"/>
        <v>0</v>
      </c>
      <c r="BD61" s="582">
        <f t="shared" ca="1" si="28"/>
        <v>1.0000000000000002</v>
      </c>
    </row>
    <row r="62" spans="1:56" ht="15">
      <c r="A62" s="22">
        <f t="shared" si="29"/>
        <v>2082</v>
      </c>
      <c r="B62" s="586">
        <v>57</v>
      </c>
      <c r="C62" s="583">
        <f ca="1"/>
        <v>0</v>
      </c>
      <c r="D62" s="583">
        <f ca="1"/>
        <v>0</v>
      </c>
      <c r="E62" s="583">
        <f ca="1"/>
        <v>0</v>
      </c>
      <c r="F62" s="583">
        <f ca="1"/>
        <v>0</v>
      </c>
      <c r="G62" s="583">
        <f ca="1"/>
        <v>0</v>
      </c>
      <c r="H62" s="583">
        <f ca="1"/>
        <v>0</v>
      </c>
      <c r="I62" s="583">
        <f ca="1"/>
        <v>0</v>
      </c>
      <c r="J62">
        <f ca="1"/>
        <v>0</v>
      </c>
      <c r="K62">
        <f ca="1"/>
        <v>0</v>
      </c>
      <c r="L62">
        <f ca="1"/>
        <v>0</v>
      </c>
      <c r="M62">
        <f ca="1"/>
        <v>0</v>
      </c>
      <c r="N62">
        <f ca="1"/>
        <v>0</v>
      </c>
      <c r="O62">
        <f ca="1"/>
        <v>0</v>
      </c>
      <c r="P62">
        <f ca="1"/>
        <v>0</v>
      </c>
      <c r="Q62">
        <f ca="1"/>
        <v>0</v>
      </c>
      <c r="R62">
        <f ca="1"/>
        <v>0</v>
      </c>
      <c r="S62">
        <f ca="1"/>
        <v>0</v>
      </c>
      <c r="T62">
        <f ca="1"/>
        <v>0</v>
      </c>
      <c r="U62">
        <f ca="1"/>
        <v>0</v>
      </c>
      <c r="V62">
        <f ca="1"/>
        <v>0</v>
      </c>
      <c r="W62">
        <f ca="1"/>
        <v>0</v>
      </c>
      <c r="X62">
        <f ca="1"/>
        <v>0</v>
      </c>
      <c r="Y62">
        <f ca="1"/>
        <v>0</v>
      </c>
      <c r="Z62">
        <f ca="1"/>
        <v>0</v>
      </c>
      <c r="AA62">
        <f ca="1"/>
        <v>0</v>
      </c>
      <c r="AB62">
        <f ca="1"/>
        <v>0</v>
      </c>
      <c r="AC62">
        <f t="shared" ca="1" si="1"/>
        <v>0</v>
      </c>
      <c r="AD62" s="582">
        <f t="shared" ca="1" si="2"/>
        <v>0</v>
      </c>
      <c r="AE62" s="582">
        <f t="shared" ca="1" si="3"/>
        <v>0</v>
      </c>
      <c r="AF62" s="582">
        <f t="shared" ca="1" si="4"/>
        <v>0</v>
      </c>
      <c r="AG62" s="582">
        <f t="shared" ca="1" si="5"/>
        <v>0</v>
      </c>
      <c r="AH62" s="582">
        <f t="shared" ca="1" si="6"/>
        <v>0</v>
      </c>
      <c r="AI62" s="582">
        <f t="shared" ca="1" si="7"/>
        <v>0.90584093793867426</v>
      </c>
      <c r="AJ62" s="582">
        <f t="shared" ca="1" si="8"/>
        <v>0</v>
      </c>
      <c r="AK62" s="582">
        <f t="shared" ca="1" si="9"/>
        <v>0</v>
      </c>
      <c r="AL62" s="582">
        <f t="shared" ca="1" si="10"/>
        <v>0</v>
      </c>
      <c r="AM62" s="582">
        <f t="shared" ca="1" si="11"/>
        <v>0</v>
      </c>
      <c r="AN62" s="582">
        <f t="shared" ca="1" si="12"/>
        <v>0</v>
      </c>
      <c r="AO62" s="582">
        <f t="shared" ca="1" si="13"/>
        <v>5.0442354675710378E-2</v>
      </c>
      <c r="AP62" s="582">
        <f t="shared" ca="1" si="14"/>
        <v>4.3716707385615658E-2</v>
      </c>
      <c r="AQ62" s="582">
        <f t="shared" ca="1" si="15"/>
        <v>0</v>
      </c>
      <c r="AR62" s="582">
        <f t="shared" ca="1" si="16"/>
        <v>0</v>
      </c>
      <c r="AS62" s="582">
        <f t="shared" ca="1" si="17"/>
        <v>0</v>
      </c>
      <c r="AT62" s="582">
        <f t="shared" ca="1" si="18"/>
        <v>0</v>
      </c>
      <c r="AU62" s="582">
        <f t="shared" ca="1" si="19"/>
        <v>0</v>
      </c>
      <c r="AV62" s="582">
        <f t="shared" ca="1" si="20"/>
        <v>0</v>
      </c>
      <c r="AW62" s="582">
        <f t="shared" ca="1" si="21"/>
        <v>0</v>
      </c>
      <c r="AX62" s="582">
        <f t="shared" ca="1" si="22"/>
        <v>0</v>
      </c>
      <c r="AY62" s="582">
        <f t="shared" ca="1" si="23"/>
        <v>0</v>
      </c>
      <c r="AZ62" s="582">
        <f t="shared" ca="1" si="24"/>
        <v>0</v>
      </c>
      <c r="BA62" s="582">
        <f t="shared" ca="1" si="25"/>
        <v>0</v>
      </c>
      <c r="BB62" s="582">
        <f t="shared" ca="1" si="26"/>
        <v>0</v>
      </c>
      <c r="BC62" s="582">
        <f t="shared" ca="1" si="27"/>
        <v>0</v>
      </c>
      <c r="BD62" s="582">
        <f t="shared" ca="1" si="28"/>
        <v>1.0000000000000002</v>
      </c>
    </row>
    <row r="63" spans="1:56" ht="15">
      <c r="A63" s="22">
        <f t="shared" si="29"/>
        <v>2083</v>
      </c>
      <c r="B63" s="586">
        <v>58</v>
      </c>
      <c r="C63" s="583">
        <f ca="1"/>
        <v>0</v>
      </c>
      <c r="D63" s="583">
        <f ca="1"/>
        <v>0</v>
      </c>
      <c r="E63" s="583">
        <f ca="1"/>
        <v>0</v>
      </c>
      <c r="F63" s="583">
        <f ca="1"/>
        <v>0</v>
      </c>
      <c r="G63" s="583">
        <f ca="1"/>
        <v>0</v>
      </c>
      <c r="H63" s="583">
        <f ca="1"/>
        <v>0</v>
      </c>
      <c r="I63" s="583">
        <f ca="1"/>
        <v>0</v>
      </c>
      <c r="J63">
        <f ca="1"/>
        <v>0</v>
      </c>
      <c r="K63">
        <f ca="1"/>
        <v>0</v>
      </c>
      <c r="L63">
        <f ca="1"/>
        <v>0</v>
      </c>
      <c r="M63">
        <f ca="1"/>
        <v>0</v>
      </c>
      <c r="N63">
        <f ca="1"/>
        <v>0</v>
      </c>
      <c r="O63">
        <f ca="1"/>
        <v>0</v>
      </c>
      <c r="P63">
        <f ca="1"/>
        <v>0</v>
      </c>
      <c r="Q63">
        <f ca="1"/>
        <v>0</v>
      </c>
      <c r="R63">
        <f ca="1"/>
        <v>0</v>
      </c>
      <c r="S63">
        <f ca="1"/>
        <v>0</v>
      </c>
      <c r="T63">
        <f ca="1"/>
        <v>0</v>
      </c>
      <c r="U63">
        <f ca="1"/>
        <v>0</v>
      </c>
      <c r="V63">
        <f ca="1"/>
        <v>0</v>
      </c>
      <c r="W63">
        <f ca="1"/>
        <v>0</v>
      </c>
      <c r="X63">
        <f ca="1"/>
        <v>0</v>
      </c>
      <c r="Y63">
        <f ca="1"/>
        <v>0</v>
      </c>
      <c r="Z63">
        <f ca="1"/>
        <v>0</v>
      </c>
      <c r="AA63">
        <f ca="1"/>
        <v>0</v>
      </c>
      <c r="AB63">
        <f ca="1"/>
        <v>0</v>
      </c>
      <c r="AC63">
        <f t="shared" ca="1" si="1"/>
        <v>0</v>
      </c>
      <c r="AD63" s="582">
        <f t="shared" ca="1" si="2"/>
        <v>0</v>
      </c>
      <c r="AE63" s="582">
        <f t="shared" ca="1" si="3"/>
        <v>0</v>
      </c>
      <c r="AF63" s="582">
        <f t="shared" ca="1" si="4"/>
        <v>0</v>
      </c>
      <c r="AG63" s="582">
        <f t="shared" ca="1" si="5"/>
        <v>0</v>
      </c>
      <c r="AH63" s="582">
        <f t="shared" ca="1" si="6"/>
        <v>0</v>
      </c>
      <c r="AI63" s="582">
        <f t="shared" ca="1" si="7"/>
        <v>0.90584093793867426</v>
      </c>
      <c r="AJ63" s="582">
        <f t="shared" ca="1" si="8"/>
        <v>0</v>
      </c>
      <c r="AK63" s="582">
        <f t="shared" ca="1" si="9"/>
        <v>0</v>
      </c>
      <c r="AL63" s="582">
        <f t="shared" ca="1" si="10"/>
        <v>0</v>
      </c>
      <c r="AM63" s="582">
        <f t="shared" ca="1" si="11"/>
        <v>0</v>
      </c>
      <c r="AN63" s="582">
        <f t="shared" ca="1" si="12"/>
        <v>0</v>
      </c>
      <c r="AO63" s="582">
        <f t="shared" ca="1" si="13"/>
        <v>5.0442354675710378E-2</v>
      </c>
      <c r="AP63" s="582">
        <f t="shared" ca="1" si="14"/>
        <v>4.3716707385615658E-2</v>
      </c>
      <c r="AQ63" s="582">
        <f t="shared" ca="1" si="15"/>
        <v>0</v>
      </c>
      <c r="AR63" s="582">
        <f t="shared" ca="1" si="16"/>
        <v>0</v>
      </c>
      <c r="AS63" s="582">
        <f t="shared" ca="1" si="17"/>
        <v>0</v>
      </c>
      <c r="AT63" s="582">
        <f t="shared" ca="1" si="18"/>
        <v>0</v>
      </c>
      <c r="AU63" s="582">
        <f t="shared" ca="1" si="19"/>
        <v>0</v>
      </c>
      <c r="AV63" s="582">
        <f t="shared" ca="1" si="20"/>
        <v>0</v>
      </c>
      <c r="AW63" s="582">
        <f t="shared" ca="1" si="21"/>
        <v>0</v>
      </c>
      <c r="AX63" s="582">
        <f t="shared" ca="1" si="22"/>
        <v>0</v>
      </c>
      <c r="AY63" s="582">
        <f t="shared" ca="1" si="23"/>
        <v>0</v>
      </c>
      <c r="AZ63" s="582">
        <f t="shared" ca="1" si="24"/>
        <v>0</v>
      </c>
      <c r="BA63" s="582">
        <f t="shared" ca="1" si="25"/>
        <v>0</v>
      </c>
      <c r="BB63" s="582">
        <f t="shared" ca="1" si="26"/>
        <v>0</v>
      </c>
      <c r="BC63" s="582">
        <f t="shared" ca="1" si="27"/>
        <v>0</v>
      </c>
      <c r="BD63" s="582">
        <f t="shared" ca="1" si="28"/>
        <v>1.0000000000000002</v>
      </c>
    </row>
    <row r="64" spans="1:56" ht="15">
      <c r="A64" s="22">
        <f t="shared" si="29"/>
        <v>2084</v>
      </c>
      <c r="B64" s="586">
        <v>59</v>
      </c>
      <c r="C64" s="583">
        <f ca="1"/>
        <v>0</v>
      </c>
      <c r="D64" s="583">
        <f ca="1"/>
        <v>0</v>
      </c>
      <c r="E64" s="583">
        <f ca="1"/>
        <v>0</v>
      </c>
      <c r="F64" s="583">
        <f ca="1"/>
        <v>0</v>
      </c>
      <c r="G64" s="583">
        <f ca="1"/>
        <v>0</v>
      </c>
      <c r="H64" s="583">
        <f ca="1"/>
        <v>0</v>
      </c>
      <c r="I64" s="583">
        <f ca="1"/>
        <v>0</v>
      </c>
      <c r="J64">
        <f ca="1"/>
        <v>0</v>
      </c>
      <c r="K64">
        <f ca="1"/>
        <v>0</v>
      </c>
      <c r="L64">
        <f ca="1"/>
        <v>0</v>
      </c>
      <c r="M64">
        <f ca="1"/>
        <v>0</v>
      </c>
      <c r="N64">
        <f ca="1"/>
        <v>0</v>
      </c>
      <c r="O64">
        <f ca="1"/>
        <v>0</v>
      </c>
      <c r="P64">
        <f ca="1"/>
        <v>0</v>
      </c>
      <c r="Q64">
        <f ca="1"/>
        <v>0</v>
      </c>
      <c r="R64">
        <f ca="1"/>
        <v>0</v>
      </c>
      <c r="S64">
        <f ca="1"/>
        <v>0</v>
      </c>
      <c r="T64">
        <f ca="1"/>
        <v>0</v>
      </c>
      <c r="U64">
        <f ca="1"/>
        <v>0</v>
      </c>
      <c r="V64">
        <f ca="1"/>
        <v>0</v>
      </c>
      <c r="W64">
        <f ca="1"/>
        <v>0</v>
      </c>
      <c r="X64">
        <f ca="1"/>
        <v>0</v>
      </c>
      <c r="Y64">
        <f ca="1"/>
        <v>0</v>
      </c>
      <c r="Z64">
        <f ca="1"/>
        <v>0</v>
      </c>
      <c r="AA64">
        <f ca="1"/>
        <v>0</v>
      </c>
      <c r="AB64">
        <f ca="1"/>
        <v>0</v>
      </c>
      <c r="AC64">
        <f t="shared" ca="1" si="1"/>
        <v>0</v>
      </c>
      <c r="AD64" s="582">
        <f t="shared" ca="1" si="2"/>
        <v>0</v>
      </c>
      <c r="AE64" s="582">
        <f t="shared" ca="1" si="3"/>
        <v>0</v>
      </c>
      <c r="AF64" s="582">
        <f t="shared" ca="1" si="4"/>
        <v>0</v>
      </c>
      <c r="AG64" s="582">
        <f t="shared" ca="1" si="5"/>
        <v>0</v>
      </c>
      <c r="AH64" s="582">
        <f t="shared" ca="1" si="6"/>
        <v>0</v>
      </c>
      <c r="AI64" s="582">
        <f t="shared" ca="1" si="7"/>
        <v>0.90584093793867426</v>
      </c>
      <c r="AJ64" s="582">
        <f t="shared" ca="1" si="8"/>
        <v>0</v>
      </c>
      <c r="AK64" s="582">
        <f t="shared" ca="1" si="9"/>
        <v>0</v>
      </c>
      <c r="AL64" s="582">
        <f t="shared" ca="1" si="10"/>
        <v>0</v>
      </c>
      <c r="AM64" s="582">
        <f t="shared" ca="1" si="11"/>
        <v>0</v>
      </c>
      <c r="AN64" s="582">
        <f t="shared" ca="1" si="12"/>
        <v>0</v>
      </c>
      <c r="AO64" s="582">
        <f t="shared" ca="1" si="13"/>
        <v>5.0442354675710378E-2</v>
      </c>
      <c r="AP64" s="582">
        <f t="shared" ca="1" si="14"/>
        <v>4.3716707385615658E-2</v>
      </c>
      <c r="AQ64" s="582">
        <f t="shared" ca="1" si="15"/>
        <v>0</v>
      </c>
      <c r="AR64" s="582">
        <f t="shared" ca="1" si="16"/>
        <v>0</v>
      </c>
      <c r="AS64" s="582">
        <f t="shared" ca="1" si="17"/>
        <v>0</v>
      </c>
      <c r="AT64" s="582">
        <f t="shared" ca="1" si="18"/>
        <v>0</v>
      </c>
      <c r="AU64" s="582">
        <f t="shared" ca="1" si="19"/>
        <v>0</v>
      </c>
      <c r="AV64" s="582">
        <f t="shared" ca="1" si="20"/>
        <v>0</v>
      </c>
      <c r="AW64" s="582">
        <f t="shared" ca="1" si="21"/>
        <v>0</v>
      </c>
      <c r="AX64" s="582">
        <f t="shared" ca="1" si="22"/>
        <v>0</v>
      </c>
      <c r="AY64" s="582">
        <f t="shared" ca="1" si="23"/>
        <v>0</v>
      </c>
      <c r="AZ64" s="582">
        <f t="shared" ca="1" si="24"/>
        <v>0</v>
      </c>
      <c r="BA64" s="582">
        <f t="shared" ca="1" si="25"/>
        <v>0</v>
      </c>
      <c r="BB64" s="582">
        <f t="shared" ca="1" si="26"/>
        <v>0</v>
      </c>
      <c r="BC64" s="582">
        <f t="shared" ca="1" si="27"/>
        <v>0</v>
      </c>
      <c r="BD64" s="582">
        <f t="shared" ca="1" si="28"/>
        <v>1.0000000000000002</v>
      </c>
    </row>
    <row r="65" spans="1:56" ht="15">
      <c r="A65" s="22">
        <f t="shared" si="29"/>
        <v>2085</v>
      </c>
      <c r="B65" s="586">
        <v>60</v>
      </c>
      <c r="C65" s="583">
        <f ca="1"/>
        <v>0</v>
      </c>
      <c r="D65" s="583">
        <f ca="1"/>
        <v>0</v>
      </c>
      <c r="E65" s="583">
        <f ca="1"/>
        <v>0</v>
      </c>
      <c r="F65" s="583">
        <f ca="1"/>
        <v>0</v>
      </c>
      <c r="G65" s="583">
        <f ca="1"/>
        <v>0</v>
      </c>
      <c r="H65" s="583">
        <f ca="1"/>
        <v>0</v>
      </c>
      <c r="I65" s="583">
        <f ca="1"/>
        <v>0</v>
      </c>
      <c r="J65">
        <f ca="1"/>
        <v>0</v>
      </c>
      <c r="K65">
        <f ca="1"/>
        <v>0</v>
      </c>
      <c r="L65">
        <f ca="1"/>
        <v>0</v>
      </c>
      <c r="M65">
        <f ca="1"/>
        <v>0</v>
      </c>
      <c r="N65">
        <f ca="1"/>
        <v>0</v>
      </c>
      <c r="O65">
        <f ca="1"/>
        <v>0</v>
      </c>
      <c r="P65">
        <f ca="1"/>
        <v>0</v>
      </c>
      <c r="Q65">
        <f ca="1"/>
        <v>0</v>
      </c>
      <c r="R65">
        <f ca="1"/>
        <v>0</v>
      </c>
      <c r="S65">
        <f ca="1"/>
        <v>0</v>
      </c>
      <c r="T65">
        <f ca="1"/>
        <v>0</v>
      </c>
      <c r="U65">
        <f ca="1"/>
        <v>0</v>
      </c>
      <c r="V65">
        <f ca="1"/>
        <v>0</v>
      </c>
      <c r="W65">
        <f ca="1"/>
        <v>0</v>
      </c>
      <c r="X65">
        <f ca="1"/>
        <v>0</v>
      </c>
      <c r="Y65">
        <f ca="1"/>
        <v>0</v>
      </c>
      <c r="Z65">
        <f ca="1"/>
        <v>0</v>
      </c>
      <c r="AA65">
        <f ca="1"/>
        <v>0</v>
      </c>
      <c r="AB65">
        <f ca="1"/>
        <v>0</v>
      </c>
      <c r="AC65">
        <f t="shared" ca="1" si="1"/>
        <v>0</v>
      </c>
      <c r="AD65" s="582">
        <f t="shared" ca="1" si="2"/>
        <v>0</v>
      </c>
      <c r="AE65" s="582">
        <f t="shared" ca="1" si="3"/>
        <v>0</v>
      </c>
      <c r="AF65" s="582">
        <f t="shared" ca="1" si="4"/>
        <v>0</v>
      </c>
      <c r="AG65" s="582">
        <f t="shared" ca="1" si="5"/>
        <v>0</v>
      </c>
      <c r="AH65" s="582">
        <f t="shared" ca="1" si="6"/>
        <v>0</v>
      </c>
      <c r="AI65" s="582">
        <f t="shared" ca="1" si="7"/>
        <v>0.90584093793867426</v>
      </c>
      <c r="AJ65" s="582">
        <f t="shared" ca="1" si="8"/>
        <v>0</v>
      </c>
      <c r="AK65" s="582">
        <f t="shared" ca="1" si="9"/>
        <v>0</v>
      </c>
      <c r="AL65" s="582">
        <f t="shared" ca="1" si="10"/>
        <v>0</v>
      </c>
      <c r="AM65" s="582">
        <f t="shared" ca="1" si="11"/>
        <v>0</v>
      </c>
      <c r="AN65" s="582">
        <f t="shared" ca="1" si="12"/>
        <v>0</v>
      </c>
      <c r="AO65" s="582">
        <f t="shared" ca="1" si="13"/>
        <v>5.0442354675710378E-2</v>
      </c>
      <c r="AP65" s="582">
        <f t="shared" ca="1" si="14"/>
        <v>4.3716707385615658E-2</v>
      </c>
      <c r="AQ65" s="582">
        <f t="shared" ca="1" si="15"/>
        <v>0</v>
      </c>
      <c r="AR65" s="582">
        <f t="shared" ca="1" si="16"/>
        <v>0</v>
      </c>
      <c r="AS65" s="582">
        <f t="shared" ca="1" si="17"/>
        <v>0</v>
      </c>
      <c r="AT65" s="582">
        <f t="shared" ca="1" si="18"/>
        <v>0</v>
      </c>
      <c r="AU65" s="582">
        <f t="shared" ca="1" si="19"/>
        <v>0</v>
      </c>
      <c r="AV65" s="582">
        <f t="shared" ca="1" si="20"/>
        <v>0</v>
      </c>
      <c r="AW65" s="582">
        <f t="shared" ca="1" si="21"/>
        <v>0</v>
      </c>
      <c r="AX65" s="582">
        <f t="shared" ca="1" si="22"/>
        <v>0</v>
      </c>
      <c r="AY65" s="582">
        <f t="shared" ca="1" si="23"/>
        <v>0</v>
      </c>
      <c r="AZ65" s="582">
        <f t="shared" ca="1" si="24"/>
        <v>0</v>
      </c>
      <c r="BA65" s="582">
        <f t="shared" ca="1" si="25"/>
        <v>0</v>
      </c>
      <c r="BB65" s="582">
        <f t="shared" ca="1" si="26"/>
        <v>0</v>
      </c>
      <c r="BC65" s="582">
        <f t="shared" ca="1" si="27"/>
        <v>0</v>
      </c>
      <c r="BD65" s="582">
        <f t="shared" ca="1" si="28"/>
        <v>1.0000000000000002</v>
      </c>
    </row>
    <row r="66" spans="1:56" ht="15">
      <c r="A66" s="22">
        <f t="shared" si="29"/>
        <v>2086</v>
      </c>
      <c r="B66" s="586">
        <v>61</v>
      </c>
      <c r="C66" s="583">
        <f ca="1"/>
        <v>0</v>
      </c>
      <c r="D66" s="583">
        <f ca="1"/>
        <v>0</v>
      </c>
      <c r="E66" s="583">
        <f ca="1"/>
        <v>0</v>
      </c>
      <c r="F66" s="583">
        <f ca="1"/>
        <v>0</v>
      </c>
      <c r="G66" s="583">
        <f ca="1"/>
        <v>0</v>
      </c>
      <c r="H66" s="583">
        <f ca="1"/>
        <v>0</v>
      </c>
      <c r="I66" s="583">
        <f ca="1"/>
        <v>0</v>
      </c>
      <c r="J66">
        <f ca="1"/>
        <v>0</v>
      </c>
      <c r="K66">
        <f ca="1"/>
        <v>0</v>
      </c>
      <c r="L66">
        <f ca="1"/>
        <v>0</v>
      </c>
      <c r="M66">
        <f ca="1"/>
        <v>0</v>
      </c>
      <c r="N66">
        <f ca="1"/>
        <v>0</v>
      </c>
      <c r="O66">
        <f ca="1"/>
        <v>0</v>
      </c>
      <c r="P66">
        <f ca="1"/>
        <v>0</v>
      </c>
      <c r="Q66">
        <f ca="1"/>
        <v>0</v>
      </c>
      <c r="R66">
        <f ca="1"/>
        <v>0</v>
      </c>
      <c r="S66">
        <f ca="1"/>
        <v>0</v>
      </c>
      <c r="T66">
        <f ca="1"/>
        <v>0</v>
      </c>
      <c r="U66">
        <f ca="1"/>
        <v>0</v>
      </c>
      <c r="V66">
        <f ca="1"/>
        <v>0</v>
      </c>
      <c r="W66">
        <f ca="1"/>
        <v>0</v>
      </c>
      <c r="X66">
        <f ca="1"/>
        <v>0</v>
      </c>
      <c r="Y66">
        <f ca="1"/>
        <v>0</v>
      </c>
      <c r="Z66">
        <f ca="1"/>
        <v>0</v>
      </c>
      <c r="AA66">
        <f ca="1"/>
        <v>0</v>
      </c>
      <c r="AB66">
        <f ca="1"/>
        <v>0</v>
      </c>
      <c r="AC66">
        <f t="shared" ca="1" si="1"/>
        <v>0</v>
      </c>
      <c r="AD66" s="582">
        <f t="shared" ca="1" si="2"/>
        <v>0</v>
      </c>
      <c r="AE66" s="582">
        <f t="shared" ca="1" si="3"/>
        <v>0</v>
      </c>
      <c r="AF66" s="582">
        <f t="shared" ca="1" si="4"/>
        <v>0</v>
      </c>
      <c r="AG66" s="582">
        <f t="shared" ca="1" si="5"/>
        <v>0</v>
      </c>
      <c r="AH66" s="582">
        <f t="shared" ca="1" si="6"/>
        <v>0</v>
      </c>
      <c r="AI66" s="582">
        <f t="shared" ca="1" si="7"/>
        <v>0.90584093793867426</v>
      </c>
      <c r="AJ66" s="582">
        <f t="shared" ca="1" si="8"/>
        <v>0</v>
      </c>
      <c r="AK66" s="582">
        <f t="shared" ca="1" si="9"/>
        <v>0</v>
      </c>
      <c r="AL66" s="582">
        <f t="shared" ca="1" si="10"/>
        <v>0</v>
      </c>
      <c r="AM66" s="582">
        <f t="shared" ca="1" si="11"/>
        <v>0</v>
      </c>
      <c r="AN66" s="582">
        <f t="shared" ca="1" si="12"/>
        <v>0</v>
      </c>
      <c r="AO66" s="582">
        <f t="shared" ca="1" si="13"/>
        <v>5.0442354675710378E-2</v>
      </c>
      <c r="AP66" s="582">
        <f t="shared" ca="1" si="14"/>
        <v>4.3716707385615658E-2</v>
      </c>
      <c r="AQ66" s="582">
        <f t="shared" ca="1" si="15"/>
        <v>0</v>
      </c>
      <c r="AR66" s="582">
        <f t="shared" ca="1" si="16"/>
        <v>0</v>
      </c>
      <c r="AS66" s="582">
        <f t="shared" ca="1" si="17"/>
        <v>0</v>
      </c>
      <c r="AT66" s="582">
        <f t="shared" ca="1" si="18"/>
        <v>0</v>
      </c>
      <c r="AU66" s="582">
        <f t="shared" ca="1" si="19"/>
        <v>0</v>
      </c>
      <c r="AV66" s="582">
        <f t="shared" ca="1" si="20"/>
        <v>0</v>
      </c>
      <c r="AW66" s="582">
        <f t="shared" ca="1" si="21"/>
        <v>0</v>
      </c>
      <c r="AX66" s="582">
        <f t="shared" ca="1" si="22"/>
        <v>0</v>
      </c>
      <c r="AY66" s="582">
        <f t="shared" ca="1" si="23"/>
        <v>0</v>
      </c>
      <c r="AZ66" s="582">
        <f t="shared" ca="1" si="24"/>
        <v>0</v>
      </c>
      <c r="BA66" s="582">
        <f t="shared" ca="1" si="25"/>
        <v>0</v>
      </c>
      <c r="BB66" s="582">
        <f t="shared" ca="1" si="26"/>
        <v>0</v>
      </c>
      <c r="BC66" s="582">
        <f t="shared" ca="1" si="27"/>
        <v>0</v>
      </c>
      <c r="BD66" s="582">
        <f t="shared" ca="1" si="28"/>
        <v>1.0000000000000002</v>
      </c>
    </row>
    <row r="67" spans="1:56" ht="15">
      <c r="A67" s="22">
        <f t="shared" si="29"/>
        <v>2087</v>
      </c>
      <c r="B67" s="586">
        <v>62</v>
      </c>
      <c r="C67" s="583">
        <f ca="1"/>
        <v>0</v>
      </c>
      <c r="D67" s="583">
        <f ca="1"/>
        <v>0</v>
      </c>
      <c r="E67" s="583">
        <f ca="1"/>
        <v>0</v>
      </c>
      <c r="F67" s="583">
        <f ca="1"/>
        <v>0</v>
      </c>
      <c r="G67" s="583">
        <f ca="1"/>
        <v>0</v>
      </c>
      <c r="H67" s="583">
        <f ca="1"/>
        <v>0</v>
      </c>
      <c r="I67" s="583">
        <f ca="1"/>
        <v>0</v>
      </c>
      <c r="J67">
        <f ca="1"/>
        <v>0</v>
      </c>
      <c r="K67">
        <f ca="1"/>
        <v>0</v>
      </c>
      <c r="L67">
        <f ca="1"/>
        <v>0</v>
      </c>
      <c r="M67">
        <f ca="1"/>
        <v>0</v>
      </c>
      <c r="N67">
        <f ca="1"/>
        <v>0</v>
      </c>
      <c r="O67">
        <f ca="1"/>
        <v>0</v>
      </c>
      <c r="P67">
        <f ca="1"/>
        <v>0</v>
      </c>
      <c r="Q67">
        <f ca="1"/>
        <v>0</v>
      </c>
      <c r="R67">
        <f ca="1"/>
        <v>0</v>
      </c>
      <c r="S67">
        <f ca="1"/>
        <v>0</v>
      </c>
      <c r="T67">
        <f ca="1"/>
        <v>0</v>
      </c>
      <c r="U67">
        <f ca="1"/>
        <v>0</v>
      </c>
      <c r="V67">
        <f ca="1"/>
        <v>0</v>
      </c>
      <c r="W67">
        <f ca="1"/>
        <v>0</v>
      </c>
      <c r="X67">
        <f ca="1"/>
        <v>0</v>
      </c>
      <c r="Y67">
        <f ca="1"/>
        <v>0</v>
      </c>
      <c r="Z67">
        <f ca="1"/>
        <v>0</v>
      </c>
      <c r="AA67">
        <f ca="1"/>
        <v>0</v>
      </c>
      <c r="AB67">
        <f ca="1"/>
        <v>0</v>
      </c>
      <c r="AC67">
        <f t="shared" ca="1" si="1"/>
        <v>0</v>
      </c>
      <c r="AD67" s="582">
        <f t="shared" ca="1" si="2"/>
        <v>0</v>
      </c>
      <c r="AE67" s="582">
        <f t="shared" ca="1" si="3"/>
        <v>0</v>
      </c>
      <c r="AF67" s="582">
        <f t="shared" ca="1" si="4"/>
        <v>0</v>
      </c>
      <c r="AG67" s="582">
        <f t="shared" ca="1" si="5"/>
        <v>0</v>
      </c>
      <c r="AH67" s="582">
        <f t="shared" ca="1" si="6"/>
        <v>0</v>
      </c>
      <c r="AI67" s="582">
        <f t="shared" ca="1" si="7"/>
        <v>0.90584093793867426</v>
      </c>
      <c r="AJ67" s="582">
        <f t="shared" ca="1" si="8"/>
        <v>0</v>
      </c>
      <c r="AK67" s="582">
        <f t="shared" ca="1" si="9"/>
        <v>0</v>
      </c>
      <c r="AL67" s="582">
        <f t="shared" ca="1" si="10"/>
        <v>0</v>
      </c>
      <c r="AM67" s="582">
        <f t="shared" ca="1" si="11"/>
        <v>0</v>
      </c>
      <c r="AN67" s="582">
        <f t="shared" ca="1" si="12"/>
        <v>0</v>
      </c>
      <c r="AO67" s="582">
        <f t="shared" ca="1" si="13"/>
        <v>5.0442354675710378E-2</v>
      </c>
      <c r="AP67" s="582">
        <f t="shared" ca="1" si="14"/>
        <v>4.3716707385615658E-2</v>
      </c>
      <c r="AQ67" s="582">
        <f t="shared" ca="1" si="15"/>
        <v>0</v>
      </c>
      <c r="AR67" s="582">
        <f t="shared" ca="1" si="16"/>
        <v>0</v>
      </c>
      <c r="AS67" s="582">
        <f t="shared" ca="1" si="17"/>
        <v>0</v>
      </c>
      <c r="AT67" s="582">
        <f t="shared" ca="1" si="18"/>
        <v>0</v>
      </c>
      <c r="AU67" s="582">
        <f t="shared" ca="1" si="19"/>
        <v>0</v>
      </c>
      <c r="AV67" s="582">
        <f t="shared" ca="1" si="20"/>
        <v>0</v>
      </c>
      <c r="AW67" s="582">
        <f t="shared" ca="1" si="21"/>
        <v>0</v>
      </c>
      <c r="AX67" s="582">
        <f t="shared" ca="1" si="22"/>
        <v>0</v>
      </c>
      <c r="AY67" s="582">
        <f t="shared" ca="1" si="23"/>
        <v>0</v>
      </c>
      <c r="AZ67" s="582">
        <f t="shared" ca="1" si="24"/>
        <v>0</v>
      </c>
      <c r="BA67" s="582">
        <f t="shared" ca="1" si="25"/>
        <v>0</v>
      </c>
      <c r="BB67" s="582">
        <f t="shared" ca="1" si="26"/>
        <v>0</v>
      </c>
      <c r="BC67" s="582">
        <f t="shared" ca="1" si="27"/>
        <v>0</v>
      </c>
      <c r="BD67" s="582">
        <f t="shared" ca="1" si="28"/>
        <v>1.0000000000000002</v>
      </c>
    </row>
    <row r="68" spans="1:56" ht="15">
      <c r="A68" s="22">
        <f t="shared" si="29"/>
        <v>2088</v>
      </c>
      <c r="B68" s="586">
        <v>63</v>
      </c>
      <c r="C68" s="583">
        <f ca="1"/>
        <v>0</v>
      </c>
      <c r="D68" s="583">
        <f ca="1"/>
        <v>0</v>
      </c>
      <c r="E68" s="583">
        <f ca="1"/>
        <v>0</v>
      </c>
      <c r="F68" s="583">
        <f ca="1"/>
        <v>0</v>
      </c>
      <c r="G68" s="583">
        <f ca="1"/>
        <v>0</v>
      </c>
      <c r="H68" s="583">
        <f ca="1"/>
        <v>0</v>
      </c>
      <c r="I68" s="583">
        <f ca="1"/>
        <v>0</v>
      </c>
      <c r="J68">
        <f ca="1"/>
        <v>0</v>
      </c>
      <c r="K68">
        <f ca="1"/>
        <v>0</v>
      </c>
      <c r="L68">
        <f ca="1"/>
        <v>0</v>
      </c>
      <c r="M68">
        <f ca="1"/>
        <v>0</v>
      </c>
      <c r="N68">
        <f ca="1"/>
        <v>0</v>
      </c>
      <c r="O68">
        <f ca="1"/>
        <v>0</v>
      </c>
      <c r="P68">
        <f ca="1"/>
        <v>0</v>
      </c>
      <c r="Q68">
        <f ca="1"/>
        <v>0</v>
      </c>
      <c r="R68">
        <f ca="1"/>
        <v>0</v>
      </c>
      <c r="S68">
        <f ca="1"/>
        <v>0</v>
      </c>
      <c r="T68">
        <f ca="1"/>
        <v>0</v>
      </c>
      <c r="U68">
        <f ca="1"/>
        <v>0</v>
      </c>
      <c r="V68">
        <f ca="1"/>
        <v>0</v>
      </c>
      <c r="W68">
        <f ca="1"/>
        <v>0</v>
      </c>
      <c r="X68">
        <f ca="1"/>
        <v>0</v>
      </c>
      <c r="Y68">
        <f ca="1"/>
        <v>0</v>
      </c>
      <c r="Z68">
        <f ca="1"/>
        <v>0</v>
      </c>
      <c r="AA68">
        <f ca="1"/>
        <v>0</v>
      </c>
      <c r="AB68">
        <f ca="1"/>
        <v>0</v>
      </c>
      <c r="AC68">
        <f t="shared" ca="1" si="1"/>
        <v>0</v>
      </c>
      <c r="AD68" s="582">
        <f t="shared" ca="1" si="2"/>
        <v>0</v>
      </c>
      <c r="AE68" s="582">
        <f t="shared" ca="1" si="3"/>
        <v>0</v>
      </c>
      <c r="AF68" s="582">
        <f t="shared" ca="1" si="4"/>
        <v>0</v>
      </c>
      <c r="AG68" s="582">
        <f t="shared" ca="1" si="5"/>
        <v>0</v>
      </c>
      <c r="AH68" s="582">
        <f t="shared" ca="1" si="6"/>
        <v>0</v>
      </c>
      <c r="AI68" s="582">
        <f t="shared" ca="1" si="7"/>
        <v>0.90584093793867426</v>
      </c>
      <c r="AJ68" s="582">
        <f t="shared" ca="1" si="8"/>
        <v>0</v>
      </c>
      <c r="AK68" s="582">
        <f t="shared" ca="1" si="9"/>
        <v>0</v>
      </c>
      <c r="AL68" s="582">
        <f t="shared" ca="1" si="10"/>
        <v>0</v>
      </c>
      <c r="AM68" s="582">
        <f t="shared" ca="1" si="11"/>
        <v>0</v>
      </c>
      <c r="AN68" s="582">
        <f t="shared" ca="1" si="12"/>
        <v>0</v>
      </c>
      <c r="AO68" s="582">
        <f t="shared" ca="1" si="13"/>
        <v>5.0442354675710378E-2</v>
      </c>
      <c r="AP68" s="582">
        <f t="shared" ca="1" si="14"/>
        <v>4.3716707385615658E-2</v>
      </c>
      <c r="AQ68" s="582">
        <f t="shared" ca="1" si="15"/>
        <v>0</v>
      </c>
      <c r="AR68" s="582">
        <f t="shared" ca="1" si="16"/>
        <v>0</v>
      </c>
      <c r="AS68" s="582">
        <f t="shared" ca="1" si="17"/>
        <v>0</v>
      </c>
      <c r="AT68" s="582">
        <f t="shared" ca="1" si="18"/>
        <v>0</v>
      </c>
      <c r="AU68" s="582">
        <f t="shared" ca="1" si="19"/>
        <v>0</v>
      </c>
      <c r="AV68" s="582">
        <f t="shared" ca="1" si="20"/>
        <v>0</v>
      </c>
      <c r="AW68" s="582">
        <f t="shared" ca="1" si="21"/>
        <v>0</v>
      </c>
      <c r="AX68" s="582">
        <f t="shared" ca="1" si="22"/>
        <v>0</v>
      </c>
      <c r="AY68" s="582">
        <f t="shared" ca="1" si="23"/>
        <v>0</v>
      </c>
      <c r="AZ68" s="582">
        <f t="shared" ca="1" si="24"/>
        <v>0</v>
      </c>
      <c r="BA68" s="582">
        <f t="shared" ca="1" si="25"/>
        <v>0</v>
      </c>
      <c r="BB68" s="582">
        <f t="shared" ca="1" si="26"/>
        <v>0</v>
      </c>
      <c r="BC68" s="582">
        <f t="shared" ca="1" si="27"/>
        <v>0</v>
      </c>
      <c r="BD68" s="582">
        <f t="shared" ca="1" si="28"/>
        <v>1.0000000000000002</v>
      </c>
    </row>
    <row r="69" spans="1:56" ht="15">
      <c r="A69" s="22">
        <f t="shared" si="29"/>
        <v>2089</v>
      </c>
      <c r="B69" s="586">
        <v>64</v>
      </c>
      <c r="C69" s="583">
        <f ca="1"/>
        <v>0</v>
      </c>
      <c r="D69" s="583">
        <f ca="1"/>
        <v>0</v>
      </c>
      <c r="E69" s="583">
        <f ca="1"/>
        <v>0</v>
      </c>
      <c r="F69" s="583">
        <f ca="1"/>
        <v>0</v>
      </c>
      <c r="G69" s="583">
        <f ca="1"/>
        <v>0</v>
      </c>
      <c r="H69" s="583">
        <f ca="1"/>
        <v>0</v>
      </c>
      <c r="I69" s="583">
        <f ca="1"/>
        <v>0</v>
      </c>
      <c r="J69">
        <f ca="1"/>
        <v>0</v>
      </c>
      <c r="K69">
        <f ca="1"/>
        <v>0</v>
      </c>
      <c r="L69">
        <f ca="1"/>
        <v>0</v>
      </c>
      <c r="M69">
        <f ca="1"/>
        <v>0</v>
      </c>
      <c r="N69">
        <f ca="1"/>
        <v>0</v>
      </c>
      <c r="O69">
        <f ca="1"/>
        <v>0</v>
      </c>
      <c r="P69">
        <f ca="1"/>
        <v>0</v>
      </c>
      <c r="Q69">
        <f ca="1"/>
        <v>0</v>
      </c>
      <c r="R69">
        <f ca="1"/>
        <v>0</v>
      </c>
      <c r="S69">
        <f ca="1"/>
        <v>0</v>
      </c>
      <c r="T69">
        <f ca="1"/>
        <v>0</v>
      </c>
      <c r="U69">
        <f ca="1"/>
        <v>0</v>
      </c>
      <c r="V69">
        <f ca="1"/>
        <v>0</v>
      </c>
      <c r="W69">
        <f ca="1"/>
        <v>0</v>
      </c>
      <c r="X69">
        <f ca="1"/>
        <v>0</v>
      </c>
      <c r="Y69">
        <f ca="1"/>
        <v>0</v>
      </c>
      <c r="Z69">
        <f ca="1"/>
        <v>0</v>
      </c>
      <c r="AA69">
        <f ca="1"/>
        <v>0</v>
      </c>
      <c r="AB69">
        <f ca="1"/>
        <v>0</v>
      </c>
      <c r="AC69">
        <f t="shared" ca="1" si="1"/>
        <v>0</v>
      </c>
      <c r="AD69" s="582">
        <f t="shared" ca="1" si="2"/>
        <v>0</v>
      </c>
      <c r="AE69" s="582">
        <f t="shared" ca="1" si="3"/>
        <v>0</v>
      </c>
      <c r="AF69" s="582">
        <f t="shared" ca="1" si="4"/>
        <v>0</v>
      </c>
      <c r="AG69" s="582">
        <f t="shared" ca="1" si="5"/>
        <v>0</v>
      </c>
      <c r="AH69" s="582">
        <f t="shared" ca="1" si="6"/>
        <v>0</v>
      </c>
      <c r="AI69" s="582">
        <f t="shared" ca="1" si="7"/>
        <v>0.90584093793867426</v>
      </c>
      <c r="AJ69" s="582">
        <f t="shared" ca="1" si="8"/>
        <v>0</v>
      </c>
      <c r="AK69" s="582">
        <f t="shared" ca="1" si="9"/>
        <v>0</v>
      </c>
      <c r="AL69" s="582">
        <f t="shared" ca="1" si="10"/>
        <v>0</v>
      </c>
      <c r="AM69" s="582">
        <f t="shared" ca="1" si="11"/>
        <v>0</v>
      </c>
      <c r="AN69" s="582">
        <f t="shared" ca="1" si="12"/>
        <v>0</v>
      </c>
      <c r="AO69" s="582">
        <f t="shared" ca="1" si="13"/>
        <v>5.0442354675710378E-2</v>
      </c>
      <c r="AP69" s="582">
        <f t="shared" ca="1" si="14"/>
        <v>4.3716707385615658E-2</v>
      </c>
      <c r="AQ69" s="582">
        <f t="shared" ca="1" si="15"/>
        <v>0</v>
      </c>
      <c r="AR69" s="582">
        <f t="shared" ca="1" si="16"/>
        <v>0</v>
      </c>
      <c r="AS69" s="582">
        <f t="shared" ca="1" si="17"/>
        <v>0</v>
      </c>
      <c r="AT69" s="582">
        <f t="shared" ca="1" si="18"/>
        <v>0</v>
      </c>
      <c r="AU69" s="582">
        <f t="shared" ca="1" si="19"/>
        <v>0</v>
      </c>
      <c r="AV69" s="582">
        <f t="shared" ca="1" si="20"/>
        <v>0</v>
      </c>
      <c r="AW69" s="582">
        <f t="shared" ca="1" si="21"/>
        <v>0</v>
      </c>
      <c r="AX69" s="582">
        <f t="shared" ca="1" si="22"/>
        <v>0</v>
      </c>
      <c r="AY69" s="582">
        <f t="shared" ca="1" si="23"/>
        <v>0</v>
      </c>
      <c r="AZ69" s="582">
        <f t="shared" ca="1" si="24"/>
        <v>0</v>
      </c>
      <c r="BA69" s="582">
        <f t="shared" ca="1" si="25"/>
        <v>0</v>
      </c>
      <c r="BB69" s="582">
        <f t="shared" ca="1" si="26"/>
        <v>0</v>
      </c>
      <c r="BC69" s="582">
        <f t="shared" ca="1" si="27"/>
        <v>0</v>
      </c>
      <c r="BD69" s="582">
        <f t="shared" ca="1" si="28"/>
        <v>1.0000000000000002</v>
      </c>
    </row>
    <row r="70" spans="1:56" ht="15">
      <c r="A70" s="22">
        <f t="shared" si="29"/>
        <v>2090</v>
      </c>
      <c r="B70" s="586">
        <v>65</v>
      </c>
      <c r="C70" s="583">
        <f ca="1"/>
        <v>0</v>
      </c>
      <c r="D70" s="583">
        <f ca="1"/>
        <v>0</v>
      </c>
      <c r="E70" s="583">
        <f ca="1"/>
        <v>0</v>
      </c>
      <c r="F70" s="583">
        <f ca="1"/>
        <v>0</v>
      </c>
      <c r="G70" s="583">
        <f ca="1"/>
        <v>0</v>
      </c>
      <c r="H70" s="583">
        <f ca="1"/>
        <v>0</v>
      </c>
      <c r="I70" s="583">
        <f ca="1"/>
        <v>0</v>
      </c>
      <c r="J70">
        <f ca="1"/>
        <v>0</v>
      </c>
      <c r="K70">
        <f ca="1"/>
        <v>0</v>
      </c>
      <c r="L70">
        <f ca="1"/>
        <v>0</v>
      </c>
      <c r="M70">
        <f ca="1"/>
        <v>0</v>
      </c>
      <c r="N70">
        <f ca="1"/>
        <v>0</v>
      </c>
      <c r="O70">
        <f ca="1"/>
        <v>0</v>
      </c>
      <c r="P70">
        <f ca="1"/>
        <v>0</v>
      </c>
      <c r="Q70">
        <f ca="1"/>
        <v>0</v>
      </c>
      <c r="R70">
        <f ca="1"/>
        <v>0</v>
      </c>
      <c r="S70">
        <f ca="1"/>
        <v>0</v>
      </c>
      <c r="T70">
        <f ca="1"/>
        <v>0</v>
      </c>
      <c r="U70">
        <f ca="1"/>
        <v>0</v>
      </c>
      <c r="V70">
        <f ca="1"/>
        <v>0</v>
      </c>
      <c r="W70">
        <f ca="1"/>
        <v>0</v>
      </c>
      <c r="X70">
        <f ca="1"/>
        <v>0</v>
      </c>
      <c r="Y70">
        <f ca="1"/>
        <v>0</v>
      </c>
      <c r="Z70">
        <f ca="1"/>
        <v>0</v>
      </c>
      <c r="AA70">
        <f ca="1"/>
        <v>0</v>
      </c>
      <c r="AB70">
        <f ca="1"/>
        <v>0</v>
      </c>
      <c r="AC70">
        <f t="shared" ca="1" si="1"/>
        <v>0</v>
      </c>
      <c r="AD70" s="582">
        <f t="shared" ca="1" si="2"/>
        <v>0</v>
      </c>
      <c r="AE70" s="582">
        <f t="shared" ca="1" si="3"/>
        <v>0</v>
      </c>
      <c r="AF70" s="582">
        <f t="shared" ca="1" si="4"/>
        <v>0</v>
      </c>
      <c r="AG70" s="582">
        <f t="shared" ca="1" si="5"/>
        <v>0</v>
      </c>
      <c r="AH70" s="582">
        <f t="shared" ca="1" si="6"/>
        <v>0</v>
      </c>
      <c r="AI70" s="582">
        <f t="shared" ca="1" si="7"/>
        <v>0.90584093793867426</v>
      </c>
      <c r="AJ70" s="582">
        <f t="shared" ca="1" si="8"/>
        <v>0</v>
      </c>
      <c r="AK70" s="582">
        <f t="shared" ca="1" si="9"/>
        <v>0</v>
      </c>
      <c r="AL70" s="582">
        <f t="shared" ca="1" si="10"/>
        <v>0</v>
      </c>
      <c r="AM70" s="582">
        <f t="shared" ca="1" si="11"/>
        <v>0</v>
      </c>
      <c r="AN70" s="582">
        <f t="shared" ca="1" si="12"/>
        <v>0</v>
      </c>
      <c r="AO70" s="582">
        <f t="shared" ca="1" si="13"/>
        <v>5.0442354675710378E-2</v>
      </c>
      <c r="AP70" s="582">
        <f t="shared" ca="1" si="14"/>
        <v>4.3716707385615658E-2</v>
      </c>
      <c r="AQ70" s="582">
        <f t="shared" ca="1" si="15"/>
        <v>0</v>
      </c>
      <c r="AR70" s="582">
        <f t="shared" ca="1" si="16"/>
        <v>0</v>
      </c>
      <c r="AS70" s="582">
        <f t="shared" ca="1" si="17"/>
        <v>0</v>
      </c>
      <c r="AT70" s="582">
        <f t="shared" ca="1" si="18"/>
        <v>0</v>
      </c>
      <c r="AU70" s="582">
        <f t="shared" ca="1" si="19"/>
        <v>0</v>
      </c>
      <c r="AV70" s="582">
        <f t="shared" ca="1" si="20"/>
        <v>0</v>
      </c>
      <c r="AW70" s="582">
        <f t="shared" ca="1" si="21"/>
        <v>0</v>
      </c>
      <c r="AX70" s="582">
        <f t="shared" ca="1" si="22"/>
        <v>0</v>
      </c>
      <c r="AY70" s="582">
        <f t="shared" ca="1" si="23"/>
        <v>0</v>
      </c>
      <c r="AZ70" s="582">
        <f t="shared" ca="1" si="24"/>
        <v>0</v>
      </c>
      <c r="BA70" s="582">
        <f t="shared" ca="1" si="25"/>
        <v>0</v>
      </c>
      <c r="BB70" s="582">
        <f t="shared" ca="1" si="26"/>
        <v>0</v>
      </c>
      <c r="BC70" s="582">
        <f t="shared" ca="1" si="27"/>
        <v>0</v>
      </c>
      <c r="BD70" s="582">
        <f t="shared" ca="1" si="28"/>
        <v>1.0000000000000002</v>
      </c>
    </row>
    <row r="71" spans="1:56" ht="15">
      <c r="A71" s="22">
        <f t="shared" si="29"/>
        <v>2091</v>
      </c>
      <c r="B71" s="586">
        <v>66</v>
      </c>
      <c r="C71" s="583">
        <f ca="1"/>
        <v>0</v>
      </c>
      <c r="D71" s="583">
        <f ca="1"/>
        <v>0</v>
      </c>
      <c r="E71" s="583">
        <f ca="1"/>
        <v>0</v>
      </c>
      <c r="F71" s="583">
        <f ca="1"/>
        <v>0</v>
      </c>
      <c r="G71" s="583">
        <f ca="1"/>
        <v>0</v>
      </c>
      <c r="H71" s="583">
        <f ca="1"/>
        <v>0</v>
      </c>
      <c r="I71" s="583">
        <f ca="1"/>
        <v>0</v>
      </c>
      <c r="J71">
        <f ca="1"/>
        <v>0</v>
      </c>
      <c r="K71">
        <f ca="1"/>
        <v>0</v>
      </c>
      <c r="L71">
        <f ca="1"/>
        <v>0</v>
      </c>
      <c r="M71">
        <f ca="1"/>
        <v>0</v>
      </c>
      <c r="N71">
        <f ca="1"/>
        <v>0</v>
      </c>
      <c r="O71">
        <f ca="1"/>
        <v>0</v>
      </c>
      <c r="P71">
        <f ca="1"/>
        <v>0</v>
      </c>
      <c r="Q71">
        <f ca="1"/>
        <v>0</v>
      </c>
      <c r="R71">
        <f ca="1"/>
        <v>0</v>
      </c>
      <c r="S71">
        <f ca="1"/>
        <v>0</v>
      </c>
      <c r="T71">
        <f ca="1"/>
        <v>0</v>
      </c>
      <c r="U71">
        <f ca="1"/>
        <v>0</v>
      </c>
      <c r="V71">
        <f ca="1"/>
        <v>0</v>
      </c>
      <c r="W71">
        <f ca="1"/>
        <v>0</v>
      </c>
      <c r="X71">
        <f ca="1"/>
        <v>0</v>
      </c>
      <c r="Y71">
        <f ca="1"/>
        <v>0</v>
      </c>
      <c r="Z71">
        <f ca="1"/>
        <v>0</v>
      </c>
      <c r="AA71">
        <f ca="1"/>
        <v>0</v>
      </c>
      <c r="AB71">
        <f ca="1"/>
        <v>0</v>
      </c>
      <c r="AC71">
        <f t="shared" ref="AC71:AC78" ca="1" si="30">SUM(C71:AB71)</f>
        <v>0</v>
      </c>
      <c r="AD71" s="582">
        <f t="shared" ref="AD71:AD78" ca="1" si="31">IF($AC71&lt;&gt;0,C71/$AC71,C$79/$AC$79)</f>
        <v>0</v>
      </c>
      <c r="AE71" s="582">
        <f t="shared" ref="AE71:AE78" ca="1" si="32">IF($AC71&lt;&gt;0,D71/$AC71,D$79/$AC$79)</f>
        <v>0</v>
      </c>
      <c r="AF71" s="582">
        <f t="shared" ref="AF71:AF78" ca="1" si="33">IF($AC71&lt;&gt;0,E71/$AC71,E$79/$AC$79)</f>
        <v>0</v>
      </c>
      <c r="AG71" s="582">
        <f t="shared" ref="AG71:AG78" ca="1" si="34">IF($AC71&lt;&gt;0,F71/$AC71,F$79/$AC$79)</f>
        <v>0</v>
      </c>
      <c r="AH71" s="582">
        <f t="shared" ref="AH71:AH78" ca="1" si="35">IF($AC71&lt;&gt;0,G71/$AC71,G$79/$AC$79)</f>
        <v>0</v>
      </c>
      <c r="AI71" s="582">
        <f t="shared" ref="AI71:AI78" ca="1" si="36">IF($AC71&lt;&gt;0,H71/$AC71,H$79/$AC$79)</f>
        <v>0.90584093793867426</v>
      </c>
      <c r="AJ71" s="582">
        <f t="shared" ref="AJ71:AJ78" ca="1" si="37">IF($AC71&lt;&gt;0,I71/$AC71,I$79/$AC$79)</f>
        <v>0</v>
      </c>
      <c r="AK71" s="582">
        <f t="shared" ref="AK71:AK78" ca="1" si="38">IF($AC71&lt;&gt;0,J71/$AC71,J$79/$AC$79)</f>
        <v>0</v>
      </c>
      <c r="AL71" s="582">
        <f t="shared" ref="AL71:AL78" ca="1" si="39">IF($AC71&lt;&gt;0,K71/$AC71,K$79/$AC$79)</f>
        <v>0</v>
      </c>
      <c r="AM71" s="582">
        <f t="shared" ref="AM71:AM78" ca="1" si="40">IF($AC71&lt;&gt;0,L71/$AC71,L$79/$AC$79)</f>
        <v>0</v>
      </c>
      <c r="AN71" s="582">
        <f t="shared" ref="AN71:AN78" ca="1" si="41">IF($AC71&lt;&gt;0,M71/$AC71,M$79/$AC$79)</f>
        <v>0</v>
      </c>
      <c r="AO71" s="582">
        <f t="shared" ref="AO71:AO78" ca="1" si="42">IF($AC71&lt;&gt;0,N71/$AC71,N$79/$AC$79)</f>
        <v>5.0442354675710378E-2</v>
      </c>
      <c r="AP71" s="582">
        <f t="shared" ref="AP71:AP78" ca="1" si="43">IF($AC71&lt;&gt;0,O71/$AC71,O$79/$AC$79)</f>
        <v>4.3716707385615658E-2</v>
      </c>
      <c r="AQ71" s="582">
        <f t="shared" ref="AQ71:AQ78" ca="1" si="44">IF($AC71&lt;&gt;0,P71/$AC71,P$79/$AC$79)</f>
        <v>0</v>
      </c>
      <c r="AR71" s="582">
        <f t="shared" ref="AR71:AR78" ca="1" si="45">IF($AC71&lt;&gt;0,Q71/$AC71,Q$79/$AC$79)</f>
        <v>0</v>
      </c>
      <c r="AS71" s="582">
        <f t="shared" ref="AS71:AS78" ca="1" si="46">IF($AC71&lt;&gt;0,R71/$AC71,R$79/$AC$79)</f>
        <v>0</v>
      </c>
      <c r="AT71" s="582">
        <f t="shared" ref="AT71:AT78" ca="1" si="47">IF($AC71&lt;&gt;0,S71/$AC71,S$79/$AC$79)</f>
        <v>0</v>
      </c>
      <c r="AU71" s="582">
        <f t="shared" ref="AU71:AU78" ca="1" si="48">IF($AC71&lt;&gt;0,T71/$AC71,T$79/$AC$79)</f>
        <v>0</v>
      </c>
      <c r="AV71" s="582">
        <f t="shared" ref="AV71:AV78" ca="1" si="49">IF($AC71&lt;&gt;0,U71/$AC71,U$79/$AC$79)</f>
        <v>0</v>
      </c>
      <c r="AW71" s="582">
        <f t="shared" ref="AW71:AW78" ca="1" si="50">IF($AC71&lt;&gt;0,V71/$AC71,V$79/$AC$79)</f>
        <v>0</v>
      </c>
      <c r="AX71" s="582">
        <f t="shared" ref="AX71:AX78" ca="1" si="51">IF($AC71&lt;&gt;0,W71/$AC71,W$79/$AC$79)</f>
        <v>0</v>
      </c>
      <c r="AY71" s="582">
        <f t="shared" ref="AY71:AY78" ca="1" si="52">IF($AC71&lt;&gt;0,X71/$AC71,X$79/$AC$79)</f>
        <v>0</v>
      </c>
      <c r="AZ71" s="582">
        <f t="shared" ref="AZ71:AZ78" ca="1" si="53">IF($AC71&lt;&gt;0,Y71/$AC71,Y$79/$AC$79)</f>
        <v>0</v>
      </c>
      <c r="BA71" s="582">
        <f t="shared" ref="BA71:BA78" ca="1" si="54">IF($AC71&lt;&gt;0,Z71/$AC71,Z$79/$AC$79)</f>
        <v>0</v>
      </c>
      <c r="BB71" s="582">
        <f t="shared" ref="BB71:BB78" ca="1" si="55">IF($AC71&lt;&gt;0,AA71/$AC71,AA$79/$AC$79)</f>
        <v>0</v>
      </c>
      <c r="BC71" s="582">
        <f t="shared" ref="BC71:BC78" ca="1" si="56">IF($AC71&lt;&gt;0,AB71/$AC71,AB$79/$AC$79)</f>
        <v>0</v>
      </c>
      <c r="BD71" s="582">
        <f t="shared" ref="BD71:BD78" ca="1" si="57">SUM(AD71:BC71)</f>
        <v>1.0000000000000002</v>
      </c>
    </row>
    <row r="72" spans="1:56" ht="15">
      <c r="A72" s="22">
        <f t="shared" ref="A72:A78" si="58">A71+1</f>
        <v>2092</v>
      </c>
      <c r="B72" s="586">
        <v>67</v>
      </c>
      <c r="C72" s="583">
        <f ca="1"/>
        <v>0</v>
      </c>
      <c r="D72" s="583">
        <f ca="1"/>
        <v>0</v>
      </c>
      <c r="E72" s="583">
        <f ca="1"/>
        <v>0</v>
      </c>
      <c r="F72" s="583">
        <f ca="1"/>
        <v>0</v>
      </c>
      <c r="G72" s="583">
        <f ca="1"/>
        <v>0</v>
      </c>
      <c r="H72" s="583">
        <f ca="1"/>
        <v>0</v>
      </c>
      <c r="I72" s="583">
        <f ca="1"/>
        <v>0</v>
      </c>
      <c r="J72">
        <f ca="1"/>
        <v>0</v>
      </c>
      <c r="K72">
        <f ca="1"/>
        <v>0</v>
      </c>
      <c r="L72">
        <f ca="1"/>
        <v>0</v>
      </c>
      <c r="M72">
        <f ca="1"/>
        <v>0</v>
      </c>
      <c r="N72">
        <f ca="1"/>
        <v>0</v>
      </c>
      <c r="O72">
        <f ca="1"/>
        <v>0</v>
      </c>
      <c r="P72">
        <f ca="1"/>
        <v>0</v>
      </c>
      <c r="Q72">
        <f ca="1"/>
        <v>0</v>
      </c>
      <c r="R72">
        <f ca="1"/>
        <v>0</v>
      </c>
      <c r="S72">
        <f ca="1"/>
        <v>0</v>
      </c>
      <c r="T72">
        <f ca="1"/>
        <v>0</v>
      </c>
      <c r="U72">
        <f ca="1"/>
        <v>0</v>
      </c>
      <c r="V72">
        <f ca="1"/>
        <v>0</v>
      </c>
      <c r="W72">
        <f ca="1"/>
        <v>0</v>
      </c>
      <c r="X72">
        <f ca="1"/>
        <v>0</v>
      </c>
      <c r="Y72">
        <f ca="1"/>
        <v>0</v>
      </c>
      <c r="Z72">
        <f ca="1"/>
        <v>0</v>
      </c>
      <c r="AA72">
        <f ca="1"/>
        <v>0</v>
      </c>
      <c r="AB72">
        <f ca="1"/>
        <v>0</v>
      </c>
      <c r="AC72">
        <f t="shared" ca="1" si="30"/>
        <v>0</v>
      </c>
      <c r="AD72" s="582">
        <f t="shared" ca="1" si="31"/>
        <v>0</v>
      </c>
      <c r="AE72" s="582">
        <f t="shared" ca="1" si="32"/>
        <v>0</v>
      </c>
      <c r="AF72" s="582">
        <f t="shared" ca="1" si="33"/>
        <v>0</v>
      </c>
      <c r="AG72" s="582">
        <f t="shared" ca="1" si="34"/>
        <v>0</v>
      </c>
      <c r="AH72" s="582">
        <f t="shared" ca="1" si="35"/>
        <v>0</v>
      </c>
      <c r="AI72" s="582">
        <f t="shared" ca="1" si="36"/>
        <v>0.90584093793867426</v>
      </c>
      <c r="AJ72" s="582">
        <f t="shared" ca="1" si="37"/>
        <v>0</v>
      </c>
      <c r="AK72" s="582">
        <f t="shared" ca="1" si="38"/>
        <v>0</v>
      </c>
      <c r="AL72" s="582">
        <f t="shared" ca="1" si="39"/>
        <v>0</v>
      </c>
      <c r="AM72" s="582">
        <f t="shared" ca="1" si="40"/>
        <v>0</v>
      </c>
      <c r="AN72" s="582">
        <f t="shared" ca="1" si="41"/>
        <v>0</v>
      </c>
      <c r="AO72" s="582">
        <f t="shared" ca="1" si="42"/>
        <v>5.0442354675710378E-2</v>
      </c>
      <c r="AP72" s="582">
        <f t="shared" ca="1" si="43"/>
        <v>4.3716707385615658E-2</v>
      </c>
      <c r="AQ72" s="582">
        <f t="shared" ca="1" si="44"/>
        <v>0</v>
      </c>
      <c r="AR72" s="582">
        <f t="shared" ca="1" si="45"/>
        <v>0</v>
      </c>
      <c r="AS72" s="582">
        <f t="shared" ca="1" si="46"/>
        <v>0</v>
      </c>
      <c r="AT72" s="582">
        <f t="shared" ca="1" si="47"/>
        <v>0</v>
      </c>
      <c r="AU72" s="582">
        <f t="shared" ca="1" si="48"/>
        <v>0</v>
      </c>
      <c r="AV72" s="582">
        <f t="shared" ca="1" si="49"/>
        <v>0</v>
      </c>
      <c r="AW72" s="582">
        <f t="shared" ca="1" si="50"/>
        <v>0</v>
      </c>
      <c r="AX72" s="582">
        <f t="shared" ca="1" si="51"/>
        <v>0</v>
      </c>
      <c r="AY72" s="582">
        <f t="shared" ca="1" si="52"/>
        <v>0</v>
      </c>
      <c r="AZ72" s="582">
        <f t="shared" ca="1" si="53"/>
        <v>0</v>
      </c>
      <c r="BA72" s="582">
        <f t="shared" ca="1" si="54"/>
        <v>0</v>
      </c>
      <c r="BB72" s="582">
        <f t="shared" ca="1" si="55"/>
        <v>0</v>
      </c>
      <c r="BC72" s="582">
        <f t="shared" ca="1" si="56"/>
        <v>0</v>
      </c>
      <c r="BD72" s="582">
        <f t="shared" ca="1" si="57"/>
        <v>1.0000000000000002</v>
      </c>
    </row>
    <row r="73" spans="1:56" ht="15">
      <c r="A73" s="22">
        <f t="shared" si="58"/>
        <v>2093</v>
      </c>
      <c r="B73" s="586">
        <v>68</v>
      </c>
      <c r="C73" s="583">
        <f ca="1"/>
        <v>0</v>
      </c>
      <c r="D73" s="583">
        <f ca="1"/>
        <v>0</v>
      </c>
      <c r="E73" s="583">
        <f ca="1"/>
        <v>0</v>
      </c>
      <c r="F73" s="583">
        <f ca="1"/>
        <v>0</v>
      </c>
      <c r="G73" s="583">
        <f ca="1"/>
        <v>0</v>
      </c>
      <c r="H73" s="583">
        <f ca="1"/>
        <v>0</v>
      </c>
      <c r="I73" s="583">
        <f ca="1"/>
        <v>0</v>
      </c>
      <c r="J73">
        <f ca="1"/>
        <v>0</v>
      </c>
      <c r="K73">
        <f ca="1"/>
        <v>0</v>
      </c>
      <c r="L73">
        <f ca="1"/>
        <v>0</v>
      </c>
      <c r="M73">
        <f ca="1"/>
        <v>0</v>
      </c>
      <c r="N73">
        <f ca="1"/>
        <v>0</v>
      </c>
      <c r="O73">
        <f ca="1"/>
        <v>0</v>
      </c>
      <c r="P73">
        <f ca="1"/>
        <v>0</v>
      </c>
      <c r="Q73">
        <f ca="1"/>
        <v>0</v>
      </c>
      <c r="R73">
        <f ca="1"/>
        <v>0</v>
      </c>
      <c r="S73">
        <f ca="1"/>
        <v>0</v>
      </c>
      <c r="T73">
        <f ca="1"/>
        <v>0</v>
      </c>
      <c r="U73">
        <f ca="1"/>
        <v>0</v>
      </c>
      <c r="V73">
        <f ca="1"/>
        <v>0</v>
      </c>
      <c r="W73">
        <f ca="1"/>
        <v>0</v>
      </c>
      <c r="X73">
        <f ca="1"/>
        <v>0</v>
      </c>
      <c r="Y73">
        <f ca="1"/>
        <v>0</v>
      </c>
      <c r="Z73">
        <f ca="1"/>
        <v>0</v>
      </c>
      <c r="AA73">
        <f ca="1"/>
        <v>0</v>
      </c>
      <c r="AB73">
        <f ca="1"/>
        <v>0</v>
      </c>
      <c r="AC73">
        <f t="shared" ca="1" si="30"/>
        <v>0</v>
      </c>
      <c r="AD73" s="582">
        <f t="shared" ca="1" si="31"/>
        <v>0</v>
      </c>
      <c r="AE73" s="582">
        <f t="shared" ca="1" si="32"/>
        <v>0</v>
      </c>
      <c r="AF73" s="582">
        <f t="shared" ca="1" si="33"/>
        <v>0</v>
      </c>
      <c r="AG73" s="582">
        <f t="shared" ca="1" si="34"/>
        <v>0</v>
      </c>
      <c r="AH73" s="582">
        <f t="shared" ca="1" si="35"/>
        <v>0</v>
      </c>
      <c r="AI73" s="582">
        <f t="shared" ca="1" si="36"/>
        <v>0.90584093793867426</v>
      </c>
      <c r="AJ73" s="582">
        <f t="shared" ca="1" si="37"/>
        <v>0</v>
      </c>
      <c r="AK73" s="582">
        <f t="shared" ca="1" si="38"/>
        <v>0</v>
      </c>
      <c r="AL73" s="582">
        <f t="shared" ca="1" si="39"/>
        <v>0</v>
      </c>
      <c r="AM73" s="582">
        <f t="shared" ca="1" si="40"/>
        <v>0</v>
      </c>
      <c r="AN73" s="582">
        <f t="shared" ca="1" si="41"/>
        <v>0</v>
      </c>
      <c r="AO73" s="582">
        <f t="shared" ca="1" si="42"/>
        <v>5.0442354675710378E-2</v>
      </c>
      <c r="AP73" s="582">
        <f t="shared" ca="1" si="43"/>
        <v>4.3716707385615658E-2</v>
      </c>
      <c r="AQ73" s="582">
        <f t="shared" ca="1" si="44"/>
        <v>0</v>
      </c>
      <c r="AR73" s="582">
        <f t="shared" ca="1" si="45"/>
        <v>0</v>
      </c>
      <c r="AS73" s="582">
        <f t="shared" ca="1" si="46"/>
        <v>0</v>
      </c>
      <c r="AT73" s="582">
        <f t="shared" ca="1" si="47"/>
        <v>0</v>
      </c>
      <c r="AU73" s="582">
        <f t="shared" ca="1" si="48"/>
        <v>0</v>
      </c>
      <c r="AV73" s="582">
        <f t="shared" ca="1" si="49"/>
        <v>0</v>
      </c>
      <c r="AW73" s="582">
        <f t="shared" ca="1" si="50"/>
        <v>0</v>
      </c>
      <c r="AX73" s="582">
        <f t="shared" ca="1" si="51"/>
        <v>0</v>
      </c>
      <c r="AY73" s="582">
        <f t="shared" ca="1" si="52"/>
        <v>0</v>
      </c>
      <c r="AZ73" s="582">
        <f t="shared" ca="1" si="53"/>
        <v>0</v>
      </c>
      <c r="BA73" s="582">
        <f t="shared" ca="1" si="54"/>
        <v>0</v>
      </c>
      <c r="BB73" s="582">
        <f t="shared" ca="1" si="55"/>
        <v>0</v>
      </c>
      <c r="BC73" s="582">
        <f t="shared" ca="1" si="56"/>
        <v>0</v>
      </c>
      <c r="BD73" s="582">
        <f t="shared" ca="1" si="57"/>
        <v>1.0000000000000002</v>
      </c>
    </row>
    <row r="74" spans="1:56" ht="15">
      <c r="A74" s="22">
        <f t="shared" si="58"/>
        <v>2094</v>
      </c>
      <c r="B74" s="586">
        <v>69</v>
      </c>
      <c r="C74" s="583">
        <f ca="1"/>
        <v>0</v>
      </c>
      <c r="D74" s="583">
        <f ca="1"/>
        <v>0</v>
      </c>
      <c r="E74" s="583">
        <f ca="1"/>
        <v>0</v>
      </c>
      <c r="F74" s="583">
        <f ca="1"/>
        <v>0</v>
      </c>
      <c r="G74" s="583">
        <f ca="1"/>
        <v>0</v>
      </c>
      <c r="H74" s="583">
        <f ca="1"/>
        <v>0</v>
      </c>
      <c r="I74" s="583">
        <f ca="1"/>
        <v>0</v>
      </c>
      <c r="J74">
        <f ca="1"/>
        <v>0</v>
      </c>
      <c r="K74">
        <f ca="1"/>
        <v>0</v>
      </c>
      <c r="L74">
        <f ca="1"/>
        <v>0</v>
      </c>
      <c r="M74">
        <f ca="1"/>
        <v>0</v>
      </c>
      <c r="N74">
        <f ca="1"/>
        <v>0</v>
      </c>
      <c r="O74">
        <f ca="1"/>
        <v>0</v>
      </c>
      <c r="P74">
        <f ca="1"/>
        <v>0</v>
      </c>
      <c r="Q74">
        <f ca="1"/>
        <v>0</v>
      </c>
      <c r="R74">
        <f ca="1"/>
        <v>0</v>
      </c>
      <c r="S74">
        <f ca="1"/>
        <v>0</v>
      </c>
      <c r="T74">
        <f ca="1"/>
        <v>0</v>
      </c>
      <c r="U74">
        <f ca="1"/>
        <v>0</v>
      </c>
      <c r="V74">
        <f ca="1"/>
        <v>0</v>
      </c>
      <c r="W74">
        <f ca="1"/>
        <v>0</v>
      </c>
      <c r="X74">
        <f ca="1"/>
        <v>0</v>
      </c>
      <c r="Y74">
        <f ca="1"/>
        <v>0</v>
      </c>
      <c r="Z74">
        <f ca="1"/>
        <v>0</v>
      </c>
      <c r="AA74">
        <f ca="1"/>
        <v>0</v>
      </c>
      <c r="AB74">
        <f ca="1"/>
        <v>0</v>
      </c>
      <c r="AC74">
        <f t="shared" ca="1" si="30"/>
        <v>0</v>
      </c>
      <c r="AD74" s="582">
        <f t="shared" ca="1" si="31"/>
        <v>0</v>
      </c>
      <c r="AE74" s="582">
        <f t="shared" ca="1" si="32"/>
        <v>0</v>
      </c>
      <c r="AF74" s="582">
        <f t="shared" ca="1" si="33"/>
        <v>0</v>
      </c>
      <c r="AG74" s="582">
        <f t="shared" ca="1" si="34"/>
        <v>0</v>
      </c>
      <c r="AH74" s="582">
        <f t="shared" ca="1" si="35"/>
        <v>0</v>
      </c>
      <c r="AI74" s="582">
        <f t="shared" ca="1" si="36"/>
        <v>0.90584093793867426</v>
      </c>
      <c r="AJ74" s="582">
        <f t="shared" ca="1" si="37"/>
        <v>0</v>
      </c>
      <c r="AK74" s="582">
        <f t="shared" ca="1" si="38"/>
        <v>0</v>
      </c>
      <c r="AL74" s="582">
        <f t="shared" ca="1" si="39"/>
        <v>0</v>
      </c>
      <c r="AM74" s="582">
        <f t="shared" ca="1" si="40"/>
        <v>0</v>
      </c>
      <c r="AN74" s="582">
        <f t="shared" ca="1" si="41"/>
        <v>0</v>
      </c>
      <c r="AO74" s="582">
        <f t="shared" ca="1" si="42"/>
        <v>5.0442354675710378E-2</v>
      </c>
      <c r="AP74" s="582">
        <f t="shared" ca="1" si="43"/>
        <v>4.3716707385615658E-2</v>
      </c>
      <c r="AQ74" s="582">
        <f t="shared" ca="1" si="44"/>
        <v>0</v>
      </c>
      <c r="AR74" s="582">
        <f t="shared" ca="1" si="45"/>
        <v>0</v>
      </c>
      <c r="AS74" s="582">
        <f t="shared" ca="1" si="46"/>
        <v>0</v>
      </c>
      <c r="AT74" s="582">
        <f t="shared" ca="1" si="47"/>
        <v>0</v>
      </c>
      <c r="AU74" s="582">
        <f t="shared" ca="1" si="48"/>
        <v>0</v>
      </c>
      <c r="AV74" s="582">
        <f t="shared" ca="1" si="49"/>
        <v>0</v>
      </c>
      <c r="AW74" s="582">
        <f t="shared" ca="1" si="50"/>
        <v>0</v>
      </c>
      <c r="AX74" s="582">
        <f t="shared" ca="1" si="51"/>
        <v>0</v>
      </c>
      <c r="AY74" s="582">
        <f t="shared" ca="1" si="52"/>
        <v>0</v>
      </c>
      <c r="AZ74" s="582">
        <f t="shared" ca="1" si="53"/>
        <v>0</v>
      </c>
      <c r="BA74" s="582">
        <f t="shared" ca="1" si="54"/>
        <v>0</v>
      </c>
      <c r="BB74" s="582">
        <f t="shared" ca="1" si="55"/>
        <v>0</v>
      </c>
      <c r="BC74" s="582">
        <f t="shared" ca="1" si="56"/>
        <v>0</v>
      </c>
      <c r="BD74" s="582">
        <f t="shared" ca="1" si="57"/>
        <v>1.0000000000000002</v>
      </c>
    </row>
    <row r="75" spans="1:56" ht="15">
      <c r="A75" s="22">
        <f t="shared" si="58"/>
        <v>2095</v>
      </c>
      <c r="B75" s="586">
        <v>70</v>
      </c>
      <c r="C75" s="583">
        <f ca="1"/>
        <v>0</v>
      </c>
      <c r="D75" s="583">
        <f ca="1"/>
        <v>0</v>
      </c>
      <c r="E75" s="583">
        <f ca="1"/>
        <v>0</v>
      </c>
      <c r="F75" s="583">
        <f ca="1"/>
        <v>0</v>
      </c>
      <c r="G75" s="583">
        <f ca="1"/>
        <v>0</v>
      </c>
      <c r="H75" s="583">
        <f ca="1"/>
        <v>0</v>
      </c>
      <c r="I75" s="583">
        <f ca="1"/>
        <v>0</v>
      </c>
      <c r="J75">
        <f ca="1"/>
        <v>0</v>
      </c>
      <c r="K75">
        <f ca="1"/>
        <v>0</v>
      </c>
      <c r="L75">
        <f ca="1"/>
        <v>0</v>
      </c>
      <c r="M75">
        <f ca="1"/>
        <v>0</v>
      </c>
      <c r="N75">
        <f ca="1"/>
        <v>0</v>
      </c>
      <c r="O75">
        <f ca="1"/>
        <v>0</v>
      </c>
      <c r="P75">
        <f ca="1"/>
        <v>0</v>
      </c>
      <c r="Q75">
        <f ca="1"/>
        <v>0</v>
      </c>
      <c r="R75">
        <f ca="1"/>
        <v>0</v>
      </c>
      <c r="S75">
        <f ca="1"/>
        <v>0</v>
      </c>
      <c r="T75">
        <f ca="1"/>
        <v>0</v>
      </c>
      <c r="U75">
        <f ca="1"/>
        <v>0</v>
      </c>
      <c r="V75">
        <f ca="1"/>
        <v>0</v>
      </c>
      <c r="W75">
        <f ca="1"/>
        <v>0</v>
      </c>
      <c r="X75">
        <f ca="1"/>
        <v>0</v>
      </c>
      <c r="Y75">
        <f ca="1"/>
        <v>0</v>
      </c>
      <c r="Z75">
        <f ca="1"/>
        <v>0</v>
      </c>
      <c r="AA75">
        <f ca="1"/>
        <v>0</v>
      </c>
      <c r="AB75">
        <f ca="1"/>
        <v>0</v>
      </c>
      <c r="AC75">
        <f t="shared" ca="1" si="30"/>
        <v>0</v>
      </c>
      <c r="AD75" s="582">
        <f t="shared" ca="1" si="31"/>
        <v>0</v>
      </c>
      <c r="AE75" s="582">
        <f t="shared" ca="1" si="32"/>
        <v>0</v>
      </c>
      <c r="AF75" s="582">
        <f t="shared" ca="1" si="33"/>
        <v>0</v>
      </c>
      <c r="AG75" s="582">
        <f t="shared" ca="1" si="34"/>
        <v>0</v>
      </c>
      <c r="AH75" s="582">
        <f t="shared" ca="1" si="35"/>
        <v>0</v>
      </c>
      <c r="AI75" s="582">
        <f t="shared" ca="1" si="36"/>
        <v>0.90584093793867426</v>
      </c>
      <c r="AJ75" s="582">
        <f t="shared" ca="1" si="37"/>
        <v>0</v>
      </c>
      <c r="AK75" s="582">
        <f t="shared" ca="1" si="38"/>
        <v>0</v>
      </c>
      <c r="AL75" s="582">
        <f t="shared" ca="1" si="39"/>
        <v>0</v>
      </c>
      <c r="AM75" s="582">
        <f t="shared" ca="1" si="40"/>
        <v>0</v>
      </c>
      <c r="AN75" s="582">
        <f t="shared" ca="1" si="41"/>
        <v>0</v>
      </c>
      <c r="AO75" s="582">
        <f t="shared" ca="1" si="42"/>
        <v>5.0442354675710378E-2</v>
      </c>
      <c r="AP75" s="582">
        <f t="shared" ca="1" si="43"/>
        <v>4.3716707385615658E-2</v>
      </c>
      <c r="AQ75" s="582">
        <f t="shared" ca="1" si="44"/>
        <v>0</v>
      </c>
      <c r="AR75" s="582">
        <f t="shared" ca="1" si="45"/>
        <v>0</v>
      </c>
      <c r="AS75" s="582">
        <f t="shared" ca="1" si="46"/>
        <v>0</v>
      </c>
      <c r="AT75" s="582">
        <f t="shared" ca="1" si="47"/>
        <v>0</v>
      </c>
      <c r="AU75" s="582">
        <f t="shared" ca="1" si="48"/>
        <v>0</v>
      </c>
      <c r="AV75" s="582">
        <f t="shared" ca="1" si="49"/>
        <v>0</v>
      </c>
      <c r="AW75" s="582">
        <f t="shared" ca="1" si="50"/>
        <v>0</v>
      </c>
      <c r="AX75" s="582">
        <f t="shared" ca="1" si="51"/>
        <v>0</v>
      </c>
      <c r="AY75" s="582">
        <f t="shared" ca="1" si="52"/>
        <v>0</v>
      </c>
      <c r="AZ75" s="582">
        <f t="shared" ca="1" si="53"/>
        <v>0</v>
      </c>
      <c r="BA75" s="582">
        <f t="shared" ca="1" si="54"/>
        <v>0</v>
      </c>
      <c r="BB75" s="582">
        <f t="shared" ca="1" si="55"/>
        <v>0</v>
      </c>
      <c r="BC75" s="582">
        <f t="shared" ca="1" si="56"/>
        <v>0</v>
      </c>
      <c r="BD75" s="582">
        <f t="shared" ca="1" si="57"/>
        <v>1.0000000000000002</v>
      </c>
    </row>
    <row r="76" spans="1:56" ht="15">
      <c r="A76" s="22">
        <f t="shared" si="58"/>
        <v>2096</v>
      </c>
      <c r="B76" s="586">
        <v>71</v>
      </c>
      <c r="C76" s="583">
        <f ca="1"/>
        <v>0</v>
      </c>
      <c r="D76" s="583">
        <f ca="1"/>
        <v>0</v>
      </c>
      <c r="E76" s="583">
        <f ca="1"/>
        <v>0</v>
      </c>
      <c r="F76" s="583">
        <f ca="1"/>
        <v>0</v>
      </c>
      <c r="G76" s="583">
        <f ca="1"/>
        <v>0</v>
      </c>
      <c r="H76" s="583">
        <f ca="1"/>
        <v>0</v>
      </c>
      <c r="I76" s="583">
        <f ca="1"/>
        <v>0</v>
      </c>
      <c r="J76">
        <f ca="1"/>
        <v>0</v>
      </c>
      <c r="K76">
        <f ca="1"/>
        <v>0</v>
      </c>
      <c r="L76">
        <f ca="1"/>
        <v>0</v>
      </c>
      <c r="M76">
        <f ca="1"/>
        <v>0</v>
      </c>
      <c r="N76">
        <f ca="1"/>
        <v>0</v>
      </c>
      <c r="O76">
        <f ca="1"/>
        <v>0</v>
      </c>
      <c r="P76">
        <f ca="1"/>
        <v>0</v>
      </c>
      <c r="Q76">
        <f ca="1"/>
        <v>0</v>
      </c>
      <c r="R76">
        <f ca="1"/>
        <v>0</v>
      </c>
      <c r="S76">
        <f ca="1"/>
        <v>0</v>
      </c>
      <c r="T76">
        <f ca="1"/>
        <v>0</v>
      </c>
      <c r="U76">
        <f ca="1"/>
        <v>0</v>
      </c>
      <c r="V76">
        <f ca="1"/>
        <v>0</v>
      </c>
      <c r="W76">
        <f ca="1"/>
        <v>0</v>
      </c>
      <c r="X76">
        <f ca="1"/>
        <v>0</v>
      </c>
      <c r="Y76">
        <f ca="1"/>
        <v>0</v>
      </c>
      <c r="Z76">
        <f ca="1"/>
        <v>0</v>
      </c>
      <c r="AA76">
        <f ca="1"/>
        <v>0</v>
      </c>
      <c r="AB76">
        <f ca="1"/>
        <v>0</v>
      </c>
      <c r="AC76">
        <f t="shared" ca="1" si="30"/>
        <v>0</v>
      </c>
      <c r="AD76" s="582">
        <f t="shared" ca="1" si="31"/>
        <v>0</v>
      </c>
      <c r="AE76" s="582">
        <f t="shared" ca="1" si="32"/>
        <v>0</v>
      </c>
      <c r="AF76" s="582">
        <f t="shared" ca="1" si="33"/>
        <v>0</v>
      </c>
      <c r="AG76" s="582">
        <f t="shared" ca="1" si="34"/>
        <v>0</v>
      </c>
      <c r="AH76" s="582">
        <f t="shared" ca="1" si="35"/>
        <v>0</v>
      </c>
      <c r="AI76" s="582">
        <f t="shared" ca="1" si="36"/>
        <v>0.90584093793867426</v>
      </c>
      <c r="AJ76" s="582">
        <f t="shared" ca="1" si="37"/>
        <v>0</v>
      </c>
      <c r="AK76" s="582">
        <f t="shared" ca="1" si="38"/>
        <v>0</v>
      </c>
      <c r="AL76" s="582">
        <f t="shared" ca="1" si="39"/>
        <v>0</v>
      </c>
      <c r="AM76" s="582">
        <f t="shared" ca="1" si="40"/>
        <v>0</v>
      </c>
      <c r="AN76" s="582">
        <f t="shared" ca="1" si="41"/>
        <v>0</v>
      </c>
      <c r="AO76" s="582">
        <f t="shared" ca="1" si="42"/>
        <v>5.0442354675710378E-2</v>
      </c>
      <c r="AP76" s="582">
        <f t="shared" ca="1" si="43"/>
        <v>4.3716707385615658E-2</v>
      </c>
      <c r="AQ76" s="582">
        <f t="shared" ca="1" si="44"/>
        <v>0</v>
      </c>
      <c r="AR76" s="582">
        <f t="shared" ca="1" si="45"/>
        <v>0</v>
      </c>
      <c r="AS76" s="582">
        <f t="shared" ca="1" si="46"/>
        <v>0</v>
      </c>
      <c r="AT76" s="582">
        <f t="shared" ca="1" si="47"/>
        <v>0</v>
      </c>
      <c r="AU76" s="582">
        <f t="shared" ca="1" si="48"/>
        <v>0</v>
      </c>
      <c r="AV76" s="582">
        <f t="shared" ca="1" si="49"/>
        <v>0</v>
      </c>
      <c r="AW76" s="582">
        <f t="shared" ca="1" si="50"/>
        <v>0</v>
      </c>
      <c r="AX76" s="582">
        <f t="shared" ca="1" si="51"/>
        <v>0</v>
      </c>
      <c r="AY76" s="582">
        <f t="shared" ca="1" si="52"/>
        <v>0</v>
      </c>
      <c r="AZ76" s="582">
        <f t="shared" ca="1" si="53"/>
        <v>0</v>
      </c>
      <c r="BA76" s="582">
        <f t="shared" ca="1" si="54"/>
        <v>0</v>
      </c>
      <c r="BB76" s="582">
        <f t="shared" ca="1" si="55"/>
        <v>0</v>
      </c>
      <c r="BC76" s="582">
        <f t="shared" ca="1" si="56"/>
        <v>0</v>
      </c>
      <c r="BD76" s="582">
        <f t="shared" ca="1" si="57"/>
        <v>1.0000000000000002</v>
      </c>
    </row>
    <row r="77" spans="1:56" ht="15">
      <c r="A77" s="22">
        <f t="shared" si="58"/>
        <v>2097</v>
      </c>
      <c r="B77" s="586">
        <v>72</v>
      </c>
      <c r="C77" s="583">
        <f ca="1"/>
        <v>0</v>
      </c>
      <c r="D77" s="583">
        <f ca="1"/>
        <v>0</v>
      </c>
      <c r="E77" s="583">
        <f ca="1"/>
        <v>0</v>
      </c>
      <c r="F77" s="583">
        <f ca="1"/>
        <v>0</v>
      </c>
      <c r="G77" s="583">
        <f ca="1"/>
        <v>0</v>
      </c>
      <c r="H77" s="583">
        <f ca="1"/>
        <v>0</v>
      </c>
      <c r="I77" s="583">
        <f ca="1"/>
        <v>0</v>
      </c>
      <c r="J77">
        <f ca="1"/>
        <v>0</v>
      </c>
      <c r="K77">
        <f ca="1"/>
        <v>0</v>
      </c>
      <c r="L77">
        <f ca="1"/>
        <v>0</v>
      </c>
      <c r="M77">
        <f ca="1"/>
        <v>0</v>
      </c>
      <c r="N77">
        <f ca="1"/>
        <v>0</v>
      </c>
      <c r="O77">
        <f ca="1"/>
        <v>0</v>
      </c>
      <c r="P77">
        <f ca="1"/>
        <v>0</v>
      </c>
      <c r="Q77">
        <f ca="1"/>
        <v>0</v>
      </c>
      <c r="R77">
        <f ca="1"/>
        <v>0</v>
      </c>
      <c r="S77">
        <f ca="1"/>
        <v>0</v>
      </c>
      <c r="T77">
        <f ca="1"/>
        <v>0</v>
      </c>
      <c r="U77">
        <f ca="1"/>
        <v>0</v>
      </c>
      <c r="V77">
        <f ca="1"/>
        <v>0</v>
      </c>
      <c r="W77">
        <f ca="1"/>
        <v>0</v>
      </c>
      <c r="X77">
        <f ca="1"/>
        <v>0</v>
      </c>
      <c r="Y77">
        <f ca="1"/>
        <v>0</v>
      </c>
      <c r="Z77">
        <f ca="1"/>
        <v>0</v>
      </c>
      <c r="AA77">
        <f ca="1"/>
        <v>0</v>
      </c>
      <c r="AB77">
        <f ca="1"/>
        <v>0</v>
      </c>
      <c r="AC77">
        <f t="shared" ca="1" si="30"/>
        <v>0</v>
      </c>
      <c r="AD77" s="582">
        <f t="shared" ca="1" si="31"/>
        <v>0</v>
      </c>
      <c r="AE77" s="582">
        <f t="shared" ca="1" si="32"/>
        <v>0</v>
      </c>
      <c r="AF77" s="582">
        <f t="shared" ca="1" si="33"/>
        <v>0</v>
      </c>
      <c r="AG77" s="582">
        <f t="shared" ca="1" si="34"/>
        <v>0</v>
      </c>
      <c r="AH77" s="582">
        <f t="shared" ca="1" si="35"/>
        <v>0</v>
      </c>
      <c r="AI77" s="582">
        <f t="shared" ca="1" si="36"/>
        <v>0.90584093793867426</v>
      </c>
      <c r="AJ77" s="582">
        <f t="shared" ca="1" si="37"/>
        <v>0</v>
      </c>
      <c r="AK77" s="582">
        <f t="shared" ca="1" si="38"/>
        <v>0</v>
      </c>
      <c r="AL77" s="582">
        <f t="shared" ca="1" si="39"/>
        <v>0</v>
      </c>
      <c r="AM77" s="582">
        <f t="shared" ca="1" si="40"/>
        <v>0</v>
      </c>
      <c r="AN77" s="582">
        <f t="shared" ca="1" si="41"/>
        <v>0</v>
      </c>
      <c r="AO77" s="582">
        <f t="shared" ca="1" si="42"/>
        <v>5.0442354675710378E-2</v>
      </c>
      <c r="AP77" s="582">
        <f t="shared" ca="1" si="43"/>
        <v>4.3716707385615658E-2</v>
      </c>
      <c r="AQ77" s="582">
        <f t="shared" ca="1" si="44"/>
        <v>0</v>
      </c>
      <c r="AR77" s="582">
        <f t="shared" ca="1" si="45"/>
        <v>0</v>
      </c>
      <c r="AS77" s="582">
        <f t="shared" ca="1" si="46"/>
        <v>0</v>
      </c>
      <c r="AT77" s="582">
        <f t="shared" ca="1" si="47"/>
        <v>0</v>
      </c>
      <c r="AU77" s="582">
        <f t="shared" ca="1" si="48"/>
        <v>0</v>
      </c>
      <c r="AV77" s="582">
        <f t="shared" ca="1" si="49"/>
        <v>0</v>
      </c>
      <c r="AW77" s="582">
        <f t="shared" ca="1" si="50"/>
        <v>0</v>
      </c>
      <c r="AX77" s="582">
        <f t="shared" ca="1" si="51"/>
        <v>0</v>
      </c>
      <c r="AY77" s="582">
        <f t="shared" ca="1" si="52"/>
        <v>0</v>
      </c>
      <c r="AZ77" s="582">
        <f t="shared" ca="1" si="53"/>
        <v>0</v>
      </c>
      <c r="BA77" s="582">
        <f t="shared" ca="1" si="54"/>
        <v>0</v>
      </c>
      <c r="BB77" s="582">
        <f t="shared" ca="1" si="55"/>
        <v>0</v>
      </c>
      <c r="BC77" s="582">
        <f t="shared" ca="1" si="56"/>
        <v>0</v>
      </c>
      <c r="BD77" s="582">
        <f t="shared" ca="1" si="57"/>
        <v>1.0000000000000002</v>
      </c>
    </row>
    <row r="78" spans="1:56" ht="15">
      <c r="A78" s="22">
        <f t="shared" si="58"/>
        <v>2098</v>
      </c>
      <c r="B78" s="586">
        <v>73</v>
      </c>
      <c r="C78" s="583">
        <f ca="1"/>
        <v>0</v>
      </c>
      <c r="D78" s="583">
        <f ca="1"/>
        <v>0</v>
      </c>
      <c r="E78" s="583">
        <f ca="1"/>
        <v>0</v>
      </c>
      <c r="F78" s="583">
        <f ca="1"/>
        <v>0</v>
      </c>
      <c r="G78" s="583">
        <f ca="1"/>
        <v>0</v>
      </c>
      <c r="H78" s="583">
        <f ca="1"/>
        <v>0</v>
      </c>
      <c r="I78" s="583">
        <f ca="1"/>
        <v>0</v>
      </c>
      <c r="J78">
        <f ca="1"/>
        <v>0</v>
      </c>
      <c r="K78">
        <f ca="1"/>
        <v>0</v>
      </c>
      <c r="L78">
        <f ca="1"/>
        <v>0</v>
      </c>
      <c r="M78">
        <f ca="1"/>
        <v>0</v>
      </c>
      <c r="N78">
        <f ca="1"/>
        <v>0</v>
      </c>
      <c r="O78">
        <f ca="1"/>
        <v>0</v>
      </c>
      <c r="P78">
        <f ca="1"/>
        <v>0</v>
      </c>
      <c r="Q78">
        <f ca="1"/>
        <v>0</v>
      </c>
      <c r="R78">
        <f ca="1"/>
        <v>0</v>
      </c>
      <c r="S78">
        <f ca="1"/>
        <v>0</v>
      </c>
      <c r="T78">
        <f ca="1"/>
        <v>0</v>
      </c>
      <c r="U78">
        <f ca="1"/>
        <v>0</v>
      </c>
      <c r="V78">
        <f ca="1"/>
        <v>0</v>
      </c>
      <c r="W78">
        <f ca="1"/>
        <v>0</v>
      </c>
      <c r="X78">
        <f ca="1"/>
        <v>0</v>
      </c>
      <c r="Y78">
        <f ca="1"/>
        <v>0</v>
      </c>
      <c r="Z78">
        <f ca="1"/>
        <v>0</v>
      </c>
      <c r="AA78">
        <f ca="1"/>
        <v>0</v>
      </c>
      <c r="AB78">
        <f ca="1"/>
        <v>0</v>
      </c>
      <c r="AC78">
        <f t="shared" ca="1" si="30"/>
        <v>0</v>
      </c>
      <c r="AD78" s="582">
        <f t="shared" ca="1" si="31"/>
        <v>0</v>
      </c>
      <c r="AE78" s="582">
        <f t="shared" ca="1" si="32"/>
        <v>0</v>
      </c>
      <c r="AF78" s="582">
        <f t="shared" ca="1" si="33"/>
        <v>0</v>
      </c>
      <c r="AG78" s="582">
        <f t="shared" ca="1" si="34"/>
        <v>0</v>
      </c>
      <c r="AH78" s="582">
        <f t="shared" ca="1" si="35"/>
        <v>0</v>
      </c>
      <c r="AI78" s="582">
        <f t="shared" ca="1" si="36"/>
        <v>0.90584093793867426</v>
      </c>
      <c r="AJ78" s="582">
        <f t="shared" ca="1" si="37"/>
        <v>0</v>
      </c>
      <c r="AK78" s="582">
        <f t="shared" ca="1" si="38"/>
        <v>0</v>
      </c>
      <c r="AL78" s="582">
        <f t="shared" ca="1" si="39"/>
        <v>0</v>
      </c>
      <c r="AM78" s="582">
        <f t="shared" ca="1" si="40"/>
        <v>0</v>
      </c>
      <c r="AN78" s="582">
        <f t="shared" ca="1" si="41"/>
        <v>0</v>
      </c>
      <c r="AO78" s="582">
        <f t="shared" ca="1" si="42"/>
        <v>5.0442354675710378E-2</v>
      </c>
      <c r="AP78" s="582">
        <f t="shared" ca="1" si="43"/>
        <v>4.3716707385615658E-2</v>
      </c>
      <c r="AQ78" s="582">
        <f t="shared" ca="1" si="44"/>
        <v>0</v>
      </c>
      <c r="AR78" s="582">
        <f t="shared" ca="1" si="45"/>
        <v>0</v>
      </c>
      <c r="AS78" s="582">
        <f t="shared" ca="1" si="46"/>
        <v>0</v>
      </c>
      <c r="AT78" s="582">
        <f t="shared" ca="1" si="47"/>
        <v>0</v>
      </c>
      <c r="AU78" s="582">
        <f t="shared" ca="1" si="48"/>
        <v>0</v>
      </c>
      <c r="AV78" s="582">
        <f t="shared" ca="1" si="49"/>
        <v>0</v>
      </c>
      <c r="AW78" s="582">
        <f t="shared" ca="1" si="50"/>
        <v>0</v>
      </c>
      <c r="AX78" s="582">
        <f t="shared" ca="1" si="51"/>
        <v>0</v>
      </c>
      <c r="AY78" s="582">
        <f t="shared" ca="1" si="52"/>
        <v>0</v>
      </c>
      <c r="AZ78" s="582">
        <f t="shared" ca="1" si="53"/>
        <v>0</v>
      </c>
      <c r="BA78" s="582">
        <f t="shared" ca="1" si="54"/>
        <v>0</v>
      </c>
      <c r="BB78" s="582">
        <f t="shared" ca="1" si="55"/>
        <v>0</v>
      </c>
      <c r="BC78" s="582">
        <f t="shared" ca="1" si="56"/>
        <v>0</v>
      </c>
      <c r="BD78" s="582">
        <f t="shared" ca="1" si="57"/>
        <v>1.0000000000000002</v>
      </c>
    </row>
    <row r="79" spans="1:56">
      <c r="C79">
        <f ca="1">SUM(C6:C78)</f>
        <v>0</v>
      </c>
      <c r="D79">
        <f t="shared" ref="D79:AC79" ca="1" si="59">SUM(D6:D78)</f>
        <v>0</v>
      </c>
      <c r="E79">
        <f t="shared" ca="1" si="59"/>
        <v>0</v>
      </c>
      <c r="F79">
        <f t="shared" ca="1" si="59"/>
        <v>0</v>
      </c>
      <c r="G79">
        <f t="shared" ca="1" si="59"/>
        <v>0</v>
      </c>
      <c r="H79">
        <f t="shared" ca="1" si="59"/>
        <v>1.3904646459446255E-2</v>
      </c>
      <c r="I79">
        <f t="shared" ca="1" si="59"/>
        <v>0</v>
      </c>
      <c r="J79">
        <f t="shared" ca="1" si="59"/>
        <v>0</v>
      </c>
      <c r="K79">
        <f t="shared" ca="1" si="59"/>
        <v>0</v>
      </c>
      <c r="L79">
        <f t="shared" ca="1" si="59"/>
        <v>0</v>
      </c>
      <c r="M79">
        <f t="shared" ca="1" si="59"/>
        <v>0</v>
      </c>
      <c r="N79">
        <f t="shared" ca="1" si="59"/>
        <v>7.7428947950156828E-4</v>
      </c>
      <c r="O79">
        <f t="shared" ca="1" si="59"/>
        <v>6.7105088223469249E-4</v>
      </c>
      <c r="P79">
        <f t="shared" ca="1" si="59"/>
        <v>0</v>
      </c>
      <c r="Q79">
        <f t="shared" ca="1" si="59"/>
        <v>0</v>
      </c>
      <c r="R79">
        <f t="shared" ca="1" si="59"/>
        <v>0</v>
      </c>
      <c r="S79">
        <f t="shared" ca="1" si="59"/>
        <v>0</v>
      </c>
      <c r="T79">
        <f t="shared" ca="1" si="59"/>
        <v>0</v>
      </c>
      <c r="U79">
        <f t="shared" ca="1" si="59"/>
        <v>0</v>
      </c>
      <c r="V79">
        <f t="shared" ca="1" si="59"/>
        <v>0</v>
      </c>
      <c r="W79">
        <f t="shared" ca="1" si="59"/>
        <v>0</v>
      </c>
      <c r="X79">
        <f t="shared" ca="1" si="59"/>
        <v>0</v>
      </c>
      <c r="Y79">
        <f t="shared" ca="1" si="59"/>
        <v>0</v>
      </c>
      <c r="Z79">
        <f t="shared" ca="1" si="59"/>
        <v>0</v>
      </c>
      <c r="AA79">
        <f t="shared" ca="1" si="59"/>
        <v>0</v>
      </c>
      <c r="AB79">
        <f t="shared" ca="1" si="59"/>
        <v>0</v>
      </c>
      <c r="AC79">
        <f t="shared" ca="1" si="59"/>
        <v>1.534998682118251E-2</v>
      </c>
    </row>
  </sheetData>
  <mergeCells count="10">
    <mergeCell ref="AO3:BC4"/>
    <mergeCell ref="A1:C1"/>
    <mergeCell ref="AD3:AG3"/>
    <mergeCell ref="AH3:AJ3"/>
    <mergeCell ref="AK3:AN3"/>
    <mergeCell ref="AC3:AC5"/>
    <mergeCell ref="C3:F3"/>
    <mergeCell ref="G3:I3"/>
    <mergeCell ref="J3:M3"/>
    <mergeCell ref="N3:AB4"/>
  </mergeCells>
  <hyperlinks>
    <hyperlink ref="A1" location="'Table of Contents'!A1" tooltip="Click here to return to the Table of Contents tab" display="Return to Table of Contents" xr:uid="{00000000-0004-0000-2D00-000000000000}"/>
  </hyperlink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BE79"/>
  <sheetViews>
    <sheetView workbookViewId="0">
      <pane xSplit="1" ySplit="5" topLeftCell="B6" activePane="bottomRight" state="frozen"/>
      <selection pane="topRight" activeCell="B1" sqref="B1"/>
      <selection pane="bottomLeft" activeCell="A5" sqref="A5"/>
      <selection pane="bottomRight" activeCell="B6" sqref="B6"/>
    </sheetView>
  </sheetViews>
  <sheetFormatPr defaultRowHeight="12.75"/>
  <cols>
    <col min="1" max="2" width="17.28515625" customWidth="1"/>
    <col min="8" max="8" width="13.7109375" bestFit="1" customWidth="1"/>
    <col min="10" max="11" width="11" customWidth="1"/>
    <col min="12" max="12" width="10.28515625" customWidth="1"/>
    <col min="13" max="27" width="11.28515625" customWidth="1"/>
    <col min="28" max="28" width="9.5703125" bestFit="1" customWidth="1"/>
    <col min="37" max="40" width="11" customWidth="1"/>
  </cols>
  <sheetData>
    <row r="1" spans="1:57" ht="15.75" thickBot="1">
      <c r="A1" s="701" t="s">
        <v>27</v>
      </c>
      <c r="B1" s="809"/>
      <c r="C1" s="809"/>
    </row>
    <row r="2" spans="1:57">
      <c r="AD2">
        <v>1</v>
      </c>
      <c r="AE2">
        <v>2</v>
      </c>
      <c r="AF2">
        <v>3</v>
      </c>
      <c r="AG2">
        <v>4</v>
      </c>
      <c r="AH2">
        <v>5</v>
      </c>
      <c r="AI2">
        <v>6</v>
      </c>
      <c r="AJ2">
        <v>7</v>
      </c>
      <c r="AK2">
        <v>8</v>
      </c>
      <c r="AL2">
        <v>9</v>
      </c>
      <c r="AM2">
        <v>10</v>
      </c>
      <c r="AN2">
        <v>11</v>
      </c>
      <c r="AO2">
        <v>12</v>
      </c>
      <c r="AP2">
        <v>13</v>
      </c>
      <c r="AQ2">
        <v>14</v>
      </c>
      <c r="AR2">
        <v>15</v>
      </c>
      <c r="AS2">
        <v>16</v>
      </c>
      <c r="AT2">
        <v>17</v>
      </c>
      <c r="AU2">
        <v>18</v>
      </c>
      <c r="AV2">
        <v>19</v>
      </c>
      <c r="AW2">
        <v>20</v>
      </c>
      <c r="AX2">
        <v>21</v>
      </c>
      <c r="AY2">
        <v>22</v>
      </c>
      <c r="AZ2">
        <v>23</v>
      </c>
      <c r="BA2">
        <v>24</v>
      </c>
      <c r="BB2">
        <v>25</v>
      </c>
      <c r="BC2">
        <v>26</v>
      </c>
    </row>
    <row r="3" spans="1:57" ht="30" customHeight="1">
      <c r="C3" s="840" t="s">
        <v>490</v>
      </c>
      <c r="D3" s="840"/>
      <c r="E3" s="840"/>
      <c r="F3" s="841"/>
      <c r="G3" s="842" t="s">
        <v>491</v>
      </c>
      <c r="H3" s="840"/>
      <c r="I3" s="841"/>
      <c r="J3" s="794" t="s">
        <v>492</v>
      </c>
      <c r="K3" s="795"/>
      <c r="L3" s="795"/>
      <c r="M3" s="796"/>
      <c r="N3" s="794" t="s">
        <v>493</v>
      </c>
      <c r="O3" s="795"/>
      <c r="P3" s="795"/>
      <c r="Q3" s="795"/>
      <c r="R3" s="795"/>
      <c r="S3" s="795"/>
      <c r="T3" s="795"/>
      <c r="U3" s="795"/>
      <c r="V3" s="795"/>
      <c r="W3" s="795"/>
      <c r="X3" s="795"/>
      <c r="Y3" s="795"/>
      <c r="Z3" s="795"/>
      <c r="AA3" s="795"/>
      <c r="AB3" s="695"/>
      <c r="AC3" s="775" t="s">
        <v>485</v>
      </c>
      <c r="AD3" s="840" t="s">
        <v>490</v>
      </c>
      <c r="AE3" s="840"/>
      <c r="AF3" s="840"/>
      <c r="AG3" s="841"/>
      <c r="AH3" s="842" t="s">
        <v>491</v>
      </c>
      <c r="AI3" s="840"/>
      <c r="AJ3" s="841"/>
      <c r="AK3" s="794" t="s">
        <v>492</v>
      </c>
      <c r="AL3" s="795"/>
      <c r="AM3" s="795"/>
      <c r="AN3" s="796"/>
      <c r="AO3" s="794" t="s">
        <v>493</v>
      </c>
      <c r="AP3" s="795"/>
      <c r="AQ3" s="795"/>
      <c r="AR3" s="795"/>
      <c r="AS3" s="795"/>
      <c r="AT3" s="795"/>
      <c r="AU3" s="795"/>
      <c r="AV3" s="795"/>
      <c r="AW3" s="795"/>
      <c r="AX3" s="795"/>
      <c r="AY3" s="795"/>
      <c r="AZ3" s="795"/>
      <c r="BA3" s="795"/>
      <c r="BB3" s="795"/>
      <c r="BC3" s="695"/>
    </row>
    <row r="4" spans="1:57" ht="15">
      <c r="C4" s="74"/>
      <c r="D4" s="187"/>
      <c r="E4" s="187"/>
      <c r="F4" s="188"/>
      <c r="G4" s="186"/>
      <c r="H4" s="187"/>
      <c r="I4" s="188"/>
      <c r="J4" s="186"/>
      <c r="K4" s="187"/>
      <c r="L4" s="187"/>
      <c r="M4" s="190"/>
      <c r="N4" s="838"/>
      <c r="O4" s="839"/>
      <c r="P4" s="839"/>
      <c r="Q4" s="839"/>
      <c r="R4" s="839"/>
      <c r="S4" s="839"/>
      <c r="T4" s="839"/>
      <c r="U4" s="839"/>
      <c r="V4" s="839"/>
      <c r="W4" s="839"/>
      <c r="X4" s="839"/>
      <c r="Y4" s="839"/>
      <c r="Z4" s="839"/>
      <c r="AA4" s="839"/>
      <c r="AB4" s="697"/>
      <c r="AC4" s="775"/>
      <c r="AD4" s="74"/>
      <c r="AE4" s="187"/>
      <c r="AF4" s="187"/>
      <c r="AG4" s="188"/>
      <c r="AH4" s="186"/>
      <c r="AI4" s="187"/>
      <c r="AJ4" s="188"/>
      <c r="AK4" s="186"/>
      <c r="AL4" s="187"/>
      <c r="AM4" s="187"/>
      <c r="AN4" s="190"/>
      <c r="AO4" s="838"/>
      <c r="AP4" s="839"/>
      <c r="AQ4" s="839"/>
      <c r="AR4" s="839"/>
      <c r="AS4" s="839"/>
      <c r="AT4" s="839"/>
      <c r="AU4" s="839"/>
      <c r="AV4" s="839"/>
      <c r="AW4" s="839"/>
      <c r="AX4" s="839"/>
      <c r="AY4" s="839"/>
      <c r="AZ4" s="839"/>
      <c r="BA4" s="839"/>
      <c r="BB4" s="839"/>
      <c r="BC4" s="697"/>
    </row>
    <row r="5" spans="1:57" ht="45.75" thickBot="1">
      <c r="A5" s="95" t="s">
        <v>268</v>
      </c>
      <c r="B5" s="585" t="s">
        <v>912</v>
      </c>
      <c r="C5" s="654" t="s">
        <v>158</v>
      </c>
      <c r="D5" s="650" t="s">
        <v>166</v>
      </c>
      <c r="E5" s="650" t="s">
        <v>171</v>
      </c>
      <c r="F5" s="132" t="s">
        <v>173</v>
      </c>
      <c r="G5" s="654" t="s">
        <v>180</v>
      </c>
      <c r="H5" s="650" t="s">
        <v>186</v>
      </c>
      <c r="I5" s="132" t="s">
        <v>191</v>
      </c>
      <c r="J5" s="654" t="s">
        <v>197</v>
      </c>
      <c r="K5" s="650" t="s">
        <v>199</v>
      </c>
      <c r="L5" s="650" t="s">
        <v>201</v>
      </c>
      <c r="M5" s="653" t="s">
        <v>494</v>
      </c>
      <c r="N5" s="587" t="s">
        <v>208</v>
      </c>
      <c r="O5" s="661" t="s">
        <v>211</v>
      </c>
      <c r="P5" s="661" t="s">
        <v>213</v>
      </c>
      <c r="Q5" s="661" t="s">
        <v>215</v>
      </c>
      <c r="R5" s="661" t="s">
        <v>219</v>
      </c>
      <c r="S5" s="661" t="s">
        <v>222</v>
      </c>
      <c r="T5" s="661" t="s">
        <v>224</v>
      </c>
      <c r="U5" s="661" t="s">
        <v>228</v>
      </c>
      <c r="V5" s="661" t="s">
        <v>231</v>
      </c>
      <c r="W5" s="661" t="s">
        <v>232</v>
      </c>
      <c r="X5" s="661" t="s">
        <v>235</v>
      </c>
      <c r="Y5" s="661" t="s">
        <v>237</v>
      </c>
      <c r="Z5" s="661" t="s">
        <v>239</v>
      </c>
      <c r="AA5" s="661" t="s">
        <v>242</v>
      </c>
      <c r="AB5" s="661" t="s">
        <v>245</v>
      </c>
      <c r="AC5" s="775"/>
      <c r="AD5" s="654" t="s">
        <v>158</v>
      </c>
      <c r="AE5" s="650" t="s">
        <v>166</v>
      </c>
      <c r="AF5" s="650" t="s">
        <v>171</v>
      </c>
      <c r="AG5" s="132" t="s">
        <v>173</v>
      </c>
      <c r="AH5" s="654" t="s">
        <v>180</v>
      </c>
      <c r="AI5" s="650" t="s">
        <v>186</v>
      </c>
      <c r="AJ5" s="132" t="s">
        <v>191</v>
      </c>
      <c r="AK5" s="654" t="s">
        <v>197</v>
      </c>
      <c r="AL5" s="650" t="s">
        <v>199</v>
      </c>
      <c r="AM5" s="650" t="s">
        <v>201</v>
      </c>
      <c r="AN5" s="132" t="s">
        <v>494</v>
      </c>
      <c r="AO5" s="587" t="s">
        <v>208</v>
      </c>
      <c r="AP5" s="661" t="s">
        <v>211</v>
      </c>
      <c r="AQ5" s="661" t="s">
        <v>213</v>
      </c>
      <c r="AR5" s="661" t="s">
        <v>215</v>
      </c>
      <c r="AS5" s="661" t="s">
        <v>219</v>
      </c>
      <c r="AT5" s="661" t="s">
        <v>222</v>
      </c>
      <c r="AU5" s="661" t="s">
        <v>224</v>
      </c>
      <c r="AV5" s="661" t="s">
        <v>228</v>
      </c>
      <c r="AW5" s="661" t="s">
        <v>231</v>
      </c>
      <c r="AX5" s="661" t="s">
        <v>232</v>
      </c>
      <c r="AY5" s="661" t="s">
        <v>235</v>
      </c>
      <c r="AZ5" s="661" t="s">
        <v>237</v>
      </c>
      <c r="BA5" s="661" t="s">
        <v>239</v>
      </c>
      <c r="BB5" s="661" t="s">
        <v>242</v>
      </c>
      <c r="BC5" s="661" t="s">
        <v>245</v>
      </c>
    </row>
    <row r="6" spans="1:57" ht="15.75" thickTop="1">
      <c r="A6" s="22">
        <f>begin_year+B6-1</f>
        <v>2026</v>
      </c>
      <c r="B6" s="586">
        <v>1</v>
      </c>
      <c r="C6" s="583">
        <f t="array" aca="1" ref="C6:C78" ca="1">IF(B6:B78&lt;=length_year,IF(SUM(sim_sup_oil_ocs)=0,(OFFSET(sim_sup_gas_ocs_atn,begin_year-'Consumer surplus'!$C$10,0)*atlantic_ref_exp_propensity),(OFFSET(sim_sup_oil_ocs_atn,begin_year-'Consumer surplus'!$C$10,0)*atlantic_ref_exp_propensity)),0)</f>
        <v>0</v>
      </c>
      <c r="D6" s="583">
        <f t="array" aca="1" ref="D6:D78" ca="1">IF(B6:B78&lt;=length_year,IF(SUM(sim_sup_oil_ocs)=0,(OFFSET(sim_sup_gas_ocs_atm,begin_year-'Consumer surplus'!$C$10,0)*atlantic_ref_exp_propensity),(OFFSET(sim_sup_oil_ocs_atm,begin_year-'Consumer surplus'!$C$10,0)*atlantic_ref_exp_propensity)),0)</f>
        <v>0</v>
      </c>
      <c r="E6" s="583">
        <f t="array" aca="1" ref="E6:E78" ca="1">IF(B6:B78&lt;=length_year,IF(SUM(sim_sup_oil_ocs)=0,(OFFSET(sim_sup_gas_ocs_ats,begin_year-'Consumer surplus'!$C$10,0)*atlantic_ref_exp_propensity),(OFFSET(sim_sup_oil_ocs_ats,begin_year-'Consumer surplus'!$C$10,0)*atlantic_ref_exp_propensity)),0)</f>
        <v>0</v>
      </c>
      <c r="F6" s="583">
        <f t="array" aca="1" ref="F6:F78" ca="1">IF(B6:B78&lt;=length_year,IF(SUM(sim_sup_oil_ocs)=0,(OFFSET(sim_sup_gas_ocs_atf,begin_year-'Consumer surplus'!$C$10,0)*atlantic_ref_exp_propensity),(OFFSET(sim_sup_oil_ocs_atf,begin_year-'Consumer surplus'!$C$10,0)*atlantic_ref_exp_propensity)),0)</f>
        <v>0</v>
      </c>
      <c r="G6" s="583">
        <f t="array" aca="1" ref="G6:G78" ca="1">IF(B6:B78&lt;=length_year,IF(SUM(sim_sup_oil_ocs)=0,(OFFSET(sim_sup_gas_ocs_gme,begin_year-'Consumer surplus'!$C$10,0)*gom_ref_exp_propensity),(OFFSET(sim_sup_oil_ocs_gme,begin_year-'Consumer surplus'!$C$10,0)*gom_ref_exp_propensity)),0)</f>
        <v>0</v>
      </c>
      <c r="H6" s="583">
        <f t="array" aca="1" ref="H6:H78" ca="1">IF(B6:B78&lt;=length_year,IF(SUM(sim_sup_oil_ocs)=0,(OFFSET(sim_sup_gas_ocs_gmc,begin_year-'Consumer surplus'!$C$10,0)*gom_ref_exp_propensity),(OFFSET(sim_sup_oil_ocs_gmc,begin_year-'Consumer surplus'!$C$10,0)*gom_ref_exp_propensity)),0)</f>
        <v>0</v>
      </c>
      <c r="I6" s="583">
        <f t="array" aca="1" ref="I6:I78" ca="1">IF(B6:B78&lt;=length_year,IF(SUM(sim_sup_oil_ocs)=0,(OFFSET(sim_sup_gas_ocs_gmw,begin_year-'Consumer surplus'!$C$10,0)*gom_ref_exp_propensity),(OFFSET(sim_sup_oil_ocs_gmw,begin_year-'Consumer surplus'!$C$10,0)*gom_ref_exp_propensity)),0)</f>
        <v>0</v>
      </c>
      <c r="J6">
        <f t="array" aca="1" ref="J6:J78" ca="1">IF(B6:B78&lt;=length_year,IF(SUM(sim_sup_oil_ocs)=0,(OFFSET(sim_sup_gas_ocs_pas,begin_year-'Consumer surplus'!$C$10,0)*pacific_ref_exp_propensity),(OFFSET(sim_sup_oil_ocs_pas,begin_year-'Consumer surplus'!$C$10,0)*pacific_ref_exp_propensity)),0)</f>
        <v>0</v>
      </c>
      <c r="K6">
        <f t="array" aca="1" ref="K6:K78" ca="1">IF(B6:B78&lt;=length_year,IF(SUM(sim_sup_oil_ocs)=0,(OFFSET(sim_sup_gas_ocs_pac,begin_year-'Consumer surplus'!$C$10,0)*pacific_ref_exp_propensity),(OFFSET(sim_sup_oil_ocs_pac,begin_year-'Consumer surplus'!$C$10,0)*pacific_ref_exp_propensity)),0)</f>
        <v>0</v>
      </c>
      <c r="L6">
        <f t="array" aca="1" ref="L6:L78" ca="1">IF(B6:B78&lt;=length_year,IF(SUM(sim_sup_oil_ocs)=0,(OFFSET(sim_sup_gas_ocs_pan,begin_year-'Consumer surplus'!$C$10,0)*pacific_ref_exp_propensity),(OFFSET(sim_sup_oil_ocs_pan,begin_year-'Consumer surplus'!$C$10,0)*pacific_ref_exp_propensity)),0)</f>
        <v>0</v>
      </c>
      <c r="M6">
        <f t="array" aca="1" ref="M6:M78" ca="1">IF(B6:B78&lt;=length_year,IF(SUM(sim_sup_oil_ocs)=0,(OFFSET(sim_sup_gas_ocs_paw,begin_year-'Consumer surplus'!$C$10,0)*pacific_ref_exp_propensity),(OFFSET(sim_sup_oil_ocs_paw,begin_year-'Consumer surplus'!$C$10,0)*pacific_ref_exp_propensity)),0)</f>
        <v>0</v>
      </c>
      <c r="N6">
        <f t="array" aca="1" ref="N6:N78" ca="1">IF(B6:B78&lt;=length_year,IF(SUM(sim_sup_oil_ocs)=0,(OFFSET(sim_sup_gas_ocs_goa,begin_year-'Consumer surplus'!$C$10,0)*ak_ref_exp_propensity),(OFFSET(sim_sup_oil_ocs_goa,begin_year-'Consumer surplus'!$C$10,0)*ak_ref_exp_propensity)),0)</f>
        <v>0</v>
      </c>
      <c r="O6">
        <f t="array" aca="1" ref="O6:O78" ca="1">IF(B6:B78&lt;=length_year,IF(SUM(sim_sup_oil_ocs)=0,(OFFSET(sim_sup_gas_ocs_coo,begin_year-'Consumer surplus'!$C$10,0)*ak_ref_exp_propensity),(OFFSET(sim_sup_oil_ocs_coo,begin_year-'Consumer surplus'!$C$10,0)*ak_ref_exp_propensity)),0)</f>
        <v>0</v>
      </c>
      <c r="P6">
        <f t="array" aca="1" ref="P6:P78" ca="1">IF(B6:B78&lt;=length_year,IF(SUM(sim_sup_oil_ocs)=0,(OFFSET(sim_sup_gas_ocs_kod,begin_year-'Consumer surplus'!$C$10,0)*ak_ref_exp_propensity),(OFFSET(sim_sup_oil_ocs_kod,begin_year-'Consumer surplus'!$C$10,0)*ak_ref_exp_propensity)),0)</f>
        <v>0</v>
      </c>
      <c r="Q6">
        <f t="array" aca="1" ref="Q6:Q78" ca="1">IF(B6:B78&lt;=length_year,IF(SUM(sim_sup_oil_ocs)=0,(OFFSET(sim_sup_gas_ocs_shu,begin_year-'Consumer surplus'!$C$10,0)*ak_ref_exp_propensity),(OFFSET(sim_sup_oil_ocs_shu,begin_year-'Consumer surplus'!$C$10,0)*ak_ref_exp_propensity)),0)</f>
        <v>0</v>
      </c>
      <c r="R6">
        <f t="array" aca="1" ref="R6:R78" ca="1">IF(B6:B78&lt;=length_year,IF(SUM(sim_sup_oil_ocs)=0,(OFFSET(sim_sup_gas_ocs_nab,begin_year-'Consumer surplus'!$C$10,0)*ak_ref_exp_propensity),(OFFSET(sim_sup_oil_ocs_nab,begin_year-'Consumer surplus'!$C$10,0)*ak_ref_exp_propensity)),0)</f>
        <v>0</v>
      </c>
      <c r="S6">
        <f t="array" aca="1" ref="S6:S78" ca="1">IF(B6:B78&lt;=length_year,IF(SUM(sim_sup_oil_ocs)=0,(OFFSET(sim_sup_gas_ocs_ala,begin_year-'Consumer surplus'!$C$10,0)*ak_ref_exp_propensity),(OFFSET(sim_sup_oil_ocs_ala,begin_year-'Consumer surplus'!$C$10,0)*ak_ref_exp_propensity)),0)</f>
        <v>0</v>
      </c>
      <c r="T6">
        <f t="array" aca="1" ref="T6:T78" ca="1">IF(B6:B78&lt;=length_year,IF(SUM(sim_sup_oil_ocs)=0,(OFFSET(sim_sup_gas_ocs_sgb,begin_year-'Consumer surplus'!$C$10,0)*ak_ref_exp_propensity),(OFFSET(sim_sup_oil_ocs_sgb,begin_year-'Consumer surplus'!$C$10,0)*ak_ref_exp_propensity)),0)</f>
        <v>0</v>
      </c>
      <c r="U6">
        <f t="array" aca="1" ref="U6:U78" ca="1">IF(B6:B78&lt;=length_year,IF(SUM(sim_sup_oil_ocs)=0,(OFFSET(sim_sup_gas_ocs_smh,begin_year-'Consumer surplus'!$C$10,0)*ak_ref_exp_propensity),(OFFSET(sim_sup_oil_ocs_smh,begin_year-'Consumer surplus'!$C$10,0)*ak_ref_exp_propensity)),0)</f>
        <v>0</v>
      </c>
      <c r="V6">
        <f t="array" aca="1" ref="V6:V78" ca="1">IF(B6:B78&lt;=length_year,IF(SUM(sim_sup_oil_ocs)=0,(OFFSET(sim_sup_gas_ocs_bow,begin_year-'Consumer surplus'!$C$10,0)*ak_ref_exp_propensity),(OFFSET(sim_sup_oil_ocs_bow,begin_year-'Consumer surplus'!$C$10,0)*ak_ref_exp_propensity)),0)</f>
        <v>0</v>
      </c>
      <c r="W6">
        <f t="array" aca="1" ref="W6:W78" ca="1">IF(B6:B78&lt;=length_year,IF(SUM(sim_sup_oil_ocs)=0,(OFFSET(sim_sup_gas_ocs_alb,begin_year-'Consumer surplus'!$C$10,0)*ak_ref_exp_propensity),(OFFSET(sim_sup_oil_ocs_alb,begin_year-'Consumer surplus'!$C$10,0)*ak_ref_exp_propensity)),0)</f>
        <v>0</v>
      </c>
      <c r="X6">
        <f t="array" aca="1" ref="X6:X78" ca="1">IF(B6:B78&lt;=length_year,IF(SUM(sim_sup_oil_ocs)=0,(OFFSET(sim_sup_gas_ocs_nav,begin_year-'Consumer surplus'!$C$10,0)*ak_ref_exp_propensity),(OFFSET(sim_sup_oil_ocs_nav,begin_year-'Consumer surplus'!$C$10,0)*ak_ref_exp_propensity)),0)</f>
        <v>0</v>
      </c>
      <c r="Y6">
        <f t="array" aca="1" ref="Y6:Y78" ca="1">IF(B6:B78&lt;=length_year,IF(SUM(sim_sup_oil_ocs)=0,(OFFSET(sim_sup_gas_ocs_nor,begin_year-'Consumer surplus'!$C$10,0)*ak_ref_exp_propensity),(OFFSET(sim_sup_oil_ocs_nor,begin_year-'Consumer surplus'!$C$10,0)*ak_ref_exp_propensity)),0)</f>
        <v>0</v>
      </c>
      <c r="Z6">
        <f t="array" aca="1" ref="Z6:Z78" ca="1">IF(B6:B78&lt;=length_year,IF(SUM(sim_sup_oil_ocs)=0,(OFFSET(sim_sup_gas_ocs_hop,begin_year-'Consumer surplus'!$C$10,0)*ak_ref_exp_propensity),(OFFSET(sim_sup_oil_ocs_hop,begin_year-'Consumer surplus'!$C$10,0)*ak_ref_exp_propensity)),0)</f>
        <v>0</v>
      </c>
      <c r="AA6">
        <f t="array" aca="1" ref="AA6:AA78" ca="1">IF(B6:B78&lt;=length_year,IF(SUM(sim_sup_oil_ocs)=0,(OFFSET(sim_sup_gas_ocs_chu,begin_year-'Consumer surplus'!$C$10,0)*ak_ref_exp_propensity),(OFFSET(sim_sup_oil_ocs_chu,begin_year-'Consumer surplus'!$C$10,0)*ak_ref_exp_propensity)),0)</f>
        <v>0</v>
      </c>
      <c r="AB6">
        <f t="array" aca="1" ref="AB6:AB78" ca="1">IF(B6:B78&lt;=length_year,IF(SUM(sim_sup_oil_ocs)=0,(OFFSET(sim_sup_gas_ocs_bea,begin_year-'Consumer surplus'!$C$10,0)*ak_ref_exp_propensity),(OFFSET(sim_sup_oil_ocs_bea,begin_year-'Consumer surplus'!$C$10,0)*ak_ref_exp_propensity)),0)</f>
        <v>0</v>
      </c>
      <c r="AC6">
        <f ca="1">SUM(C6:AB6)</f>
        <v>0</v>
      </c>
      <c r="AD6" s="582">
        <f ca="1">IF($AC6&lt;&gt;0,C6/$AC6,C$79/$AC$79)</f>
        <v>0</v>
      </c>
      <c r="AE6" s="582">
        <f t="shared" ref="AE6:BC6" ca="1" si="0">IF($AC6&lt;&gt;0,D6/$AC6,D$79/$AC$79)</f>
        <v>0</v>
      </c>
      <c r="AF6" s="582">
        <f t="shared" ca="1" si="0"/>
        <v>0</v>
      </c>
      <c r="AG6" s="582">
        <f t="shared" ca="1" si="0"/>
        <v>0</v>
      </c>
      <c r="AH6" s="582">
        <f t="shared" ca="1" si="0"/>
        <v>0</v>
      </c>
      <c r="AI6" s="582">
        <f t="shared" ca="1" si="0"/>
        <v>0.67703627749076623</v>
      </c>
      <c r="AJ6" s="582">
        <f t="shared" ca="1" si="0"/>
        <v>0</v>
      </c>
      <c r="AK6" s="582">
        <f t="shared" ca="1" si="0"/>
        <v>0</v>
      </c>
      <c r="AL6" s="582">
        <f t="shared" ca="1" si="0"/>
        <v>0</v>
      </c>
      <c r="AM6" s="582">
        <f t="shared" ca="1" si="0"/>
        <v>0</v>
      </c>
      <c r="AN6" s="582">
        <f t="shared" ca="1" si="0"/>
        <v>0</v>
      </c>
      <c r="AO6" s="582">
        <f t="shared" ca="1" si="0"/>
        <v>0.17301627991566085</v>
      </c>
      <c r="AP6" s="582">
        <f t="shared" ca="1" si="0"/>
        <v>0.14994744259357273</v>
      </c>
      <c r="AQ6" s="582">
        <f t="shared" ca="1" si="0"/>
        <v>0</v>
      </c>
      <c r="AR6" s="582">
        <f t="shared" ca="1" si="0"/>
        <v>0</v>
      </c>
      <c r="AS6" s="582">
        <f t="shared" ca="1" si="0"/>
        <v>0</v>
      </c>
      <c r="AT6" s="582">
        <f t="shared" ca="1" si="0"/>
        <v>0</v>
      </c>
      <c r="AU6" s="582">
        <f t="shared" ca="1" si="0"/>
        <v>0</v>
      </c>
      <c r="AV6" s="582">
        <f t="shared" ca="1" si="0"/>
        <v>0</v>
      </c>
      <c r="AW6" s="582">
        <f t="shared" ca="1" si="0"/>
        <v>0</v>
      </c>
      <c r="AX6" s="582">
        <f t="shared" ca="1" si="0"/>
        <v>0</v>
      </c>
      <c r="AY6" s="582">
        <f t="shared" ca="1" si="0"/>
        <v>0</v>
      </c>
      <c r="AZ6" s="582">
        <f t="shared" ca="1" si="0"/>
        <v>0</v>
      </c>
      <c r="BA6" s="582">
        <f t="shared" ca="1" si="0"/>
        <v>0</v>
      </c>
      <c r="BB6" s="582">
        <f t="shared" ca="1" si="0"/>
        <v>0</v>
      </c>
      <c r="BC6" s="582">
        <f t="shared" ca="1" si="0"/>
        <v>0</v>
      </c>
      <c r="BE6" s="582">
        <f t="shared" ref="BE6:BE69" ca="1" si="1">SUM(AD6:BC6)</f>
        <v>0.99999999999999978</v>
      </c>
    </row>
    <row r="7" spans="1:57" ht="15">
      <c r="A7" s="22">
        <f>A6+1</f>
        <v>2027</v>
      </c>
      <c r="B7" s="586">
        <v>2</v>
      </c>
      <c r="C7" s="583">
        <f ca="1"/>
        <v>0</v>
      </c>
      <c r="D7" s="583">
        <f ca="1"/>
        <v>0</v>
      </c>
      <c r="E7" s="583">
        <f ca="1"/>
        <v>0</v>
      </c>
      <c r="F7" s="583">
        <f ca="1"/>
        <v>0</v>
      </c>
      <c r="G7" s="583">
        <f ca="1"/>
        <v>0</v>
      </c>
      <c r="H7" s="583">
        <f ca="1"/>
        <v>0</v>
      </c>
      <c r="I7" s="583">
        <f ca="1"/>
        <v>0</v>
      </c>
      <c r="J7">
        <f ca="1"/>
        <v>0</v>
      </c>
      <c r="K7">
        <f ca="1"/>
        <v>0</v>
      </c>
      <c r="L7">
        <f ca="1"/>
        <v>0</v>
      </c>
      <c r="M7">
        <f ca="1"/>
        <v>0</v>
      </c>
      <c r="N7">
        <f ca="1"/>
        <v>0</v>
      </c>
      <c r="O7">
        <f ca="1"/>
        <v>0</v>
      </c>
      <c r="P7">
        <f ca="1"/>
        <v>0</v>
      </c>
      <c r="Q7">
        <f ca="1"/>
        <v>0</v>
      </c>
      <c r="R7">
        <f ca="1"/>
        <v>0</v>
      </c>
      <c r="S7">
        <f ca="1"/>
        <v>0</v>
      </c>
      <c r="T7">
        <f ca="1"/>
        <v>0</v>
      </c>
      <c r="U7">
        <f ca="1"/>
        <v>0</v>
      </c>
      <c r="V7">
        <f ca="1"/>
        <v>0</v>
      </c>
      <c r="W7">
        <f ca="1"/>
        <v>0</v>
      </c>
      <c r="X7">
        <f ca="1"/>
        <v>0</v>
      </c>
      <c r="Y7">
        <f ca="1"/>
        <v>0</v>
      </c>
      <c r="Z7">
        <f ca="1"/>
        <v>0</v>
      </c>
      <c r="AA7">
        <f ca="1"/>
        <v>0</v>
      </c>
      <c r="AB7">
        <f ca="1"/>
        <v>0</v>
      </c>
      <c r="AC7">
        <f t="shared" ref="AC7:AC70" ca="1" si="2">SUM(C7:AB7)</f>
        <v>0</v>
      </c>
      <c r="AD7" s="582">
        <f t="shared" ref="AD7:AD70" ca="1" si="3">IF($AC7&lt;&gt;0,C7/$AC7,C$79/$AC$79)</f>
        <v>0</v>
      </c>
      <c r="AE7" s="582">
        <f t="shared" ref="AE7:AE70" ca="1" si="4">IF($AC7&lt;&gt;0,D7/$AC7,D$79/$AC$79)</f>
        <v>0</v>
      </c>
      <c r="AF7" s="582">
        <f t="shared" ref="AF7:AF70" ca="1" si="5">IF($AC7&lt;&gt;0,E7/$AC7,E$79/$AC$79)</f>
        <v>0</v>
      </c>
      <c r="AG7" s="582">
        <f t="shared" ref="AG7:AG70" ca="1" si="6">IF($AC7&lt;&gt;0,F7/$AC7,F$79/$AC$79)</f>
        <v>0</v>
      </c>
      <c r="AH7" s="582">
        <f t="shared" ref="AH7:AH70" ca="1" si="7">IF($AC7&lt;&gt;0,G7/$AC7,G$79/$AC$79)</f>
        <v>0</v>
      </c>
      <c r="AI7" s="582">
        <f t="shared" ref="AI7:AI70" ca="1" si="8">IF($AC7&lt;&gt;0,H7/$AC7,H$79/$AC$79)</f>
        <v>0.67703627749076623</v>
      </c>
      <c r="AJ7" s="582">
        <f t="shared" ref="AJ7:AJ70" ca="1" si="9">IF($AC7&lt;&gt;0,I7/$AC7,I$79/$AC$79)</f>
        <v>0</v>
      </c>
      <c r="AK7" s="582">
        <f t="shared" ref="AK7:AK70" ca="1" si="10">IF($AC7&lt;&gt;0,J7/$AC7,J$79/$AC$79)</f>
        <v>0</v>
      </c>
      <c r="AL7" s="582">
        <f t="shared" ref="AL7:AL70" ca="1" si="11">IF($AC7&lt;&gt;0,K7/$AC7,K$79/$AC$79)</f>
        <v>0</v>
      </c>
      <c r="AM7" s="582">
        <f t="shared" ref="AM7:AM70" ca="1" si="12">IF($AC7&lt;&gt;0,L7/$AC7,L$79/$AC$79)</f>
        <v>0</v>
      </c>
      <c r="AN7" s="582">
        <f t="shared" ref="AN7:AN70" ca="1" si="13">IF($AC7&lt;&gt;0,M7/$AC7,M$79/$AC$79)</f>
        <v>0</v>
      </c>
      <c r="AO7" s="582">
        <f t="shared" ref="AO7:AO70" ca="1" si="14">IF($AC7&lt;&gt;0,N7/$AC7,N$79/$AC$79)</f>
        <v>0.17301627991566085</v>
      </c>
      <c r="AP7" s="582">
        <f t="shared" ref="AP7:AP70" ca="1" si="15">IF($AC7&lt;&gt;0,O7/$AC7,O$79/$AC$79)</f>
        <v>0.14994744259357273</v>
      </c>
      <c r="AQ7" s="582">
        <f t="shared" ref="AQ7:AQ70" ca="1" si="16">IF($AC7&lt;&gt;0,P7/$AC7,P$79/$AC$79)</f>
        <v>0</v>
      </c>
      <c r="AR7" s="582">
        <f t="shared" ref="AR7:AR70" ca="1" si="17">IF($AC7&lt;&gt;0,Q7/$AC7,Q$79/$AC$79)</f>
        <v>0</v>
      </c>
      <c r="AS7" s="582">
        <f t="shared" ref="AS7:AS70" ca="1" si="18">IF($AC7&lt;&gt;0,R7/$AC7,R$79/$AC$79)</f>
        <v>0</v>
      </c>
      <c r="AT7" s="582">
        <f t="shared" ref="AT7:AT70" ca="1" si="19">IF($AC7&lt;&gt;0,S7/$AC7,S$79/$AC$79)</f>
        <v>0</v>
      </c>
      <c r="AU7" s="582">
        <f t="shared" ref="AU7:AU70" ca="1" si="20">IF($AC7&lt;&gt;0,T7/$AC7,T$79/$AC$79)</f>
        <v>0</v>
      </c>
      <c r="AV7" s="582">
        <f t="shared" ref="AV7:AV70" ca="1" si="21">IF($AC7&lt;&gt;0,U7/$AC7,U$79/$AC$79)</f>
        <v>0</v>
      </c>
      <c r="AW7" s="582">
        <f t="shared" ref="AW7:AW70" ca="1" si="22">IF($AC7&lt;&gt;0,V7/$AC7,V$79/$AC$79)</f>
        <v>0</v>
      </c>
      <c r="AX7" s="582">
        <f t="shared" ref="AX7:AX70" ca="1" si="23">IF($AC7&lt;&gt;0,W7/$AC7,W$79/$AC$79)</f>
        <v>0</v>
      </c>
      <c r="AY7" s="582">
        <f t="shared" ref="AY7:AY70" ca="1" si="24">IF($AC7&lt;&gt;0,X7/$AC7,X$79/$AC$79)</f>
        <v>0</v>
      </c>
      <c r="AZ7" s="582">
        <f t="shared" ref="AZ7:AZ70" ca="1" si="25">IF($AC7&lt;&gt;0,Y7/$AC7,Y$79/$AC$79)</f>
        <v>0</v>
      </c>
      <c r="BA7" s="582">
        <f t="shared" ref="BA7:BA70" ca="1" si="26">IF($AC7&lt;&gt;0,Z7/$AC7,Z$79/$AC$79)</f>
        <v>0</v>
      </c>
      <c r="BB7" s="582">
        <f t="shared" ref="BB7:BB70" ca="1" si="27">IF($AC7&lt;&gt;0,AA7/$AC7,AA$79/$AC$79)</f>
        <v>0</v>
      </c>
      <c r="BC7" s="582">
        <f t="shared" ref="BC7:BC70" ca="1" si="28">IF($AC7&lt;&gt;0,AB7/$AC7,AB$79/$AC$79)</f>
        <v>0</v>
      </c>
      <c r="BE7" s="582">
        <f t="shared" ca="1" si="1"/>
        <v>0.99999999999999978</v>
      </c>
    </row>
    <row r="8" spans="1:57" ht="15">
      <c r="A8" s="22">
        <f t="shared" ref="A8:A71" si="29">A7+1</f>
        <v>2028</v>
      </c>
      <c r="B8" s="586">
        <v>3</v>
      </c>
      <c r="C8" s="583">
        <f ca="1"/>
        <v>0</v>
      </c>
      <c r="D8" s="583">
        <f ca="1"/>
        <v>0</v>
      </c>
      <c r="E8" s="583">
        <f ca="1"/>
        <v>0</v>
      </c>
      <c r="F8" s="583">
        <f ca="1"/>
        <v>0</v>
      </c>
      <c r="G8" s="583">
        <f ca="1"/>
        <v>0</v>
      </c>
      <c r="H8" s="583">
        <f ca="1"/>
        <v>0</v>
      </c>
      <c r="I8" s="588">
        <f ca="1"/>
        <v>0</v>
      </c>
      <c r="J8">
        <f ca="1"/>
        <v>0</v>
      </c>
      <c r="K8">
        <f ca="1"/>
        <v>0</v>
      </c>
      <c r="L8">
        <f ca="1"/>
        <v>0</v>
      </c>
      <c r="M8">
        <f ca="1"/>
        <v>0</v>
      </c>
      <c r="N8">
        <f ca="1"/>
        <v>0</v>
      </c>
      <c r="O8">
        <f ca="1"/>
        <v>0</v>
      </c>
      <c r="P8">
        <f ca="1"/>
        <v>0</v>
      </c>
      <c r="Q8">
        <f ca="1"/>
        <v>0</v>
      </c>
      <c r="R8">
        <f ca="1"/>
        <v>0</v>
      </c>
      <c r="S8">
        <f ca="1"/>
        <v>0</v>
      </c>
      <c r="T8">
        <f ca="1"/>
        <v>0</v>
      </c>
      <c r="U8">
        <f ca="1"/>
        <v>0</v>
      </c>
      <c r="V8">
        <f ca="1"/>
        <v>0</v>
      </c>
      <c r="W8">
        <f ca="1"/>
        <v>0</v>
      </c>
      <c r="X8">
        <f ca="1"/>
        <v>0</v>
      </c>
      <c r="Y8">
        <f ca="1"/>
        <v>0</v>
      </c>
      <c r="Z8">
        <f ca="1"/>
        <v>0</v>
      </c>
      <c r="AA8">
        <f ca="1"/>
        <v>0</v>
      </c>
      <c r="AB8">
        <f ca="1"/>
        <v>0</v>
      </c>
      <c r="AC8">
        <f t="shared" ca="1" si="2"/>
        <v>0</v>
      </c>
      <c r="AD8" s="582">
        <f t="shared" ca="1" si="3"/>
        <v>0</v>
      </c>
      <c r="AE8" s="582">
        <f t="shared" ca="1" si="4"/>
        <v>0</v>
      </c>
      <c r="AF8" s="582">
        <f t="shared" ca="1" si="5"/>
        <v>0</v>
      </c>
      <c r="AG8" s="582">
        <f t="shared" ca="1" si="6"/>
        <v>0</v>
      </c>
      <c r="AH8" s="582">
        <f t="shared" ca="1" si="7"/>
        <v>0</v>
      </c>
      <c r="AI8" s="582">
        <f t="shared" ca="1" si="8"/>
        <v>0.67703627749076623</v>
      </c>
      <c r="AJ8" s="582">
        <f t="shared" ca="1" si="9"/>
        <v>0</v>
      </c>
      <c r="AK8" s="582">
        <f t="shared" ca="1" si="10"/>
        <v>0</v>
      </c>
      <c r="AL8" s="582">
        <f t="shared" ca="1" si="11"/>
        <v>0</v>
      </c>
      <c r="AM8" s="582">
        <f t="shared" ca="1" si="12"/>
        <v>0</v>
      </c>
      <c r="AN8" s="582">
        <f t="shared" ca="1" si="13"/>
        <v>0</v>
      </c>
      <c r="AO8" s="582">
        <f t="shared" ca="1" si="14"/>
        <v>0.17301627991566085</v>
      </c>
      <c r="AP8" s="582">
        <f t="shared" ca="1" si="15"/>
        <v>0.14994744259357273</v>
      </c>
      <c r="AQ8" s="582">
        <f t="shared" ca="1" si="16"/>
        <v>0</v>
      </c>
      <c r="AR8" s="582">
        <f t="shared" ca="1" si="17"/>
        <v>0</v>
      </c>
      <c r="AS8" s="582">
        <f t="shared" ca="1" si="18"/>
        <v>0</v>
      </c>
      <c r="AT8" s="582">
        <f t="shared" ca="1" si="19"/>
        <v>0</v>
      </c>
      <c r="AU8" s="582">
        <f t="shared" ca="1" si="20"/>
        <v>0</v>
      </c>
      <c r="AV8" s="582">
        <f t="shared" ca="1" si="21"/>
        <v>0</v>
      </c>
      <c r="AW8" s="582">
        <f t="shared" ca="1" si="22"/>
        <v>0</v>
      </c>
      <c r="AX8" s="582">
        <f t="shared" ca="1" si="23"/>
        <v>0</v>
      </c>
      <c r="AY8" s="582">
        <f t="shared" ca="1" si="24"/>
        <v>0</v>
      </c>
      <c r="AZ8" s="582">
        <f t="shared" ca="1" si="25"/>
        <v>0</v>
      </c>
      <c r="BA8" s="582">
        <f t="shared" ca="1" si="26"/>
        <v>0</v>
      </c>
      <c r="BB8" s="582">
        <f t="shared" ca="1" si="27"/>
        <v>0</v>
      </c>
      <c r="BC8" s="582">
        <f t="shared" ca="1" si="28"/>
        <v>0</v>
      </c>
      <c r="BE8" s="582">
        <f t="shared" ca="1" si="1"/>
        <v>0.99999999999999978</v>
      </c>
    </row>
    <row r="9" spans="1:57" ht="15">
      <c r="A9" s="22">
        <f t="shared" si="29"/>
        <v>2029</v>
      </c>
      <c r="B9" s="586">
        <v>4</v>
      </c>
      <c r="C9" s="583">
        <f ca="1"/>
        <v>0</v>
      </c>
      <c r="D9" s="583">
        <f ca="1"/>
        <v>0</v>
      </c>
      <c r="E9" s="583">
        <f ca="1"/>
        <v>0</v>
      </c>
      <c r="F9" s="583">
        <f ca="1"/>
        <v>0</v>
      </c>
      <c r="G9" s="583">
        <f ca="1"/>
        <v>0</v>
      </c>
      <c r="H9" s="583">
        <f ca="1"/>
        <v>0</v>
      </c>
      <c r="I9" s="583">
        <f ca="1"/>
        <v>0</v>
      </c>
      <c r="J9">
        <f ca="1"/>
        <v>0</v>
      </c>
      <c r="K9">
        <f ca="1"/>
        <v>0</v>
      </c>
      <c r="L9">
        <f ca="1"/>
        <v>0</v>
      </c>
      <c r="M9">
        <f ca="1"/>
        <v>0</v>
      </c>
      <c r="N9">
        <f ca="1"/>
        <v>0</v>
      </c>
      <c r="O9">
        <f ca="1"/>
        <v>0</v>
      </c>
      <c r="P9">
        <f ca="1"/>
        <v>0</v>
      </c>
      <c r="Q9">
        <f ca="1"/>
        <v>0</v>
      </c>
      <c r="R9">
        <f ca="1"/>
        <v>0</v>
      </c>
      <c r="S9">
        <f ca="1"/>
        <v>0</v>
      </c>
      <c r="T9">
        <f ca="1"/>
        <v>0</v>
      </c>
      <c r="U9">
        <f ca="1"/>
        <v>0</v>
      </c>
      <c r="V9">
        <f ca="1"/>
        <v>0</v>
      </c>
      <c r="W9">
        <f ca="1"/>
        <v>0</v>
      </c>
      <c r="X9">
        <f ca="1"/>
        <v>0</v>
      </c>
      <c r="Y9">
        <f ca="1"/>
        <v>0</v>
      </c>
      <c r="Z9">
        <f ca="1"/>
        <v>0</v>
      </c>
      <c r="AA9">
        <f ca="1"/>
        <v>0</v>
      </c>
      <c r="AB9">
        <f ca="1"/>
        <v>0</v>
      </c>
      <c r="AC9">
        <f t="shared" ca="1" si="2"/>
        <v>0</v>
      </c>
      <c r="AD9" s="582">
        <f t="shared" ca="1" si="3"/>
        <v>0</v>
      </c>
      <c r="AE9" s="582">
        <f t="shared" ca="1" si="4"/>
        <v>0</v>
      </c>
      <c r="AF9" s="582">
        <f t="shared" ca="1" si="5"/>
        <v>0</v>
      </c>
      <c r="AG9" s="582">
        <f t="shared" ca="1" si="6"/>
        <v>0</v>
      </c>
      <c r="AH9" s="582">
        <f t="shared" ca="1" si="7"/>
        <v>0</v>
      </c>
      <c r="AI9" s="582">
        <f t="shared" ca="1" si="8"/>
        <v>0.67703627749076623</v>
      </c>
      <c r="AJ9" s="582">
        <f t="shared" ca="1" si="9"/>
        <v>0</v>
      </c>
      <c r="AK9" s="582">
        <f t="shared" ca="1" si="10"/>
        <v>0</v>
      </c>
      <c r="AL9" s="582">
        <f t="shared" ca="1" si="11"/>
        <v>0</v>
      </c>
      <c r="AM9" s="582">
        <f t="shared" ca="1" si="12"/>
        <v>0</v>
      </c>
      <c r="AN9" s="582">
        <f t="shared" ca="1" si="13"/>
        <v>0</v>
      </c>
      <c r="AO9" s="582">
        <f t="shared" ca="1" si="14"/>
        <v>0.17301627991566085</v>
      </c>
      <c r="AP9" s="582">
        <f t="shared" ca="1" si="15"/>
        <v>0.14994744259357273</v>
      </c>
      <c r="AQ9" s="582">
        <f t="shared" ca="1" si="16"/>
        <v>0</v>
      </c>
      <c r="AR9" s="582">
        <f t="shared" ca="1" si="17"/>
        <v>0</v>
      </c>
      <c r="AS9" s="582">
        <f t="shared" ca="1" si="18"/>
        <v>0</v>
      </c>
      <c r="AT9" s="582">
        <f t="shared" ca="1" si="19"/>
        <v>0</v>
      </c>
      <c r="AU9" s="582">
        <f t="shared" ca="1" si="20"/>
        <v>0</v>
      </c>
      <c r="AV9" s="582">
        <f t="shared" ca="1" si="21"/>
        <v>0</v>
      </c>
      <c r="AW9" s="582">
        <f t="shared" ca="1" si="22"/>
        <v>0</v>
      </c>
      <c r="AX9" s="582">
        <f t="shared" ca="1" si="23"/>
        <v>0</v>
      </c>
      <c r="AY9" s="582">
        <f t="shared" ca="1" si="24"/>
        <v>0</v>
      </c>
      <c r="AZ9" s="582">
        <f t="shared" ca="1" si="25"/>
        <v>0</v>
      </c>
      <c r="BA9" s="582">
        <f t="shared" ca="1" si="26"/>
        <v>0</v>
      </c>
      <c r="BB9" s="582">
        <f t="shared" ca="1" si="27"/>
        <v>0</v>
      </c>
      <c r="BC9" s="582">
        <f t="shared" ca="1" si="28"/>
        <v>0</v>
      </c>
      <c r="BE9" s="582">
        <f t="shared" ca="1" si="1"/>
        <v>0.99999999999999978</v>
      </c>
    </row>
    <row r="10" spans="1:57" ht="15">
      <c r="A10" s="22">
        <f t="shared" si="29"/>
        <v>2030</v>
      </c>
      <c r="B10" s="586">
        <v>5</v>
      </c>
      <c r="C10" s="583">
        <f ca="1"/>
        <v>0</v>
      </c>
      <c r="D10" s="583">
        <f ca="1"/>
        <v>0</v>
      </c>
      <c r="E10" s="583">
        <f ca="1"/>
        <v>0</v>
      </c>
      <c r="F10" s="583">
        <f ca="1"/>
        <v>0</v>
      </c>
      <c r="G10" s="583">
        <f ca="1"/>
        <v>0</v>
      </c>
      <c r="H10" s="583">
        <f ca="1"/>
        <v>0</v>
      </c>
      <c r="I10" s="583">
        <f ca="1"/>
        <v>0</v>
      </c>
      <c r="J10">
        <f ca="1"/>
        <v>0</v>
      </c>
      <c r="K10">
        <f ca="1"/>
        <v>0</v>
      </c>
      <c r="L10">
        <f ca="1"/>
        <v>0</v>
      </c>
      <c r="M10">
        <f ca="1"/>
        <v>0</v>
      </c>
      <c r="N10">
        <f ca="1"/>
        <v>7.2561519197423608E-4</v>
      </c>
      <c r="O10">
        <f ca="1"/>
        <v>0</v>
      </c>
      <c r="P10">
        <f ca="1"/>
        <v>0</v>
      </c>
      <c r="Q10">
        <f ca="1"/>
        <v>0</v>
      </c>
      <c r="R10">
        <f ca="1"/>
        <v>0</v>
      </c>
      <c r="S10">
        <f ca="1"/>
        <v>0</v>
      </c>
      <c r="T10">
        <f ca="1"/>
        <v>0</v>
      </c>
      <c r="U10">
        <f ca="1"/>
        <v>0</v>
      </c>
      <c r="V10">
        <f ca="1"/>
        <v>0</v>
      </c>
      <c r="W10">
        <f ca="1"/>
        <v>0</v>
      </c>
      <c r="X10">
        <f ca="1"/>
        <v>0</v>
      </c>
      <c r="Y10">
        <f ca="1"/>
        <v>0</v>
      </c>
      <c r="Z10">
        <f ca="1"/>
        <v>0</v>
      </c>
      <c r="AA10">
        <f ca="1"/>
        <v>0</v>
      </c>
      <c r="AB10">
        <f ca="1"/>
        <v>0</v>
      </c>
      <c r="AC10">
        <f t="shared" ca="1" si="2"/>
        <v>7.2561519197423608E-4</v>
      </c>
      <c r="AD10" s="582">
        <f t="shared" ca="1" si="3"/>
        <v>0</v>
      </c>
      <c r="AE10" s="582">
        <f t="shared" ca="1" si="4"/>
        <v>0</v>
      </c>
      <c r="AF10" s="582">
        <f t="shared" ca="1" si="5"/>
        <v>0</v>
      </c>
      <c r="AG10" s="582">
        <f t="shared" ca="1" si="6"/>
        <v>0</v>
      </c>
      <c r="AH10" s="582">
        <f t="shared" ca="1" si="7"/>
        <v>0</v>
      </c>
      <c r="AI10" s="582">
        <f t="shared" ca="1" si="8"/>
        <v>0</v>
      </c>
      <c r="AJ10" s="582">
        <f t="shared" ca="1" si="9"/>
        <v>0</v>
      </c>
      <c r="AK10" s="582">
        <f t="shared" ca="1" si="10"/>
        <v>0</v>
      </c>
      <c r="AL10" s="582">
        <f t="shared" ca="1" si="11"/>
        <v>0</v>
      </c>
      <c r="AM10" s="582">
        <f t="shared" ca="1" si="12"/>
        <v>0</v>
      </c>
      <c r="AN10" s="582">
        <f t="shared" ca="1" si="13"/>
        <v>0</v>
      </c>
      <c r="AO10" s="582">
        <f t="shared" ca="1" si="14"/>
        <v>1</v>
      </c>
      <c r="AP10" s="582">
        <f t="shared" ca="1" si="15"/>
        <v>0</v>
      </c>
      <c r="AQ10" s="582">
        <f t="shared" ca="1" si="16"/>
        <v>0</v>
      </c>
      <c r="AR10" s="582">
        <f t="shared" ca="1" si="17"/>
        <v>0</v>
      </c>
      <c r="AS10" s="582">
        <f t="shared" ca="1" si="18"/>
        <v>0</v>
      </c>
      <c r="AT10" s="582">
        <f t="shared" ca="1" si="19"/>
        <v>0</v>
      </c>
      <c r="AU10" s="582">
        <f t="shared" ca="1" si="20"/>
        <v>0</v>
      </c>
      <c r="AV10" s="582">
        <f t="shared" ca="1" si="21"/>
        <v>0</v>
      </c>
      <c r="AW10" s="582">
        <f t="shared" ca="1" si="22"/>
        <v>0</v>
      </c>
      <c r="AX10" s="582">
        <f t="shared" ca="1" si="23"/>
        <v>0</v>
      </c>
      <c r="AY10" s="582">
        <f t="shared" ca="1" si="24"/>
        <v>0</v>
      </c>
      <c r="AZ10" s="582">
        <f t="shared" ca="1" si="25"/>
        <v>0</v>
      </c>
      <c r="BA10" s="582">
        <f t="shared" ca="1" si="26"/>
        <v>0</v>
      </c>
      <c r="BB10" s="582">
        <f t="shared" ca="1" si="27"/>
        <v>0</v>
      </c>
      <c r="BC10" s="582">
        <f t="shared" ca="1" si="28"/>
        <v>0</v>
      </c>
      <c r="BE10" s="582">
        <f t="shared" ca="1" si="1"/>
        <v>1</v>
      </c>
    </row>
    <row r="11" spans="1:57" ht="15">
      <c r="A11" s="22">
        <f t="shared" si="29"/>
        <v>2031</v>
      </c>
      <c r="B11" s="586">
        <v>6</v>
      </c>
      <c r="C11" s="583">
        <f ca="1"/>
        <v>0</v>
      </c>
      <c r="D11" s="583">
        <f ca="1"/>
        <v>0</v>
      </c>
      <c r="E11" s="583">
        <f ca="1"/>
        <v>0</v>
      </c>
      <c r="F11" s="583">
        <f ca="1"/>
        <v>0</v>
      </c>
      <c r="G11" s="583">
        <f ca="1"/>
        <v>0</v>
      </c>
      <c r="H11" s="583">
        <f ca="1"/>
        <v>0</v>
      </c>
      <c r="I11" s="583">
        <f ca="1"/>
        <v>0</v>
      </c>
      <c r="J11">
        <f ca="1"/>
        <v>0</v>
      </c>
      <c r="K11">
        <f ca="1"/>
        <v>0</v>
      </c>
      <c r="L11">
        <f ca="1"/>
        <v>0</v>
      </c>
      <c r="M11">
        <f ca="1"/>
        <v>0</v>
      </c>
      <c r="N11">
        <f ca="1"/>
        <v>7.2561519197423608E-4</v>
      </c>
      <c r="O11">
        <f ca="1"/>
        <v>0</v>
      </c>
      <c r="P11">
        <f ca="1"/>
        <v>0</v>
      </c>
      <c r="Q11">
        <f ca="1"/>
        <v>0</v>
      </c>
      <c r="R11">
        <f ca="1"/>
        <v>0</v>
      </c>
      <c r="S11">
        <f ca="1"/>
        <v>0</v>
      </c>
      <c r="T11">
        <f ca="1"/>
        <v>0</v>
      </c>
      <c r="U11">
        <f ca="1"/>
        <v>0</v>
      </c>
      <c r="V11">
        <f ca="1"/>
        <v>0</v>
      </c>
      <c r="W11">
        <f ca="1"/>
        <v>0</v>
      </c>
      <c r="X11">
        <f ca="1"/>
        <v>0</v>
      </c>
      <c r="Y11">
        <f ca="1"/>
        <v>0</v>
      </c>
      <c r="Z11">
        <f ca="1"/>
        <v>0</v>
      </c>
      <c r="AA11">
        <f ca="1"/>
        <v>0</v>
      </c>
      <c r="AB11">
        <f ca="1"/>
        <v>0</v>
      </c>
      <c r="AC11">
        <f t="shared" ca="1" si="2"/>
        <v>7.2561519197423608E-4</v>
      </c>
      <c r="AD11" s="582">
        <f t="shared" ca="1" si="3"/>
        <v>0</v>
      </c>
      <c r="AE11" s="582">
        <f t="shared" ca="1" si="4"/>
        <v>0</v>
      </c>
      <c r="AF11" s="582">
        <f t="shared" ca="1" si="5"/>
        <v>0</v>
      </c>
      <c r="AG11" s="582">
        <f t="shared" ca="1" si="6"/>
        <v>0</v>
      </c>
      <c r="AH11" s="582">
        <f t="shared" ca="1" si="7"/>
        <v>0</v>
      </c>
      <c r="AI11" s="582">
        <f t="shared" ca="1" si="8"/>
        <v>0</v>
      </c>
      <c r="AJ11" s="582">
        <f t="shared" ca="1" si="9"/>
        <v>0</v>
      </c>
      <c r="AK11" s="582">
        <f t="shared" ca="1" si="10"/>
        <v>0</v>
      </c>
      <c r="AL11" s="582">
        <f t="shared" ca="1" si="11"/>
        <v>0</v>
      </c>
      <c r="AM11" s="582">
        <f t="shared" ca="1" si="12"/>
        <v>0</v>
      </c>
      <c r="AN11" s="582">
        <f t="shared" ca="1" si="13"/>
        <v>0</v>
      </c>
      <c r="AO11" s="582">
        <f t="shared" ca="1" si="14"/>
        <v>1</v>
      </c>
      <c r="AP11" s="582">
        <f t="shared" ca="1" si="15"/>
        <v>0</v>
      </c>
      <c r="AQ11" s="582">
        <f t="shared" ca="1" si="16"/>
        <v>0</v>
      </c>
      <c r="AR11" s="582">
        <f t="shared" ca="1" si="17"/>
        <v>0</v>
      </c>
      <c r="AS11" s="582">
        <f t="shared" ca="1" si="18"/>
        <v>0</v>
      </c>
      <c r="AT11" s="582">
        <f t="shared" ca="1" si="19"/>
        <v>0</v>
      </c>
      <c r="AU11" s="582">
        <f t="shared" ca="1" si="20"/>
        <v>0</v>
      </c>
      <c r="AV11" s="582">
        <f t="shared" ca="1" si="21"/>
        <v>0</v>
      </c>
      <c r="AW11" s="582">
        <f t="shared" ca="1" si="22"/>
        <v>0</v>
      </c>
      <c r="AX11" s="582">
        <f t="shared" ca="1" si="23"/>
        <v>0</v>
      </c>
      <c r="AY11" s="582">
        <f t="shared" ca="1" si="24"/>
        <v>0</v>
      </c>
      <c r="AZ11" s="582">
        <f t="shared" ca="1" si="25"/>
        <v>0</v>
      </c>
      <c r="BA11" s="582">
        <f t="shared" ca="1" si="26"/>
        <v>0</v>
      </c>
      <c r="BB11" s="582">
        <f t="shared" ca="1" si="27"/>
        <v>0</v>
      </c>
      <c r="BC11" s="582">
        <f t="shared" ca="1" si="28"/>
        <v>0</v>
      </c>
      <c r="BE11" s="582">
        <f t="shared" ca="1" si="1"/>
        <v>1</v>
      </c>
    </row>
    <row r="12" spans="1:57" ht="15">
      <c r="A12" s="22">
        <f t="shared" si="29"/>
        <v>2032</v>
      </c>
      <c r="B12" s="586">
        <v>7</v>
      </c>
      <c r="C12" s="583">
        <f ca="1"/>
        <v>0</v>
      </c>
      <c r="D12" s="583">
        <f ca="1"/>
        <v>0</v>
      </c>
      <c r="E12" s="583">
        <f ca="1"/>
        <v>0</v>
      </c>
      <c r="F12" s="583">
        <f ca="1"/>
        <v>0</v>
      </c>
      <c r="G12" s="583">
        <f ca="1"/>
        <v>0</v>
      </c>
      <c r="H12" s="583">
        <f ca="1"/>
        <v>3.2762666702929283E-3</v>
      </c>
      <c r="I12" s="583">
        <f ca="1"/>
        <v>0</v>
      </c>
      <c r="J12">
        <f ca="1"/>
        <v>0</v>
      </c>
      <c r="K12">
        <f ca="1"/>
        <v>0</v>
      </c>
      <c r="L12">
        <f ca="1"/>
        <v>0</v>
      </c>
      <c r="M12">
        <f ca="1"/>
        <v>0</v>
      </c>
      <c r="N12">
        <f ca="1"/>
        <v>7.2561519197423608E-4</v>
      </c>
      <c r="O12">
        <f ca="1"/>
        <v>7.2561519197423608E-4</v>
      </c>
      <c r="P12">
        <f ca="1"/>
        <v>0</v>
      </c>
      <c r="Q12">
        <f ca="1"/>
        <v>0</v>
      </c>
      <c r="R12">
        <f ca="1"/>
        <v>0</v>
      </c>
      <c r="S12">
        <f ca="1"/>
        <v>0</v>
      </c>
      <c r="T12">
        <f ca="1"/>
        <v>0</v>
      </c>
      <c r="U12">
        <f ca="1"/>
        <v>0</v>
      </c>
      <c r="V12">
        <f ca="1"/>
        <v>0</v>
      </c>
      <c r="W12">
        <f ca="1"/>
        <v>0</v>
      </c>
      <c r="X12">
        <f ca="1"/>
        <v>0</v>
      </c>
      <c r="Y12">
        <f ca="1"/>
        <v>0</v>
      </c>
      <c r="Z12">
        <f ca="1"/>
        <v>0</v>
      </c>
      <c r="AA12">
        <f ca="1"/>
        <v>0</v>
      </c>
      <c r="AB12">
        <f ca="1"/>
        <v>0</v>
      </c>
      <c r="AC12">
        <f t="shared" ca="1" si="2"/>
        <v>4.7274970542414002E-3</v>
      </c>
      <c r="AD12" s="582">
        <f t="shared" ca="1" si="3"/>
        <v>0</v>
      </c>
      <c r="AE12" s="582">
        <f t="shared" ca="1" si="4"/>
        <v>0</v>
      </c>
      <c r="AF12" s="582">
        <f t="shared" ca="1" si="5"/>
        <v>0</v>
      </c>
      <c r="AG12" s="582">
        <f t="shared" ca="1" si="6"/>
        <v>0</v>
      </c>
      <c r="AH12" s="582">
        <f t="shared" ca="1" si="7"/>
        <v>0</v>
      </c>
      <c r="AI12" s="582">
        <f t="shared" ca="1" si="8"/>
        <v>0.69302352443636916</v>
      </c>
      <c r="AJ12" s="582">
        <f t="shared" ca="1" si="9"/>
        <v>0</v>
      </c>
      <c r="AK12" s="582">
        <f t="shared" ca="1" si="10"/>
        <v>0</v>
      </c>
      <c r="AL12" s="582">
        <f t="shared" ca="1" si="11"/>
        <v>0</v>
      </c>
      <c r="AM12" s="582">
        <f t="shared" ca="1" si="12"/>
        <v>0</v>
      </c>
      <c r="AN12" s="582">
        <f t="shared" ca="1" si="13"/>
        <v>0</v>
      </c>
      <c r="AO12" s="582">
        <f t="shared" ca="1" si="14"/>
        <v>0.15348823778181545</v>
      </c>
      <c r="AP12" s="582">
        <f t="shared" ca="1" si="15"/>
        <v>0.15348823778181545</v>
      </c>
      <c r="AQ12" s="582">
        <f t="shared" ca="1" si="16"/>
        <v>0</v>
      </c>
      <c r="AR12" s="582">
        <f t="shared" ca="1" si="17"/>
        <v>0</v>
      </c>
      <c r="AS12" s="582">
        <f t="shared" ca="1" si="18"/>
        <v>0</v>
      </c>
      <c r="AT12" s="582">
        <f t="shared" ca="1" si="19"/>
        <v>0</v>
      </c>
      <c r="AU12" s="582">
        <f t="shared" ca="1" si="20"/>
        <v>0</v>
      </c>
      <c r="AV12" s="582">
        <f t="shared" ca="1" si="21"/>
        <v>0</v>
      </c>
      <c r="AW12" s="582">
        <f t="shared" ca="1" si="22"/>
        <v>0</v>
      </c>
      <c r="AX12" s="582">
        <f t="shared" ca="1" si="23"/>
        <v>0</v>
      </c>
      <c r="AY12" s="582">
        <f t="shared" ca="1" si="24"/>
        <v>0</v>
      </c>
      <c r="AZ12" s="582">
        <f t="shared" ca="1" si="25"/>
        <v>0</v>
      </c>
      <c r="BA12" s="582">
        <f t="shared" ca="1" si="26"/>
        <v>0</v>
      </c>
      <c r="BB12" s="582">
        <f t="shared" ca="1" si="27"/>
        <v>0</v>
      </c>
      <c r="BC12" s="582">
        <f t="shared" ca="1" si="28"/>
        <v>0</v>
      </c>
      <c r="BE12" s="582">
        <f t="shared" ca="1" si="1"/>
        <v>1</v>
      </c>
    </row>
    <row r="13" spans="1:57" ht="15">
      <c r="A13" s="22">
        <f t="shared" si="29"/>
        <v>2033</v>
      </c>
      <c r="B13" s="586">
        <v>8</v>
      </c>
      <c r="C13" s="583">
        <f ca="1"/>
        <v>0</v>
      </c>
      <c r="D13" s="583">
        <f ca="1"/>
        <v>0</v>
      </c>
      <c r="E13" s="583">
        <f ca="1"/>
        <v>0</v>
      </c>
      <c r="F13" s="583">
        <f ca="1"/>
        <v>0</v>
      </c>
      <c r="G13" s="583">
        <f ca="1"/>
        <v>0</v>
      </c>
      <c r="H13" s="583">
        <f ca="1"/>
        <v>3.2762666702929283E-3</v>
      </c>
      <c r="I13" s="583">
        <f ca="1"/>
        <v>0</v>
      </c>
      <c r="J13">
        <f ca="1"/>
        <v>0</v>
      </c>
      <c r="K13">
        <f ca="1"/>
        <v>0</v>
      </c>
      <c r="L13">
        <f ca="1"/>
        <v>0</v>
      </c>
      <c r="M13">
        <f ca="1"/>
        <v>0</v>
      </c>
      <c r="N13">
        <f ca="1"/>
        <v>7.2561519197423608E-4</v>
      </c>
      <c r="O13">
        <f ca="1"/>
        <v>7.2561519197423608E-4</v>
      </c>
      <c r="P13">
        <f ca="1"/>
        <v>0</v>
      </c>
      <c r="Q13">
        <f ca="1"/>
        <v>0</v>
      </c>
      <c r="R13">
        <f ca="1"/>
        <v>0</v>
      </c>
      <c r="S13">
        <f ca="1"/>
        <v>0</v>
      </c>
      <c r="T13">
        <f ca="1"/>
        <v>0</v>
      </c>
      <c r="U13">
        <f ca="1"/>
        <v>0</v>
      </c>
      <c r="V13">
        <f ca="1"/>
        <v>0</v>
      </c>
      <c r="W13">
        <f ca="1"/>
        <v>0</v>
      </c>
      <c r="X13">
        <f ca="1"/>
        <v>0</v>
      </c>
      <c r="Y13">
        <f ca="1"/>
        <v>0</v>
      </c>
      <c r="Z13">
        <f ca="1"/>
        <v>0</v>
      </c>
      <c r="AA13">
        <f ca="1"/>
        <v>0</v>
      </c>
      <c r="AB13">
        <f ca="1"/>
        <v>0</v>
      </c>
      <c r="AC13">
        <f t="shared" ca="1" si="2"/>
        <v>4.7274970542414002E-3</v>
      </c>
      <c r="AD13" s="582">
        <f t="shared" ca="1" si="3"/>
        <v>0</v>
      </c>
      <c r="AE13" s="582">
        <f t="shared" ca="1" si="4"/>
        <v>0</v>
      </c>
      <c r="AF13" s="582">
        <f t="shared" ca="1" si="5"/>
        <v>0</v>
      </c>
      <c r="AG13" s="582">
        <f t="shared" ca="1" si="6"/>
        <v>0</v>
      </c>
      <c r="AH13" s="582">
        <f t="shared" ca="1" si="7"/>
        <v>0</v>
      </c>
      <c r="AI13" s="582">
        <f t="shared" ca="1" si="8"/>
        <v>0.69302352443636916</v>
      </c>
      <c r="AJ13" s="582">
        <f t="shared" ca="1" si="9"/>
        <v>0</v>
      </c>
      <c r="AK13" s="582">
        <f t="shared" ca="1" si="10"/>
        <v>0</v>
      </c>
      <c r="AL13" s="582">
        <f t="shared" ca="1" si="11"/>
        <v>0</v>
      </c>
      <c r="AM13" s="582">
        <f t="shared" ca="1" si="12"/>
        <v>0</v>
      </c>
      <c r="AN13" s="582">
        <f t="shared" ca="1" si="13"/>
        <v>0</v>
      </c>
      <c r="AO13" s="582">
        <f t="shared" ca="1" si="14"/>
        <v>0.15348823778181545</v>
      </c>
      <c r="AP13" s="582">
        <f t="shared" ca="1" si="15"/>
        <v>0.15348823778181545</v>
      </c>
      <c r="AQ13" s="582">
        <f t="shared" ca="1" si="16"/>
        <v>0</v>
      </c>
      <c r="AR13" s="582">
        <f t="shared" ca="1" si="17"/>
        <v>0</v>
      </c>
      <c r="AS13" s="582">
        <f t="shared" ca="1" si="18"/>
        <v>0</v>
      </c>
      <c r="AT13" s="582">
        <f t="shared" ca="1" si="19"/>
        <v>0</v>
      </c>
      <c r="AU13" s="582">
        <f t="shared" ca="1" si="20"/>
        <v>0</v>
      </c>
      <c r="AV13" s="582">
        <f t="shared" ca="1" si="21"/>
        <v>0</v>
      </c>
      <c r="AW13" s="582">
        <f t="shared" ca="1" si="22"/>
        <v>0</v>
      </c>
      <c r="AX13" s="582">
        <f t="shared" ca="1" si="23"/>
        <v>0</v>
      </c>
      <c r="AY13" s="582">
        <f t="shared" ca="1" si="24"/>
        <v>0</v>
      </c>
      <c r="AZ13" s="582">
        <f t="shared" ca="1" si="25"/>
        <v>0</v>
      </c>
      <c r="BA13" s="582">
        <f t="shared" ca="1" si="26"/>
        <v>0</v>
      </c>
      <c r="BB13" s="582">
        <f t="shared" ca="1" si="27"/>
        <v>0</v>
      </c>
      <c r="BC13" s="582">
        <f t="shared" ca="1" si="28"/>
        <v>0</v>
      </c>
      <c r="BE13" s="582">
        <f t="shared" ca="1" si="1"/>
        <v>1</v>
      </c>
    </row>
    <row r="14" spans="1:57" ht="15">
      <c r="A14" s="22">
        <f t="shared" si="29"/>
        <v>2034</v>
      </c>
      <c r="B14" s="586">
        <v>9</v>
      </c>
      <c r="C14" s="583">
        <f ca="1"/>
        <v>0</v>
      </c>
      <c r="D14" s="583">
        <f ca="1"/>
        <v>0</v>
      </c>
      <c r="E14" s="583">
        <f ca="1"/>
        <v>0</v>
      </c>
      <c r="F14" s="583">
        <f ca="1"/>
        <v>0</v>
      </c>
      <c r="G14" s="583">
        <f ca="1"/>
        <v>0</v>
      </c>
      <c r="H14" s="583">
        <f ca="1"/>
        <v>3.2762666702929283E-3</v>
      </c>
      <c r="I14" s="583">
        <f ca="1"/>
        <v>0</v>
      </c>
      <c r="J14">
        <f ca="1"/>
        <v>0</v>
      </c>
      <c r="K14">
        <f ca="1"/>
        <v>0</v>
      </c>
      <c r="L14">
        <f ca="1"/>
        <v>0</v>
      </c>
      <c r="M14">
        <f ca="1"/>
        <v>0</v>
      </c>
      <c r="N14">
        <f ca="1"/>
        <v>7.2561519197423608E-4</v>
      </c>
      <c r="O14">
        <f ca="1"/>
        <v>7.2561519197423608E-4</v>
      </c>
      <c r="P14">
        <f ca="1"/>
        <v>0</v>
      </c>
      <c r="Q14">
        <f ca="1"/>
        <v>0</v>
      </c>
      <c r="R14">
        <f ca="1"/>
        <v>0</v>
      </c>
      <c r="S14">
        <f ca="1"/>
        <v>0</v>
      </c>
      <c r="T14">
        <f ca="1"/>
        <v>0</v>
      </c>
      <c r="U14">
        <f ca="1"/>
        <v>0</v>
      </c>
      <c r="V14">
        <f ca="1"/>
        <v>0</v>
      </c>
      <c r="W14">
        <f ca="1"/>
        <v>0</v>
      </c>
      <c r="X14">
        <f ca="1"/>
        <v>0</v>
      </c>
      <c r="Y14">
        <f ca="1"/>
        <v>0</v>
      </c>
      <c r="Z14">
        <f ca="1"/>
        <v>0</v>
      </c>
      <c r="AA14">
        <f ca="1"/>
        <v>0</v>
      </c>
      <c r="AB14">
        <f ca="1"/>
        <v>0</v>
      </c>
      <c r="AC14">
        <f t="shared" ca="1" si="2"/>
        <v>4.7274970542414002E-3</v>
      </c>
      <c r="AD14" s="582">
        <f t="shared" ca="1" si="3"/>
        <v>0</v>
      </c>
      <c r="AE14" s="582">
        <f t="shared" ca="1" si="4"/>
        <v>0</v>
      </c>
      <c r="AF14" s="582">
        <f t="shared" ca="1" si="5"/>
        <v>0</v>
      </c>
      <c r="AG14" s="582">
        <f t="shared" ca="1" si="6"/>
        <v>0</v>
      </c>
      <c r="AH14" s="582">
        <f t="shared" ca="1" si="7"/>
        <v>0</v>
      </c>
      <c r="AI14" s="582">
        <f t="shared" ca="1" si="8"/>
        <v>0.69302352443636916</v>
      </c>
      <c r="AJ14" s="582">
        <f t="shared" ca="1" si="9"/>
        <v>0</v>
      </c>
      <c r="AK14" s="582">
        <f t="shared" ca="1" si="10"/>
        <v>0</v>
      </c>
      <c r="AL14" s="582">
        <f t="shared" ca="1" si="11"/>
        <v>0</v>
      </c>
      <c r="AM14" s="582">
        <f t="shared" ca="1" si="12"/>
        <v>0</v>
      </c>
      <c r="AN14" s="582">
        <f t="shared" ca="1" si="13"/>
        <v>0</v>
      </c>
      <c r="AO14" s="582">
        <f t="shared" ca="1" si="14"/>
        <v>0.15348823778181545</v>
      </c>
      <c r="AP14" s="582">
        <f t="shared" ca="1" si="15"/>
        <v>0.15348823778181545</v>
      </c>
      <c r="AQ14" s="582">
        <f t="shared" ca="1" si="16"/>
        <v>0</v>
      </c>
      <c r="AR14" s="582">
        <f t="shared" ca="1" si="17"/>
        <v>0</v>
      </c>
      <c r="AS14" s="582">
        <f t="shared" ca="1" si="18"/>
        <v>0</v>
      </c>
      <c r="AT14" s="582">
        <f t="shared" ca="1" si="19"/>
        <v>0</v>
      </c>
      <c r="AU14" s="582">
        <f t="shared" ca="1" si="20"/>
        <v>0</v>
      </c>
      <c r="AV14" s="582">
        <f t="shared" ca="1" si="21"/>
        <v>0</v>
      </c>
      <c r="AW14" s="582">
        <f t="shared" ca="1" si="22"/>
        <v>0</v>
      </c>
      <c r="AX14" s="582">
        <f t="shared" ca="1" si="23"/>
        <v>0</v>
      </c>
      <c r="AY14" s="582">
        <f t="shared" ca="1" si="24"/>
        <v>0</v>
      </c>
      <c r="AZ14" s="582">
        <f t="shared" ca="1" si="25"/>
        <v>0</v>
      </c>
      <c r="BA14" s="582">
        <f t="shared" ca="1" si="26"/>
        <v>0</v>
      </c>
      <c r="BB14" s="582">
        <f t="shared" ca="1" si="27"/>
        <v>0</v>
      </c>
      <c r="BC14" s="582">
        <f t="shared" ca="1" si="28"/>
        <v>0</v>
      </c>
      <c r="BE14" s="582">
        <f t="shared" ca="1" si="1"/>
        <v>1</v>
      </c>
    </row>
    <row r="15" spans="1:57" ht="15">
      <c r="A15" s="22">
        <f t="shared" si="29"/>
        <v>2035</v>
      </c>
      <c r="B15" s="586">
        <v>10</v>
      </c>
      <c r="C15" s="583">
        <f ca="1"/>
        <v>0</v>
      </c>
      <c r="D15" s="583">
        <f ca="1"/>
        <v>0</v>
      </c>
      <c r="E15" s="583">
        <f ca="1"/>
        <v>0</v>
      </c>
      <c r="F15" s="583">
        <f ca="1"/>
        <v>0</v>
      </c>
      <c r="G15" s="583">
        <f ca="1"/>
        <v>0</v>
      </c>
      <c r="H15" s="583">
        <f ca="1"/>
        <v>3.2762666702929283E-3</v>
      </c>
      <c r="I15" s="583">
        <f ca="1"/>
        <v>0</v>
      </c>
      <c r="J15">
        <f ca="1"/>
        <v>0</v>
      </c>
      <c r="K15">
        <f ca="1"/>
        <v>0</v>
      </c>
      <c r="L15">
        <f ca="1"/>
        <v>0</v>
      </c>
      <c r="M15">
        <f ca="1"/>
        <v>0</v>
      </c>
      <c r="N15">
        <f ca="1"/>
        <v>7.2561519197423608E-4</v>
      </c>
      <c r="O15">
        <f ca="1"/>
        <v>7.2561519197423608E-4</v>
      </c>
      <c r="P15">
        <f ca="1"/>
        <v>0</v>
      </c>
      <c r="Q15">
        <f ca="1"/>
        <v>0</v>
      </c>
      <c r="R15">
        <f ca="1"/>
        <v>0</v>
      </c>
      <c r="S15">
        <f ca="1"/>
        <v>0</v>
      </c>
      <c r="T15">
        <f ca="1"/>
        <v>0</v>
      </c>
      <c r="U15">
        <f ca="1"/>
        <v>0</v>
      </c>
      <c r="V15">
        <f ca="1"/>
        <v>0</v>
      </c>
      <c r="W15">
        <f ca="1"/>
        <v>0</v>
      </c>
      <c r="X15">
        <f ca="1"/>
        <v>0</v>
      </c>
      <c r="Y15">
        <f ca="1"/>
        <v>0</v>
      </c>
      <c r="Z15">
        <f ca="1"/>
        <v>0</v>
      </c>
      <c r="AA15">
        <f ca="1"/>
        <v>0</v>
      </c>
      <c r="AB15">
        <f ca="1"/>
        <v>0</v>
      </c>
      <c r="AC15">
        <f t="shared" ca="1" si="2"/>
        <v>4.7274970542414002E-3</v>
      </c>
      <c r="AD15" s="582">
        <f t="shared" ca="1" si="3"/>
        <v>0</v>
      </c>
      <c r="AE15" s="582">
        <f t="shared" ca="1" si="4"/>
        <v>0</v>
      </c>
      <c r="AF15" s="582">
        <f t="shared" ca="1" si="5"/>
        <v>0</v>
      </c>
      <c r="AG15" s="582">
        <f t="shared" ca="1" si="6"/>
        <v>0</v>
      </c>
      <c r="AH15" s="582">
        <f t="shared" ca="1" si="7"/>
        <v>0</v>
      </c>
      <c r="AI15" s="582">
        <f t="shared" ca="1" si="8"/>
        <v>0.69302352443636916</v>
      </c>
      <c r="AJ15" s="582">
        <f t="shared" ca="1" si="9"/>
        <v>0</v>
      </c>
      <c r="AK15" s="582">
        <f t="shared" ca="1" si="10"/>
        <v>0</v>
      </c>
      <c r="AL15" s="582">
        <f t="shared" ca="1" si="11"/>
        <v>0</v>
      </c>
      <c r="AM15" s="582">
        <f t="shared" ca="1" si="12"/>
        <v>0</v>
      </c>
      <c r="AN15" s="582">
        <f t="shared" ca="1" si="13"/>
        <v>0</v>
      </c>
      <c r="AO15" s="582">
        <f t="shared" ca="1" si="14"/>
        <v>0.15348823778181545</v>
      </c>
      <c r="AP15" s="582">
        <f t="shared" ca="1" si="15"/>
        <v>0.15348823778181545</v>
      </c>
      <c r="AQ15" s="582">
        <f t="shared" ca="1" si="16"/>
        <v>0</v>
      </c>
      <c r="AR15" s="582">
        <f t="shared" ca="1" si="17"/>
        <v>0</v>
      </c>
      <c r="AS15" s="582">
        <f t="shared" ca="1" si="18"/>
        <v>0</v>
      </c>
      <c r="AT15" s="582">
        <f t="shared" ca="1" si="19"/>
        <v>0</v>
      </c>
      <c r="AU15" s="582">
        <f t="shared" ca="1" si="20"/>
        <v>0</v>
      </c>
      <c r="AV15" s="582">
        <f t="shared" ca="1" si="21"/>
        <v>0</v>
      </c>
      <c r="AW15" s="582">
        <f t="shared" ca="1" si="22"/>
        <v>0</v>
      </c>
      <c r="AX15" s="582">
        <f t="shared" ca="1" si="23"/>
        <v>0</v>
      </c>
      <c r="AY15" s="582">
        <f t="shared" ca="1" si="24"/>
        <v>0</v>
      </c>
      <c r="AZ15" s="582">
        <f t="shared" ca="1" si="25"/>
        <v>0</v>
      </c>
      <c r="BA15" s="582">
        <f t="shared" ca="1" si="26"/>
        <v>0</v>
      </c>
      <c r="BB15" s="582">
        <f t="shared" ca="1" si="27"/>
        <v>0</v>
      </c>
      <c r="BC15" s="582">
        <f t="shared" ca="1" si="28"/>
        <v>0</v>
      </c>
      <c r="BE15" s="582">
        <f t="shared" ca="1" si="1"/>
        <v>1</v>
      </c>
    </row>
    <row r="16" spans="1:57" ht="15">
      <c r="A16" s="22">
        <f t="shared" si="29"/>
        <v>2036</v>
      </c>
      <c r="B16" s="586">
        <v>11</v>
      </c>
      <c r="C16" s="583">
        <f ca="1"/>
        <v>0</v>
      </c>
      <c r="D16" s="583">
        <f ca="1"/>
        <v>0</v>
      </c>
      <c r="E16" s="583">
        <f ca="1"/>
        <v>0</v>
      </c>
      <c r="F16" s="583">
        <f ca="1"/>
        <v>0</v>
      </c>
      <c r="G16" s="583">
        <f ca="1"/>
        <v>0</v>
      </c>
      <c r="H16" s="583">
        <f ca="1"/>
        <v>3.2762666702929283E-3</v>
      </c>
      <c r="I16" s="583">
        <f ca="1"/>
        <v>0</v>
      </c>
      <c r="J16">
        <f ca="1"/>
        <v>0</v>
      </c>
      <c r="K16">
        <f ca="1"/>
        <v>0</v>
      </c>
      <c r="L16">
        <f ca="1"/>
        <v>0</v>
      </c>
      <c r="M16">
        <f ca="1"/>
        <v>0</v>
      </c>
      <c r="N16">
        <f ca="1"/>
        <v>7.2561519197423608E-4</v>
      </c>
      <c r="O16">
        <f ca="1"/>
        <v>7.2561519197423608E-4</v>
      </c>
      <c r="P16">
        <f ca="1"/>
        <v>0</v>
      </c>
      <c r="Q16">
        <f ca="1"/>
        <v>0</v>
      </c>
      <c r="R16">
        <f ca="1"/>
        <v>0</v>
      </c>
      <c r="S16">
        <f ca="1"/>
        <v>0</v>
      </c>
      <c r="T16">
        <f ca="1"/>
        <v>0</v>
      </c>
      <c r="U16">
        <f ca="1"/>
        <v>0</v>
      </c>
      <c r="V16">
        <f ca="1"/>
        <v>0</v>
      </c>
      <c r="W16">
        <f ca="1"/>
        <v>0</v>
      </c>
      <c r="X16">
        <f ca="1"/>
        <v>0</v>
      </c>
      <c r="Y16">
        <f ca="1"/>
        <v>0</v>
      </c>
      <c r="Z16">
        <f ca="1"/>
        <v>0</v>
      </c>
      <c r="AA16">
        <f ca="1"/>
        <v>0</v>
      </c>
      <c r="AB16">
        <f ca="1"/>
        <v>0</v>
      </c>
      <c r="AC16">
        <f t="shared" ca="1" si="2"/>
        <v>4.7274970542414002E-3</v>
      </c>
      <c r="AD16" s="582">
        <f t="shared" ca="1" si="3"/>
        <v>0</v>
      </c>
      <c r="AE16" s="582">
        <f t="shared" ca="1" si="4"/>
        <v>0</v>
      </c>
      <c r="AF16" s="582">
        <f t="shared" ca="1" si="5"/>
        <v>0</v>
      </c>
      <c r="AG16" s="582">
        <f t="shared" ca="1" si="6"/>
        <v>0</v>
      </c>
      <c r="AH16" s="582">
        <f t="shared" ca="1" si="7"/>
        <v>0</v>
      </c>
      <c r="AI16" s="582">
        <f t="shared" ca="1" si="8"/>
        <v>0.69302352443636916</v>
      </c>
      <c r="AJ16" s="582">
        <f t="shared" ca="1" si="9"/>
        <v>0</v>
      </c>
      <c r="AK16" s="582">
        <f t="shared" ca="1" si="10"/>
        <v>0</v>
      </c>
      <c r="AL16" s="582">
        <f t="shared" ca="1" si="11"/>
        <v>0</v>
      </c>
      <c r="AM16" s="582">
        <f t="shared" ca="1" si="12"/>
        <v>0</v>
      </c>
      <c r="AN16" s="582">
        <f t="shared" ca="1" si="13"/>
        <v>0</v>
      </c>
      <c r="AO16" s="582">
        <f t="shared" ca="1" si="14"/>
        <v>0.15348823778181545</v>
      </c>
      <c r="AP16" s="582">
        <f t="shared" ca="1" si="15"/>
        <v>0.15348823778181545</v>
      </c>
      <c r="AQ16" s="582">
        <f t="shared" ca="1" si="16"/>
        <v>0</v>
      </c>
      <c r="AR16" s="582">
        <f t="shared" ca="1" si="17"/>
        <v>0</v>
      </c>
      <c r="AS16" s="582">
        <f t="shared" ca="1" si="18"/>
        <v>0</v>
      </c>
      <c r="AT16" s="582">
        <f t="shared" ca="1" si="19"/>
        <v>0</v>
      </c>
      <c r="AU16" s="582">
        <f t="shared" ca="1" si="20"/>
        <v>0</v>
      </c>
      <c r="AV16" s="582">
        <f t="shared" ca="1" si="21"/>
        <v>0</v>
      </c>
      <c r="AW16" s="582">
        <f t="shared" ca="1" si="22"/>
        <v>0</v>
      </c>
      <c r="AX16" s="582">
        <f t="shared" ca="1" si="23"/>
        <v>0</v>
      </c>
      <c r="AY16" s="582">
        <f t="shared" ca="1" si="24"/>
        <v>0</v>
      </c>
      <c r="AZ16" s="582">
        <f t="shared" ca="1" si="25"/>
        <v>0</v>
      </c>
      <c r="BA16" s="582">
        <f t="shared" ca="1" si="26"/>
        <v>0</v>
      </c>
      <c r="BB16" s="582">
        <f t="shared" ca="1" si="27"/>
        <v>0</v>
      </c>
      <c r="BC16" s="582">
        <f t="shared" ca="1" si="28"/>
        <v>0</v>
      </c>
      <c r="BE16" s="582">
        <f t="shared" ca="1" si="1"/>
        <v>1</v>
      </c>
    </row>
    <row r="17" spans="1:57" ht="15">
      <c r="A17" s="22">
        <f t="shared" si="29"/>
        <v>2037</v>
      </c>
      <c r="B17" s="586">
        <v>12</v>
      </c>
      <c r="C17" s="583">
        <f ca="1"/>
        <v>0</v>
      </c>
      <c r="D17" s="583">
        <f ca="1"/>
        <v>0</v>
      </c>
      <c r="E17" s="583">
        <f ca="1"/>
        <v>0</v>
      </c>
      <c r="F17" s="583">
        <f ca="1"/>
        <v>0</v>
      </c>
      <c r="G17" s="583">
        <f ca="1"/>
        <v>0</v>
      </c>
      <c r="H17" s="583">
        <f ca="1"/>
        <v>3.2762666702929283E-3</v>
      </c>
      <c r="I17" s="583">
        <f ca="1"/>
        <v>0</v>
      </c>
      <c r="J17">
        <f ca="1"/>
        <v>0</v>
      </c>
      <c r="K17">
        <f ca="1"/>
        <v>0</v>
      </c>
      <c r="L17">
        <f ca="1"/>
        <v>0</v>
      </c>
      <c r="M17">
        <f ca="1"/>
        <v>0</v>
      </c>
      <c r="N17">
        <f ca="1"/>
        <v>7.2561519197423608E-4</v>
      </c>
      <c r="O17">
        <f ca="1"/>
        <v>7.2561519197423608E-4</v>
      </c>
      <c r="P17">
        <f ca="1"/>
        <v>0</v>
      </c>
      <c r="Q17">
        <f ca="1"/>
        <v>0</v>
      </c>
      <c r="R17">
        <f ca="1"/>
        <v>0</v>
      </c>
      <c r="S17">
        <f ca="1"/>
        <v>0</v>
      </c>
      <c r="T17">
        <f ca="1"/>
        <v>0</v>
      </c>
      <c r="U17">
        <f ca="1"/>
        <v>0</v>
      </c>
      <c r="V17">
        <f ca="1"/>
        <v>0</v>
      </c>
      <c r="W17">
        <f ca="1"/>
        <v>0</v>
      </c>
      <c r="X17">
        <f ca="1"/>
        <v>0</v>
      </c>
      <c r="Y17">
        <f ca="1"/>
        <v>0</v>
      </c>
      <c r="Z17">
        <f ca="1"/>
        <v>0</v>
      </c>
      <c r="AA17">
        <f ca="1"/>
        <v>0</v>
      </c>
      <c r="AB17">
        <f ca="1"/>
        <v>0</v>
      </c>
      <c r="AC17">
        <f t="shared" ca="1" si="2"/>
        <v>4.7274970542414002E-3</v>
      </c>
      <c r="AD17" s="582">
        <f t="shared" ca="1" si="3"/>
        <v>0</v>
      </c>
      <c r="AE17" s="582">
        <f t="shared" ca="1" si="4"/>
        <v>0</v>
      </c>
      <c r="AF17" s="582">
        <f t="shared" ca="1" si="5"/>
        <v>0</v>
      </c>
      <c r="AG17" s="582">
        <f t="shared" ca="1" si="6"/>
        <v>0</v>
      </c>
      <c r="AH17" s="582">
        <f t="shared" ca="1" si="7"/>
        <v>0</v>
      </c>
      <c r="AI17" s="582">
        <f t="shared" ca="1" si="8"/>
        <v>0.69302352443636916</v>
      </c>
      <c r="AJ17" s="582">
        <f t="shared" ca="1" si="9"/>
        <v>0</v>
      </c>
      <c r="AK17" s="582">
        <f t="shared" ca="1" si="10"/>
        <v>0</v>
      </c>
      <c r="AL17" s="582">
        <f t="shared" ca="1" si="11"/>
        <v>0</v>
      </c>
      <c r="AM17" s="582">
        <f t="shared" ca="1" si="12"/>
        <v>0</v>
      </c>
      <c r="AN17" s="582">
        <f t="shared" ca="1" si="13"/>
        <v>0</v>
      </c>
      <c r="AO17" s="582">
        <f t="shared" ca="1" si="14"/>
        <v>0.15348823778181545</v>
      </c>
      <c r="AP17" s="582">
        <f t="shared" ca="1" si="15"/>
        <v>0.15348823778181545</v>
      </c>
      <c r="AQ17" s="582">
        <f t="shared" ca="1" si="16"/>
        <v>0</v>
      </c>
      <c r="AR17" s="582">
        <f t="shared" ca="1" si="17"/>
        <v>0</v>
      </c>
      <c r="AS17" s="582">
        <f t="shared" ca="1" si="18"/>
        <v>0</v>
      </c>
      <c r="AT17" s="582">
        <f t="shared" ca="1" si="19"/>
        <v>0</v>
      </c>
      <c r="AU17" s="582">
        <f t="shared" ca="1" si="20"/>
        <v>0</v>
      </c>
      <c r="AV17" s="582">
        <f t="shared" ca="1" si="21"/>
        <v>0</v>
      </c>
      <c r="AW17" s="582">
        <f t="shared" ca="1" si="22"/>
        <v>0</v>
      </c>
      <c r="AX17" s="582">
        <f t="shared" ca="1" si="23"/>
        <v>0</v>
      </c>
      <c r="AY17" s="582">
        <f t="shared" ca="1" si="24"/>
        <v>0</v>
      </c>
      <c r="AZ17" s="582">
        <f t="shared" ca="1" si="25"/>
        <v>0</v>
      </c>
      <c r="BA17" s="582">
        <f t="shared" ca="1" si="26"/>
        <v>0</v>
      </c>
      <c r="BB17" s="582">
        <f t="shared" ca="1" si="27"/>
        <v>0</v>
      </c>
      <c r="BC17" s="582">
        <f t="shared" ca="1" si="28"/>
        <v>0</v>
      </c>
      <c r="BE17" s="582">
        <f t="shared" ca="1" si="1"/>
        <v>1</v>
      </c>
    </row>
    <row r="18" spans="1:57" ht="15">
      <c r="A18" s="22">
        <f t="shared" si="29"/>
        <v>2038</v>
      </c>
      <c r="B18" s="586">
        <v>13</v>
      </c>
      <c r="C18" s="583">
        <f ca="1"/>
        <v>0</v>
      </c>
      <c r="D18" s="583">
        <f ca="1"/>
        <v>0</v>
      </c>
      <c r="E18" s="583">
        <f ca="1"/>
        <v>0</v>
      </c>
      <c r="F18" s="583">
        <f ca="1"/>
        <v>0</v>
      </c>
      <c r="G18" s="583">
        <f ca="1"/>
        <v>0</v>
      </c>
      <c r="H18" s="583">
        <f ca="1"/>
        <v>3.2762666702929283E-3</v>
      </c>
      <c r="I18" s="583">
        <f ca="1"/>
        <v>0</v>
      </c>
      <c r="J18">
        <f ca="1"/>
        <v>0</v>
      </c>
      <c r="K18">
        <f ca="1"/>
        <v>0</v>
      </c>
      <c r="L18">
        <f ca="1"/>
        <v>0</v>
      </c>
      <c r="M18">
        <f ca="1"/>
        <v>0</v>
      </c>
      <c r="N18">
        <f ca="1"/>
        <v>7.2561519197423608E-4</v>
      </c>
      <c r="O18">
        <f ca="1"/>
        <v>7.2561519197423608E-4</v>
      </c>
      <c r="P18">
        <f ca="1"/>
        <v>0</v>
      </c>
      <c r="Q18">
        <f ca="1"/>
        <v>0</v>
      </c>
      <c r="R18">
        <f ca="1"/>
        <v>0</v>
      </c>
      <c r="S18">
        <f ca="1"/>
        <v>0</v>
      </c>
      <c r="T18">
        <f ca="1"/>
        <v>0</v>
      </c>
      <c r="U18">
        <f ca="1"/>
        <v>0</v>
      </c>
      <c r="V18">
        <f ca="1"/>
        <v>0</v>
      </c>
      <c r="W18">
        <f ca="1"/>
        <v>0</v>
      </c>
      <c r="X18">
        <f ca="1"/>
        <v>0</v>
      </c>
      <c r="Y18">
        <f ca="1"/>
        <v>0</v>
      </c>
      <c r="Z18">
        <f ca="1"/>
        <v>0</v>
      </c>
      <c r="AA18">
        <f ca="1"/>
        <v>0</v>
      </c>
      <c r="AB18">
        <f ca="1"/>
        <v>0</v>
      </c>
      <c r="AC18">
        <f t="shared" ca="1" si="2"/>
        <v>4.7274970542414002E-3</v>
      </c>
      <c r="AD18" s="582">
        <f t="shared" ca="1" si="3"/>
        <v>0</v>
      </c>
      <c r="AE18" s="582">
        <f t="shared" ca="1" si="4"/>
        <v>0</v>
      </c>
      <c r="AF18" s="582">
        <f t="shared" ca="1" si="5"/>
        <v>0</v>
      </c>
      <c r="AG18" s="582">
        <f t="shared" ca="1" si="6"/>
        <v>0</v>
      </c>
      <c r="AH18" s="582">
        <f t="shared" ca="1" si="7"/>
        <v>0</v>
      </c>
      <c r="AI18" s="582">
        <f t="shared" ca="1" si="8"/>
        <v>0.69302352443636916</v>
      </c>
      <c r="AJ18" s="582">
        <f t="shared" ca="1" si="9"/>
        <v>0</v>
      </c>
      <c r="AK18" s="582">
        <f t="shared" ca="1" si="10"/>
        <v>0</v>
      </c>
      <c r="AL18" s="582">
        <f t="shared" ca="1" si="11"/>
        <v>0</v>
      </c>
      <c r="AM18" s="582">
        <f t="shared" ca="1" si="12"/>
        <v>0</v>
      </c>
      <c r="AN18" s="582">
        <f t="shared" ca="1" si="13"/>
        <v>0</v>
      </c>
      <c r="AO18" s="582">
        <f t="shared" ca="1" si="14"/>
        <v>0.15348823778181545</v>
      </c>
      <c r="AP18" s="582">
        <f t="shared" ca="1" si="15"/>
        <v>0.15348823778181545</v>
      </c>
      <c r="AQ18" s="582">
        <f t="shared" ca="1" si="16"/>
        <v>0</v>
      </c>
      <c r="AR18" s="582">
        <f t="shared" ca="1" si="17"/>
        <v>0</v>
      </c>
      <c r="AS18" s="582">
        <f t="shared" ca="1" si="18"/>
        <v>0</v>
      </c>
      <c r="AT18" s="582">
        <f t="shared" ca="1" si="19"/>
        <v>0</v>
      </c>
      <c r="AU18" s="582">
        <f t="shared" ca="1" si="20"/>
        <v>0</v>
      </c>
      <c r="AV18" s="582">
        <f t="shared" ca="1" si="21"/>
        <v>0</v>
      </c>
      <c r="AW18" s="582">
        <f t="shared" ca="1" si="22"/>
        <v>0</v>
      </c>
      <c r="AX18" s="582">
        <f t="shared" ca="1" si="23"/>
        <v>0</v>
      </c>
      <c r="AY18" s="582">
        <f t="shared" ca="1" si="24"/>
        <v>0</v>
      </c>
      <c r="AZ18" s="582">
        <f t="shared" ca="1" si="25"/>
        <v>0</v>
      </c>
      <c r="BA18" s="582">
        <f t="shared" ca="1" si="26"/>
        <v>0</v>
      </c>
      <c r="BB18" s="582">
        <f t="shared" ca="1" si="27"/>
        <v>0</v>
      </c>
      <c r="BC18" s="582">
        <f t="shared" ca="1" si="28"/>
        <v>0</v>
      </c>
      <c r="BE18" s="582">
        <f t="shared" ca="1" si="1"/>
        <v>1</v>
      </c>
    </row>
    <row r="19" spans="1:57" ht="15">
      <c r="A19" s="22">
        <f t="shared" si="29"/>
        <v>2039</v>
      </c>
      <c r="B19" s="586">
        <v>14</v>
      </c>
      <c r="C19" s="583">
        <f ca="1"/>
        <v>0</v>
      </c>
      <c r="D19" s="583">
        <f ca="1"/>
        <v>0</v>
      </c>
      <c r="E19" s="583">
        <f ca="1"/>
        <v>0</v>
      </c>
      <c r="F19" s="583">
        <f ca="1"/>
        <v>0</v>
      </c>
      <c r="G19" s="583">
        <f ca="1"/>
        <v>0</v>
      </c>
      <c r="H19" s="583">
        <f ca="1"/>
        <v>3.2762666702929283E-3</v>
      </c>
      <c r="I19" s="583">
        <f ca="1"/>
        <v>0</v>
      </c>
      <c r="J19">
        <f ca="1"/>
        <v>0</v>
      </c>
      <c r="K19">
        <f ca="1"/>
        <v>0</v>
      </c>
      <c r="L19">
        <f ca="1"/>
        <v>0</v>
      </c>
      <c r="M19">
        <f ca="1"/>
        <v>0</v>
      </c>
      <c r="N19">
        <f ca="1"/>
        <v>7.2561519197423608E-4</v>
      </c>
      <c r="O19">
        <f ca="1"/>
        <v>7.2561519197423608E-4</v>
      </c>
      <c r="P19">
        <f ca="1"/>
        <v>0</v>
      </c>
      <c r="Q19">
        <f ca="1"/>
        <v>0</v>
      </c>
      <c r="R19">
        <f ca="1"/>
        <v>0</v>
      </c>
      <c r="S19">
        <f ca="1"/>
        <v>0</v>
      </c>
      <c r="T19">
        <f ca="1"/>
        <v>0</v>
      </c>
      <c r="U19">
        <f ca="1"/>
        <v>0</v>
      </c>
      <c r="V19">
        <f ca="1"/>
        <v>0</v>
      </c>
      <c r="W19">
        <f ca="1"/>
        <v>0</v>
      </c>
      <c r="X19">
        <f ca="1"/>
        <v>0</v>
      </c>
      <c r="Y19">
        <f ca="1"/>
        <v>0</v>
      </c>
      <c r="Z19">
        <f ca="1"/>
        <v>0</v>
      </c>
      <c r="AA19">
        <f ca="1"/>
        <v>0</v>
      </c>
      <c r="AB19">
        <f ca="1"/>
        <v>0</v>
      </c>
      <c r="AC19">
        <f t="shared" ca="1" si="2"/>
        <v>4.7274970542414002E-3</v>
      </c>
      <c r="AD19" s="582">
        <f t="shared" ca="1" si="3"/>
        <v>0</v>
      </c>
      <c r="AE19" s="582">
        <f t="shared" ca="1" si="4"/>
        <v>0</v>
      </c>
      <c r="AF19" s="582">
        <f t="shared" ca="1" si="5"/>
        <v>0</v>
      </c>
      <c r="AG19" s="582">
        <f t="shared" ca="1" si="6"/>
        <v>0</v>
      </c>
      <c r="AH19" s="582">
        <f t="shared" ca="1" si="7"/>
        <v>0</v>
      </c>
      <c r="AI19" s="582">
        <f t="shared" ca="1" si="8"/>
        <v>0.69302352443636916</v>
      </c>
      <c r="AJ19" s="582">
        <f t="shared" ca="1" si="9"/>
        <v>0</v>
      </c>
      <c r="AK19" s="582">
        <f t="shared" ca="1" si="10"/>
        <v>0</v>
      </c>
      <c r="AL19" s="582">
        <f t="shared" ca="1" si="11"/>
        <v>0</v>
      </c>
      <c r="AM19" s="582">
        <f t="shared" ca="1" si="12"/>
        <v>0</v>
      </c>
      <c r="AN19" s="582">
        <f t="shared" ca="1" si="13"/>
        <v>0</v>
      </c>
      <c r="AO19" s="582">
        <f t="shared" ca="1" si="14"/>
        <v>0.15348823778181545</v>
      </c>
      <c r="AP19" s="582">
        <f t="shared" ca="1" si="15"/>
        <v>0.15348823778181545</v>
      </c>
      <c r="AQ19" s="582">
        <f t="shared" ca="1" si="16"/>
        <v>0</v>
      </c>
      <c r="AR19" s="582">
        <f t="shared" ca="1" si="17"/>
        <v>0</v>
      </c>
      <c r="AS19" s="582">
        <f t="shared" ca="1" si="18"/>
        <v>0</v>
      </c>
      <c r="AT19" s="582">
        <f t="shared" ca="1" si="19"/>
        <v>0</v>
      </c>
      <c r="AU19" s="582">
        <f t="shared" ca="1" si="20"/>
        <v>0</v>
      </c>
      <c r="AV19" s="582">
        <f t="shared" ca="1" si="21"/>
        <v>0</v>
      </c>
      <c r="AW19" s="582">
        <f t="shared" ca="1" si="22"/>
        <v>0</v>
      </c>
      <c r="AX19" s="582">
        <f t="shared" ca="1" si="23"/>
        <v>0</v>
      </c>
      <c r="AY19" s="582">
        <f t="shared" ca="1" si="24"/>
        <v>0</v>
      </c>
      <c r="AZ19" s="582">
        <f t="shared" ca="1" si="25"/>
        <v>0</v>
      </c>
      <c r="BA19" s="582">
        <f t="shared" ca="1" si="26"/>
        <v>0</v>
      </c>
      <c r="BB19" s="582">
        <f t="shared" ca="1" si="27"/>
        <v>0</v>
      </c>
      <c r="BC19" s="582">
        <f t="shared" ca="1" si="28"/>
        <v>0</v>
      </c>
      <c r="BE19" s="582">
        <f t="shared" ca="1" si="1"/>
        <v>1</v>
      </c>
    </row>
    <row r="20" spans="1:57" ht="15">
      <c r="A20" s="22">
        <f t="shared" si="29"/>
        <v>2040</v>
      </c>
      <c r="B20" s="586">
        <v>15</v>
      </c>
      <c r="C20" s="583">
        <f ca="1"/>
        <v>0</v>
      </c>
      <c r="D20" s="583">
        <f ca="1"/>
        <v>0</v>
      </c>
      <c r="E20" s="583">
        <f ca="1"/>
        <v>0</v>
      </c>
      <c r="F20" s="583">
        <f ca="1"/>
        <v>0</v>
      </c>
      <c r="G20" s="583">
        <f ca="1"/>
        <v>0</v>
      </c>
      <c r="H20" s="583">
        <f ca="1"/>
        <v>3.2762666702929283E-3</v>
      </c>
      <c r="I20" s="583">
        <f ca="1"/>
        <v>0</v>
      </c>
      <c r="J20">
        <f ca="1"/>
        <v>0</v>
      </c>
      <c r="K20">
        <f ca="1"/>
        <v>0</v>
      </c>
      <c r="L20">
        <f ca="1"/>
        <v>0</v>
      </c>
      <c r="M20">
        <f ca="1"/>
        <v>0</v>
      </c>
      <c r="N20">
        <f ca="1"/>
        <v>7.2561519197423608E-4</v>
      </c>
      <c r="O20">
        <f ca="1"/>
        <v>7.2561519197423608E-4</v>
      </c>
      <c r="P20">
        <f ca="1"/>
        <v>0</v>
      </c>
      <c r="Q20">
        <f ca="1"/>
        <v>0</v>
      </c>
      <c r="R20">
        <f ca="1"/>
        <v>0</v>
      </c>
      <c r="S20">
        <f ca="1"/>
        <v>0</v>
      </c>
      <c r="T20">
        <f ca="1"/>
        <v>0</v>
      </c>
      <c r="U20">
        <f ca="1"/>
        <v>0</v>
      </c>
      <c r="V20">
        <f ca="1"/>
        <v>0</v>
      </c>
      <c r="W20">
        <f ca="1"/>
        <v>0</v>
      </c>
      <c r="X20">
        <f ca="1"/>
        <v>0</v>
      </c>
      <c r="Y20">
        <f ca="1"/>
        <v>0</v>
      </c>
      <c r="Z20">
        <f ca="1"/>
        <v>0</v>
      </c>
      <c r="AA20">
        <f ca="1"/>
        <v>0</v>
      </c>
      <c r="AB20">
        <f ca="1"/>
        <v>0</v>
      </c>
      <c r="AC20">
        <f t="shared" ca="1" si="2"/>
        <v>4.7274970542414002E-3</v>
      </c>
      <c r="AD20" s="582">
        <f t="shared" ca="1" si="3"/>
        <v>0</v>
      </c>
      <c r="AE20" s="582">
        <f t="shared" ca="1" si="4"/>
        <v>0</v>
      </c>
      <c r="AF20" s="582">
        <f t="shared" ca="1" si="5"/>
        <v>0</v>
      </c>
      <c r="AG20" s="582">
        <f t="shared" ca="1" si="6"/>
        <v>0</v>
      </c>
      <c r="AH20" s="582">
        <f t="shared" ca="1" si="7"/>
        <v>0</v>
      </c>
      <c r="AI20" s="582">
        <f t="shared" ca="1" si="8"/>
        <v>0.69302352443636916</v>
      </c>
      <c r="AJ20" s="582">
        <f t="shared" ca="1" si="9"/>
        <v>0</v>
      </c>
      <c r="AK20" s="582">
        <f t="shared" ca="1" si="10"/>
        <v>0</v>
      </c>
      <c r="AL20" s="582">
        <f t="shared" ca="1" si="11"/>
        <v>0</v>
      </c>
      <c r="AM20" s="582">
        <f t="shared" ca="1" si="12"/>
        <v>0</v>
      </c>
      <c r="AN20" s="582">
        <f t="shared" ca="1" si="13"/>
        <v>0</v>
      </c>
      <c r="AO20" s="582">
        <f t="shared" ca="1" si="14"/>
        <v>0.15348823778181545</v>
      </c>
      <c r="AP20" s="582">
        <f t="shared" ca="1" si="15"/>
        <v>0.15348823778181545</v>
      </c>
      <c r="AQ20" s="582">
        <f t="shared" ca="1" si="16"/>
        <v>0</v>
      </c>
      <c r="AR20" s="582">
        <f t="shared" ca="1" si="17"/>
        <v>0</v>
      </c>
      <c r="AS20" s="582">
        <f t="shared" ca="1" si="18"/>
        <v>0</v>
      </c>
      <c r="AT20" s="582">
        <f t="shared" ca="1" si="19"/>
        <v>0</v>
      </c>
      <c r="AU20" s="582">
        <f t="shared" ca="1" si="20"/>
        <v>0</v>
      </c>
      <c r="AV20" s="582">
        <f t="shared" ca="1" si="21"/>
        <v>0</v>
      </c>
      <c r="AW20" s="582">
        <f t="shared" ca="1" si="22"/>
        <v>0</v>
      </c>
      <c r="AX20" s="582">
        <f t="shared" ca="1" si="23"/>
        <v>0</v>
      </c>
      <c r="AY20" s="582">
        <f t="shared" ca="1" si="24"/>
        <v>0</v>
      </c>
      <c r="AZ20" s="582">
        <f t="shared" ca="1" si="25"/>
        <v>0</v>
      </c>
      <c r="BA20" s="582">
        <f t="shared" ca="1" si="26"/>
        <v>0</v>
      </c>
      <c r="BB20" s="582">
        <f t="shared" ca="1" si="27"/>
        <v>0</v>
      </c>
      <c r="BC20" s="582">
        <f t="shared" ca="1" si="28"/>
        <v>0</v>
      </c>
      <c r="BE20" s="582">
        <f t="shared" ca="1" si="1"/>
        <v>1</v>
      </c>
    </row>
    <row r="21" spans="1:57" ht="15">
      <c r="A21" s="22">
        <f t="shared" si="29"/>
        <v>2041</v>
      </c>
      <c r="B21" s="586">
        <v>16</v>
      </c>
      <c r="C21" s="583">
        <f ca="1"/>
        <v>0</v>
      </c>
      <c r="D21" s="583">
        <f ca="1"/>
        <v>0</v>
      </c>
      <c r="E21" s="583">
        <f ca="1"/>
        <v>0</v>
      </c>
      <c r="F21" s="583">
        <f ca="1"/>
        <v>0</v>
      </c>
      <c r="G21" s="583">
        <f ca="1"/>
        <v>0</v>
      </c>
      <c r="H21" s="583">
        <f ca="1"/>
        <v>3.2762666702929283E-3</v>
      </c>
      <c r="I21" s="583">
        <f ca="1"/>
        <v>0</v>
      </c>
      <c r="J21">
        <f ca="1"/>
        <v>0</v>
      </c>
      <c r="K21">
        <f ca="1"/>
        <v>0</v>
      </c>
      <c r="L21">
        <f ca="1"/>
        <v>0</v>
      </c>
      <c r="M21">
        <f ca="1"/>
        <v>0</v>
      </c>
      <c r="N21">
        <f ca="1"/>
        <v>7.2561519197423608E-4</v>
      </c>
      <c r="O21">
        <f ca="1"/>
        <v>7.2561519197423608E-4</v>
      </c>
      <c r="P21">
        <f ca="1"/>
        <v>0</v>
      </c>
      <c r="Q21">
        <f ca="1"/>
        <v>0</v>
      </c>
      <c r="R21">
        <f ca="1"/>
        <v>0</v>
      </c>
      <c r="S21">
        <f ca="1"/>
        <v>0</v>
      </c>
      <c r="T21">
        <f ca="1"/>
        <v>0</v>
      </c>
      <c r="U21">
        <f ca="1"/>
        <v>0</v>
      </c>
      <c r="V21">
        <f ca="1"/>
        <v>0</v>
      </c>
      <c r="W21">
        <f ca="1"/>
        <v>0</v>
      </c>
      <c r="X21">
        <f ca="1"/>
        <v>0</v>
      </c>
      <c r="Y21">
        <f ca="1"/>
        <v>0</v>
      </c>
      <c r="Z21">
        <f ca="1"/>
        <v>0</v>
      </c>
      <c r="AA21">
        <f ca="1"/>
        <v>0</v>
      </c>
      <c r="AB21">
        <f ca="1"/>
        <v>0</v>
      </c>
      <c r="AC21">
        <f t="shared" ca="1" si="2"/>
        <v>4.7274970542414002E-3</v>
      </c>
      <c r="AD21" s="582">
        <f t="shared" ca="1" si="3"/>
        <v>0</v>
      </c>
      <c r="AE21" s="582">
        <f t="shared" ca="1" si="4"/>
        <v>0</v>
      </c>
      <c r="AF21" s="582">
        <f t="shared" ca="1" si="5"/>
        <v>0</v>
      </c>
      <c r="AG21" s="582">
        <f t="shared" ca="1" si="6"/>
        <v>0</v>
      </c>
      <c r="AH21" s="582">
        <f t="shared" ca="1" si="7"/>
        <v>0</v>
      </c>
      <c r="AI21" s="582">
        <f t="shared" ca="1" si="8"/>
        <v>0.69302352443636916</v>
      </c>
      <c r="AJ21" s="582">
        <f t="shared" ca="1" si="9"/>
        <v>0</v>
      </c>
      <c r="AK21" s="582">
        <f t="shared" ca="1" si="10"/>
        <v>0</v>
      </c>
      <c r="AL21" s="582">
        <f t="shared" ca="1" si="11"/>
        <v>0</v>
      </c>
      <c r="AM21" s="582">
        <f t="shared" ca="1" si="12"/>
        <v>0</v>
      </c>
      <c r="AN21" s="582">
        <f t="shared" ca="1" si="13"/>
        <v>0</v>
      </c>
      <c r="AO21" s="582">
        <f t="shared" ca="1" si="14"/>
        <v>0.15348823778181545</v>
      </c>
      <c r="AP21" s="582">
        <f t="shared" ca="1" si="15"/>
        <v>0.15348823778181545</v>
      </c>
      <c r="AQ21" s="582">
        <f t="shared" ca="1" si="16"/>
        <v>0</v>
      </c>
      <c r="AR21" s="582">
        <f t="shared" ca="1" si="17"/>
        <v>0</v>
      </c>
      <c r="AS21" s="582">
        <f t="shared" ca="1" si="18"/>
        <v>0</v>
      </c>
      <c r="AT21" s="582">
        <f t="shared" ca="1" si="19"/>
        <v>0</v>
      </c>
      <c r="AU21" s="582">
        <f t="shared" ca="1" si="20"/>
        <v>0</v>
      </c>
      <c r="AV21" s="582">
        <f t="shared" ca="1" si="21"/>
        <v>0</v>
      </c>
      <c r="AW21" s="582">
        <f t="shared" ca="1" si="22"/>
        <v>0</v>
      </c>
      <c r="AX21" s="582">
        <f t="shared" ca="1" si="23"/>
        <v>0</v>
      </c>
      <c r="AY21" s="582">
        <f t="shared" ca="1" si="24"/>
        <v>0</v>
      </c>
      <c r="AZ21" s="582">
        <f t="shared" ca="1" si="25"/>
        <v>0</v>
      </c>
      <c r="BA21" s="582">
        <f t="shared" ca="1" si="26"/>
        <v>0</v>
      </c>
      <c r="BB21" s="582">
        <f t="shared" ca="1" si="27"/>
        <v>0</v>
      </c>
      <c r="BC21" s="582">
        <f t="shared" ca="1" si="28"/>
        <v>0</v>
      </c>
      <c r="BE21" s="582">
        <f t="shared" ca="1" si="1"/>
        <v>1</v>
      </c>
    </row>
    <row r="22" spans="1:57" ht="15">
      <c r="A22" s="22">
        <f t="shared" si="29"/>
        <v>2042</v>
      </c>
      <c r="B22" s="586">
        <v>17</v>
      </c>
      <c r="C22" s="583">
        <f ca="1"/>
        <v>0</v>
      </c>
      <c r="D22" s="583">
        <f ca="1"/>
        <v>0</v>
      </c>
      <c r="E22" s="583">
        <f ca="1"/>
        <v>0</v>
      </c>
      <c r="F22" s="583">
        <f ca="1"/>
        <v>0</v>
      </c>
      <c r="G22" s="583">
        <f ca="1"/>
        <v>0</v>
      </c>
      <c r="H22" s="583">
        <f ca="1"/>
        <v>3.2762666702929283E-3</v>
      </c>
      <c r="I22" s="583">
        <f ca="1"/>
        <v>0</v>
      </c>
      <c r="J22">
        <f ca="1"/>
        <v>0</v>
      </c>
      <c r="K22">
        <f ca="1"/>
        <v>0</v>
      </c>
      <c r="L22">
        <f ca="1"/>
        <v>0</v>
      </c>
      <c r="M22">
        <f ca="1"/>
        <v>0</v>
      </c>
      <c r="N22">
        <f ca="1"/>
        <v>7.2561519197423608E-4</v>
      </c>
      <c r="O22">
        <f ca="1"/>
        <v>7.2561519197423608E-4</v>
      </c>
      <c r="P22">
        <f ca="1"/>
        <v>0</v>
      </c>
      <c r="Q22">
        <f ca="1"/>
        <v>0</v>
      </c>
      <c r="R22">
        <f ca="1"/>
        <v>0</v>
      </c>
      <c r="S22">
        <f ca="1"/>
        <v>0</v>
      </c>
      <c r="T22">
        <f ca="1"/>
        <v>0</v>
      </c>
      <c r="U22">
        <f ca="1"/>
        <v>0</v>
      </c>
      <c r="V22">
        <f ca="1"/>
        <v>0</v>
      </c>
      <c r="W22">
        <f ca="1"/>
        <v>0</v>
      </c>
      <c r="X22">
        <f ca="1"/>
        <v>0</v>
      </c>
      <c r="Y22">
        <f ca="1"/>
        <v>0</v>
      </c>
      <c r="Z22">
        <f ca="1"/>
        <v>0</v>
      </c>
      <c r="AA22">
        <f ca="1"/>
        <v>0</v>
      </c>
      <c r="AB22">
        <f ca="1"/>
        <v>0</v>
      </c>
      <c r="AC22">
        <f t="shared" ca="1" si="2"/>
        <v>4.7274970542414002E-3</v>
      </c>
      <c r="AD22" s="582">
        <f t="shared" ca="1" si="3"/>
        <v>0</v>
      </c>
      <c r="AE22" s="582">
        <f t="shared" ca="1" si="4"/>
        <v>0</v>
      </c>
      <c r="AF22" s="582">
        <f t="shared" ca="1" si="5"/>
        <v>0</v>
      </c>
      <c r="AG22" s="582">
        <f t="shared" ca="1" si="6"/>
        <v>0</v>
      </c>
      <c r="AH22" s="582">
        <f t="shared" ca="1" si="7"/>
        <v>0</v>
      </c>
      <c r="AI22" s="582">
        <f t="shared" ca="1" si="8"/>
        <v>0.69302352443636916</v>
      </c>
      <c r="AJ22" s="582">
        <f t="shared" ca="1" si="9"/>
        <v>0</v>
      </c>
      <c r="AK22" s="582">
        <f t="shared" ca="1" si="10"/>
        <v>0</v>
      </c>
      <c r="AL22" s="582">
        <f t="shared" ca="1" si="11"/>
        <v>0</v>
      </c>
      <c r="AM22" s="582">
        <f t="shared" ca="1" si="12"/>
        <v>0</v>
      </c>
      <c r="AN22" s="582">
        <f t="shared" ca="1" si="13"/>
        <v>0</v>
      </c>
      <c r="AO22" s="582">
        <f t="shared" ca="1" si="14"/>
        <v>0.15348823778181545</v>
      </c>
      <c r="AP22" s="582">
        <f t="shared" ca="1" si="15"/>
        <v>0.15348823778181545</v>
      </c>
      <c r="AQ22" s="582">
        <f t="shared" ca="1" si="16"/>
        <v>0</v>
      </c>
      <c r="AR22" s="582">
        <f t="shared" ca="1" si="17"/>
        <v>0</v>
      </c>
      <c r="AS22" s="582">
        <f t="shared" ca="1" si="18"/>
        <v>0</v>
      </c>
      <c r="AT22" s="582">
        <f t="shared" ca="1" si="19"/>
        <v>0</v>
      </c>
      <c r="AU22" s="582">
        <f t="shared" ca="1" si="20"/>
        <v>0</v>
      </c>
      <c r="AV22" s="582">
        <f t="shared" ca="1" si="21"/>
        <v>0</v>
      </c>
      <c r="AW22" s="582">
        <f t="shared" ca="1" si="22"/>
        <v>0</v>
      </c>
      <c r="AX22" s="582">
        <f t="shared" ca="1" si="23"/>
        <v>0</v>
      </c>
      <c r="AY22" s="582">
        <f t="shared" ca="1" si="24"/>
        <v>0</v>
      </c>
      <c r="AZ22" s="582">
        <f t="shared" ca="1" si="25"/>
        <v>0</v>
      </c>
      <c r="BA22" s="582">
        <f t="shared" ca="1" si="26"/>
        <v>0</v>
      </c>
      <c r="BB22" s="582">
        <f t="shared" ca="1" si="27"/>
        <v>0</v>
      </c>
      <c r="BC22" s="582">
        <f t="shared" ca="1" si="28"/>
        <v>0</v>
      </c>
      <c r="BE22" s="582">
        <f t="shared" ca="1" si="1"/>
        <v>1</v>
      </c>
    </row>
    <row r="23" spans="1:57" ht="15">
      <c r="A23" s="22">
        <f t="shared" si="29"/>
        <v>2043</v>
      </c>
      <c r="B23" s="586">
        <v>18</v>
      </c>
      <c r="C23" s="583">
        <f ca="1"/>
        <v>0</v>
      </c>
      <c r="D23" s="583">
        <f ca="1"/>
        <v>0</v>
      </c>
      <c r="E23" s="583">
        <f ca="1"/>
        <v>0</v>
      </c>
      <c r="F23" s="583">
        <f ca="1"/>
        <v>0</v>
      </c>
      <c r="G23" s="583">
        <f ca="1"/>
        <v>0</v>
      </c>
      <c r="H23" s="583">
        <f ca="1"/>
        <v>3.2762666702929283E-3</v>
      </c>
      <c r="I23" s="583">
        <f ca="1"/>
        <v>0</v>
      </c>
      <c r="J23">
        <f ca="1"/>
        <v>0</v>
      </c>
      <c r="K23">
        <f ca="1"/>
        <v>0</v>
      </c>
      <c r="L23">
        <f ca="1"/>
        <v>0</v>
      </c>
      <c r="M23">
        <f ca="1"/>
        <v>0</v>
      </c>
      <c r="N23">
        <f ca="1"/>
        <v>7.2561519197423608E-4</v>
      </c>
      <c r="O23">
        <f ca="1"/>
        <v>7.2561519197423608E-4</v>
      </c>
      <c r="P23">
        <f ca="1"/>
        <v>0</v>
      </c>
      <c r="Q23">
        <f ca="1"/>
        <v>0</v>
      </c>
      <c r="R23">
        <f ca="1"/>
        <v>0</v>
      </c>
      <c r="S23">
        <f ca="1"/>
        <v>0</v>
      </c>
      <c r="T23">
        <f ca="1"/>
        <v>0</v>
      </c>
      <c r="U23">
        <f ca="1"/>
        <v>0</v>
      </c>
      <c r="V23">
        <f ca="1"/>
        <v>0</v>
      </c>
      <c r="W23">
        <f ca="1"/>
        <v>0</v>
      </c>
      <c r="X23">
        <f ca="1"/>
        <v>0</v>
      </c>
      <c r="Y23">
        <f ca="1"/>
        <v>0</v>
      </c>
      <c r="Z23">
        <f ca="1"/>
        <v>0</v>
      </c>
      <c r="AA23">
        <f ca="1"/>
        <v>0</v>
      </c>
      <c r="AB23">
        <f ca="1"/>
        <v>0</v>
      </c>
      <c r="AC23">
        <f t="shared" ca="1" si="2"/>
        <v>4.7274970542414002E-3</v>
      </c>
      <c r="AD23" s="582">
        <f t="shared" ca="1" si="3"/>
        <v>0</v>
      </c>
      <c r="AE23" s="582">
        <f t="shared" ca="1" si="4"/>
        <v>0</v>
      </c>
      <c r="AF23" s="582">
        <f t="shared" ca="1" si="5"/>
        <v>0</v>
      </c>
      <c r="AG23" s="582">
        <f t="shared" ca="1" si="6"/>
        <v>0</v>
      </c>
      <c r="AH23" s="582">
        <f t="shared" ca="1" si="7"/>
        <v>0</v>
      </c>
      <c r="AI23" s="582">
        <f t="shared" ca="1" si="8"/>
        <v>0.69302352443636916</v>
      </c>
      <c r="AJ23" s="582">
        <f t="shared" ca="1" si="9"/>
        <v>0</v>
      </c>
      <c r="AK23" s="582">
        <f t="shared" ca="1" si="10"/>
        <v>0</v>
      </c>
      <c r="AL23" s="582">
        <f t="shared" ca="1" si="11"/>
        <v>0</v>
      </c>
      <c r="AM23" s="582">
        <f t="shared" ca="1" si="12"/>
        <v>0</v>
      </c>
      <c r="AN23" s="582">
        <f t="shared" ca="1" si="13"/>
        <v>0</v>
      </c>
      <c r="AO23" s="582">
        <f t="shared" ca="1" si="14"/>
        <v>0.15348823778181545</v>
      </c>
      <c r="AP23" s="582">
        <f t="shared" ca="1" si="15"/>
        <v>0.15348823778181545</v>
      </c>
      <c r="AQ23" s="582">
        <f t="shared" ca="1" si="16"/>
        <v>0</v>
      </c>
      <c r="AR23" s="582">
        <f t="shared" ca="1" si="17"/>
        <v>0</v>
      </c>
      <c r="AS23" s="582">
        <f t="shared" ca="1" si="18"/>
        <v>0</v>
      </c>
      <c r="AT23" s="582">
        <f t="shared" ca="1" si="19"/>
        <v>0</v>
      </c>
      <c r="AU23" s="582">
        <f t="shared" ca="1" si="20"/>
        <v>0</v>
      </c>
      <c r="AV23" s="582">
        <f t="shared" ca="1" si="21"/>
        <v>0</v>
      </c>
      <c r="AW23" s="582">
        <f t="shared" ca="1" si="22"/>
        <v>0</v>
      </c>
      <c r="AX23" s="582">
        <f t="shared" ca="1" si="23"/>
        <v>0</v>
      </c>
      <c r="AY23" s="582">
        <f t="shared" ca="1" si="24"/>
        <v>0</v>
      </c>
      <c r="AZ23" s="582">
        <f t="shared" ca="1" si="25"/>
        <v>0</v>
      </c>
      <c r="BA23" s="582">
        <f t="shared" ca="1" si="26"/>
        <v>0</v>
      </c>
      <c r="BB23" s="582">
        <f t="shared" ca="1" si="27"/>
        <v>0</v>
      </c>
      <c r="BC23" s="582">
        <f t="shared" ca="1" si="28"/>
        <v>0</v>
      </c>
      <c r="BE23" s="582">
        <f t="shared" ca="1" si="1"/>
        <v>1</v>
      </c>
    </row>
    <row r="24" spans="1:57" ht="15">
      <c r="A24" s="22">
        <f t="shared" si="29"/>
        <v>2044</v>
      </c>
      <c r="B24" s="586">
        <v>19</v>
      </c>
      <c r="C24" s="583">
        <f ca="1"/>
        <v>0</v>
      </c>
      <c r="D24" s="583">
        <f ca="1"/>
        <v>0</v>
      </c>
      <c r="E24" s="583">
        <f ca="1"/>
        <v>0</v>
      </c>
      <c r="F24" s="583">
        <f ca="1"/>
        <v>0</v>
      </c>
      <c r="G24" s="583">
        <f ca="1"/>
        <v>0</v>
      </c>
      <c r="H24" s="583">
        <f ca="1"/>
        <v>3.2762666702929283E-3</v>
      </c>
      <c r="I24" s="583">
        <f ca="1"/>
        <v>0</v>
      </c>
      <c r="J24">
        <f ca="1"/>
        <v>0</v>
      </c>
      <c r="K24">
        <f ca="1"/>
        <v>0</v>
      </c>
      <c r="L24">
        <f ca="1"/>
        <v>0</v>
      </c>
      <c r="M24">
        <f ca="1"/>
        <v>0</v>
      </c>
      <c r="N24">
        <f ca="1"/>
        <v>7.2561519197423608E-4</v>
      </c>
      <c r="O24">
        <f ca="1"/>
        <v>7.2561519197423608E-4</v>
      </c>
      <c r="P24">
        <f ca="1"/>
        <v>0</v>
      </c>
      <c r="Q24">
        <f ca="1"/>
        <v>0</v>
      </c>
      <c r="R24">
        <f ca="1"/>
        <v>0</v>
      </c>
      <c r="S24">
        <f ca="1"/>
        <v>0</v>
      </c>
      <c r="T24">
        <f ca="1"/>
        <v>0</v>
      </c>
      <c r="U24">
        <f ca="1"/>
        <v>0</v>
      </c>
      <c r="V24">
        <f ca="1"/>
        <v>0</v>
      </c>
      <c r="W24">
        <f ca="1"/>
        <v>0</v>
      </c>
      <c r="X24">
        <f ca="1"/>
        <v>0</v>
      </c>
      <c r="Y24">
        <f ca="1"/>
        <v>0</v>
      </c>
      <c r="Z24">
        <f ca="1"/>
        <v>0</v>
      </c>
      <c r="AA24">
        <f ca="1"/>
        <v>0</v>
      </c>
      <c r="AB24">
        <f ca="1"/>
        <v>0</v>
      </c>
      <c r="AC24">
        <f t="shared" ca="1" si="2"/>
        <v>4.7274970542414002E-3</v>
      </c>
      <c r="AD24" s="582">
        <f t="shared" ca="1" si="3"/>
        <v>0</v>
      </c>
      <c r="AE24" s="582">
        <f t="shared" ca="1" si="4"/>
        <v>0</v>
      </c>
      <c r="AF24" s="582">
        <f t="shared" ca="1" si="5"/>
        <v>0</v>
      </c>
      <c r="AG24" s="582">
        <f t="shared" ca="1" si="6"/>
        <v>0</v>
      </c>
      <c r="AH24" s="582">
        <f t="shared" ca="1" si="7"/>
        <v>0</v>
      </c>
      <c r="AI24" s="582">
        <f t="shared" ca="1" si="8"/>
        <v>0.69302352443636916</v>
      </c>
      <c r="AJ24" s="582">
        <f t="shared" ca="1" si="9"/>
        <v>0</v>
      </c>
      <c r="AK24" s="582">
        <f t="shared" ca="1" si="10"/>
        <v>0</v>
      </c>
      <c r="AL24" s="582">
        <f t="shared" ca="1" si="11"/>
        <v>0</v>
      </c>
      <c r="AM24" s="582">
        <f t="shared" ca="1" si="12"/>
        <v>0</v>
      </c>
      <c r="AN24" s="582">
        <f t="shared" ca="1" si="13"/>
        <v>0</v>
      </c>
      <c r="AO24" s="582">
        <f t="shared" ca="1" si="14"/>
        <v>0.15348823778181545</v>
      </c>
      <c r="AP24" s="582">
        <f t="shared" ca="1" si="15"/>
        <v>0.15348823778181545</v>
      </c>
      <c r="AQ24" s="582">
        <f t="shared" ca="1" si="16"/>
        <v>0</v>
      </c>
      <c r="AR24" s="582">
        <f t="shared" ca="1" si="17"/>
        <v>0</v>
      </c>
      <c r="AS24" s="582">
        <f t="shared" ca="1" si="18"/>
        <v>0</v>
      </c>
      <c r="AT24" s="582">
        <f t="shared" ca="1" si="19"/>
        <v>0</v>
      </c>
      <c r="AU24" s="582">
        <f t="shared" ca="1" si="20"/>
        <v>0</v>
      </c>
      <c r="AV24" s="582">
        <f t="shared" ca="1" si="21"/>
        <v>0</v>
      </c>
      <c r="AW24" s="582">
        <f t="shared" ca="1" si="22"/>
        <v>0</v>
      </c>
      <c r="AX24" s="582">
        <f t="shared" ca="1" si="23"/>
        <v>0</v>
      </c>
      <c r="AY24" s="582">
        <f t="shared" ca="1" si="24"/>
        <v>0</v>
      </c>
      <c r="AZ24" s="582">
        <f t="shared" ca="1" si="25"/>
        <v>0</v>
      </c>
      <c r="BA24" s="582">
        <f t="shared" ca="1" si="26"/>
        <v>0</v>
      </c>
      <c r="BB24" s="582">
        <f t="shared" ca="1" si="27"/>
        <v>0</v>
      </c>
      <c r="BC24" s="582">
        <f t="shared" ca="1" si="28"/>
        <v>0</v>
      </c>
      <c r="BE24" s="582">
        <f t="shared" ca="1" si="1"/>
        <v>1</v>
      </c>
    </row>
    <row r="25" spans="1:57" ht="15">
      <c r="A25" s="22">
        <f t="shared" si="29"/>
        <v>2045</v>
      </c>
      <c r="B25" s="586">
        <v>20</v>
      </c>
      <c r="C25" s="583">
        <f ca="1"/>
        <v>0</v>
      </c>
      <c r="D25" s="583">
        <f ca="1"/>
        <v>0</v>
      </c>
      <c r="E25" s="583">
        <f ca="1"/>
        <v>0</v>
      </c>
      <c r="F25" s="583">
        <f ca="1"/>
        <v>0</v>
      </c>
      <c r="G25" s="583">
        <f ca="1"/>
        <v>0</v>
      </c>
      <c r="H25" s="583">
        <f ca="1"/>
        <v>0</v>
      </c>
      <c r="I25" s="583">
        <f ca="1"/>
        <v>0</v>
      </c>
      <c r="J25">
        <f ca="1"/>
        <v>0</v>
      </c>
      <c r="K25">
        <f ca="1"/>
        <v>0</v>
      </c>
      <c r="L25">
        <f ca="1"/>
        <v>0</v>
      </c>
      <c r="M25">
        <f ca="1"/>
        <v>0</v>
      </c>
      <c r="N25">
        <f ca="1"/>
        <v>0</v>
      </c>
      <c r="O25">
        <f ca="1"/>
        <v>0</v>
      </c>
      <c r="P25">
        <f ca="1"/>
        <v>0</v>
      </c>
      <c r="Q25">
        <f ca="1"/>
        <v>0</v>
      </c>
      <c r="R25">
        <f ca="1"/>
        <v>0</v>
      </c>
      <c r="S25">
        <f ca="1"/>
        <v>0</v>
      </c>
      <c r="T25">
        <f ca="1"/>
        <v>0</v>
      </c>
      <c r="U25">
        <f ca="1"/>
        <v>0</v>
      </c>
      <c r="V25">
        <f ca="1"/>
        <v>0</v>
      </c>
      <c r="W25">
        <f ca="1"/>
        <v>0</v>
      </c>
      <c r="X25">
        <f ca="1"/>
        <v>0</v>
      </c>
      <c r="Y25">
        <f ca="1"/>
        <v>0</v>
      </c>
      <c r="Z25">
        <f ca="1"/>
        <v>0</v>
      </c>
      <c r="AA25">
        <f ca="1"/>
        <v>0</v>
      </c>
      <c r="AB25">
        <f ca="1"/>
        <v>0</v>
      </c>
      <c r="AC25">
        <f t="shared" ca="1" si="2"/>
        <v>0</v>
      </c>
      <c r="AD25" s="582">
        <f t="shared" ca="1" si="3"/>
        <v>0</v>
      </c>
      <c r="AE25" s="582">
        <f t="shared" ca="1" si="4"/>
        <v>0</v>
      </c>
      <c r="AF25" s="582">
        <f t="shared" ca="1" si="5"/>
        <v>0</v>
      </c>
      <c r="AG25" s="582">
        <f t="shared" ca="1" si="6"/>
        <v>0</v>
      </c>
      <c r="AH25" s="582">
        <f t="shared" ca="1" si="7"/>
        <v>0</v>
      </c>
      <c r="AI25" s="582">
        <f t="shared" ca="1" si="8"/>
        <v>0.67703627749076623</v>
      </c>
      <c r="AJ25" s="582">
        <f t="shared" ca="1" si="9"/>
        <v>0</v>
      </c>
      <c r="AK25" s="582">
        <f t="shared" ca="1" si="10"/>
        <v>0</v>
      </c>
      <c r="AL25" s="582">
        <f t="shared" ca="1" si="11"/>
        <v>0</v>
      </c>
      <c r="AM25" s="582">
        <f t="shared" ca="1" si="12"/>
        <v>0</v>
      </c>
      <c r="AN25" s="582">
        <f t="shared" ca="1" si="13"/>
        <v>0</v>
      </c>
      <c r="AO25" s="582">
        <f t="shared" ca="1" si="14"/>
        <v>0.17301627991566085</v>
      </c>
      <c r="AP25" s="582">
        <f t="shared" ca="1" si="15"/>
        <v>0.14994744259357273</v>
      </c>
      <c r="AQ25" s="582">
        <f t="shared" ca="1" si="16"/>
        <v>0</v>
      </c>
      <c r="AR25" s="582">
        <f t="shared" ca="1" si="17"/>
        <v>0</v>
      </c>
      <c r="AS25" s="582">
        <f t="shared" ca="1" si="18"/>
        <v>0</v>
      </c>
      <c r="AT25" s="582">
        <f t="shared" ca="1" si="19"/>
        <v>0</v>
      </c>
      <c r="AU25" s="582">
        <f t="shared" ca="1" si="20"/>
        <v>0</v>
      </c>
      <c r="AV25" s="582">
        <f t="shared" ca="1" si="21"/>
        <v>0</v>
      </c>
      <c r="AW25" s="582">
        <f t="shared" ca="1" si="22"/>
        <v>0</v>
      </c>
      <c r="AX25" s="582">
        <f t="shared" ca="1" si="23"/>
        <v>0</v>
      </c>
      <c r="AY25" s="582">
        <f t="shared" ca="1" si="24"/>
        <v>0</v>
      </c>
      <c r="AZ25" s="582">
        <f t="shared" ca="1" si="25"/>
        <v>0</v>
      </c>
      <c r="BA25" s="582">
        <f t="shared" ca="1" si="26"/>
        <v>0</v>
      </c>
      <c r="BB25" s="582">
        <f t="shared" ca="1" si="27"/>
        <v>0</v>
      </c>
      <c r="BC25" s="582">
        <f t="shared" ca="1" si="28"/>
        <v>0</v>
      </c>
      <c r="BE25" s="582">
        <f t="shared" ca="1" si="1"/>
        <v>0.99999999999999978</v>
      </c>
    </row>
    <row r="26" spans="1:57" ht="15">
      <c r="A26" s="22">
        <f t="shared" si="29"/>
        <v>2046</v>
      </c>
      <c r="B26" s="586">
        <v>21</v>
      </c>
      <c r="C26" s="583">
        <f ca="1"/>
        <v>0</v>
      </c>
      <c r="D26" s="583">
        <f ca="1"/>
        <v>0</v>
      </c>
      <c r="E26" s="583">
        <f ca="1"/>
        <v>0</v>
      </c>
      <c r="F26" s="583">
        <f ca="1"/>
        <v>0</v>
      </c>
      <c r="G26" s="583">
        <f ca="1"/>
        <v>0</v>
      </c>
      <c r="H26" s="583">
        <f ca="1"/>
        <v>0</v>
      </c>
      <c r="I26" s="583">
        <f ca="1"/>
        <v>0</v>
      </c>
      <c r="J26">
        <f ca="1"/>
        <v>0</v>
      </c>
      <c r="K26">
        <f ca="1"/>
        <v>0</v>
      </c>
      <c r="L26">
        <f ca="1"/>
        <v>0</v>
      </c>
      <c r="M26">
        <f ca="1"/>
        <v>0</v>
      </c>
      <c r="N26">
        <f ca="1"/>
        <v>0</v>
      </c>
      <c r="O26">
        <f ca="1"/>
        <v>0</v>
      </c>
      <c r="P26">
        <f ca="1"/>
        <v>0</v>
      </c>
      <c r="Q26">
        <f ca="1"/>
        <v>0</v>
      </c>
      <c r="R26">
        <f ca="1"/>
        <v>0</v>
      </c>
      <c r="S26">
        <f ca="1"/>
        <v>0</v>
      </c>
      <c r="T26">
        <f ca="1"/>
        <v>0</v>
      </c>
      <c r="U26">
        <f ca="1"/>
        <v>0</v>
      </c>
      <c r="V26">
        <f ca="1"/>
        <v>0</v>
      </c>
      <c r="W26">
        <f ca="1"/>
        <v>0</v>
      </c>
      <c r="X26">
        <f ca="1"/>
        <v>0</v>
      </c>
      <c r="Y26">
        <f ca="1"/>
        <v>0</v>
      </c>
      <c r="Z26">
        <f ca="1"/>
        <v>0</v>
      </c>
      <c r="AA26">
        <f ca="1"/>
        <v>0</v>
      </c>
      <c r="AB26">
        <f ca="1"/>
        <v>0</v>
      </c>
      <c r="AC26">
        <f t="shared" ca="1" si="2"/>
        <v>0</v>
      </c>
      <c r="AD26" s="582">
        <f t="shared" ca="1" si="3"/>
        <v>0</v>
      </c>
      <c r="AE26" s="582">
        <f t="shared" ca="1" si="4"/>
        <v>0</v>
      </c>
      <c r="AF26" s="582">
        <f t="shared" ca="1" si="5"/>
        <v>0</v>
      </c>
      <c r="AG26" s="582">
        <f t="shared" ca="1" si="6"/>
        <v>0</v>
      </c>
      <c r="AH26" s="582">
        <f t="shared" ca="1" si="7"/>
        <v>0</v>
      </c>
      <c r="AI26" s="582">
        <f t="shared" ca="1" si="8"/>
        <v>0.67703627749076623</v>
      </c>
      <c r="AJ26" s="582">
        <f t="shared" ca="1" si="9"/>
        <v>0</v>
      </c>
      <c r="AK26" s="582">
        <f t="shared" ca="1" si="10"/>
        <v>0</v>
      </c>
      <c r="AL26" s="582">
        <f t="shared" ca="1" si="11"/>
        <v>0</v>
      </c>
      <c r="AM26" s="582">
        <f t="shared" ca="1" si="12"/>
        <v>0</v>
      </c>
      <c r="AN26" s="582">
        <f t="shared" ca="1" si="13"/>
        <v>0</v>
      </c>
      <c r="AO26" s="582">
        <f t="shared" ca="1" si="14"/>
        <v>0.17301627991566085</v>
      </c>
      <c r="AP26" s="582">
        <f t="shared" ca="1" si="15"/>
        <v>0.14994744259357273</v>
      </c>
      <c r="AQ26" s="582">
        <f t="shared" ca="1" si="16"/>
        <v>0</v>
      </c>
      <c r="AR26" s="582">
        <f t="shared" ca="1" si="17"/>
        <v>0</v>
      </c>
      <c r="AS26" s="582">
        <f t="shared" ca="1" si="18"/>
        <v>0</v>
      </c>
      <c r="AT26" s="582">
        <f t="shared" ca="1" si="19"/>
        <v>0</v>
      </c>
      <c r="AU26" s="582">
        <f t="shared" ca="1" si="20"/>
        <v>0</v>
      </c>
      <c r="AV26" s="582">
        <f t="shared" ca="1" si="21"/>
        <v>0</v>
      </c>
      <c r="AW26" s="582">
        <f t="shared" ca="1" si="22"/>
        <v>0</v>
      </c>
      <c r="AX26" s="582">
        <f t="shared" ca="1" si="23"/>
        <v>0</v>
      </c>
      <c r="AY26" s="582">
        <f t="shared" ca="1" si="24"/>
        <v>0</v>
      </c>
      <c r="AZ26" s="582">
        <f t="shared" ca="1" si="25"/>
        <v>0</v>
      </c>
      <c r="BA26" s="582">
        <f t="shared" ca="1" si="26"/>
        <v>0</v>
      </c>
      <c r="BB26" s="582">
        <f t="shared" ca="1" si="27"/>
        <v>0</v>
      </c>
      <c r="BC26" s="582">
        <f t="shared" ca="1" si="28"/>
        <v>0</v>
      </c>
      <c r="BE26" s="582">
        <f t="shared" ca="1" si="1"/>
        <v>0.99999999999999978</v>
      </c>
    </row>
    <row r="27" spans="1:57" ht="15">
      <c r="A27" s="22">
        <f t="shared" si="29"/>
        <v>2047</v>
      </c>
      <c r="B27" s="586">
        <v>22</v>
      </c>
      <c r="C27" s="583">
        <f ca="1"/>
        <v>0</v>
      </c>
      <c r="D27" s="583">
        <f ca="1"/>
        <v>0</v>
      </c>
      <c r="E27" s="583">
        <f ca="1"/>
        <v>0</v>
      </c>
      <c r="F27" s="583">
        <f ca="1"/>
        <v>0</v>
      </c>
      <c r="G27" s="583">
        <f ca="1"/>
        <v>0</v>
      </c>
      <c r="H27" s="583">
        <f ca="1"/>
        <v>0</v>
      </c>
      <c r="I27" s="583">
        <f ca="1"/>
        <v>0</v>
      </c>
      <c r="J27">
        <f ca="1"/>
        <v>0</v>
      </c>
      <c r="K27">
        <f ca="1"/>
        <v>0</v>
      </c>
      <c r="L27">
        <f ca="1"/>
        <v>0</v>
      </c>
      <c r="M27">
        <f ca="1"/>
        <v>0</v>
      </c>
      <c r="N27">
        <f ca="1"/>
        <v>0</v>
      </c>
      <c r="O27">
        <f ca="1"/>
        <v>0</v>
      </c>
      <c r="P27">
        <f ca="1"/>
        <v>0</v>
      </c>
      <c r="Q27">
        <f ca="1"/>
        <v>0</v>
      </c>
      <c r="R27">
        <f ca="1"/>
        <v>0</v>
      </c>
      <c r="S27">
        <f ca="1"/>
        <v>0</v>
      </c>
      <c r="T27">
        <f ca="1"/>
        <v>0</v>
      </c>
      <c r="U27">
        <f ca="1"/>
        <v>0</v>
      </c>
      <c r="V27">
        <f ca="1"/>
        <v>0</v>
      </c>
      <c r="W27">
        <f ca="1"/>
        <v>0</v>
      </c>
      <c r="X27">
        <f ca="1"/>
        <v>0</v>
      </c>
      <c r="Y27">
        <f ca="1"/>
        <v>0</v>
      </c>
      <c r="Z27">
        <f ca="1"/>
        <v>0</v>
      </c>
      <c r="AA27">
        <f ca="1"/>
        <v>0</v>
      </c>
      <c r="AB27">
        <f ca="1"/>
        <v>0</v>
      </c>
      <c r="AC27">
        <f t="shared" ca="1" si="2"/>
        <v>0</v>
      </c>
      <c r="AD27" s="582">
        <f t="shared" ca="1" si="3"/>
        <v>0</v>
      </c>
      <c r="AE27" s="582">
        <f t="shared" ca="1" si="4"/>
        <v>0</v>
      </c>
      <c r="AF27" s="582">
        <f t="shared" ca="1" si="5"/>
        <v>0</v>
      </c>
      <c r="AG27" s="582">
        <f t="shared" ca="1" si="6"/>
        <v>0</v>
      </c>
      <c r="AH27" s="582">
        <f t="shared" ca="1" si="7"/>
        <v>0</v>
      </c>
      <c r="AI27" s="582">
        <f t="shared" ca="1" si="8"/>
        <v>0.67703627749076623</v>
      </c>
      <c r="AJ27" s="582">
        <f t="shared" ca="1" si="9"/>
        <v>0</v>
      </c>
      <c r="AK27" s="582">
        <f t="shared" ca="1" si="10"/>
        <v>0</v>
      </c>
      <c r="AL27" s="582">
        <f t="shared" ca="1" si="11"/>
        <v>0</v>
      </c>
      <c r="AM27" s="582">
        <f t="shared" ca="1" si="12"/>
        <v>0</v>
      </c>
      <c r="AN27" s="582">
        <f t="shared" ca="1" si="13"/>
        <v>0</v>
      </c>
      <c r="AO27" s="582">
        <f t="shared" ca="1" si="14"/>
        <v>0.17301627991566085</v>
      </c>
      <c r="AP27" s="582">
        <f t="shared" ca="1" si="15"/>
        <v>0.14994744259357273</v>
      </c>
      <c r="AQ27" s="582">
        <f t="shared" ca="1" si="16"/>
        <v>0</v>
      </c>
      <c r="AR27" s="582">
        <f t="shared" ca="1" si="17"/>
        <v>0</v>
      </c>
      <c r="AS27" s="582">
        <f t="shared" ca="1" si="18"/>
        <v>0</v>
      </c>
      <c r="AT27" s="582">
        <f t="shared" ca="1" si="19"/>
        <v>0</v>
      </c>
      <c r="AU27" s="582">
        <f t="shared" ca="1" si="20"/>
        <v>0</v>
      </c>
      <c r="AV27" s="582">
        <f t="shared" ca="1" si="21"/>
        <v>0</v>
      </c>
      <c r="AW27" s="582">
        <f t="shared" ca="1" si="22"/>
        <v>0</v>
      </c>
      <c r="AX27" s="582">
        <f t="shared" ca="1" si="23"/>
        <v>0</v>
      </c>
      <c r="AY27" s="582">
        <f t="shared" ca="1" si="24"/>
        <v>0</v>
      </c>
      <c r="AZ27" s="582">
        <f t="shared" ca="1" si="25"/>
        <v>0</v>
      </c>
      <c r="BA27" s="582">
        <f t="shared" ca="1" si="26"/>
        <v>0</v>
      </c>
      <c r="BB27" s="582">
        <f t="shared" ca="1" si="27"/>
        <v>0</v>
      </c>
      <c r="BC27" s="582">
        <f t="shared" ca="1" si="28"/>
        <v>0</v>
      </c>
      <c r="BE27" s="582">
        <f t="shared" ca="1" si="1"/>
        <v>0.99999999999999978</v>
      </c>
    </row>
    <row r="28" spans="1:57" ht="15">
      <c r="A28" s="22">
        <f t="shared" si="29"/>
        <v>2048</v>
      </c>
      <c r="B28" s="586">
        <v>23</v>
      </c>
      <c r="C28" s="583">
        <f ca="1"/>
        <v>0</v>
      </c>
      <c r="D28" s="583">
        <f ca="1"/>
        <v>0</v>
      </c>
      <c r="E28" s="583">
        <f ca="1"/>
        <v>0</v>
      </c>
      <c r="F28" s="583">
        <f ca="1"/>
        <v>0</v>
      </c>
      <c r="G28" s="583">
        <f ca="1"/>
        <v>0</v>
      </c>
      <c r="H28" s="583">
        <f ca="1"/>
        <v>0</v>
      </c>
      <c r="I28" s="583">
        <f ca="1"/>
        <v>0</v>
      </c>
      <c r="J28">
        <f ca="1"/>
        <v>0</v>
      </c>
      <c r="K28">
        <f ca="1"/>
        <v>0</v>
      </c>
      <c r="L28">
        <f ca="1"/>
        <v>0</v>
      </c>
      <c r="M28">
        <f ca="1"/>
        <v>0</v>
      </c>
      <c r="N28">
        <f ca="1"/>
        <v>0</v>
      </c>
      <c r="O28">
        <f ca="1"/>
        <v>0</v>
      </c>
      <c r="P28">
        <f ca="1"/>
        <v>0</v>
      </c>
      <c r="Q28">
        <f ca="1"/>
        <v>0</v>
      </c>
      <c r="R28">
        <f ca="1"/>
        <v>0</v>
      </c>
      <c r="S28">
        <f ca="1"/>
        <v>0</v>
      </c>
      <c r="T28">
        <f ca="1"/>
        <v>0</v>
      </c>
      <c r="U28">
        <f ca="1"/>
        <v>0</v>
      </c>
      <c r="V28">
        <f ca="1"/>
        <v>0</v>
      </c>
      <c r="W28">
        <f ca="1"/>
        <v>0</v>
      </c>
      <c r="X28">
        <f ca="1"/>
        <v>0</v>
      </c>
      <c r="Y28">
        <f ca="1"/>
        <v>0</v>
      </c>
      <c r="Z28">
        <f ca="1"/>
        <v>0</v>
      </c>
      <c r="AA28">
        <f ca="1"/>
        <v>0</v>
      </c>
      <c r="AB28">
        <f ca="1"/>
        <v>0</v>
      </c>
      <c r="AC28">
        <f t="shared" ca="1" si="2"/>
        <v>0</v>
      </c>
      <c r="AD28" s="582">
        <f t="shared" ca="1" si="3"/>
        <v>0</v>
      </c>
      <c r="AE28" s="582">
        <f t="shared" ca="1" si="4"/>
        <v>0</v>
      </c>
      <c r="AF28" s="582">
        <f t="shared" ca="1" si="5"/>
        <v>0</v>
      </c>
      <c r="AG28" s="582">
        <f t="shared" ca="1" si="6"/>
        <v>0</v>
      </c>
      <c r="AH28" s="582">
        <f t="shared" ca="1" si="7"/>
        <v>0</v>
      </c>
      <c r="AI28" s="582">
        <f t="shared" ca="1" si="8"/>
        <v>0.67703627749076623</v>
      </c>
      <c r="AJ28" s="582">
        <f t="shared" ca="1" si="9"/>
        <v>0</v>
      </c>
      <c r="AK28" s="582">
        <f t="shared" ca="1" si="10"/>
        <v>0</v>
      </c>
      <c r="AL28" s="582">
        <f t="shared" ca="1" si="11"/>
        <v>0</v>
      </c>
      <c r="AM28" s="582">
        <f t="shared" ca="1" si="12"/>
        <v>0</v>
      </c>
      <c r="AN28" s="582">
        <f t="shared" ca="1" si="13"/>
        <v>0</v>
      </c>
      <c r="AO28" s="582">
        <f t="shared" ca="1" si="14"/>
        <v>0.17301627991566085</v>
      </c>
      <c r="AP28" s="582">
        <f t="shared" ca="1" si="15"/>
        <v>0.14994744259357273</v>
      </c>
      <c r="AQ28" s="582">
        <f t="shared" ca="1" si="16"/>
        <v>0</v>
      </c>
      <c r="AR28" s="582">
        <f t="shared" ca="1" si="17"/>
        <v>0</v>
      </c>
      <c r="AS28" s="582">
        <f t="shared" ca="1" si="18"/>
        <v>0</v>
      </c>
      <c r="AT28" s="582">
        <f t="shared" ca="1" si="19"/>
        <v>0</v>
      </c>
      <c r="AU28" s="582">
        <f t="shared" ca="1" si="20"/>
        <v>0</v>
      </c>
      <c r="AV28" s="582">
        <f t="shared" ca="1" si="21"/>
        <v>0</v>
      </c>
      <c r="AW28" s="582">
        <f t="shared" ca="1" si="22"/>
        <v>0</v>
      </c>
      <c r="AX28" s="582">
        <f t="shared" ca="1" si="23"/>
        <v>0</v>
      </c>
      <c r="AY28" s="582">
        <f t="shared" ca="1" si="24"/>
        <v>0</v>
      </c>
      <c r="AZ28" s="582">
        <f t="shared" ca="1" si="25"/>
        <v>0</v>
      </c>
      <c r="BA28" s="582">
        <f t="shared" ca="1" si="26"/>
        <v>0</v>
      </c>
      <c r="BB28" s="582">
        <f t="shared" ca="1" si="27"/>
        <v>0</v>
      </c>
      <c r="BC28" s="582">
        <f t="shared" ca="1" si="28"/>
        <v>0</v>
      </c>
      <c r="BE28" s="582">
        <f t="shared" ca="1" si="1"/>
        <v>0.99999999999999978</v>
      </c>
    </row>
    <row r="29" spans="1:57" ht="15">
      <c r="A29" s="22">
        <f t="shared" si="29"/>
        <v>2049</v>
      </c>
      <c r="B29" s="586">
        <v>24</v>
      </c>
      <c r="C29" s="583">
        <f ca="1"/>
        <v>0</v>
      </c>
      <c r="D29" s="583">
        <f ca="1"/>
        <v>0</v>
      </c>
      <c r="E29" s="583">
        <f ca="1"/>
        <v>0</v>
      </c>
      <c r="F29" s="583">
        <f ca="1"/>
        <v>0</v>
      </c>
      <c r="G29" s="583">
        <f ca="1"/>
        <v>0</v>
      </c>
      <c r="H29" s="583">
        <f ca="1"/>
        <v>0</v>
      </c>
      <c r="I29" s="583">
        <f ca="1"/>
        <v>0</v>
      </c>
      <c r="J29">
        <f ca="1"/>
        <v>0</v>
      </c>
      <c r="K29">
        <f ca="1"/>
        <v>0</v>
      </c>
      <c r="L29">
        <f ca="1"/>
        <v>0</v>
      </c>
      <c r="M29">
        <f ca="1"/>
        <v>0</v>
      </c>
      <c r="N29">
        <f ca="1"/>
        <v>0</v>
      </c>
      <c r="O29">
        <f ca="1"/>
        <v>0</v>
      </c>
      <c r="P29">
        <f ca="1"/>
        <v>0</v>
      </c>
      <c r="Q29">
        <f ca="1"/>
        <v>0</v>
      </c>
      <c r="R29">
        <f ca="1"/>
        <v>0</v>
      </c>
      <c r="S29">
        <f ca="1"/>
        <v>0</v>
      </c>
      <c r="T29">
        <f ca="1"/>
        <v>0</v>
      </c>
      <c r="U29">
        <f ca="1"/>
        <v>0</v>
      </c>
      <c r="V29">
        <f ca="1"/>
        <v>0</v>
      </c>
      <c r="W29">
        <f ca="1"/>
        <v>0</v>
      </c>
      <c r="X29">
        <f ca="1"/>
        <v>0</v>
      </c>
      <c r="Y29">
        <f ca="1"/>
        <v>0</v>
      </c>
      <c r="Z29">
        <f ca="1"/>
        <v>0</v>
      </c>
      <c r="AA29">
        <f ca="1"/>
        <v>0</v>
      </c>
      <c r="AB29">
        <f ca="1"/>
        <v>0</v>
      </c>
      <c r="AC29">
        <f t="shared" ca="1" si="2"/>
        <v>0</v>
      </c>
      <c r="AD29" s="582">
        <f t="shared" ca="1" si="3"/>
        <v>0</v>
      </c>
      <c r="AE29" s="582">
        <f t="shared" ca="1" si="4"/>
        <v>0</v>
      </c>
      <c r="AF29" s="582">
        <f t="shared" ca="1" si="5"/>
        <v>0</v>
      </c>
      <c r="AG29" s="582">
        <f t="shared" ca="1" si="6"/>
        <v>0</v>
      </c>
      <c r="AH29" s="582">
        <f t="shared" ca="1" si="7"/>
        <v>0</v>
      </c>
      <c r="AI29" s="582">
        <f t="shared" ca="1" si="8"/>
        <v>0.67703627749076623</v>
      </c>
      <c r="AJ29" s="582">
        <f t="shared" ca="1" si="9"/>
        <v>0</v>
      </c>
      <c r="AK29" s="582">
        <f t="shared" ca="1" si="10"/>
        <v>0</v>
      </c>
      <c r="AL29" s="582">
        <f t="shared" ca="1" si="11"/>
        <v>0</v>
      </c>
      <c r="AM29" s="582">
        <f t="shared" ca="1" si="12"/>
        <v>0</v>
      </c>
      <c r="AN29" s="582">
        <f t="shared" ca="1" si="13"/>
        <v>0</v>
      </c>
      <c r="AO29" s="582">
        <f t="shared" ca="1" si="14"/>
        <v>0.17301627991566085</v>
      </c>
      <c r="AP29" s="582">
        <f t="shared" ca="1" si="15"/>
        <v>0.14994744259357273</v>
      </c>
      <c r="AQ29" s="582">
        <f t="shared" ca="1" si="16"/>
        <v>0</v>
      </c>
      <c r="AR29" s="582">
        <f t="shared" ca="1" si="17"/>
        <v>0</v>
      </c>
      <c r="AS29" s="582">
        <f t="shared" ca="1" si="18"/>
        <v>0</v>
      </c>
      <c r="AT29" s="582">
        <f t="shared" ca="1" si="19"/>
        <v>0</v>
      </c>
      <c r="AU29" s="582">
        <f t="shared" ca="1" si="20"/>
        <v>0</v>
      </c>
      <c r="AV29" s="582">
        <f t="shared" ca="1" si="21"/>
        <v>0</v>
      </c>
      <c r="AW29" s="582">
        <f t="shared" ca="1" si="22"/>
        <v>0</v>
      </c>
      <c r="AX29" s="582">
        <f t="shared" ca="1" si="23"/>
        <v>0</v>
      </c>
      <c r="AY29" s="582">
        <f t="shared" ca="1" si="24"/>
        <v>0</v>
      </c>
      <c r="AZ29" s="582">
        <f t="shared" ca="1" si="25"/>
        <v>0</v>
      </c>
      <c r="BA29" s="582">
        <f t="shared" ca="1" si="26"/>
        <v>0</v>
      </c>
      <c r="BB29" s="582">
        <f t="shared" ca="1" si="27"/>
        <v>0</v>
      </c>
      <c r="BC29" s="582">
        <f t="shared" ca="1" si="28"/>
        <v>0</v>
      </c>
      <c r="BE29" s="582">
        <f t="shared" ca="1" si="1"/>
        <v>0.99999999999999978</v>
      </c>
    </row>
    <row r="30" spans="1:57" ht="15">
      <c r="A30" s="22">
        <f t="shared" si="29"/>
        <v>2050</v>
      </c>
      <c r="B30" s="586">
        <v>25</v>
      </c>
      <c r="C30" s="583">
        <f ca="1"/>
        <v>0</v>
      </c>
      <c r="D30" s="583">
        <f ca="1"/>
        <v>0</v>
      </c>
      <c r="E30" s="583">
        <f ca="1"/>
        <v>0</v>
      </c>
      <c r="F30" s="583">
        <f ca="1"/>
        <v>0</v>
      </c>
      <c r="G30" s="583">
        <f ca="1"/>
        <v>0</v>
      </c>
      <c r="H30" s="583">
        <f ca="1"/>
        <v>0</v>
      </c>
      <c r="I30" s="583">
        <f ca="1"/>
        <v>0</v>
      </c>
      <c r="J30">
        <f ca="1"/>
        <v>0</v>
      </c>
      <c r="K30">
        <f ca="1"/>
        <v>0</v>
      </c>
      <c r="L30">
        <f ca="1"/>
        <v>0</v>
      </c>
      <c r="M30">
        <f ca="1"/>
        <v>0</v>
      </c>
      <c r="N30">
        <f ca="1"/>
        <v>0</v>
      </c>
      <c r="O30">
        <f ca="1"/>
        <v>0</v>
      </c>
      <c r="P30">
        <f ca="1"/>
        <v>0</v>
      </c>
      <c r="Q30">
        <f ca="1"/>
        <v>0</v>
      </c>
      <c r="R30">
        <f ca="1"/>
        <v>0</v>
      </c>
      <c r="S30">
        <f ca="1"/>
        <v>0</v>
      </c>
      <c r="T30">
        <f ca="1"/>
        <v>0</v>
      </c>
      <c r="U30">
        <f ca="1"/>
        <v>0</v>
      </c>
      <c r="V30">
        <f ca="1"/>
        <v>0</v>
      </c>
      <c r="W30">
        <f ca="1"/>
        <v>0</v>
      </c>
      <c r="X30">
        <f ca="1"/>
        <v>0</v>
      </c>
      <c r="Y30">
        <f ca="1"/>
        <v>0</v>
      </c>
      <c r="Z30">
        <f ca="1"/>
        <v>0</v>
      </c>
      <c r="AA30">
        <f ca="1"/>
        <v>0</v>
      </c>
      <c r="AB30">
        <f ca="1"/>
        <v>0</v>
      </c>
      <c r="AC30">
        <f t="shared" ca="1" si="2"/>
        <v>0</v>
      </c>
      <c r="AD30" s="582">
        <f t="shared" ca="1" si="3"/>
        <v>0</v>
      </c>
      <c r="AE30" s="582">
        <f t="shared" ca="1" si="4"/>
        <v>0</v>
      </c>
      <c r="AF30" s="582">
        <f t="shared" ca="1" si="5"/>
        <v>0</v>
      </c>
      <c r="AG30" s="582">
        <f t="shared" ca="1" si="6"/>
        <v>0</v>
      </c>
      <c r="AH30" s="582">
        <f t="shared" ca="1" si="7"/>
        <v>0</v>
      </c>
      <c r="AI30" s="582">
        <f t="shared" ca="1" si="8"/>
        <v>0.67703627749076623</v>
      </c>
      <c r="AJ30" s="582">
        <f t="shared" ca="1" si="9"/>
        <v>0</v>
      </c>
      <c r="AK30" s="582">
        <f t="shared" ca="1" si="10"/>
        <v>0</v>
      </c>
      <c r="AL30" s="582">
        <f t="shared" ca="1" si="11"/>
        <v>0</v>
      </c>
      <c r="AM30" s="582">
        <f t="shared" ca="1" si="12"/>
        <v>0</v>
      </c>
      <c r="AN30" s="582">
        <f t="shared" ca="1" si="13"/>
        <v>0</v>
      </c>
      <c r="AO30" s="582">
        <f t="shared" ca="1" si="14"/>
        <v>0.17301627991566085</v>
      </c>
      <c r="AP30" s="582">
        <f t="shared" ca="1" si="15"/>
        <v>0.14994744259357273</v>
      </c>
      <c r="AQ30" s="582">
        <f t="shared" ca="1" si="16"/>
        <v>0</v>
      </c>
      <c r="AR30" s="582">
        <f t="shared" ca="1" si="17"/>
        <v>0</v>
      </c>
      <c r="AS30" s="582">
        <f t="shared" ca="1" si="18"/>
        <v>0</v>
      </c>
      <c r="AT30" s="582">
        <f t="shared" ca="1" si="19"/>
        <v>0</v>
      </c>
      <c r="AU30" s="582">
        <f t="shared" ca="1" si="20"/>
        <v>0</v>
      </c>
      <c r="AV30" s="582">
        <f t="shared" ca="1" si="21"/>
        <v>0</v>
      </c>
      <c r="AW30" s="582">
        <f t="shared" ca="1" si="22"/>
        <v>0</v>
      </c>
      <c r="AX30" s="582">
        <f t="shared" ca="1" si="23"/>
        <v>0</v>
      </c>
      <c r="AY30" s="582">
        <f t="shared" ca="1" si="24"/>
        <v>0</v>
      </c>
      <c r="AZ30" s="582">
        <f t="shared" ca="1" si="25"/>
        <v>0</v>
      </c>
      <c r="BA30" s="582">
        <f t="shared" ca="1" si="26"/>
        <v>0</v>
      </c>
      <c r="BB30" s="582">
        <f t="shared" ca="1" si="27"/>
        <v>0</v>
      </c>
      <c r="BC30" s="582">
        <f t="shared" ca="1" si="28"/>
        <v>0</v>
      </c>
      <c r="BE30" s="582">
        <f t="shared" ca="1" si="1"/>
        <v>0.99999999999999978</v>
      </c>
    </row>
    <row r="31" spans="1:57" ht="15">
      <c r="A31" s="22">
        <f t="shared" si="29"/>
        <v>2051</v>
      </c>
      <c r="B31" s="586">
        <v>26</v>
      </c>
      <c r="C31" s="583">
        <f ca="1"/>
        <v>0</v>
      </c>
      <c r="D31" s="583">
        <f ca="1"/>
        <v>0</v>
      </c>
      <c r="E31" s="583">
        <f ca="1"/>
        <v>0</v>
      </c>
      <c r="F31" s="583">
        <f ca="1"/>
        <v>0</v>
      </c>
      <c r="G31" s="583">
        <f ca="1"/>
        <v>0</v>
      </c>
      <c r="H31" s="583">
        <f ca="1"/>
        <v>0</v>
      </c>
      <c r="I31" s="583">
        <f ca="1"/>
        <v>0</v>
      </c>
      <c r="J31">
        <f ca="1"/>
        <v>0</v>
      </c>
      <c r="K31">
        <f ca="1"/>
        <v>0</v>
      </c>
      <c r="L31">
        <f ca="1"/>
        <v>0</v>
      </c>
      <c r="M31">
        <f ca="1"/>
        <v>0</v>
      </c>
      <c r="N31">
        <f ca="1"/>
        <v>0</v>
      </c>
      <c r="O31">
        <f ca="1"/>
        <v>0</v>
      </c>
      <c r="P31">
        <f ca="1"/>
        <v>0</v>
      </c>
      <c r="Q31">
        <f ca="1"/>
        <v>0</v>
      </c>
      <c r="R31">
        <f ca="1"/>
        <v>0</v>
      </c>
      <c r="S31">
        <f ca="1"/>
        <v>0</v>
      </c>
      <c r="T31">
        <f ca="1"/>
        <v>0</v>
      </c>
      <c r="U31">
        <f ca="1"/>
        <v>0</v>
      </c>
      <c r="V31">
        <f ca="1"/>
        <v>0</v>
      </c>
      <c r="W31">
        <f ca="1"/>
        <v>0</v>
      </c>
      <c r="X31">
        <f ca="1"/>
        <v>0</v>
      </c>
      <c r="Y31">
        <f ca="1"/>
        <v>0</v>
      </c>
      <c r="Z31">
        <f ca="1"/>
        <v>0</v>
      </c>
      <c r="AA31">
        <f ca="1"/>
        <v>0</v>
      </c>
      <c r="AB31">
        <f ca="1"/>
        <v>0</v>
      </c>
      <c r="AC31">
        <f t="shared" ca="1" si="2"/>
        <v>0</v>
      </c>
      <c r="AD31" s="582">
        <f t="shared" ca="1" si="3"/>
        <v>0</v>
      </c>
      <c r="AE31" s="582">
        <f t="shared" ca="1" si="4"/>
        <v>0</v>
      </c>
      <c r="AF31" s="582">
        <f t="shared" ca="1" si="5"/>
        <v>0</v>
      </c>
      <c r="AG31" s="582">
        <f t="shared" ca="1" si="6"/>
        <v>0</v>
      </c>
      <c r="AH31" s="582">
        <f t="shared" ca="1" si="7"/>
        <v>0</v>
      </c>
      <c r="AI31" s="582">
        <f t="shared" ca="1" si="8"/>
        <v>0.67703627749076623</v>
      </c>
      <c r="AJ31" s="582">
        <f t="shared" ca="1" si="9"/>
        <v>0</v>
      </c>
      <c r="AK31" s="582">
        <f t="shared" ca="1" si="10"/>
        <v>0</v>
      </c>
      <c r="AL31" s="582">
        <f t="shared" ca="1" si="11"/>
        <v>0</v>
      </c>
      <c r="AM31" s="582">
        <f t="shared" ca="1" si="12"/>
        <v>0</v>
      </c>
      <c r="AN31" s="582">
        <f t="shared" ca="1" si="13"/>
        <v>0</v>
      </c>
      <c r="AO31" s="582">
        <f t="shared" ca="1" si="14"/>
        <v>0.17301627991566085</v>
      </c>
      <c r="AP31" s="582">
        <f t="shared" ca="1" si="15"/>
        <v>0.14994744259357273</v>
      </c>
      <c r="AQ31" s="582">
        <f t="shared" ca="1" si="16"/>
        <v>0</v>
      </c>
      <c r="AR31" s="582">
        <f t="shared" ca="1" si="17"/>
        <v>0</v>
      </c>
      <c r="AS31" s="582">
        <f t="shared" ca="1" si="18"/>
        <v>0</v>
      </c>
      <c r="AT31" s="582">
        <f t="shared" ca="1" si="19"/>
        <v>0</v>
      </c>
      <c r="AU31" s="582">
        <f t="shared" ca="1" si="20"/>
        <v>0</v>
      </c>
      <c r="AV31" s="582">
        <f t="shared" ca="1" si="21"/>
        <v>0</v>
      </c>
      <c r="AW31" s="582">
        <f t="shared" ca="1" si="22"/>
        <v>0</v>
      </c>
      <c r="AX31" s="582">
        <f t="shared" ca="1" si="23"/>
        <v>0</v>
      </c>
      <c r="AY31" s="582">
        <f t="shared" ca="1" si="24"/>
        <v>0</v>
      </c>
      <c r="AZ31" s="582">
        <f t="shared" ca="1" si="25"/>
        <v>0</v>
      </c>
      <c r="BA31" s="582">
        <f t="shared" ca="1" si="26"/>
        <v>0</v>
      </c>
      <c r="BB31" s="582">
        <f t="shared" ca="1" si="27"/>
        <v>0</v>
      </c>
      <c r="BC31" s="582">
        <f t="shared" ca="1" si="28"/>
        <v>0</v>
      </c>
      <c r="BE31" s="582">
        <f t="shared" ca="1" si="1"/>
        <v>0.99999999999999978</v>
      </c>
    </row>
    <row r="32" spans="1:57" ht="15">
      <c r="A32" s="22">
        <f t="shared" si="29"/>
        <v>2052</v>
      </c>
      <c r="B32" s="586">
        <v>27</v>
      </c>
      <c r="C32" s="583">
        <f ca="1"/>
        <v>0</v>
      </c>
      <c r="D32" s="583">
        <f ca="1"/>
        <v>0</v>
      </c>
      <c r="E32" s="583">
        <f ca="1"/>
        <v>0</v>
      </c>
      <c r="F32" s="583">
        <f ca="1"/>
        <v>0</v>
      </c>
      <c r="G32" s="583">
        <f ca="1"/>
        <v>0</v>
      </c>
      <c r="H32" s="583">
        <f ca="1"/>
        <v>0</v>
      </c>
      <c r="I32" s="583">
        <f ca="1"/>
        <v>0</v>
      </c>
      <c r="J32">
        <f ca="1"/>
        <v>0</v>
      </c>
      <c r="K32">
        <f ca="1"/>
        <v>0</v>
      </c>
      <c r="L32">
        <f ca="1"/>
        <v>0</v>
      </c>
      <c r="M32">
        <f ca="1"/>
        <v>0</v>
      </c>
      <c r="N32">
        <f ca="1"/>
        <v>0</v>
      </c>
      <c r="O32">
        <f ca="1"/>
        <v>0</v>
      </c>
      <c r="P32">
        <f ca="1"/>
        <v>0</v>
      </c>
      <c r="Q32">
        <f ca="1"/>
        <v>0</v>
      </c>
      <c r="R32">
        <f ca="1"/>
        <v>0</v>
      </c>
      <c r="S32">
        <f ca="1"/>
        <v>0</v>
      </c>
      <c r="T32">
        <f ca="1"/>
        <v>0</v>
      </c>
      <c r="U32">
        <f ca="1"/>
        <v>0</v>
      </c>
      <c r="V32">
        <f ca="1"/>
        <v>0</v>
      </c>
      <c r="W32">
        <f ca="1"/>
        <v>0</v>
      </c>
      <c r="X32">
        <f ca="1"/>
        <v>0</v>
      </c>
      <c r="Y32">
        <f ca="1"/>
        <v>0</v>
      </c>
      <c r="Z32">
        <f ca="1"/>
        <v>0</v>
      </c>
      <c r="AA32">
        <f ca="1"/>
        <v>0</v>
      </c>
      <c r="AB32">
        <f ca="1"/>
        <v>0</v>
      </c>
      <c r="AC32">
        <f t="shared" ca="1" si="2"/>
        <v>0</v>
      </c>
      <c r="AD32" s="582">
        <f t="shared" ca="1" si="3"/>
        <v>0</v>
      </c>
      <c r="AE32" s="582">
        <f t="shared" ca="1" si="4"/>
        <v>0</v>
      </c>
      <c r="AF32" s="582">
        <f t="shared" ca="1" si="5"/>
        <v>0</v>
      </c>
      <c r="AG32" s="582">
        <f t="shared" ca="1" si="6"/>
        <v>0</v>
      </c>
      <c r="AH32" s="582">
        <f t="shared" ca="1" si="7"/>
        <v>0</v>
      </c>
      <c r="AI32" s="582">
        <f t="shared" ca="1" si="8"/>
        <v>0.67703627749076623</v>
      </c>
      <c r="AJ32" s="582">
        <f t="shared" ca="1" si="9"/>
        <v>0</v>
      </c>
      <c r="AK32" s="582">
        <f t="shared" ca="1" si="10"/>
        <v>0</v>
      </c>
      <c r="AL32" s="582">
        <f t="shared" ca="1" si="11"/>
        <v>0</v>
      </c>
      <c r="AM32" s="582">
        <f t="shared" ca="1" si="12"/>
        <v>0</v>
      </c>
      <c r="AN32" s="582">
        <f t="shared" ca="1" si="13"/>
        <v>0</v>
      </c>
      <c r="AO32" s="582">
        <f t="shared" ca="1" si="14"/>
        <v>0.17301627991566085</v>
      </c>
      <c r="AP32" s="582">
        <f t="shared" ca="1" si="15"/>
        <v>0.14994744259357273</v>
      </c>
      <c r="AQ32" s="582">
        <f t="shared" ca="1" si="16"/>
        <v>0</v>
      </c>
      <c r="AR32" s="582">
        <f t="shared" ca="1" si="17"/>
        <v>0</v>
      </c>
      <c r="AS32" s="582">
        <f t="shared" ca="1" si="18"/>
        <v>0</v>
      </c>
      <c r="AT32" s="582">
        <f t="shared" ca="1" si="19"/>
        <v>0</v>
      </c>
      <c r="AU32" s="582">
        <f t="shared" ca="1" si="20"/>
        <v>0</v>
      </c>
      <c r="AV32" s="582">
        <f t="shared" ca="1" si="21"/>
        <v>0</v>
      </c>
      <c r="AW32" s="582">
        <f t="shared" ca="1" si="22"/>
        <v>0</v>
      </c>
      <c r="AX32" s="582">
        <f t="shared" ca="1" si="23"/>
        <v>0</v>
      </c>
      <c r="AY32" s="582">
        <f t="shared" ca="1" si="24"/>
        <v>0</v>
      </c>
      <c r="AZ32" s="582">
        <f t="shared" ca="1" si="25"/>
        <v>0</v>
      </c>
      <c r="BA32" s="582">
        <f t="shared" ca="1" si="26"/>
        <v>0</v>
      </c>
      <c r="BB32" s="582">
        <f t="shared" ca="1" si="27"/>
        <v>0</v>
      </c>
      <c r="BC32" s="582">
        <f t="shared" ca="1" si="28"/>
        <v>0</v>
      </c>
      <c r="BE32" s="582">
        <f t="shared" ca="1" si="1"/>
        <v>0.99999999999999978</v>
      </c>
    </row>
    <row r="33" spans="1:57" ht="15">
      <c r="A33" s="22">
        <f t="shared" si="29"/>
        <v>2053</v>
      </c>
      <c r="B33" s="586">
        <v>28</v>
      </c>
      <c r="C33" s="583">
        <f ca="1"/>
        <v>0</v>
      </c>
      <c r="D33" s="583">
        <f ca="1"/>
        <v>0</v>
      </c>
      <c r="E33" s="583">
        <f ca="1"/>
        <v>0</v>
      </c>
      <c r="F33" s="583">
        <f ca="1"/>
        <v>0</v>
      </c>
      <c r="G33" s="583">
        <f ca="1"/>
        <v>0</v>
      </c>
      <c r="H33" s="583">
        <f ca="1"/>
        <v>0</v>
      </c>
      <c r="I33" s="583">
        <f ca="1"/>
        <v>0</v>
      </c>
      <c r="J33">
        <f ca="1"/>
        <v>0</v>
      </c>
      <c r="K33">
        <f ca="1"/>
        <v>0</v>
      </c>
      <c r="L33">
        <f ca="1"/>
        <v>0</v>
      </c>
      <c r="M33">
        <f ca="1"/>
        <v>0</v>
      </c>
      <c r="N33">
        <f ca="1"/>
        <v>0</v>
      </c>
      <c r="O33">
        <f ca="1"/>
        <v>0</v>
      </c>
      <c r="P33">
        <f ca="1"/>
        <v>0</v>
      </c>
      <c r="Q33">
        <f ca="1"/>
        <v>0</v>
      </c>
      <c r="R33">
        <f ca="1"/>
        <v>0</v>
      </c>
      <c r="S33">
        <f ca="1"/>
        <v>0</v>
      </c>
      <c r="T33">
        <f ca="1"/>
        <v>0</v>
      </c>
      <c r="U33">
        <f ca="1"/>
        <v>0</v>
      </c>
      <c r="V33">
        <f ca="1"/>
        <v>0</v>
      </c>
      <c r="W33">
        <f ca="1"/>
        <v>0</v>
      </c>
      <c r="X33">
        <f ca="1"/>
        <v>0</v>
      </c>
      <c r="Y33">
        <f ca="1"/>
        <v>0</v>
      </c>
      <c r="Z33">
        <f ca="1"/>
        <v>0</v>
      </c>
      <c r="AA33">
        <f ca="1"/>
        <v>0</v>
      </c>
      <c r="AB33">
        <f ca="1"/>
        <v>0</v>
      </c>
      <c r="AC33">
        <f t="shared" ca="1" si="2"/>
        <v>0</v>
      </c>
      <c r="AD33" s="582">
        <f t="shared" ca="1" si="3"/>
        <v>0</v>
      </c>
      <c r="AE33" s="582">
        <f t="shared" ca="1" si="4"/>
        <v>0</v>
      </c>
      <c r="AF33" s="582">
        <f t="shared" ca="1" si="5"/>
        <v>0</v>
      </c>
      <c r="AG33" s="582">
        <f t="shared" ca="1" si="6"/>
        <v>0</v>
      </c>
      <c r="AH33" s="582">
        <f t="shared" ca="1" si="7"/>
        <v>0</v>
      </c>
      <c r="AI33" s="582">
        <f t="shared" ca="1" si="8"/>
        <v>0.67703627749076623</v>
      </c>
      <c r="AJ33" s="582">
        <f t="shared" ca="1" si="9"/>
        <v>0</v>
      </c>
      <c r="AK33" s="582">
        <f t="shared" ca="1" si="10"/>
        <v>0</v>
      </c>
      <c r="AL33" s="582">
        <f t="shared" ca="1" si="11"/>
        <v>0</v>
      </c>
      <c r="AM33" s="582">
        <f t="shared" ca="1" si="12"/>
        <v>0</v>
      </c>
      <c r="AN33" s="582">
        <f t="shared" ca="1" si="13"/>
        <v>0</v>
      </c>
      <c r="AO33" s="582">
        <f t="shared" ca="1" si="14"/>
        <v>0.17301627991566085</v>
      </c>
      <c r="AP33" s="582">
        <f t="shared" ca="1" si="15"/>
        <v>0.14994744259357273</v>
      </c>
      <c r="AQ33" s="582">
        <f t="shared" ca="1" si="16"/>
        <v>0</v>
      </c>
      <c r="AR33" s="582">
        <f t="shared" ca="1" si="17"/>
        <v>0</v>
      </c>
      <c r="AS33" s="582">
        <f t="shared" ca="1" si="18"/>
        <v>0</v>
      </c>
      <c r="AT33" s="582">
        <f t="shared" ca="1" si="19"/>
        <v>0</v>
      </c>
      <c r="AU33" s="582">
        <f t="shared" ca="1" si="20"/>
        <v>0</v>
      </c>
      <c r="AV33" s="582">
        <f t="shared" ca="1" si="21"/>
        <v>0</v>
      </c>
      <c r="AW33" s="582">
        <f t="shared" ca="1" si="22"/>
        <v>0</v>
      </c>
      <c r="AX33" s="582">
        <f t="shared" ca="1" si="23"/>
        <v>0</v>
      </c>
      <c r="AY33" s="582">
        <f t="shared" ca="1" si="24"/>
        <v>0</v>
      </c>
      <c r="AZ33" s="582">
        <f t="shared" ca="1" si="25"/>
        <v>0</v>
      </c>
      <c r="BA33" s="582">
        <f t="shared" ca="1" si="26"/>
        <v>0</v>
      </c>
      <c r="BB33" s="582">
        <f t="shared" ca="1" si="27"/>
        <v>0</v>
      </c>
      <c r="BC33" s="582">
        <f t="shared" ca="1" si="28"/>
        <v>0</v>
      </c>
      <c r="BE33" s="582">
        <f t="shared" ca="1" si="1"/>
        <v>0.99999999999999978</v>
      </c>
    </row>
    <row r="34" spans="1:57" ht="15">
      <c r="A34" s="22">
        <f t="shared" si="29"/>
        <v>2054</v>
      </c>
      <c r="B34" s="586">
        <v>29</v>
      </c>
      <c r="C34" s="583">
        <f ca="1"/>
        <v>0</v>
      </c>
      <c r="D34" s="583">
        <f ca="1"/>
        <v>0</v>
      </c>
      <c r="E34" s="583">
        <f ca="1"/>
        <v>0</v>
      </c>
      <c r="F34" s="583">
        <f ca="1"/>
        <v>0</v>
      </c>
      <c r="G34" s="583">
        <f ca="1"/>
        <v>0</v>
      </c>
      <c r="H34" s="583">
        <f ca="1"/>
        <v>0</v>
      </c>
      <c r="I34" s="583">
        <f ca="1"/>
        <v>0</v>
      </c>
      <c r="J34">
        <f ca="1"/>
        <v>0</v>
      </c>
      <c r="K34">
        <f ca="1"/>
        <v>0</v>
      </c>
      <c r="L34">
        <f ca="1"/>
        <v>0</v>
      </c>
      <c r="M34">
        <f ca="1"/>
        <v>0</v>
      </c>
      <c r="N34">
        <f ca="1"/>
        <v>0</v>
      </c>
      <c r="O34">
        <f ca="1"/>
        <v>0</v>
      </c>
      <c r="P34">
        <f ca="1"/>
        <v>0</v>
      </c>
      <c r="Q34">
        <f ca="1"/>
        <v>0</v>
      </c>
      <c r="R34">
        <f ca="1"/>
        <v>0</v>
      </c>
      <c r="S34">
        <f ca="1"/>
        <v>0</v>
      </c>
      <c r="T34">
        <f ca="1"/>
        <v>0</v>
      </c>
      <c r="U34">
        <f ca="1"/>
        <v>0</v>
      </c>
      <c r="V34">
        <f ca="1"/>
        <v>0</v>
      </c>
      <c r="W34">
        <f ca="1"/>
        <v>0</v>
      </c>
      <c r="X34">
        <f ca="1"/>
        <v>0</v>
      </c>
      <c r="Y34">
        <f ca="1"/>
        <v>0</v>
      </c>
      <c r="Z34">
        <f ca="1"/>
        <v>0</v>
      </c>
      <c r="AA34">
        <f ca="1"/>
        <v>0</v>
      </c>
      <c r="AB34">
        <f ca="1"/>
        <v>0</v>
      </c>
      <c r="AC34">
        <f t="shared" ca="1" si="2"/>
        <v>0</v>
      </c>
      <c r="AD34" s="582">
        <f t="shared" ca="1" si="3"/>
        <v>0</v>
      </c>
      <c r="AE34" s="582">
        <f t="shared" ca="1" si="4"/>
        <v>0</v>
      </c>
      <c r="AF34" s="582">
        <f t="shared" ca="1" si="5"/>
        <v>0</v>
      </c>
      <c r="AG34" s="582">
        <f t="shared" ca="1" si="6"/>
        <v>0</v>
      </c>
      <c r="AH34" s="582">
        <f t="shared" ca="1" si="7"/>
        <v>0</v>
      </c>
      <c r="AI34" s="582">
        <f t="shared" ca="1" si="8"/>
        <v>0.67703627749076623</v>
      </c>
      <c r="AJ34" s="582">
        <f t="shared" ca="1" si="9"/>
        <v>0</v>
      </c>
      <c r="AK34" s="582">
        <f t="shared" ca="1" si="10"/>
        <v>0</v>
      </c>
      <c r="AL34" s="582">
        <f t="shared" ca="1" si="11"/>
        <v>0</v>
      </c>
      <c r="AM34" s="582">
        <f t="shared" ca="1" si="12"/>
        <v>0</v>
      </c>
      <c r="AN34" s="582">
        <f t="shared" ca="1" si="13"/>
        <v>0</v>
      </c>
      <c r="AO34" s="582">
        <f t="shared" ca="1" si="14"/>
        <v>0.17301627991566085</v>
      </c>
      <c r="AP34" s="582">
        <f t="shared" ca="1" si="15"/>
        <v>0.14994744259357273</v>
      </c>
      <c r="AQ34" s="582">
        <f t="shared" ca="1" si="16"/>
        <v>0</v>
      </c>
      <c r="AR34" s="582">
        <f t="shared" ca="1" si="17"/>
        <v>0</v>
      </c>
      <c r="AS34" s="582">
        <f t="shared" ca="1" si="18"/>
        <v>0</v>
      </c>
      <c r="AT34" s="582">
        <f t="shared" ca="1" si="19"/>
        <v>0</v>
      </c>
      <c r="AU34" s="582">
        <f t="shared" ca="1" si="20"/>
        <v>0</v>
      </c>
      <c r="AV34" s="582">
        <f t="shared" ca="1" si="21"/>
        <v>0</v>
      </c>
      <c r="AW34" s="582">
        <f t="shared" ca="1" si="22"/>
        <v>0</v>
      </c>
      <c r="AX34" s="582">
        <f t="shared" ca="1" si="23"/>
        <v>0</v>
      </c>
      <c r="AY34" s="582">
        <f t="shared" ca="1" si="24"/>
        <v>0</v>
      </c>
      <c r="AZ34" s="582">
        <f t="shared" ca="1" si="25"/>
        <v>0</v>
      </c>
      <c r="BA34" s="582">
        <f t="shared" ca="1" si="26"/>
        <v>0</v>
      </c>
      <c r="BB34" s="582">
        <f t="shared" ca="1" si="27"/>
        <v>0</v>
      </c>
      <c r="BC34" s="582">
        <f t="shared" ca="1" si="28"/>
        <v>0</v>
      </c>
      <c r="BE34" s="582">
        <f t="shared" ca="1" si="1"/>
        <v>0.99999999999999978</v>
      </c>
    </row>
    <row r="35" spans="1:57" ht="15">
      <c r="A35" s="22">
        <f t="shared" si="29"/>
        <v>2055</v>
      </c>
      <c r="B35" s="586">
        <v>30</v>
      </c>
      <c r="C35" s="583">
        <f ca="1"/>
        <v>0</v>
      </c>
      <c r="D35" s="583">
        <f ca="1"/>
        <v>0</v>
      </c>
      <c r="E35" s="583">
        <f ca="1"/>
        <v>0</v>
      </c>
      <c r="F35" s="583">
        <f ca="1"/>
        <v>0</v>
      </c>
      <c r="G35" s="583">
        <f ca="1"/>
        <v>0</v>
      </c>
      <c r="H35" s="583">
        <f ca="1"/>
        <v>0</v>
      </c>
      <c r="I35" s="583">
        <f ca="1"/>
        <v>0</v>
      </c>
      <c r="J35">
        <f ca="1"/>
        <v>0</v>
      </c>
      <c r="K35">
        <f ca="1"/>
        <v>0</v>
      </c>
      <c r="L35">
        <f ca="1"/>
        <v>0</v>
      </c>
      <c r="M35">
        <f ca="1"/>
        <v>0</v>
      </c>
      <c r="N35">
        <f ca="1"/>
        <v>0</v>
      </c>
      <c r="O35">
        <f ca="1"/>
        <v>0</v>
      </c>
      <c r="P35">
        <f ca="1"/>
        <v>0</v>
      </c>
      <c r="Q35">
        <f ca="1"/>
        <v>0</v>
      </c>
      <c r="R35">
        <f ca="1"/>
        <v>0</v>
      </c>
      <c r="S35">
        <f ca="1"/>
        <v>0</v>
      </c>
      <c r="T35">
        <f ca="1"/>
        <v>0</v>
      </c>
      <c r="U35">
        <f ca="1"/>
        <v>0</v>
      </c>
      <c r="V35">
        <f ca="1"/>
        <v>0</v>
      </c>
      <c r="W35">
        <f ca="1"/>
        <v>0</v>
      </c>
      <c r="X35">
        <f ca="1"/>
        <v>0</v>
      </c>
      <c r="Y35">
        <f ca="1"/>
        <v>0</v>
      </c>
      <c r="Z35">
        <f ca="1"/>
        <v>0</v>
      </c>
      <c r="AA35">
        <f ca="1"/>
        <v>0</v>
      </c>
      <c r="AB35">
        <f ca="1"/>
        <v>0</v>
      </c>
      <c r="AC35">
        <f t="shared" ca="1" si="2"/>
        <v>0</v>
      </c>
      <c r="AD35" s="582">
        <f t="shared" ca="1" si="3"/>
        <v>0</v>
      </c>
      <c r="AE35" s="582">
        <f t="shared" ca="1" si="4"/>
        <v>0</v>
      </c>
      <c r="AF35" s="582">
        <f t="shared" ca="1" si="5"/>
        <v>0</v>
      </c>
      <c r="AG35" s="582">
        <f t="shared" ca="1" si="6"/>
        <v>0</v>
      </c>
      <c r="AH35" s="582">
        <f t="shared" ca="1" si="7"/>
        <v>0</v>
      </c>
      <c r="AI35" s="582">
        <f t="shared" ca="1" si="8"/>
        <v>0.67703627749076623</v>
      </c>
      <c r="AJ35" s="582">
        <f t="shared" ca="1" si="9"/>
        <v>0</v>
      </c>
      <c r="AK35" s="582">
        <f t="shared" ca="1" si="10"/>
        <v>0</v>
      </c>
      <c r="AL35" s="582">
        <f t="shared" ca="1" si="11"/>
        <v>0</v>
      </c>
      <c r="AM35" s="582">
        <f t="shared" ca="1" si="12"/>
        <v>0</v>
      </c>
      <c r="AN35" s="582">
        <f t="shared" ca="1" si="13"/>
        <v>0</v>
      </c>
      <c r="AO35" s="582">
        <f t="shared" ca="1" si="14"/>
        <v>0.17301627991566085</v>
      </c>
      <c r="AP35" s="582">
        <f t="shared" ca="1" si="15"/>
        <v>0.14994744259357273</v>
      </c>
      <c r="AQ35" s="582">
        <f t="shared" ca="1" si="16"/>
        <v>0</v>
      </c>
      <c r="AR35" s="582">
        <f t="shared" ca="1" si="17"/>
        <v>0</v>
      </c>
      <c r="AS35" s="582">
        <f t="shared" ca="1" si="18"/>
        <v>0</v>
      </c>
      <c r="AT35" s="582">
        <f t="shared" ca="1" si="19"/>
        <v>0</v>
      </c>
      <c r="AU35" s="582">
        <f t="shared" ca="1" si="20"/>
        <v>0</v>
      </c>
      <c r="AV35" s="582">
        <f t="shared" ca="1" si="21"/>
        <v>0</v>
      </c>
      <c r="AW35" s="582">
        <f t="shared" ca="1" si="22"/>
        <v>0</v>
      </c>
      <c r="AX35" s="582">
        <f t="shared" ca="1" si="23"/>
        <v>0</v>
      </c>
      <c r="AY35" s="582">
        <f t="shared" ca="1" si="24"/>
        <v>0</v>
      </c>
      <c r="AZ35" s="582">
        <f t="shared" ca="1" si="25"/>
        <v>0</v>
      </c>
      <c r="BA35" s="582">
        <f t="shared" ca="1" si="26"/>
        <v>0</v>
      </c>
      <c r="BB35" s="582">
        <f t="shared" ca="1" si="27"/>
        <v>0</v>
      </c>
      <c r="BC35" s="582">
        <f t="shared" ca="1" si="28"/>
        <v>0</v>
      </c>
      <c r="BE35" s="582">
        <f t="shared" ca="1" si="1"/>
        <v>0.99999999999999978</v>
      </c>
    </row>
    <row r="36" spans="1:57" ht="15">
      <c r="A36" s="22">
        <f t="shared" si="29"/>
        <v>2056</v>
      </c>
      <c r="B36" s="586">
        <v>31</v>
      </c>
      <c r="C36" s="583">
        <f ca="1"/>
        <v>0</v>
      </c>
      <c r="D36" s="583">
        <f ca="1"/>
        <v>0</v>
      </c>
      <c r="E36" s="583">
        <f ca="1"/>
        <v>0</v>
      </c>
      <c r="F36" s="583">
        <f ca="1"/>
        <v>0</v>
      </c>
      <c r="G36" s="583">
        <f ca="1"/>
        <v>0</v>
      </c>
      <c r="H36" s="583">
        <f ca="1"/>
        <v>0</v>
      </c>
      <c r="I36" s="583">
        <f ca="1"/>
        <v>0</v>
      </c>
      <c r="J36">
        <f ca="1"/>
        <v>0</v>
      </c>
      <c r="K36">
        <f ca="1"/>
        <v>0</v>
      </c>
      <c r="L36">
        <f ca="1"/>
        <v>0</v>
      </c>
      <c r="M36">
        <f ca="1"/>
        <v>0</v>
      </c>
      <c r="N36">
        <f ca="1"/>
        <v>0</v>
      </c>
      <c r="O36">
        <f ca="1"/>
        <v>0</v>
      </c>
      <c r="P36">
        <f ca="1"/>
        <v>0</v>
      </c>
      <c r="Q36">
        <f ca="1"/>
        <v>0</v>
      </c>
      <c r="R36">
        <f ca="1"/>
        <v>0</v>
      </c>
      <c r="S36">
        <f ca="1"/>
        <v>0</v>
      </c>
      <c r="T36">
        <f ca="1"/>
        <v>0</v>
      </c>
      <c r="U36">
        <f ca="1"/>
        <v>0</v>
      </c>
      <c r="V36">
        <f ca="1"/>
        <v>0</v>
      </c>
      <c r="W36">
        <f ca="1"/>
        <v>0</v>
      </c>
      <c r="X36">
        <f ca="1"/>
        <v>0</v>
      </c>
      <c r="Y36">
        <f ca="1"/>
        <v>0</v>
      </c>
      <c r="Z36">
        <f ca="1"/>
        <v>0</v>
      </c>
      <c r="AA36">
        <f ca="1"/>
        <v>0</v>
      </c>
      <c r="AB36">
        <f ca="1"/>
        <v>0</v>
      </c>
      <c r="AC36">
        <f t="shared" ca="1" si="2"/>
        <v>0</v>
      </c>
      <c r="AD36" s="582">
        <f t="shared" ca="1" si="3"/>
        <v>0</v>
      </c>
      <c r="AE36" s="582">
        <f t="shared" ca="1" si="4"/>
        <v>0</v>
      </c>
      <c r="AF36" s="582">
        <f t="shared" ca="1" si="5"/>
        <v>0</v>
      </c>
      <c r="AG36" s="582">
        <f t="shared" ca="1" si="6"/>
        <v>0</v>
      </c>
      <c r="AH36" s="582">
        <f t="shared" ca="1" si="7"/>
        <v>0</v>
      </c>
      <c r="AI36" s="582">
        <f t="shared" ca="1" si="8"/>
        <v>0.67703627749076623</v>
      </c>
      <c r="AJ36" s="582">
        <f t="shared" ca="1" si="9"/>
        <v>0</v>
      </c>
      <c r="AK36" s="582">
        <f t="shared" ca="1" si="10"/>
        <v>0</v>
      </c>
      <c r="AL36" s="582">
        <f t="shared" ca="1" si="11"/>
        <v>0</v>
      </c>
      <c r="AM36" s="582">
        <f t="shared" ca="1" si="12"/>
        <v>0</v>
      </c>
      <c r="AN36" s="582">
        <f t="shared" ca="1" si="13"/>
        <v>0</v>
      </c>
      <c r="AO36" s="582">
        <f t="shared" ca="1" si="14"/>
        <v>0.17301627991566085</v>
      </c>
      <c r="AP36" s="582">
        <f t="shared" ca="1" si="15"/>
        <v>0.14994744259357273</v>
      </c>
      <c r="AQ36" s="582">
        <f t="shared" ca="1" si="16"/>
        <v>0</v>
      </c>
      <c r="AR36" s="582">
        <f t="shared" ca="1" si="17"/>
        <v>0</v>
      </c>
      <c r="AS36" s="582">
        <f t="shared" ca="1" si="18"/>
        <v>0</v>
      </c>
      <c r="AT36" s="582">
        <f t="shared" ca="1" si="19"/>
        <v>0</v>
      </c>
      <c r="AU36" s="582">
        <f t="shared" ca="1" si="20"/>
        <v>0</v>
      </c>
      <c r="AV36" s="582">
        <f t="shared" ca="1" si="21"/>
        <v>0</v>
      </c>
      <c r="AW36" s="582">
        <f t="shared" ca="1" si="22"/>
        <v>0</v>
      </c>
      <c r="AX36" s="582">
        <f t="shared" ca="1" si="23"/>
        <v>0</v>
      </c>
      <c r="AY36" s="582">
        <f t="shared" ca="1" si="24"/>
        <v>0</v>
      </c>
      <c r="AZ36" s="582">
        <f t="shared" ca="1" si="25"/>
        <v>0</v>
      </c>
      <c r="BA36" s="582">
        <f t="shared" ca="1" si="26"/>
        <v>0</v>
      </c>
      <c r="BB36" s="582">
        <f t="shared" ca="1" si="27"/>
        <v>0</v>
      </c>
      <c r="BC36" s="582">
        <f t="shared" ca="1" si="28"/>
        <v>0</v>
      </c>
      <c r="BE36" s="582">
        <f t="shared" ca="1" si="1"/>
        <v>0.99999999999999978</v>
      </c>
    </row>
    <row r="37" spans="1:57" ht="15">
      <c r="A37" s="22">
        <f t="shared" si="29"/>
        <v>2057</v>
      </c>
      <c r="B37" s="586">
        <v>32</v>
      </c>
      <c r="C37" s="583">
        <f ca="1"/>
        <v>0</v>
      </c>
      <c r="D37" s="583">
        <f ca="1"/>
        <v>0</v>
      </c>
      <c r="E37" s="583">
        <f ca="1"/>
        <v>0</v>
      </c>
      <c r="F37" s="583">
        <f ca="1"/>
        <v>0</v>
      </c>
      <c r="G37" s="583">
        <f ca="1"/>
        <v>0</v>
      </c>
      <c r="H37" s="583">
        <f ca="1"/>
        <v>0</v>
      </c>
      <c r="I37" s="583">
        <f ca="1"/>
        <v>0</v>
      </c>
      <c r="J37">
        <f ca="1"/>
        <v>0</v>
      </c>
      <c r="K37">
        <f ca="1"/>
        <v>0</v>
      </c>
      <c r="L37">
        <f ca="1"/>
        <v>0</v>
      </c>
      <c r="M37">
        <f ca="1"/>
        <v>0</v>
      </c>
      <c r="N37">
        <f ca="1"/>
        <v>0</v>
      </c>
      <c r="O37">
        <f ca="1"/>
        <v>0</v>
      </c>
      <c r="P37">
        <f ca="1"/>
        <v>0</v>
      </c>
      <c r="Q37">
        <f ca="1"/>
        <v>0</v>
      </c>
      <c r="R37">
        <f ca="1"/>
        <v>0</v>
      </c>
      <c r="S37">
        <f ca="1"/>
        <v>0</v>
      </c>
      <c r="T37">
        <f ca="1"/>
        <v>0</v>
      </c>
      <c r="U37">
        <f ca="1"/>
        <v>0</v>
      </c>
      <c r="V37">
        <f ca="1"/>
        <v>0</v>
      </c>
      <c r="W37">
        <f ca="1"/>
        <v>0</v>
      </c>
      <c r="X37">
        <f ca="1"/>
        <v>0</v>
      </c>
      <c r="Y37">
        <f ca="1"/>
        <v>0</v>
      </c>
      <c r="Z37">
        <f ca="1"/>
        <v>0</v>
      </c>
      <c r="AA37">
        <f ca="1"/>
        <v>0</v>
      </c>
      <c r="AB37">
        <f ca="1"/>
        <v>0</v>
      </c>
      <c r="AC37">
        <f t="shared" ca="1" si="2"/>
        <v>0</v>
      </c>
      <c r="AD37" s="582">
        <f t="shared" ca="1" si="3"/>
        <v>0</v>
      </c>
      <c r="AE37" s="582">
        <f t="shared" ca="1" si="4"/>
        <v>0</v>
      </c>
      <c r="AF37" s="582">
        <f t="shared" ca="1" si="5"/>
        <v>0</v>
      </c>
      <c r="AG37" s="582">
        <f t="shared" ca="1" si="6"/>
        <v>0</v>
      </c>
      <c r="AH37" s="582">
        <f t="shared" ca="1" si="7"/>
        <v>0</v>
      </c>
      <c r="AI37" s="582">
        <f t="shared" ca="1" si="8"/>
        <v>0.67703627749076623</v>
      </c>
      <c r="AJ37" s="582">
        <f t="shared" ca="1" si="9"/>
        <v>0</v>
      </c>
      <c r="AK37" s="582">
        <f t="shared" ca="1" si="10"/>
        <v>0</v>
      </c>
      <c r="AL37" s="582">
        <f t="shared" ca="1" si="11"/>
        <v>0</v>
      </c>
      <c r="AM37" s="582">
        <f t="shared" ca="1" si="12"/>
        <v>0</v>
      </c>
      <c r="AN37" s="582">
        <f t="shared" ca="1" si="13"/>
        <v>0</v>
      </c>
      <c r="AO37" s="582">
        <f t="shared" ca="1" si="14"/>
        <v>0.17301627991566085</v>
      </c>
      <c r="AP37" s="582">
        <f t="shared" ca="1" si="15"/>
        <v>0.14994744259357273</v>
      </c>
      <c r="AQ37" s="582">
        <f t="shared" ca="1" si="16"/>
        <v>0</v>
      </c>
      <c r="AR37" s="582">
        <f t="shared" ca="1" si="17"/>
        <v>0</v>
      </c>
      <c r="AS37" s="582">
        <f t="shared" ca="1" si="18"/>
        <v>0</v>
      </c>
      <c r="AT37" s="582">
        <f t="shared" ca="1" si="19"/>
        <v>0</v>
      </c>
      <c r="AU37" s="582">
        <f t="shared" ca="1" si="20"/>
        <v>0</v>
      </c>
      <c r="AV37" s="582">
        <f t="shared" ca="1" si="21"/>
        <v>0</v>
      </c>
      <c r="AW37" s="582">
        <f t="shared" ca="1" si="22"/>
        <v>0</v>
      </c>
      <c r="AX37" s="582">
        <f t="shared" ca="1" si="23"/>
        <v>0</v>
      </c>
      <c r="AY37" s="582">
        <f t="shared" ca="1" si="24"/>
        <v>0</v>
      </c>
      <c r="AZ37" s="582">
        <f t="shared" ca="1" si="25"/>
        <v>0</v>
      </c>
      <c r="BA37" s="582">
        <f t="shared" ca="1" si="26"/>
        <v>0</v>
      </c>
      <c r="BB37" s="582">
        <f t="shared" ca="1" si="27"/>
        <v>0</v>
      </c>
      <c r="BC37" s="582">
        <f t="shared" ca="1" si="28"/>
        <v>0</v>
      </c>
      <c r="BE37" s="582">
        <f t="shared" ca="1" si="1"/>
        <v>0.99999999999999978</v>
      </c>
    </row>
    <row r="38" spans="1:57" ht="15">
      <c r="A38" s="22">
        <f t="shared" si="29"/>
        <v>2058</v>
      </c>
      <c r="B38" s="586">
        <v>33</v>
      </c>
      <c r="C38" s="583">
        <f ca="1"/>
        <v>0</v>
      </c>
      <c r="D38" s="583">
        <f ca="1"/>
        <v>0</v>
      </c>
      <c r="E38" s="583">
        <f ca="1"/>
        <v>0</v>
      </c>
      <c r="F38" s="583">
        <f ca="1"/>
        <v>0</v>
      </c>
      <c r="G38" s="583">
        <f ca="1"/>
        <v>0</v>
      </c>
      <c r="H38" s="583">
        <f ca="1"/>
        <v>0</v>
      </c>
      <c r="I38" s="583">
        <f ca="1"/>
        <v>0</v>
      </c>
      <c r="J38">
        <f ca="1"/>
        <v>0</v>
      </c>
      <c r="K38">
        <f ca="1"/>
        <v>0</v>
      </c>
      <c r="L38">
        <f ca="1"/>
        <v>0</v>
      </c>
      <c r="M38">
        <f ca="1"/>
        <v>0</v>
      </c>
      <c r="N38">
        <f ca="1"/>
        <v>0</v>
      </c>
      <c r="O38">
        <f ca="1"/>
        <v>0</v>
      </c>
      <c r="P38">
        <f ca="1"/>
        <v>0</v>
      </c>
      <c r="Q38">
        <f ca="1"/>
        <v>0</v>
      </c>
      <c r="R38">
        <f ca="1"/>
        <v>0</v>
      </c>
      <c r="S38">
        <f ca="1"/>
        <v>0</v>
      </c>
      <c r="T38">
        <f ca="1"/>
        <v>0</v>
      </c>
      <c r="U38">
        <f ca="1"/>
        <v>0</v>
      </c>
      <c r="V38">
        <f ca="1"/>
        <v>0</v>
      </c>
      <c r="W38">
        <f ca="1"/>
        <v>0</v>
      </c>
      <c r="X38">
        <f ca="1"/>
        <v>0</v>
      </c>
      <c r="Y38">
        <f ca="1"/>
        <v>0</v>
      </c>
      <c r="Z38">
        <f ca="1"/>
        <v>0</v>
      </c>
      <c r="AA38">
        <f ca="1"/>
        <v>0</v>
      </c>
      <c r="AB38">
        <f ca="1"/>
        <v>0</v>
      </c>
      <c r="AC38">
        <f t="shared" ca="1" si="2"/>
        <v>0</v>
      </c>
      <c r="AD38" s="582">
        <f t="shared" ca="1" si="3"/>
        <v>0</v>
      </c>
      <c r="AE38" s="582">
        <f t="shared" ca="1" si="4"/>
        <v>0</v>
      </c>
      <c r="AF38" s="582">
        <f t="shared" ca="1" si="5"/>
        <v>0</v>
      </c>
      <c r="AG38" s="582">
        <f t="shared" ca="1" si="6"/>
        <v>0</v>
      </c>
      <c r="AH38" s="582">
        <f t="shared" ca="1" si="7"/>
        <v>0</v>
      </c>
      <c r="AI38" s="582">
        <f t="shared" ca="1" si="8"/>
        <v>0.67703627749076623</v>
      </c>
      <c r="AJ38" s="582">
        <f t="shared" ca="1" si="9"/>
        <v>0</v>
      </c>
      <c r="AK38" s="582">
        <f t="shared" ca="1" si="10"/>
        <v>0</v>
      </c>
      <c r="AL38" s="582">
        <f t="shared" ca="1" si="11"/>
        <v>0</v>
      </c>
      <c r="AM38" s="582">
        <f t="shared" ca="1" si="12"/>
        <v>0</v>
      </c>
      <c r="AN38" s="582">
        <f t="shared" ca="1" si="13"/>
        <v>0</v>
      </c>
      <c r="AO38" s="582">
        <f t="shared" ca="1" si="14"/>
        <v>0.17301627991566085</v>
      </c>
      <c r="AP38" s="582">
        <f t="shared" ca="1" si="15"/>
        <v>0.14994744259357273</v>
      </c>
      <c r="AQ38" s="582">
        <f t="shared" ca="1" si="16"/>
        <v>0</v>
      </c>
      <c r="AR38" s="582">
        <f t="shared" ca="1" si="17"/>
        <v>0</v>
      </c>
      <c r="AS38" s="582">
        <f t="shared" ca="1" si="18"/>
        <v>0</v>
      </c>
      <c r="AT38" s="582">
        <f t="shared" ca="1" si="19"/>
        <v>0</v>
      </c>
      <c r="AU38" s="582">
        <f t="shared" ca="1" si="20"/>
        <v>0</v>
      </c>
      <c r="AV38" s="582">
        <f t="shared" ca="1" si="21"/>
        <v>0</v>
      </c>
      <c r="AW38" s="582">
        <f t="shared" ca="1" si="22"/>
        <v>0</v>
      </c>
      <c r="AX38" s="582">
        <f t="shared" ca="1" si="23"/>
        <v>0</v>
      </c>
      <c r="AY38" s="582">
        <f t="shared" ca="1" si="24"/>
        <v>0</v>
      </c>
      <c r="AZ38" s="582">
        <f t="shared" ca="1" si="25"/>
        <v>0</v>
      </c>
      <c r="BA38" s="582">
        <f t="shared" ca="1" si="26"/>
        <v>0</v>
      </c>
      <c r="BB38" s="582">
        <f t="shared" ca="1" si="27"/>
        <v>0</v>
      </c>
      <c r="BC38" s="582">
        <f t="shared" ca="1" si="28"/>
        <v>0</v>
      </c>
      <c r="BE38" s="582">
        <f t="shared" ca="1" si="1"/>
        <v>0.99999999999999978</v>
      </c>
    </row>
    <row r="39" spans="1:57" ht="15">
      <c r="A39" s="22">
        <f t="shared" si="29"/>
        <v>2059</v>
      </c>
      <c r="B39" s="586">
        <v>34</v>
      </c>
      <c r="C39" s="583">
        <f ca="1"/>
        <v>0</v>
      </c>
      <c r="D39" s="583">
        <f ca="1"/>
        <v>0</v>
      </c>
      <c r="E39" s="583">
        <f ca="1"/>
        <v>0</v>
      </c>
      <c r="F39" s="583">
        <f ca="1"/>
        <v>0</v>
      </c>
      <c r="G39" s="583">
        <f ca="1"/>
        <v>0</v>
      </c>
      <c r="H39" s="583">
        <f ca="1"/>
        <v>0</v>
      </c>
      <c r="I39" s="583">
        <f ca="1"/>
        <v>0</v>
      </c>
      <c r="J39">
        <f ca="1"/>
        <v>0</v>
      </c>
      <c r="K39">
        <f ca="1"/>
        <v>0</v>
      </c>
      <c r="L39">
        <f ca="1"/>
        <v>0</v>
      </c>
      <c r="M39">
        <f ca="1"/>
        <v>0</v>
      </c>
      <c r="N39">
        <f ca="1"/>
        <v>0</v>
      </c>
      <c r="O39">
        <f ca="1"/>
        <v>0</v>
      </c>
      <c r="P39">
        <f ca="1"/>
        <v>0</v>
      </c>
      <c r="Q39">
        <f ca="1"/>
        <v>0</v>
      </c>
      <c r="R39">
        <f ca="1"/>
        <v>0</v>
      </c>
      <c r="S39">
        <f ca="1"/>
        <v>0</v>
      </c>
      <c r="T39">
        <f ca="1"/>
        <v>0</v>
      </c>
      <c r="U39">
        <f ca="1"/>
        <v>0</v>
      </c>
      <c r="V39">
        <f ca="1"/>
        <v>0</v>
      </c>
      <c r="W39">
        <f ca="1"/>
        <v>0</v>
      </c>
      <c r="X39">
        <f ca="1"/>
        <v>0</v>
      </c>
      <c r="Y39">
        <f ca="1"/>
        <v>0</v>
      </c>
      <c r="Z39">
        <f ca="1"/>
        <v>0</v>
      </c>
      <c r="AA39">
        <f ca="1"/>
        <v>0</v>
      </c>
      <c r="AB39">
        <f ca="1"/>
        <v>0</v>
      </c>
      <c r="AC39">
        <f t="shared" ca="1" si="2"/>
        <v>0</v>
      </c>
      <c r="AD39" s="582">
        <f t="shared" ca="1" si="3"/>
        <v>0</v>
      </c>
      <c r="AE39" s="582">
        <f t="shared" ca="1" si="4"/>
        <v>0</v>
      </c>
      <c r="AF39" s="582">
        <f t="shared" ca="1" si="5"/>
        <v>0</v>
      </c>
      <c r="AG39" s="582">
        <f t="shared" ca="1" si="6"/>
        <v>0</v>
      </c>
      <c r="AH39" s="582">
        <f t="shared" ca="1" si="7"/>
        <v>0</v>
      </c>
      <c r="AI39" s="582">
        <f t="shared" ca="1" si="8"/>
        <v>0.67703627749076623</v>
      </c>
      <c r="AJ39" s="582">
        <f t="shared" ca="1" si="9"/>
        <v>0</v>
      </c>
      <c r="AK39" s="582">
        <f t="shared" ca="1" si="10"/>
        <v>0</v>
      </c>
      <c r="AL39" s="582">
        <f t="shared" ca="1" si="11"/>
        <v>0</v>
      </c>
      <c r="AM39" s="582">
        <f t="shared" ca="1" si="12"/>
        <v>0</v>
      </c>
      <c r="AN39" s="582">
        <f t="shared" ca="1" si="13"/>
        <v>0</v>
      </c>
      <c r="AO39" s="582">
        <f t="shared" ca="1" si="14"/>
        <v>0.17301627991566085</v>
      </c>
      <c r="AP39" s="582">
        <f t="shared" ca="1" si="15"/>
        <v>0.14994744259357273</v>
      </c>
      <c r="AQ39" s="582">
        <f t="shared" ca="1" si="16"/>
        <v>0</v>
      </c>
      <c r="AR39" s="582">
        <f t="shared" ca="1" si="17"/>
        <v>0</v>
      </c>
      <c r="AS39" s="582">
        <f t="shared" ca="1" si="18"/>
        <v>0</v>
      </c>
      <c r="AT39" s="582">
        <f t="shared" ca="1" si="19"/>
        <v>0</v>
      </c>
      <c r="AU39" s="582">
        <f t="shared" ca="1" si="20"/>
        <v>0</v>
      </c>
      <c r="AV39" s="582">
        <f t="shared" ca="1" si="21"/>
        <v>0</v>
      </c>
      <c r="AW39" s="582">
        <f t="shared" ca="1" si="22"/>
        <v>0</v>
      </c>
      <c r="AX39" s="582">
        <f t="shared" ca="1" si="23"/>
        <v>0</v>
      </c>
      <c r="AY39" s="582">
        <f t="shared" ca="1" si="24"/>
        <v>0</v>
      </c>
      <c r="AZ39" s="582">
        <f t="shared" ca="1" si="25"/>
        <v>0</v>
      </c>
      <c r="BA39" s="582">
        <f t="shared" ca="1" si="26"/>
        <v>0</v>
      </c>
      <c r="BB39" s="582">
        <f t="shared" ca="1" si="27"/>
        <v>0</v>
      </c>
      <c r="BC39" s="582">
        <f t="shared" ca="1" si="28"/>
        <v>0</v>
      </c>
      <c r="BE39" s="582">
        <f t="shared" ca="1" si="1"/>
        <v>0.99999999999999978</v>
      </c>
    </row>
    <row r="40" spans="1:57" ht="15">
      <c r="A40" s="22">
        <f t="shared" si="29"/>
        <v>2060</v>
      </c>
      <c r="B40" s="586">
        <v>35</v>
      </c>
      <c r="C40" s="583">
        <f ca="1"/>
        <v>0</v>
      </c>
      <c r="D40" s="583">
        <f ca="1"/>
        <v>0</v>
      </c>
      <c r="E40" s="583">
        <f ca="1"/>
        <v>0</v>
      </c>
      <c r="F40" s="583">
        <f ca="1"/>
        <v>0</v>
      </c>
      <c r="G40" s="583">
        <f ca="1"/>
        <v>0</v>
      </c>
      <c r="H40" s="583">
        <f ca="1"/>
        <v>0</v>
      </c>
      <c r="I40" s="583">
        <f ca="1"/>
        <v>0</v>
      </c>
      <c r="J40">
        <f ca="1"/>
        <v>0</v>
      </c>
      <c r="K40">
        <f ca="1"/>
        <v>0</v>
      </c>
      <c r="L40">
        <f ca="1"/>
        <v>0</v>
      </c>
      <c r="M40">
        <f ca="1"/>
        <v>0</v>
      </c>
      <c r="N40">
        <f ca="1"/>
        <v>0</v>
      </c>
      <c r="O40">
        <f ca="1"/>
        <v>0</v>
      </c>
      <c r="P40">
        <f ca="1"/>
        <v>0</v>
      </c>
      <c r="Q40">
        <f ca="1"/>
        <v>0</v>
      </c>
      <c r="R40">
        <f ca="1"/>
        <v>0</v>
      </c>
      <c r="S40">
        <f ca="1"/>
        <v>0</v>
      </c>
      <c r="T40">
        <f ca="1"/>
        <v>0</v>
      </c>
      <c r="U40">
        <f ca="1"/>
        <v>0</v>
      </c>
      <c r="V40">
        <f ca="1"/>
        <v>0</v>
      </c>
      <c r="W40">
        <f ca="1"/>
        <v>0</v>
      </c>
      <c r="X40">
        <f ca="1"/>
        <v>0</v>
      </c>
      <c r="Y40">
        <f ca="1"/>
        <v>0</v>
      </c>
      <c r="Z40">
        <f ca="1"/>
        <v>0</v>
      </c>
      <c r="AA40">
        <f ca="1"/>
        <v>0</v>
      </c>
      <c r="AB40">
        <f ca="1"/>
        <v>0</v>
      </c>
      <c r="AC40">
        <f t="shared" ca="1" si="2"/>
        <v>0</v>
      </c>
      <c r="AD40" s="582">
        <f t="shared" ca="1" si="3"/>
        <v>0</v>
      </c>
      <c r="AE40" s="582">
        <f t="shared" ca="1" si="4"/>
        <v>0</v>
      </c>
      <c r="AF40" s="582">
        <f t="shared" ca="1" si="5"/>
        <v>0</v>
      </c>
      <c r="AG40" s="582">
        <f t="shared" ca="1" si="6"/>
        <v>0</v>
      </c>
      <c r="AH40" s="582">
        <f t="shared" ca="1" si="7"/>
        <v>0</v>
      </c>
      <c r="AI40" s="582">
        <f t="shared" ca="1" si="8"/>
        <v>0.67703627749076623</v>
      </c>
      <c r="AJ40" s="582">
        <f t="shared" ca="1" si="9"/>
        <v>0</v>
      </c>
      <c r="AK40" s="582">
        <f t="shared" ca="1" si="10"/>
        <v>0</v>
      </c>
      <c r="AL40" s="582">
        <f t="shared" ca="1" si="11"/>
        <v>0</v>
      </c>
      <c r="AM40" s="582">
        <f t="shared" ca="1" si="12"/>
        <v>0</v>
      </c>
      <c r="AN40" s="582">
        <f t="shared" ca="1" si="13"/>
        <v>0</v>
      </c>
      <c r="AO40" s="582">
        <f t="shared" ca="1" si="14"/>
        <v>0.17301627991566085</v>
      </c>
      <c r="AP40" s="582">
        <f t="shared" ca="1" si="15"/>
        <v>0.14994744259357273</v>
      </c>
      <c r="AQ40" s="582">
        <f t="shared" ca="1" si="16"/>
        <v>0</v>
      </c>
      <c r="AR40" s="582">
        <f t="shared" ca="1" si="17"/>
        <v>0</v>
      </c>
      <c r="AS40" s="582">
        <f t="shared" ca="1" si="18"/>
        <v>0</v>
      </c>
      <c r="AT40" s="582">
        <f t="shared" ca="1" si="19"/>
        <v>0</v>
      </c>
      <c r="AU40" s="582">
        <f t="shared" ca="1" si="20"/>
        <v>0</v>
      </c>
      <c r="AV40" s="582">
        <f t="shared" ca="1" si="21"/>
        <v>0</v>
      </c>
      <c r="AW40" s="582">
        <f t="shared" ca="1" si="22"/>
        <v>0</v>
      </c>
      <c r="AX40" s="582">
        <f t="shared" ca="1" si="23"/>
        <v>0</v>
      </c>
      <c r="AY40" s="582">
        <f t="shared" ca="1" si="24"/>
        <v>0</v>
      </c>
      <c r="AZ40" s="582">
        <f t="shared" ca="1" si="25"/>
        <v>0</v>
      </c>
      <c r="BA40" s="582">
        <f t="shared" ca="1" si="26"/>
        <v>0</v>
      </c>
      <c r="BB40" s="582">
        <f t="shared" ca="1" si="27"/>
        <v>0</v>
      </c>
      <c r="BC40" s="582">
        <f t="shared" ca="1" si="28"/>
        <v>0</v>
      </c>
      <c r="BE40" s="582">
        <f t="shared" ca="1" si="1"/>
        <v>0.99999999999999978</v>
      </c>
    </row>
    <row r="41" spans="1:57" ht="15">
      <c r="A41" s="22">
        <f t="shared" si="29"/>
        <v>2061</v>
      </c>
      <c r="B41" s="586">
        <v>36</v>
      </c>
      <c r="C41" s="583">
        <f ca="1"/>
        <v>0</v>
      </c>
      <c r="D41" s="583">
        <f ca="1"/>
        <v>0</v>
      </c>
      <c r="E41" s="583">
        <f ca="1"/>
        <v>0</v>
      </c>
      <c r="F41" s="583">
        <f ca="1"/>
        <v>0</v>
      </c>
      <c r="G41" s="583">
        <f ca="1"/>
        <v>0</v>
      </c>
      <c r="H41" s="583">
        <f ca="1"/>
        <v>0</v>
      </c>
      <c r="I41" s="583">
        <f ca="1"/>
        <v>0</v>
      </c>
      <c r="J41">
        <f ca="1"/>
        <v>0</v>
      </c>
      <c r="K41">
        <f ca="1"/>
        <v>0</v>
      </c>
      <c r="L41">
        <f ca="1"/>
        <v>0</v>
      </c>
      <c r="M41">
        <f ca="1"/>
        <v>0</v>
      </c>
      <c r="N41">
        <f ca="1"/>
        <v>0</v>
      </c>
      <c r="O41">
        <f ca="1"/>
        <v>0</v>
      </c>
      <c r="P41">
        <f ca="1"/>
        <v>0</v>
      </c>
      <c r="Q41">
        <f ca="1"/>
        <v>0</v>
      </c>
      <c r="R41">
        <f ca="1"/>
        <v>0</v>
      </c>
      <c r="S41">
        <f ca="1"/>
        <v>0</v>
      </c>
      <c r="T41">
        <f ca="1"/>
        <v>0</v>
      </c>
      <c r="U41">
        <f ca="1"/>
        <v>0</v>
      </c>
      <c r="V41">
        <f ca="1"/>
        <v>0</v>
      </c>
      <c r="W41">
        <f ca="1"/>
        <v>0</v>
      </c>
      <c r="X41">
        <f ca="1"/>
        <v>0</v>
      </c>
      <c r="Y41">
        <f ca="1"/>
        <v>0</v>
      </c>
      <c r="Z41">
        <f ca="1"/>
        <v>0</v>
      </c>
      <c r="AA41">
        <f ca="1"/>
        <v>0</v>
      </c>
      <c r="AB41">
        <f ca="1"/>
        <v>0</v>
      </c>
      <c r="AC41">
        <f t="shared" ca="1" si="2"/>
        <v>0</v>
      </c>
      <c r="AD41" s="582">
        <f t="shared" ca="1" si="3"/>
        <v>0</v>
      </c>
      <c r="AE41" s="582">
        <f t="shared" ca="1" si="4"/>
        <v>0</v>
      </c>
      <c r="AF41" s="582">
        <f t="shared" ca="1" si="5"/>
        <v>0</v>
      </c>
      <c r="AG41" s="582">
        <f t="shared" ca="1" si="6"/>
        <v>0</v>
      </c>
      <c r="AH41" s="582">
        <f t="shared" ca="1" si="7"/>
        <v>0</v>
      </c>
      <c r="AI41" s="582">
        <f t="shared" ca="1" si="8"/>
        <v>0.67703627749076623</v>
      </c>
      <c r="AJ41" s="582">
        <f t="shared" ca="1" si="9"/>
        <v>0</v>
      </c>
      <c r="AK41" s="582">
        <f t="shared" ca="1" si="10"/>
        <v>0</v>
      </c>
      <c r="AL41" s="582">
        <f t="shared" ca="1" si="11"/>
        <v>0</v>
      </c>
      <c r="AM41" s="582">
        <f t="shared" ca="1" si="12"/>
        <v>0</v>
      </c>
      <c r="AN41" s="582">
        <f t="shared" ca="1" si="13"/>
        <v>0</v>
      </c>
      <c r="AO41" s="582">
        <f t="shared" ca="1" si="14"/>
        <v>0.17301627991566085</v>
      </c>
      <c r="AP41" s="582">
        <f t="shared" ca="1" si="15"/>
        <v>0.14994744259357273</v>
      </c>
      <c r="AQ41" s="582">
        <f t="shared" ca="1" si="16"/>
        <v>0</v>
      </c>
      <c r="AR41" s="582">
        <f t="shared" ca="1" si="17"/>
        <v>0</v>
      </c>
      <c r="AS41" s="582">
        <f t="shared" ca="1" si="18"/>
        <v>0</v>
      </c>
      <c r="AT41" s="582">
        <f t="shared" ca="1" si="19"/>
        <v>0</v>
      </c>
      <c r="AU41" s="582">
        <f t="shared" ca="1" si="20"/>
        <v>0</v>
      </c>
      <c r="AV41" s="582">
        <f t="shared" ca="1" si="21"/>
        <v>0</v>
      </c>
      <c r="AW41" s="582">
        <f t="shared" ca="1" si="22"/>
        <v>0</v>
      </c>
      <c r="AX41" s="582">
        <f t="shared" ca="1" si="23"/>
        <v>0</v>
      </c>
      <c r="AY41" s="582">
        <f t="shared" ca="1" si="24"/>
        <v>0</v>
      </c>
      <c r="AZ41" s="582">
        <f t="shared" ca="1" si="25"/>
        <v>0</v>
      </c>
      <c r="BA41" s="582">
        <f t="shared" ca="1" si="26"/>
        <v>0</v>
      </c>
      <c r="BB41" s="582">
        <f t="shared" ca="1" si="27"/>
        <v>0</v>
      </c>
      <c r="BC41" s="582">
        <f t="shared" ca="1" si="28"/>
        <v>0</v>
      </c>
      <c r="BE41" s="582">
        <f t="shared" ca="1" si="1"/>
        <v>0.99999999999999978</v>
      </c>
    </row>
    <row r="42" spans="1:57" ht="15">
      <c r="A42" s="22">
        <f t="shared" si="29"/>
        <v>2062</v>
      </c>
      <c r="B42" s="586">
        <v>37</v>
      </c>
      <c r="C42" s="583">
        <f ca="1"/>
        <v>0</v>
      </c>
      <c r="D42" s="583">
        <f ca="1"/>
        <v>0</v>
      </c>
      <c r="E42" s="583">
        <f ca="1"/>
        <v>0</v>
      </c>
      <c r="F42" s="583">
        <f ca="1"/>
        <v>0</v>
      </c>
      <c r="G42" s="583">
        <f ca="1"/>
        <v>0</v>
      </c>
      <c r="H42" s="583">
        <f ca="1"/>
        <v>0</v>
      </c>
      <c r="I42" s="583">
        <f ca="1"/>
        <v>0</v>
      </c>
      <c r="J42">
        <f ca="1"/>
        <v>0</v>
      </c>
      <c r="K42">
        <f ca="1"/>
        <v>0</v>
      </c>
      <c r="L42">
        <f ca="1"/>
        <v>0</v>
      </c>
      <c r="M42">
        <f ca="1"/>
        <v>0</v>
      </c>
      <c r="N42">
        <f ca="1"/>
        <v>0</v>
      </c>
      <c r="O42">
        <f ca="1"/>
        <v>0</v>
      </c>
      <c r="P42">
        <f ca="1"/>
        <v>0</v>
      </c>
      <c r="Q42">
        <f ca="1"/>
        <v>0</v>
      </c>
      <c r="R42">
        <f ca="1"/>
        <v>0</v>
      </c>
      <c r="S42">
        <f ca="1"/>
        <v>0</v>
      </c>
      <c r="T42">
        <f ca="1"/>
        <v>0</v>
      </c>
      <c r="U42">
        <f ca="1"/>
        <v>0</v>
      </c>
      <c r="V42">
        <f ca="1"/>
        <v>0</v>
      </c>
      <c r="W42">
        <f ca="1"/>
        <v>0</v>
      </c>
      <c r="X42">
        <f ca="1"/>
        <v>0</v>
      </c>
      <c r="Y42">
        <f ca="1"/>
        <v>0</v>
      </c>
      <c r="Z42">
        <f ca="1"/>
        <v>0</v>
      </c>
      <c r="AA42">
        <f ca="1"/>
        <v>0</v>
      </c>
      <c r="AB42">
        <f ca="1"/>
        <v>0</v>
      </c>
      <c r="AC42">
        <f t="shared" ca="1" si="2"/>
        <v>0</v>
      </c>
      <c r="AD42" s="582">
        <f t="shared" ca="1" si="3"/>
        <v>0</v>
      </c>
      <c r="AE42" s="582">
        <f t="shared" ca="1" si="4"/>
        <v>0</v>
      </c>
      <c r="AF42" s="582">
        <f t="shared" ca="1" si="5"/>
        <v>0</v>
      </c>
      <c r="AG42" s="582">
        <f t="shared" ca="1" si="6"/>
        <v>0</v>
      </c>
      <c r="AH42" s="582">
        <f t="shared" ca="1" si="7"/>
        <v>0</v>
      </c>
      <c r="AI42" s="582">
        <f t="shared" ca="1" si="8"/>
        <v>0.67703627749076623</v>
      </c>
      <c r="AJ42" s="582">
        <f t="shared" ca="1" si="9"/>
        <v>0</v>
      </c>
      <c r="AK42" s="582">
        <f t="shared" ca="1" si="10"/>
        <v>0</v>
      </c>
      <c r="AL42" s="582">
        <f t="shared" ca="1" si="11"/>
        <v>0</v>
      </c>
      <c r="AM42" s="582">
        <f t="shared" ca="1" si="12"/>
        <v>0</v>
      </c>
      <c r="AN42" s="582">
        <f t="shared" ca="1" si="13"/>
        <v>0</v>
      </c>
      <c r="AO42" s="582">
        <f t="shared" ca="1" si="14"/>
        <v>0.17301627991566085</v>
      </c>
      <c r="AP42" s="582">
        <f t="shared" ca="1" si="15"/>
        <v>0.14994744259357273</v>
      </c>
      <c r="AQ42" s="582">
        <f t="shared" ca="1" si="16"/>
        <v>0</v>
      </c>
      <c r="AR42" s="582">
        <f t="shared" ca="1" si="17"/>
        <v>0</v>
      </c>
      <c r="AS42" s="582">
        <f t="shared" ca="1" si="18"/>
        <v>0</v>
      </c>
      <c r="AT42" s="582">
        <f t="shared" ca="1" si="19"/>
        <v>0</v>
      </c>
      <c r="AU42" s="582">
        <f t="shared" ca="1" si="20"/>
        <v>0</v>
      </c>
      <c r="AV42" s="582">
        <f t="shared" ca="1" si="21"/>
        <v>0</v>
      </c>
      <c r="AW42" s="582">
        <f t="shared" ca="1" si="22"/>
        <v>0</v>
      </c>
      <c r="AX42" s="582">
        <f t="shared" ca="1" si="23"/>
        <v>0</v>
      </c>
      <c r="AY42" s="582">
        <f t="shared" ca="1" si="24"/>
        <v>0</v>
      </c>
      <c r="AZ42" s="582">
        <f t="shared" ca="1" si="25"/>
        <v>0</v>
      </c>
      <c r="BA42" s="582">
        <f t="shared" ca="1" si="26"/>
        <v>0</v>
      </c>
      <c r="BB42" s="582">
        <f t="shared" ca="1" si="27"/>
        <v>0</v>
      </c>
      <c r="BC42" s="582">
        <f t="shared" ca="1" si="28"/>
        <v>0</v>
      </c>
      <c r="BE42" s="582">
        <f t="shared" ca="1" si="1"/>
        <v>0.99999999999999978</v>
      </c>
    </row>
    <row r="43" spans="1:57" ht="15">
      <c r="A43" s="22">
        <f t="shared" si="29"/>
        <v>2063</v>
      </c>
      <c r="B43" s="586">
        <v>38</v>
      </c>
      <c r="C43" s="583">
        <f ca="1"/>
        <v>0</v>
      </c>
      <c r="D43" s="583">
        <f ca="1"/>
        <v>0</v>
      </c>
      <c r="E43" s="583">
        <f ca="1"/>
        <v>0</v>
      </c>
      <c r="F43" s="583">
        <f ca="1"/>
        <v>0</v>
      </c>
      <c r="G43" s="583">
        <f ca="1"/>
        <v>0</v>
      </c>
      <c r="H43" s="583">
        <f ca="1"/>
        <v>0</v>
      </c>
      <c r="I43" s="583">
        <f ca="1"/>
        <v>0</v>
      </c>
      <c r="J43">
        <f ca="1"/>
        <v>0</v>
      </c>
      <c r="K43">
        <f ca="1"/>
        <v>0</v>
      </c>
      <c r="L43">
        <f ca="1"/>
        <v>0</v>
      </c>
      <c r="M43">
        <f ca="1"/>
        <v>0</v>
      </c>
      <c r="N43">
        <f ca="1"/>
        <v>0</v>
      </c>
      <c r="O43">
        <f ca="1"/>
        <v>0</v>
      </c>
      <c r="P43">
        <f ca="1"/>
        <v>0</v>
      </c>
      <c r="Q43">
        <f ca="1"/>
        <v>0</v>
      </c>
      <c r="R43">
        <f ca="1"/>
        <v>0</v>
      </c>
      <c r="S43">
        <f ca="1"/>
        <v>0</v>
      </c>
      <c r="T43">
        <f ca="1"/>
        <v>0</v>
      </c>
      <c r="U43">
        <f ca="1"/>
        <v>0</v>
      </c>
      <c r="V43">
        <f ca="1"/>
        <v>0</v>
      </c>
      <c r="W43">
        <f ca="1"/>
        <v>0</v>
      </c>
      <c r="X43">
        <f ca="1"/>
        <v>0</v>
      </c>
      <c r="Y43">
        <f ca="1"/>
        <v>0</v>
      </c>
      <c r="Z43">
        <f ca="1"/>
        <v>0</v>
      </c>
      <c r="AA43">
        <f ca="1"/>
        <v>0</v>
      </c>
      <c r="AB43">
        <f ca="1"/>
        <v>0</v>
      </c>
      <c r="AC43">
        <f t="shared" ca="1" si="2"/>
        <v>0</v>
      </c>
      <c r="AD43" s="582">
        <f t="shared" ca="1" si="3"/>
        <v>0</v>
      </c>
      <c r="AE43" s="582">
        <f t="shared" ca="1" si="4"/>
        <v>0</v>
      </c>
      <c r="AF43" s="582">
        <f t="shared" ca="1" si="5"/>
        <v>0</v>
      </c>
      <c r="AG43" s="582">
        <f t="shared" ca="1" si="6"/>
        <v>0</v>
      </c>
      <c r="AH43" s="582">
        <f t="shared" ca="1" si="7"/>
        <v>0</v>
      </c>
      <c r="AI43" s="582">
        <f t="shared" ca="1" si="8"/>
        <v>0.67703627749076623</v>
      </c>
      <c r="AJ43" s="582">
        <f t="shared" ca="1" si="9"/>
        <v>0</v>
      </c>
      <c r="AK43" s="582">
        <f t="shared" ca="1" si="10"/>
        <v>0</v>
      </c>
      <c r="AL43" s="582">
        <f t="shared" ca="1" si="11"/>
        <v>0</v>
      </c>
      <c r="AM43" s="582">
        <f t="shared" ca="1" si="12"/>
        <v>0</v>
      </c>
      <c r="AN43" s="582">
        <f t="shared" ca="1" si="13"/>
        <v>0</v>
      </c>
      <c r="AO43" s="582">
        <f t="shared" ca="1" si="14"/>
        <v>0.17301627991566085</v>
      </c>
      <c r="AP43" s="582">
        <f t="shared" ca="1" si="15"/>
        <v>0.14994744259357273</v>
      </c>
      <c r="AQ43" s="582">
        <f t="shared" ca="1" si="16"/>
        <v>0</v>
      </c>
      <c r="AR43" s="582">
        <f t="shared" ca="1" si="17"/>
        <v>0</v>
      </c>
      <c r="AS43" s="582">
        <f t="shared" ca="1" si="18"/>
        <v>0</v>
      </c>
      <c r="AT43" s="582">
        <f t="shared" ca="1" si="19"/>
        <v>0</v>
      </c>
      <c r="AU43" s="582">
        <f t="shared" ca="1" si="20"/>
        <v>0</v>
      </c>
      <c r="AV43" s="582">
        <f t="shared" ca="1" si="21"/>
        <v>0</v>
      </c>
      <c r="AW43" s="582">
        <f t="shared" ca="1" si="22"/>
        <v>0</v>
      </c>
      <c r="AX43" s="582">
        <f t="shared" ca="1" si="23"/>
        <v>0</v>
      </c>
      <c r="AY43" s="582">
        <f t="shared" ca="1" si="24"/>
        <v>0</v>
      </c>
      <c r="AZ43" s="582">
        <f t="shared" ca="1" si="25"/>
        <v>0</v>
      </c>
      <c r="BA43" s="582">
        <f t="shared" ca="1" si="26"/>
        <v>0</v>
      </c>
      <c r="BB43" s="582">
        <f t="shared" ca="1" si="27"/>
        <v>0</v>
      </c>
      <c r="BC43" s="582">
        <f t="shared" ca="1" si="28"/>
        <v>0</v>
      </c>
      <c r="BE43" s="582">
        <f t="shared" ca="1" si="1"/>
        <v>0.99999999999999978</v>
      </c>
    </row>
    <row r="44" spans="1:57" ht="15">
      <c r="A44" s="22">
        <f t="shared" si="29"/>
        <v>2064</v>
      </c>
      <c r="B44" s="586">
        <v>39</v>
      </c>
      <c r="C44" s="583">
        <f ca="1"/>
        <v>0</v>
      </c>
      <c r="D44" s="583">
        <f ca="1"/>
        <v>0</v>
      </c>
      <c r="E44" s="583">
        <f ca="1"/>
        <v>0</v>
      </c>
      <c r="F44" s="583">
        <f ca="1"/>
        <v>0</v>
      </c>
      <c r="G44" s="583">
        <f ca="1"/>
        <v>0</v>
      </c>
      <c r="H44" s="583">
        <f ca="1"/>
        <v>0</v>
      </c>
      <c r="I44" s="583">
        <f ca="1"/>
        <v>0</v>
      </c>
      <c r="J44">
        <f ca="1"/>
        <v>0</v>
      </c>
      <c r="K44">
        <f ca="1"/>
        <v>0</v>
      </c>
      <c r="L44">
        <f ca="1"/>
        <v>0</v>
      </c>
      <c r="M44">
        <f ca="1"/>
        <v>0</v>
      </c>
      <c r="N44">
        <f ca="1"/>
        <v>0</v>
      </c>
      <c r="O44">
        <f ca="1"/>
        <v>0</v>
      </c>
      <c r="P44">
        <f ca="1"/>
        <v>0</v>
      </c>
      <c r="Q44">
        <f ca="1"/>
        <v>0</v>
      </c>
      <c r="R44">
        <f ca="1"/>
        <v>0</v>
      </c>
      <c r="S44">
        <f ca="1"/>
        <v>0</v>
      </c>
      <c r="T44">
        <f ca="1"/>
        <v>0</v>
      </c>
      <c r="U44">
        <f ca="1"/>
        <v>0</v>
      </c>
      <c r="V44">
        <f ca="1"/>
        <v>0</v>
      </c>
      <c r="W44">
        <f ca="1"/>
        <v>0</v>
      </c>
      <c r="X44">
        <f ca="1"/>
        <v>0</v>
      </c>
      <c r="Y44">
        <f ca="1"/>
        <v>0</v>
      </c>
      <c r="Z44">
        <f ca="1"/>
        <v>0</v>
      </c>
      <c r="AA44">
        <f ca="1"/>
        <v>0</v>
      </c>
      <c r="AB44">
        <f ca="1"/>
        <v>0</v>
      </c>
      <c r="AC44">
        <f t="shared" ca="1" si="2"/>
        <v>0</v>
      </c>
      <c r="AD44" s="582">
        <f t="shared" ca="1" si="3"/>
        <v>0</v>
      </c>
      <c r="AE44" s="582">
        <f t="shared" ca="1" si="4"/>
        <v>0</v>
      </c>
      <c r="AF44" s="582">
        <f t="shared" ca="1" si="5"/>
        <v>0</v>
      </c>
      <c r="AG44" s="582">
        <f t="shared" ca="1" si="6"/>
        <v>0</v>
      </c>
      <c r="AH44" s="582">
        <f t="shared" ca="1" si="7"/>
        <v>0</v>
      </c>
      <c r="AI44" s="582">
        <f t="shared" ca="1" si="8"/>
        <v>0.67703627749076623</v>
      </c>
      <c r="AJ44" s="582">
        <f t="shared" ca="1" si="9"/>
        <v>0</v>
      </c>
      <c r="AK44" s="582">
        <f t="shared" ca="1" si="10"/>
        <v>0</v>
      </c>
      <c r="AL44" s="582">
        <f t="shared" ca="1" si="11"/>
        <v>0</v>
      </c>
      <c r="AM44" s="582">
        <f t="shared" ca="1" si="12"/>
        <v>0</v>
      </c>
      <c r="AN44" s="582">
        <f t="shared" ca="1" si="13"/>
        <v>0</v>
      </c>
      <c r="AO44" s="582">
        <f t="shared" ca="1" si="14"/>
        <v>0.17301627991566085</v>
      </c>
      <c r="AP44" s="582">
        <f t="shared" ca="1" si="15"/>
        <v>0.14994744259357273</v>
      </c>
      <c r="AQ44" s="582">
        <f t="shared" ca="1" si="16"/>
        <v>0</v>
      </c>
      <c r="AR44" s="582">
        <f t="shared" ca="1" si="17"/>
        <v>0</v>
      </c>
      <c r="AS44" s="582">
        <f t="shared" ca="1" si="18"/>
        <v>0</v>
      </c>
      <c r="AT44" s="582">
        <f t="shared" ca="1" si="19"/>
        <v>0</v>
      </c>
      <c r="AU44" s="582">
        <f t="shared" ca="1" si="20"/>
        <v>0</v>
      </c>
      <c r="AV44" s="582">
        <f t="shared" ca="1" si="21"/>
        <v>0</v>
      </c>
      <c r="AW44" s="582">
        <f t="shared" ca="1" si="22"/>
        <v>0</v>
      </c>
      <c r="AX44" s="582">
        <f t="shared" ca="1" si="23"/>
        <v>0</v>
      </c>
      <c r="AY44" s="582">
        <f t="shared" ca="1" si="24"/>
        <v>0</v>
      </c>
      <c r="AZ44" s="582">
        <f t="shared" ca="1" si="25"/>
        <v>0</v>
      </c>
      <c r="BA44" s="582">
        <f t="shared" ca="1" si="26"/>
        <v>0</v>
      </c>
      <c r="BB44" s="582">
        <f t="shared" ca="1" si="27"/>
        <v>0</v>
      </c>
      <c r="BC44" s="582">
        <f t="shared" ca="1" si="28"/>
        <v>0</v>
      </c>
      <c r="BE44" s="582">
        <f t="shared" ca="1" si="1"/>
        <v>0.99999999999999978</v>
      </c>
    </row>
    <row r="45" spans="1:57" ht="15">
      <c r="A45" s="22">
        <f t="shared" si="29"/>
        <v>2065</v>
      </c>
      <c r="B45" s="586">
        <v>40</v>
      </c>
      <c r="C45" s="583">
        <f ca="1"/>
        <v>0</v>
      </c>
      <c r="D45" s="583">
        <f ca="1"/>
        <v>0</v>
      </c>
      <c r="E45" s="583">
        <f ca="1"/>
        <v>0</v>
      </c>
      <c r="F45" s="583">
        <f ca="1"/>
        <v>0</v>
      </c>
      <c r="G45" s="583">
        <f ca="1"/>
        <v>0</v>
      </c>
      <c r="H45" s="583">
        <f ca="1"/>
        <v>0</v>
      </c>
      <c r="I45" s="583">
        <f ca="1"/>
        <v>0</v>
      </c>
      <c r="J45">
        <f ca="1"/>
        <v>0</v>
      </c>
      <c r="K45">
        <f ca="1"/>
        <v>0</v>
      </c>
      <c r="L45">
        <f ca="1"/>
        <v>0</v>
      </c>
      <c r="M45">
        <f ca="1"/>
        <v>0</v>
      </c>
      <c r="N45">
        <f ca="1"/>
        <v>0</v>
      </c>
      <c r="O45">
        <f ca="1"/>
        <v>0</v>
      </c>
      <c r="P45">
        <f ca="1"/>
        <v>0</v>
      </c>
      <c r="Q45">
        <f ca="1"/>
        <v>0</v>
      </c>
      <c r="R45">
        <f ca="1"/>
        <v>0</v>
      </c>
      <c r="S45">
        <f ca="1"/>
        <v>0</v>
      </c>
      <c r="T45">
        <f ca="1"/>
        <v>0</v>
      </c>
      <c r="U45">
        <f ca="1"/>
        <v>0</v>
      </c>
      <c r="V45">
        <f ca="1"/>
        <v>0</v>
      </c>
      <c r="W45">
        <f ca="1"/>
        <v>0</v>
      </c>
      <c r="X45">
        <f ca="1"/>
        <v>0</v>
      </c>
      <c r="Y45">
        <f ca="1"/>
        <v>0</v>
      </c>
      <c r="Z45">
        <f ca="1"/>
        <v>0</v>
      </c>
      <c r="AA45">
        <f ca="1"/>
        <v>0</v>
      </c>
      <c r="AB45">
        <f ca="1"/>
        <v>0</v>
      </c>
      <c r="AC45">
        <f t="shared" ca="1" si="2"/>
        <v>0</v>
      </c>
      <c r="AD45" s="582">
        <f t="shared" ca="1" si="3"/>
        <v>0</v>
      </c>
      <c r="AE45" s="582">
        <f t="shared" ca="1" si="4"/>
        <v>0</v>
      </c>
      <c r="AF45" s="582">
        <f t="shared" ca="1" si="5"/>
        <v>0</v>
      </c>
      <c r="AG45" s="582">
        <f t="shared" ca="1" si="6"/>
        <v>0</v>
      </c>
      <c r="AH45" s="582">
        <f t="shared" ca="1" si="7"/>
        <v>0</v>
      </c>
      <c r="AI45" s="582">
        <f t="shared" ca="1" si="8"/>
        <v>0.67703627749076623</v>
      </c>
      <c r="AJ45" s="582">
        <f t="shared" ca="1" si="9"/>
        <v>0</v>
      </c>
      <c r="AK45" s="582">
        <f t="shared" ca="1" si="10"/>
        <v>0</v>
      </c>
      <c r="AL45" s="582">
        <f t="shared" ca="1" si="11"/>
        <v>0</v>
      </c>
      <c r="AM45" s="582">
        <f t="shared" ca="1" si="12"/>
        <v>0</v>
      </c>
      <c r="AN45" s="582">
        <f t="shared" ca="1" si="13"/>
        <v>0</v>
      </c>
      <c r="AO45" s="582">
        <f t="shared" ca="1" si="14"/>
        <v>0.17301627991566085</v>
      </c>
      <c r="AP45" s="582">
        <f t="shared" ca="1" si="15"/>
        <v>0.14994744259357273</v>
      </c>
      <c r="AQ45" s="582">
        <f t="shared" ca="1" si="16"/>
        <v>0</v>
      </c>
      <c r="AR45" s="582">
        <f t="shared" ca="1" si="17"/>
        <v>0</v>
      </c>
      <c r="AS45" s="582">
        <f t="shared" ca="1" si="18"/>
        <v>0</v>
      </c>
      <c r="AT45" s="582">
        <f t="shared" ca="1" si="19"/>
        <v>0</v>
      </c>
      <c r="AU45" s="582">
        <f t="shared" ca="1" si="20"/>
        <v>0</v>
      </c>
      <c r="AV45" s="582">
        <f t="shared" ca="1" si="21"/>
        <v>0</v>
      </c>
      <c r="AW45" s="582">
        <f t="shared" ca="1" si="22"/>
        <v>0</v>
      </c>
      <c r="AX45" s="582">
        <f t="shared" ca="1" si="23"/>
        <v>0</v>
      </c>
      <c r="AY45" s="582">
        <f t="shared" ca="1" si="24"/>
        <v>0</v>
      </c>
      <c r="AZ45" s="582">
        <f t="shared" ca="1" si="25"/>
        <v>0</v>
      </c>
      <c r="BA45" s="582">
        <f t="shared" ca="1" si="26"/>
        <v>0</v>
      </c>
      <c r="BB45" s="582">
        <f t="shared" ca="1" si="27"/>
        <v>0</v>
      </c>
      <c r="BC45" s="582">
        <f t="shared" ca="1" si="28"/>
        <v>0</v>
      </c>
      <c r="BE45" s="582">
        <f t="shared" ca="1" si="1"/>
        <v>0.99999999999999978</v>
      </c>
    </row>
    <row r="46" spans="1:57" ht="15">
      <c r="A46" s="22">
        <f t="shared" si="29"/>
        <v>2066</v>
      </c>
      <c r="B46" s="586">
        <v>41</v>
      </c>
      <c r="C46" s="583">
        <f ca="1"/>
        <v>0</v>
      </c>
      <c r="D46" s="583">
        <f ca="1"/>
        <v>0</v>
      </c>
      <c r="E46" s="583">
        <f ca="1"/>
        <v>0</v>
      </c>
      <c r="F46" s="583">
        <f ca="1"/>
        <v>0</v>
      </c>
      <c r="G46" s="583">
        <f ca="1"/>
        <v>0</v>
      </c>
      <c r="H46" s="583">
        <f ca="1"/>
        <v>0</v>
      </c>
      <c r="I46" s="583">
        <f ca="1"/>
        <v>0</v>
      </c>
      <c r="J46">
        <f ca="1"/>
        <v>0</v>
      </c>
      <c r="K46">
        <f ca="1"/>
        <v>0</v>
      </c>
      <c r="L46">
        <f ca="1"/>
        <v>0</v>
      </c>
      <c r="M46">
        <f ca="1"/>
        <v>0</v>
      </c>
      <c r="N46">
        <f ca="1"/>
        <v>0</v>
      </c>
      <c r="O46">
        <f ca="1"/>
        <v>0</v>
      </c>
      <c r="P46">
        <f ca="1"/>
        <v>0</v>
      </c>
      <c r="Q46">
        <f ca="1"/>
        <v>0</v>
      </c>
      <c r="R46">
        <f ca="1"/>
        <v>0</v>
      </c>
      <c r="S46">
        <f ca="1"/>
        <v>0</v>
      </c>
      <c r="T46">
        <f ca="1"/>
        <v>0</v>
      </c>
      <c r="U46">
        <f ca="1"/>
        <v>0</v>
      </c>
      <c r="V46">
        <f ca="1"/>
        <v>0</v>
      </c>
      <c r="W46">
        <f ca="1"/>
        <v>0</v>
      </c>
      <c r="X46">
        <f ca="1"/>
        <v>0</v>
      </c>
      <c r="Y46">
        <f ca="1"/>
        <v>0</v>
      </c>
      <c r="Z46">
        <f ca="1"/>
        <v>0</v>
      </c>
      <c r="AA46">
        <f ca="1"/>
        <v>0</v>
      </c>
      <c r="AB46">
        <f ca="1"/>
        <v>0</v>
      </c>
      <c r="AC46">
        <f t="shared" ca="1" si="2"/>
        <v>0</v>
      </c>
      <c r="AD46" s="582">
        <f t="shared" ca="1" si="3"/>
        <v>0</v>
      </c>
      <c r="AE46" s="582">
        <f t="shared" ca="1" si="4"/>
        <v>0</v>
      </c>
      <c r="AF46" s="582">
        <f t="shared" ca="1" si="5"/>
        <v>0</v>
      </c>
      <c r="AG46" s="582">
        <f t="shared" ca="1" si="6"/>
        <v>0</v>
      </c>
      <c r="AH46" s="582">
        <f t="shared" ca="1" si="7"/>
        <v>0</v>
      </c>
      <c r="AI46" s="582">
        <f t="shared" ca="1" si="8"/>
        <v>0.67703627749076623</v>
      </c>
      <c r="AJ46" s="582">
        <f t="shared" ca="1" si="9"/>
        <v>0</v>
      </c>
      <c r="AK46" s="582">
        <f t="shared" ca="1" si="10"/>
        <v>0</v>
      </c>
      <c r="AL46" s="582">
        <f t="shared" ca="1" si="11"/>
        <v>0</v>
      </c>
      <c r="AM46" s="582">
        <f t="shared" ca="1" si="12"/>
        <v>0</v>
      </c>
      <c r="AN46" s="582">
        <f t="shared" ca="1" si="13"/>
        <v>0</v>
      </c>
      <c r="AO46" s="582">
        <f t="shared" ca="1" si="14"/>
        <v>0.17301627991566085</v>
      </c>
      <c r="AP46" s="582">
        <f t="shared" ca="1" si="15"/>
        <v>0.14994744259357273</v>
      </c>
      <c r="AQ46" s="582">
        <f t="shared" ca="1" si="16"/>
        <v>0</v>
      </c>
      <c r="AR46" s="582">
        <f t="shared" ca="1" si="17"/>
        <v>0</v>
      </c>
      <c r="AS46" s="582">
        <f t="shared" ca="1" si="18"/>
        <v>0</v>
      </c>
      <c r="AT46" s="582">
        <f t="shared" ca="1" si="19"/>
        <v>0</v>
      </c>
      <c r="AU46" s="582">
        <f t="shared" ca="1" si="20"/>
        <v>0</v>
      </c>
      <c r="AV46" s="582">
        <f t="shared" ca="1" si="21"/>
        <v>0</v>
      </c>
      <c r="AW46" s="582">
        <f t="shared" ca="1" si="22"/>
        <v>0</v>
      </c>
      <c r="AX46" s="582">
        <f t="shared" ca="1" si="23"/>
        <v>0</v>
      </c>
      <c r="AY46" s="582">
        <f t="shared" ca="1" si="24"/>
        <v>0</v>
      </c>
      <c r="AZ46" s="582">
        <f t="shared" ca="1" si="25"/>
        <v>0</v>
      </c>
      <c r="BA46" s="582">
        <f t="shared" ca="1" si="26"/>
        <v>0</v>
      </c>
      <c r="BB46" s="582">
        <f t="shared" ca="1" si="27"/>
        <v>0</v>
      </c>
      <c r="BC46" s="582">
        <f t="shared" ca="1" si="28"/>
        <v>0</v>
      </c>
      <c r="BE46" s="582">
        <f t="shared" ca="1" si="1"/>
        <v>0.99999999999999978</v>
      </c>
    </row>
    <row r="47" spans="1:57" ht="15">
      <c r="A47" s="22">
        <f t="shared" si="29"/>
        <v>2067</v>
      </c>
      <c r="B47" s="586">
        <v>42</v>
      </c>
      <c r="C47" s="583">
        <f ca="1"/>
        <v>0</v>
      </c>
      <c r="D47" s="583">
        <f ca="1"/>
        <v>0</v>
      </c>
      <c r="E47" s="583">
        <f ca="1"/>
        <v>0</v>
      </c>
      <c r="F47" s="583">
        <f ca="1"/>
        <v>0</v>
      </c>
      <c r="G47" s="583">
        <f ca="1"/>
        <v>0</v>
      </c>
      <c r="H47" s="583">
        <f ca="1"/>
        <v>0</v>
      </c>
      <c r="I47" s="583">
        <f ca="1"/>
        <v>0</v>
      </c>
      <c r="J47">
        <f ca="1"/>
        <v>0</v>
      </c>
      <c r="K47">
        <f ca="1"/>
        <v>0</v>
      </c>
      <c r="L47">
        <f ca="1"/>
        <v>0</v>
      </c>
      <c r="M47">
        <f ca="1"/>
        <v>0</v>
      </c>
      <c r="N47">
        <f ca="1"/>
        <v>0</v>
      </c>
      <c r="O47">
        <f ca="1"/>
        <v>0</v>
      </c>
      <c r="P47">
        <f ca="1"/>
        <v>0</v>
      </c>
      <c r="Q47">
        <f ca="1"/>
        <v>0</v>
      </c>
      <c r="R47">
        <f ca="1"/>
        <v>0</v>
      </c>
      <c r="S47">
        <f ca="1"/>
        <v>0</v>
      </c>
      <c r="T47">
        <f ca="1"/>
        <v>0</v>
      </c>
      <c r="U47">
        <f ca="1"/>
        <v>0</v>
      </c>
      <c r="V47">
        <f ca="1"/>
        <v>0</v>
      </c>
      <c r="W47">
        <f ca="1"/>
        <v>0</v>
      </c>
      <c r="X47">
        <f ca="1"/>
        <v>0</v>
      </c>
      <c r="Y47">
        <f ca="1"/>
        <v>0</v>
      </c>
      <c r="Z47">
        <f ca="1"/>
        <v>0</v>
      </c>
      <c r="AA47">
        <f ca="1"/>
        <v>0</v>
      </c>
      <c r="AB47">
        <f ca="1"/>
        <v>0</v>
      </c>
      <c r="AC47">
        <f t="shared" ca="1" si="2"/>
        <v>0</v>
      </c>
      <c r="AD47" s="582">
        <f t="shared" ca="1" si="3"/>
        <v>0</v>
      </c>
      <c r="AE47" s="582">
        <f t="shared" ca="1" si="4"/>
        <v>0</v>
      </c>
      <c r="AF47" s="582">
        <f t="shared" ca="1" si="5"/>
        <v>0</v>
      </c>
      <c r="AG47" s="582">
        <f t="shared" ca="1" si="6"/>
        <v>0</v>
      </c>
      <c r="AH47" s="582">
        <f t="shared" ca="1" si="7"/>
        <v>0</v>
      </c>
      <c r="AI47" s="582">
        <f t="shared" ca="1" si="8"/>
        <v>0.67703627749076623</v>
      </c>
      <c r="AJ47" s="582">
        <f t="shared" ca="1" si="9"/>
        <v>0</v>
      </c>
      <c r="AK47" s="582">
        <f t="shared" ca="1" si="10"/>
        <v>0</v>
      </c>
      <c r="AL47" s="582">
        <f t="shared" ca="1" si="11"/>
        <v>0</v>
      </c>
      <c r="AM47" s="582">
        <f t="shared" ca="1" si="12"/>
        <v>0</v>
      </c>
      <c r="AN47" s="582">
        <f t="shared" ca="1" si="13"/>
        <v>0</v>
      </c>
      <c r="AO47" s="582">
        <f t="shared" ca="1" si="14"/>
        <v>0.17301627991566085</v>
      </c>
      <c r="AP47" s="582">
        <f t="shared" ca="1" si="15"/>
        <v>0.14994744259357273</v>
      </c>
      <c r="AQ47" s="582">
        <f t="shared" ca="1" si="16"/>
        <v>0</v>
      </c>
      <c r="AR47" s="582">
        <f t="shared" ca="1" si="17"/>
        <v>0</v>
      </c>
      <c r="AS47" s="582">
        <f t="shared" ca="1" si="18"/>
        <v>0</v>
      </c>
      <c r="AT47" s="582">
        <f t="shared" ca="1" si="19"/>
        <v>0</v>
      </c>
      <c r="AU47" s="582">
        <f t="shared" ca="1" si="20"/>
        <v>0</v>
      </c>
      <c r="AV47" s="582">
        <f t="shared" ca="1" si="21"/>
        <v>0</v>
      </c>
      <c r="AW47" s="582">
        <f t="shared" ca="1" si="22"/>
        <v>0</v>
      </c>
      <c r="AX47" s="582">
        <f t="shared" ca="1" si="23"/>
        <v>0</v>
      </c>
      <c r="AY47" s="582">
        <f t="shared" ca="1" si="24"/>
        <v>0</v>
      </c>
      <c r="AZ47" s="582">
        <f t="shared" ca="1" si="25"/>
        <v>0</v>
      </c>
      <c r="BA47" s="582">
        <f t="shared" ca="1" si="26"/>
        <v>0</v>
      </c>
      <c r="BB47" s="582">
        <f t="shared" ca="1" si="27"/>
        <v>0</v>
      </c>
      <c r="BC47" s="582">
        <f t="shared" ca="1" si="28"/>
        <v>0</v>
      </c>
      <c r="BE47" s="582">
        <f t="shared" ca="1" si="1"/>
        <v>0.99999999999999978</v>
      </c>
    </row>
    <row r="48" spans="1:57" ht="15">
      <c r="A48" s="22">
        <f t="shared" si="29"/>
        <v>2068</v>
      </c>
      <c r="B48" s="586">
        <v>43</v>
      </c>
      <c r="C48" s="583">
        <f ca="1"/>
        <v>0</v>
      </c>
      <c r="D48" s="583">
        <f ca="1"/>
        <v>0</v>
      </c>
      <c r="E48" s="583">
        <f ca="1"/>
        <v>0</v>
      </c>
      <c r="F48" s="583">
        <f ca="1"/>
        <v>0</v>
      </c>
      <c r="G48" s="583">
        <f ca="1"/>
        <v>0</v>
      </c>
      <c r="H48" s="583">
        <f ca="1"/>
        <v>0</v>
      </c>
      <c r="I48" s="583">
        <f ca="1"/>
        <v>0</v>
      </c>
      <c r="J48">
        <f ca="1"/>
        <v>0</v>
      </c>
      <c r="K48">
        <f ca="1"/>
        <v>0</v>
      </c>
      <c r="L48">
        <f ca="1"/>
        <v>0</v>
      </c>
      <c r="M48">
        <f ca="1"/>
        <v>0</v>
      </c>
      <c r="N48">
        <f ca="1"/>
        <v>0</v>
      </c>
      <c r="O48">
        <f ca="1"/>
        <v>0</v>
      </c>
      <c r="P48">
        <f ca="1"/>
        <v>0</v>
      </c>
      <c r="Q48">
        <f ca="1"/>
        <v>0</v>
      </c>
      <c r="R48">
        <f ca="1"/>
        <v>0</v>
      </c>
      <c r="S48">
        <f ca="1"/>
        <v>0</v>
      </c>
      <c r="T48">
        <f ca="1"/>
        <v>0</v>
      </c>
      <c r="U48">
        <f ca="1"/>
        <v>0</v>
      </c>
      <c r="V48">
        <f ca="1"/>
        <v>0</v>
      </c>
      <c r="W48">
        <f ca="1"/>
        <v>0</v>
      </c>
      <c r="X48">
        <f ca="1"/>
        <v>0</v>
      </c>
      <c r="Y48">
        <f ca="1"/>
        <v>0</v>
      </c>
      <c r="Z48">
        <f ca="1"/>
        <v>0</v>
      </c>
      <c r="AA48">
        <f ca="1"/>
        <v>0</v>
      </c>
      <c r="AB48">
        <f ca="1"/>
        <v>0</v>
      </c>
      <c r="AC48">
        <f t="shared" ca="1" si="2"/>
        <v>0</v>
      </c>
      <c r="AD48" s="582">
        <f t="shared" ca="1" si="3"/>
        <v>0</v>
      </c>
      <c r="AE48" s="582">
        <f t="shared" ca="1" si="4"/>
        <v>0</v>
      </c>
      <c r="AF48" s="582">
        <f t="shared" ca="1" si="5"/>
        <v>0</v>
      </c>
      <c r="AG48" s="582">
        <f t="shared" ca="1" si="6"/>
        <v>0</v>
      </c>
      <c r="AH48" s="582">
        <f t="shared" ca="1" si="7"/>
        <v>0</v>
      </c>
      <c r="AI48" s="582">
        <f t="shared" ca="1" si="8"/>
        <v>0.67703627749076623</v>
      </c>
      <c r="AJ48" s="582">
        <f t="shared" ca="1" si="9"/>
        <v>0</v>
      </c>
      <c r="AK48" s="582">
        <f t="shared" ca="1" si="10"/>
        <v>0</v>
      </c>
      <c r="AL48" s="582">
        <f t="shared" ca="1" si="11"/>
        <v>0</v>
      </c>
      <c r="AM48" s="582">
        <f t="shared" ca="1" si="12"/>
        <v>0</v>
      </c>
      <c r="AN48" s="582">
        <f t="shared" ca="1" si="13"/>
        <v>0</v>
      </c>
      <c r="AO48" s="582">
        <f t="shared" ca="1" si="14"/>
        <v>0.17301627991566085</v>
      </c>
      <c r="AP48" s="582">
        <f t="shared" ca="1" si="15"/>
        <v>0.14994744259357273</v>
      </c>
      <c r="AQ48" s="582">
        <f t="shared" ca="1" si="16"/>
        <v>0</v>
      </c>
      <c r="AR48" s="582">
        <f t="shared" ca="1" si="17"/>
        <v>0</v>
      </c>
      <c r="AS48" s="582">
        <f t="shared" ca="1" si="18"/>
        <v>0</v>
      </c>
      <c r="AT48" s="582">
        <f t="shared" ca="1" si="19"/>
        <v>0</v>
      </c>
      <c r="AU48" s="582">
        <f t="shared" ca="1" si="20"/>
        <v>0</v>
      </c>
      <c r="AV48" s="582">
        <f t="shared" ca="1" si="21"/>
        <v>0</v>
      </c>
      <c r="AW48" s="582">
        <f t="shared" ca="1" si="22"/>
        <v>0</v>
      </c>
      <c r="AX48" s="582">
        <f t="shared" ca="1" si="23"/>
        <v>0</v>
      </c>
      <c r="AY48" s="582">
        <f t="shared" ca="1" si="24"/>
        <v>0</v>
      </c>
      <c r="AZ48" s="582">
        <f t="shared" ca="1" si="25"/>
        <v>0</v>
      </c>
      <c r="BA48" s="582">
        <f t="shared" ca="1" si="26"/>
        <v>0</v>
      </c>
      <c r="BB48" s="582">
        <f t="shared" ca="1" si="27"/>
        <v>0</v>
      </c>
      <c r="BC48" s="582">
        <f t="shared" ca="1" si="28"/>
        <v>0</v>
      </c>
      <c r="BE48" s="582">
        <f t="shared" ca="1" si="1"/>
        <v>0.99999999999999978</v>
      </c>
    </row>
    <row r="49" spans="1:57" ht="15">
      <c r="A49" s="22">
        <f t="shared" si="29"/>
        <v>2069</v>
      </c>
      <c r="B49" s="586">
        <v>44</v>
      </c>
      <c r="C49" s="583">
        <f ca="1"/>
        <v>0</v>
      </c>
      <c r="D49" s="583">
        <f ca="1"/>
        <v>0</v>
      </c>
      <c r="E49" s="583">
        <f ca="1"/>
        <v>0</v>
      </c>
      <c r="F49" s="583">
        <f ca="1"/>
        <v>0</v>
      </c>
      <c r="G49" s="583">
        <f ca="1"/>
        <v>0</v>
      </c>
      <c r="H49" s="583">
        <f ca="1"/>
        <v>0</v>
      </c>
      <c r="I49" s="583">
        <f ca="1"/>
        <v>0</v>
      </c>
      <c r="J49">
        <f ca="1"/>
        <v>0</v>
      </c>
      <c r="K49">
        <f ca="1"/>
        <v>0</v>
      </c>
      <c r="L49">
        <f ca="1"/>
        <v>0</v>
      </c>
      <c r="M49">
        <f ca="1"/>
        <v>0</v>
      </c>
      <c r="N49">
        <f ca="1"/>
        <v>0</v>
      </c>
      <c r="O49">
        <f ca="1"/>
        <v>0</v>
      </c>
      <c r="P49">
        <f ca="1"/>
        <v>0</v>
      </c>
      <c r="Q49">
        <f ca="1"/>
        <v>0</v>
      </c>
      <c r="R49">
        <f ca="1"/>
        <v>0</v>
      </c>
      <c r="S49">
        <f ca="1"/>
        <v>0</v>
      </c>
      <c r="T49">
        <f ca="1"/>
        <v>0</v>
      </c>
      <c r="U49">
        <f ca="1"/>
        <v>0</v>
      </c>
      <c r="V49">
        <f ca="1"/>
        <v>0</v>
      </c>
      <c r="W49">
        <f ca="1"/>
        <v>0</v>
      </c>
      <c r="X49">
        <f ca="1"/>
        <v>0</v>
      </c>
      <c r="Y49">
        <f ca="1"/>
        <v>0</v>
      </c>
      <c r="Z49">
        <f ca="1"/>
        <v>0</v>
      </c>
      <c r="AA49">
        <f ca="1"/>
        <v>0</v>
      </c>
      <c r="AB49">
        <f ca="1"/>
        <v>0</v>
      </c>
      <c r="AC49">
        <f t="shared" ca="1" si="2"/>
        <v>0</v>
      </c>
      <c r="AD49" s="582">
        <f t="shared" ca="1" si="3"/>
        <v>0</v>
      </c>
      <c r="AE49" s="582">
        <f t="shared" ca="1" si="4"/>
        <v>0</v>
      </c>
      <c r="AF49" s="582">
        <f t="shared" ca="1" si="5"/>
        <v>0</v>
      </c>
      <c r="AG49" s="582">
        <f t="shared" ca="1" si="6"/>
        <v>0</v>
      </c>
      <c r="AH49" s="582">
        <f t="shared" ca="1" si="7"/>
        <v>0</v>
      </c>
      <c r="AI49" s="582">
        <f t="shared" ca="1" si="8"/>
        <v>0.67703627749076623</v>
      </c>
      <c r="AJ49" s="582">
        <f t="shared" ca="1" si="9"/>
        <v>0</v>
      </c>
      <c r="AK49" s="582">
        <f t="shared" ca="1" si="10"/>
        <v>0</v>
      </c>
      <c r="AL49" s="582">
        <f t="shared" ca="1" si="11"/>
        <v>0</v>
      </c>
      <c r="AM49" s="582">
        <f t="shared" ca="1" si="12"/>
        <v>0</v>
      </c>
      <c r="AN49" s="582">
        <f t="shared" ca="1" si="13"/>
        <v>0</v>
      </c>
      <c r="AO49" s="582">
        <f t="shared" ca="1" si="14"/>
        <v>0.17301627991566085</v>
      </c>
      <c r="AP49" s="582">
        <f t="shared" ca="1" si="15"/>
        <v>0.14994744259357273</v>
      </c>
      <c r="AQ49" s="582">
        <f t="shared" ca="1" si="16"/>
        <v>0</v>
      </c>
      <c r="AR49" s="582">
        <f t="shared" ca="1" si="17"/>
        <v>0</v>
      </c>
      <c r="AS49" s="582">
        <f t="shared" ca="1" si="18"/>
        <v>0</v>
      </c>
      <c r="AT49" s="582">
        <f t="shared" ca="1" si="19"/>
        <v>0</v>
      </c>
      <c r="AU49" s="582">
        <f t="shared" ca="1" si="20"/>
        <v>0</v>
      </c>
      <c r="AV49" s="582">
        <f t="shared" ca="1" si="21"/>
        <v>0</v>
      </c>
      <c r="AW49" s="582">
        <f t="shared" ca="1" si="22"/>
        <v>0</v>
      </c>
      <c r="AX49" s="582">
        <f t="shared" ca="1" si="23"/>
        <v>0</v>
      </c>
      <c r="AY49" s="582">
        <f t="shared" ca="1" si="24"/>
        <v>0</v>
      </c>
      <c r="AZ49" s="582">
        <f t="shared" ca="1" si="25"/>
        <v>0</v>
      </c>
      <c r="BA49" s="582">
        <f t="shared" ca="1" si="26"/>
        <v>0</v>
      </c>
      <c r="BB49" s="582">
        <f t="shared" ca="1" si="27"/>
        <v>0</v>
      </c>
      <c r="BC49" s="582">
        <f t="shared" ca="1" si="28"/>
        <v>0</v>
      </c>
      <c r="BE49" s="582">
        <f t="shared" ca="1" si="1"/>
        <v>0.99999999999999978</v>
      </c>
    </row>
    <row r="50" spans="1:57" ht="15">
      <c r="A50" s="22">
        <f t="shared" si="29"/>
        <v>2070</v>
      </c>
      <c r="B50" s="586">
        <v>45</v>
      </c>
      <c r="C50" s="583">
        <f ca="1"/>
        <v>0</v>
      </c>
      <c r="D50" s="583">
        <f ca="1"/>
        <v>0</v>
      </c>
      <c r="E50" s="583">
        <f ca="1"/>
        <v>0</v>
      </c>
      <c r="F50" s="583">
        <f ca="1"/>
        <v>0</v>
      </c>
      <c r="G50" s="583">
        <f ca="1"/>
        <v>0</v>
      </c>
      <c r="H50" s="583">
        <f ca="1"/>
        <v>0</v>
      </c>
      <c r="I50" s="583">
        <f ca="1"/>
        <v>0</v>
      </c>
      <c r="J50">
        <f ca="1"/>
        <v>0</v>
      </c>
      <c r="K50">
        <f ca="1"/>
        <v>0</v>
      </c>
      <c r="L50">
        <f ca="1"/>
        <v>0</v>
      </c>
      <c r="M50">
        <f ca="1"/>
        <v>0</v>
      </c>
      <c r="N50">
        <f ca="1"/>
        <v>0</v>
      </c>
      <c r="O50">
        <f ca="1"/>
        <v>0</v>
      </c>
      <c r="P50">
        <f ca="1"/>
        <v>0</v>
      </c>
      <c r="Q50">
        <f ca="1"/>
        <v>0</v>
      </c>
      <c r="R50">
        <f ca="1"/>
        <v>0</v>
      </c>
      <c r="S50">
        <f ca="1"/>
        <v>0</v>
      </c>
      <c r="T50">
        <f ca="1"/>
        <v>0</v>
      </c>
      <c r="U50">
        <f ca="1"/>
        <v>0</v>
      </c>
      <c r="V50">
        <f ca="1"/>
        <v>0</v>
      </c>
      <c r="W50">
        <f ca="1"/>
        <v>0</v>
      </c>
      <c r="X50">
        <f ca="1"/>
        <v>0</v>
      </c>
      <c r="Y50">
        <f ca="1"/>
        <v>0</v>
      </c>
      <c r="Z50">
        <f ca="1"/>
        <v>0</v>
      </c>
      <c r="AA50">
        <f ca="1"/>
        <v>0</v>
      </c>
      <c r="AB50">
        <f ca="1"/>
        <v>0</v>
      </c>
      <c r="AC50">
        <f t="shared" ca="1" si="2"/>
        <v>0</v>
      </c>
      <c r="AD50" s="582">
        <f t="shared" ca="1" si="3"/>
        <v>0</v>
      </c>
      <c r="AE50" s="582">
        <f t="shared" ca="1" si="4"/>
        <v>0</v>
      </c>
      <c r="AF50" s="582">
        <f t="shared" ca="1" si="5"/>
        <v>0</v>
      </c>
      <c r="AG50" s="582">
        <f t="shared" ca="1" si="6"/>
        <v>0</v>
      </c>
      <c r="AH50" s="582">
        <f t="shared" ca="1" si="7"/>
        <v>0</v>
      </c>
      <c r="AI50" s="582">
        <f t="shared" ca="1" si="8"/>
        <v>0.67703627749076623</v>
      </c>
      <c r="AJ50" s="582">
        <f t="shared" ca="1" si="9"/>
        <v>0</v>
      </c>
      <c r="AK50" s="582">
        <f t="shared" ca="1" si="10"/>
        <v>0</v>
      </c>
      <c r="AL50" s="582">
        <f t="shared" ca="1" si="11"/>
        <v>0</v>
      </c>
      <c r="AM50" s="582">
        <f t="shared" ca="1" si="12"/>
        <v>0</v>
      </c>
      <c r="AN50" s="582">
        <f t="shared" ca="1" si="13"/>
        <v>0</v>
      </c>
      <c r="AO50" s="582">
        <f t="shared" ca="1" si="14"/>
        <v>0.17301627991566085</v>
      </c>
      <c r="AP50" s="582">
        <f t="shared" ca="1" si="15"/>
        <v>0.14994744259357273</v>
      </c>
      <c r="AQ50" s="582">
        <f t="shared" ca="1" si="16"/>
        <v>0</v>
      </c>
      <c r="AR50" s="582">
        <f t="shared" ca="1" si="17"/>
        <v>0</v>
      </c>
      <c r="AS50" s="582">
        <f t="shared" ca="1" si="18"/>
        <v>0</v>
      </c>
      <c r="AT50" s="582">
        <f t="shared" ca="1" si="19"/>
        <v>0</v>
      </c>
      <c r="AU50" s="582">
        <f t="shared" ca="1" si="20"/>
        <v>0</v>
      </c>
      <c r="AV50" s="582">
        <f t="shared" ca="1" si="21"/>
        <v>0</v>
      </c>
      <c r="AW50" s="582">
        <f t="shared" ca="1" si="22"/>
        <v>0</v>
      </c>
      <c r="AX50" s="582">
        <f t="shared" ca="1" si="23"/>
        <v>0</v>
      </c>
      <c r="AY50" s="582">
        <f t="shared" ca="1" si="24"/>
        <v>0</v>
      </c>
      <c r="AZ50" s="582">
        <f t="shared" ca="1" si="25"/>
        <v>0</v>
      </c>
      <c r="BA50" s="582">
        <f t="shared" ca="1" si="26"/>
        <v>0</v>
      </c>
      <c r="BB50" s="582">
        <f t="shared" ca="1" si="27"/>
        <v>0</v>
      </c>
      <c r="BC50" s="582">
        <f t="shared" ca="1" si="28"/>
        <v>0</v>
      </c>
      <c r="BE50" s="582">
        <f t="shared" ca="1" si="1"/>
        <v>0.99999999999999978</v>
      </c>
    </row>
    <row r="51" spans="1:57" ht="15">
      <c r="A51" s="22">
        <f t="shared" si="29"/>
        <v>2071</v>
      </c>
      <c r="B51" s="586">
        <v>46</v>
      </c>
      <c r="C51" s="583">
        <f ca="1"/>
        <v>0</v>
      </c>
      <c r="D51" s="583">
        <f ca="1"/>
        <v>0</v>
      </c>
      <c r="E51" s="583">
        <f ca="1"/>
        <v>0</v>
      </c>
      <c r="F51" s="583">
        <f ca="1"/>
        <v>0</v>
      </c>
      <c r="G51" s="583">
        <f ca="1"/>
        <v>0</v>
      </c>
      <c r="H51" s="583">
        <f ca="1"/>
        <v>0</v>
      </c>
      <c r="I51" s="583">
        <f ca="1"/>
        <v>0</v>
      </c>
      <c r="J51">
        <f ca="1"/>
        <v>0</v>
      </c>
      <c r="K51">
        <f ca="1"/>
        <v>0</v>
      </c>
      <c r="L51">
        <f ca="1"/>
        <v>0</v>
      </c>
      <c r="M51">
        <f ca="1"/>
        <v>0</v>
      </c>
      <c r="N51">
        <f ca="1"/>
        <v>0</v>
      </c>
      <c r="O51">
        <f ca="1"/>
        <v>0</v>
      </c>
      <c r="P51">
        <f ca="1"/>
        <v>0</v>
      </c>
      <c r="Q51">
        <f ca="1"/>
        <v>0</v>
      </c>
      <c r="R51">
        <f ca="1"/>
        <v>0</v>
      </c>
      <c r="S51">
        <f ca="1"/>
        <v>0</v>
      </c>
      <c r="T51">
        <f ca="1"/>
        <v>0</v>
      </c>
      <c r="U51">
        <f ca="1"/>
        <v>0</v>
      </c>
      <c r="V51">
        <f ca="1"/>
        <v>0</v>
      </c>
      <c r="W51">
        <f ca="1"/>
        <v>0</v>
      </c>
      <c r="X51">
        <f ca="1"/>
        <v>0</v>
      </c>
      <c r="Y51">
        <f ca="1"/>
        <v>0</v>
      </c>
      <c r="Z51">
        <f ca="1"/>
        <v>0</v>
      </c>
      <c r="AA51">
        <f ca="1"/>
        <v>0</v>
      </c>
      <c r="AB51">
        <f ca="1"/>
        <v>0</v>
      </c>
      <c r="AC51">
        <f t="shared" ca="1" si="2"/>
        <v>0</v>
      </c>
      <c r="AD51" s="582">
        <f t="shared" ca="1" si="3"/>
        <v>0</v>
      </c>
      <c r="AE51" s="582">
        <f t="shared" ca="1" si="4"/>
        <v>0</v>
      </c>
      <c r="AF51" s="582">
        <f t="shared" ca="1" si="5"/>
        <v>0</v>
      </c>
      <c r="AG51" s="582">
        <f t="shared" ca="1" si="6"/>
        <v>0</v>
      </c>
      <c r="AH51" s="582">
        <f t="shared" ca="1" si="7"/>
        <v>0</v>
      </c>
      <c r="AI51" s="582">
        <f t="shared" ca="1" si="8"/>
        <v>0.67703627749076623</v>
      </c>
      <c r="AJ51" s="582">
        <f t="shared" ca="1" si="9"/>
        <v>0</v>
      </c>
      <c r="AK51" s="582">
        <f t="shared" ca="1" si="10"/>
        <v>0</v>
      </c>
      <c r="AL51" s="582">
        <f t="shared" ca="1" si="11"/>
        <v>0</v>
      </c>
      <c r="AM51" s="582">
        <f t="shared" ca="1" si="12"/>
        <v>0</v>
      </c>
      <c r="AN51" s="582">
        <f t="shared" ca="1" si="13"/>
        <v>0</v>
      </c>
      <c r="AO51" s="582">
        <f t="shared" ca="1" si="14"/>
        <v>0.17301627991566085</v>
      </c>
      <c r="AP51" s="582">
        <f t="shared" ca="1" si="15"/>
        <v>0.14994744259357273</v>
      </c>
      <c r="AQ51" s="582">
        <f t="shared" ca="1" si="16"/>
        <v>0</v>
      </c>
      <c r="AR51" s="582">
        <f t="shared" ca="1" si="17"/>
        <v>0</v>
      </c>
      <c r="AS51" s="582">
        <f t="shared" ca="1" si="18"/>
        <v>0</v>
      </c>
      <c r="AT51" s="582">
        <f t="shared" ca="1" si="19"/>
        <v>0</v>
      </c>
      <c r="AU51" s="582">
        <f t="shared" ca="1" si="20"/>
        <v>0</v>
      </c>
      <c r="AV51" s="582">
        <f t="shared" ca="1" si="21"/>
        <v>0</v>
      </c>
      <c r="AW51" s="582">
        <f t="shared" ca="1" si="22"/>
        <v>0</v>
      </c>
      <c r="AX51" s="582">
        <f t="shared" ca="1" si="23"/>
        <v>0</v>
      </c>
      <c r="AY51" s="582">
        <f t="shared" ca="1" si="24"/>
        <v>0</v>
      </c>
      <c r="AZ51" s="582">
        <f t="shared" ca="1" si="25"/>
        <v>0</v>
      </c>
      <c r="BA51" s="582">
        <f t="shared" ca="1" si="26"/>
        <v>0</v>
      </c>
      <c r="BB51" s="582">
        <f t="shared" ca="1" si="27"/>
        <v>0</v>
      </c>
      <c r="BC51" s="582">
        <f t="shared" ca="1" si="28"/>
        <v>0</v>
      </c>
      <c r="BE51" s="582">
        <f t="shared" ca="1" si="1"/>
        <v>0.99999999999999978</v>
      </c>
    </row>
    <row r="52" spans="1:57" ht="15">
      <c r="A52" s="22">
        <f t="shared" si="29"/>
        <v>2072</v>
      </c>
      <c r="B52" s="586">
        <v>47</v>
      </c>
      <c r="C52" s="583">
        <f ca="1"/>
        <v>0</v>
      </c>
      <c r="D52" s="583">
        <f ca="1"/>
        <v>0</v>
      </c>
      <c r="E52" s="583">
        <f ca="1"/>
        <v>0</v>
      </c>
      <c r="F52" s="583">
        <f ca="1"/>
        <v>0</v>
      </c>
      <c r="G52" s="583">
        <f ca="1"/>
        <v>0</v>
      </c>
      <c r="H52" s="583">
        <f ca="1"/>
        <v>0</v>
      </c>
      <c r="I52" s="588">
        <f ca="1"/>
        <v>0</v>
      </c>
      <c r="J52">
        <f ca="1"/>
        <v>0</v>
      </c>
      <c r="K52">
        <f ca="1"/>
        <v>0</v>
      </c>
      <c r="L52">
        <f ca="1"/>
        <v>0</v>
      </c>
      <c r="M52">
        <f ca="1"/>
        <v>0</v>
      </c>
      <c r="N52">
        <f ca="1"/>
        <v>0</v>
      </c>
      <c r="O52">
        <f ca="1"/>
        <v>0</v>
      </c>
      <c r="P52">
        <f ca="1"/>
        <v>0</v>
      </c>
      <c r="Q52">
        <f ca="1"/>
        <v>0</v>
      </c>
      <c r="R52">
        <f ca="1"/>
        <v>0</v>
      </c>
      <c r="S52">
        <f ca="1"/>
        <v>0</v>
      </c>
      <c r="T52">
        <f ca="1"/>
        <v>0</v>
      </c>
      <c r="U52">
        <f ca="1"/>
        <v>0</v>
      </c>
      <c r="V52">
        <f ca="1"/>
        <v>0</v>
      </c>
      <c r="W52">
        <f ca="1"/>
        <v>0</v>
      </c>
      <c r="X52">
        <f ca="1"/>
        <v>0</v>
      </c>
      <c r="Y52">
        <f ca="1"/>
        <v>0</v>
      </c>
      <c r="Z52">
        <f ca="1"/>
        <v>0</v>
      </c>
      <c r="AA52">
        <f ca="1"/>
        <v>0</v>
      </c>
      <c r="AB52">
        <f ca="1"/>
        <v>0</v>
      </c>
      <c r="AC52">
        <f t="shared" ca="1" si="2"/>
        <v>0</v>
      </c>
      <c r="AD52" s="582">
        <f t="shared" ca="1" si="3"/>
        <v>0</v>
      </c>
      <c r="AE52" s="582">
        <f t="shared" ca="1" si="4"/>
        <v>0</v>
      </c>
      <c r="AF52" s="582">
        <f t="shared" ca="1" si="5"/>
        <v>0</v>
      </c>
      <c r="AG52" s="582">
        <f t="shared" ca="1" si="6"/>
        <v>0</v>
      </c>
      <c r="AH52" s="582">
        <f t="shared" ca="1" si="7"/>
        <v>0</v>
      </c>
      <c r="AI52" s="582">
        <f t="shared" ca="1" si="8"/>
        <v>0.67703627749076623</v>
      </c>
      <c r="AJ52" s="582">
        <f t="shared" ca="1" si="9"/>
        <v>0</v>
      </c>
      <c r="AK52" s="582">
        <f t="shared" ca="1" si="10"/>
        <v>0</v>
      </c>
      <c r="AL52" s="582">
        <f t="shared" ca="1" si="11"/>
        <v>0</v>
      </c>
      <c r="AM52" s="582">
        <f t="shared" ca="1" si="12"/>
        <v>0</v>
      </c>
      <c r="AN52" s="582">
        <f t="shared" ca="1" si="13"/>
        <v>0</v>
      </c>
      <c r="AO52" s="582">
        <f t="shared" ca="1" si="14"/>
        <v>0.17301627991566085</v>
      </c>
      <c r="AP52" s="582">
        <f t="shared" ca="1" si="15"/>
        <v>0.14994744259357273</v>
      </c>
      <c r="AQ52" s="582">
        <f t="shared" ca="1" si="16"/>
        <v>0</v>
      </c>
      <c r="AR52" s="582">
        <f t="shared" ca="1" si="17"/>
        <v>0</v>
      </c>
      <c r="AS52" s="582">
        <f t="shared" ca="1" si="18"/>
        <v>0</v>
      </c>
      <c r="AT52" s="582">
        <f t="shared" ca="1" si="19"/>
        <v>0</v>
      </c>
      <c r="AU52" s="582">
        <f t="shared" ca="1" si="20"/>
        <v>0</v>
      </c>
      <c r="AV52" s="582">
        <f t="shared" ca="1" si="21"/>
        <v>0</v>
      </c>
      <c r="AW52" s="582">
        <f t="shared" ca="1" si="22"/>
        <v>0</v>
      </c>
      <c r="AX52" s="582">
        <f t="shared" ca="1" si="23"/>
        <v>0</v>
      </c>
      <c r="AY52" s="582">
        <f t="shared" ca="1" si="24"/>
        <v>0</v>
      </c>
      <c r="AZ52" s="582">
        <f t="shared" ca="1" si="25"/>
        <v>0</v>
      </c>
      <c r="BA52" s="582">
        <f t="shared" ca="1" si="26"/>
        <v>0</v>
      </c>
      <c r="BB52" s="582">
        <f t="shared" ca="1" si="27"/>
        <v>0</v>
      </c>
      <c r="BC52" s="582">
        <f t="shared" ca="1" si="28"/>
        <v>0</v>
      </c>
      <c r="BE52" s="582">
        <f t="shared" ca="1" si="1"/>
        <v>0.99999999999999978</v>
      </c>
    </row>
    <row r="53" spans="1:57" ht="15">
      <c r="A53" s="22">
        <f t="shared" si="29"/>
        <v>2073</v>
      </c>
      <c r="B53" s="586">
        <v>48</v>
      </c>
      <c r="C53" s="583">
        <f ca="1"/>
        <v>0</v>
      </c>
      <c r="D53" s="583">
        <f ca="1"/>
        <v>0</v>
      </c>
      <c r="E53" s="583">
        <f ca="1"/>
        <v>0</v>
      </c>
      <c r="F53" s="583">
        <f ca="1"/>
        <v>0</v>
      </c>
      <c r="G53" s="583">
        <f ca="1"/>
        <v>0</v>
      </c>
      <c r="H53" s="583">
        <f ca="1"/>
        <v>0</v>
      </c>
      <c r="I53" s="588">
        <f ca="1"/>
        <v>0</v>
      </c>
      <c r="J53">
        <f ca="1"/>
        <v>0</v>
      </c>
      <c r="K53">
        <f ca="1"/>
        <v>0</v>
      </c>
      <c r="L53">
        <f ca="1"/>
        <v>0</v>
      </c>
      <c r="M53">
        <f ca="1"/>
        <v>0</v>
      </c>
      <c r="N53">
        <f ca="1"/>
        <v>0</v>
      </c>
      <c r="O53">
        <f ca="1"/>
        <v>0</v>
      </c>
      <c r="P53">
        <f ca="1"/>
        <v>0</v>
      </c>
      <c r="Q53">
        <f ca="1"/>
        <v>0</v>
      </c>
      <c r="R53">
        <f ca="1"/>
        <v>0</v>
      </c>
      <c r="S53">
        <f ca="1"/>
        <v>0</v>
      </c>
      <c r="T53">
        <f ca="1"/>
        <v>0</v>
      </c>
      <c r="U53">
        <f ca="1"/>
        <v>0</v>
      </c>
      <c r="V53">
        <f ca="1"/>
        <v>0</v>
      </c>
      <c r="W53">
        <f ca="1"/>
        <v>0</v>
      </c>
      <c r="X53">
        <f ca="1"/>
        <v>0</v>
      </c>
      <c r="Y53">
        <f ca="1"/>
        <v>0</v>
      </c>
      <c r="Z53">
        <f ca="1"/>
        <v>0</v>
      </c>
      <c r="AA53">
        <f ca="1"/>
        <v>0</v>
      </c>
      <c r="AB53">
        <f ca="1"/>
        <v>0</v>
      </c>
      <c r="AC53">
        <f t="shared" ca="1" si="2"/>
        <v>0</v>
      </c>
      <c r="AD53" s="582">
        <f t="shared" ca="1" si="3"/>
        <v>0</v>
      </c>
      <c r="AE53" s="582">
        <f t="shared" ca="1" si="4"/>
        <v>0</v>
      </c>
      <c r="AF53" s="582">
        <f t="shared" ca="1" si="5"/>
        <v>0</v>
      </c>
      <c r="AG53" s="582">
        <f t="shared" ca="1" si="6"/>
        <v>0</v>
      </c>
      <c r="AH53" s="582">
        <f t="shared" ca="1" si="7"/>
        <v>0</v>
      </c>
      <c r="AI53" s="582">
        <f t="shared" ca="1" si="8"/>
        <v>0.67703627749076623</v>
      </c>
      <c r="AJ53" s="582">
        <f t="shared" ca="1" si="9"/>
        <v>0</v>
      </c>
      <c r="AK53" s="582">
        <f t="shared" ca="1" si="10"/>
        <v>0</v>
      </c>
      <c r="AL53" s="582">
        <f t="shared" ca="1" si="11"/>
        <v>0</v>
      </c>
      <c r="AM53" s="582">
        <f t="shared" ca="1" si="12"/>
        <v>0</v>
      </c>
      <c r="AN53" s="582">
        <f t="shared" ca="1" si="13"/>
        <v>0</v>
      </c>
      <c r="AO53" s="582">
        <f t="shared" ca="1" si="14"/>
        <v>0.17301627991566085</v>
      </c>
      <c r="AP53" s="582">
        <f t="shared" ca="1" si="15"/>
        <v>0.14994744259357273</v>
      </c>
      <c r="AQ53" s="582">
        <f t="shared" ca="1" si="16"/>
        <v>0</v>
      </c>
      <c r="AR53" s="582">
        <f t="shared" ca="1" si="17"/>
        <v>0</v>
      </c>
      <c r="AS53" s="582">
        <f t="shared" ca="1" si="18"/>
        <v>0</v>
      </c>
      <c r="AT53" s="582">
        <f t="shared" ca="1" si="19"/>
        <v>0</v>
      </c>
      <c r="AU53" s="582">
        <f t="shared" ca="1" si="20"/>
        <v>0</v>
      </c>
      <c r="AV53" s="582">
        <f t="shared" ca="1" si="21"/>
        <v>0</v>
      </c>
      <c r="AW53" s="582">
        <f t="shared" ca="1" si="22"/>
        <v>0</v>
      </c>
      <c r="AX53" s="582">
        <f t="shared" ca="1" si="23"/>
        <v>0</v>
      </c>
      <c r="AY53" s="582">
        <f t="shared" ca="1" si="24"/>
        <v>0</v>
      </c>
      <c r="AZ53" s="582">
        <f t="shared" ca="1" si="25"/>
        <v>0</v>
      </c>
      <c r="BA53" s="582">
        <f t="shared" ca="1" si="26"/>
        <v>0</v>
      </c>
      <c r="BB53" s="582">
        <f t="shared" ca="1" si="27"/>
        <v>0</v>
      </c>
      <c r="BC53" s="582">
        <f t="shared" ca="1" si="28"/>
        <v>0</v>
      </c>
      <c r="BE53" s="582">
        <f t="shared" ca="1" si="1"/>
        <v>0.99999999999999978</v>
      </c>
    </row>
    <row r="54" spans="1:57" ht="15">
      <c r="A54" s="22">
        <f t="shared" si="29"/>
        <v>2074</v>
      </c>
      <c r="B54" s="586">
        <v>49</v>
      </c>
      <c r="C54" s="583">
        <f ca="1"/>
        <v>0</v>
      </c>
      <c r="D54" s="583">
        <f ca="1"/>
        <v>0</v>
      </c>
      <c r="E54" s="583">
        <f ca="1"/>
        <v>0</v>
      </c>
      <c r="F54" s="583">
        <f ca="1"/>
        <v>0</v>
      </c>
      <c r="G54" s="583">
        <f ca="1"/>
        <v>0</v>
      </c>
      <c r="H54" s="583">
        <f ca="1"/>
        <v>0</v>
      </c>
      <c r="I54" s="588">
        <f ca="1"/>
        <v>0</v>
      </c>
      <c r="J54">
        <f ca="1"/>
        <v>0</v>
      </c>
      <c r="K54">
        <f ca="1"/>
        <v>0</v>
      </c>
      <c r="L54">
        <f ca="1"/>
        <v>0</v>
      </c>
      <c r="M54">
        <f ca="1"/>
        <v>0</v>
      </c>
      <c r="N54">
        <f ca="1"/>
        <v>0</v>
      </c>
      <c r="O54">
        <f ca="1"/>
        <v>0</v>
      </c>
      <c r="P54">
        <f ca="1"/>
        <v>0</v>
      </c>
      <c r="Q54">
        <f ca="1"/>
        <v>0</v>
      </c>
      <c r="R54">
        <f ca="1"/>
        <v>0</v>
      </c>
      <c r="S54">
        <f ca="1"/>
        <v>0</v>
      </c>
      <c r="T54">
        <f ca="1"/>
        <v>0</v>
      </c>
      <c r="U54">
        <f ca="1"/>
        <v>0</v>
      </c>
      <c r="V54">
        <f ca="1"/>
        <v>0</v>
      </c>
      <c r="W54">
        <f ca="1"/>
        <v>0</v>
      </c>
      <c r="X54">
        <f ca="1"/>
        <v>0</v>
      </c>
      <c r="Y54">
        <f ca="1"/>
        <v>0</v>
      </c>
      <c r="Z54">
        <f ca="1"/>
        <v>0</v>
      </c>
      <c r="AA54">
        <f ca="1"/>
        <v>0</v>
      </c>
      <c r="AB54">
        <f ca="1"/>
        <v>0</v>
      </c>
      <c r="AC54">
        <f t="shared" ca="1" si="2"/>
        <v>0</v>
      </c>
      <c r="AD54" s="582">
        <f t="shared" ca="1" si="3"/>
        <v>0</v>
      </c>
      <c r="AE54" s="582">
        <f t="shared" ca="1" si="4"/>
        <v>0</v>
      </c>
      <c r="AF54" s="582">
        <f t="shared" ca="1" si="5"/>
        <v>0</v>
      </c>
      <c r="AG54" s="582">
        <f t="shared" ca="1" si="6"/>
        <v>0</v>
      </c>
      <c r="AH54" s="582">
        <f t="shared" ca="1" si="7"/>
        <v>0</v>
      </c>
      <c r="AI54" s="582">
        <f t="shared" ca="1" si="8"/>
        <v>0.67703627749076623</v>
      </c>
      <c r="AJ54" s="582">
        <f t="shared" ca="1" si="9"/>
        <v>0</v>
      </c>
      <c r="AK54" s="582">
        <f t="shared" ca="1" si="10"/>
        <v>0</v>
      </c>
      <c r="AL54" s="582">
        <f t="shared" ca="1" si="11"/>
        <v>0</v>
      </c>
      <c r="AM54" s="582">
        <f t="shared" ca="1" si="12"/>
        <v>0</v>
      </c>
      <c r="AN54" s="582">
        <f t="shared" ca="1" si="13"/>
        <v>0</v>
      </c>
      <c r="AO54" s="582">
        <f t="shared" ca="1" si="14"/>
        <v>0.17301627991566085</v>
      </c>
      <c r="AP54" s="582">
        <f t="shared" ca="1" si="15"/>
        <v>0.14994744259357273</v>
      </c>
      <c r="AQ54" s="582">
        <f t="shared" ca="1" si="16"/>
        <v>0</v>
      </c>
      <c r="AR54" s="582">
        <f t="shared" ca="1" si="17"/>
        <v>0</v>
      </c>
      <c r="AS54" s="582">
        <f t="shared" ca="1" si="18"/>
        <v>0</v>
      </c>
      <c r="AT54" s="582">
        <f t="shared" ca="1" si="19"/>
        <v>0</v>
      </c>
      <c r="AU54" s="582">
        <f t="shared" ca="1" si="20"/>
        <v>0</v>
      </c>
      <c r="AV54" s="582">
        <f t="shared" ca="1" si="21"/>
        <v>0</v>
      </c>
      <c r="AW54" s="582">
        <f t="shared" ca="1" si="22"/>
        <v>0</v>
      </c>
      <c r="AX54" s="582">
        <f t="shared" ca="1" si="23"/>
        <v>0</v>
      </c>
      <c r="AY54" s="582">
        <f t="shared" ca="1" si="24"/>
        <v>0</v>
      </c>
      <c r="AZ54" s="582">
        <f t="shared" ca="1" si="25"/>
        <v>0</v>
      </c>
      <c r="BA54" s="582">
        <f t="shared" ca="1" si="26"/>
        <v>0</v>
      </c>
      <c r="BB54" s="582">
        <f t="shared" ca="1" si="27"/>
        <v>0</v>
      </c>
      <c r="BC54" s="582">
        <f t="shared" ca="1" si="28"/>
        <v>0</v>
      </c>
      <c r="BE54" s="582">
        <f t="shared" ca="1" si="1"/>
        <v>0.99999999999999978</v>
      </c>
    </row>
    <row r="55" spans="1:57" ht="15">
      <c r="A55" s="22">
        <f t="shared" si="29"/>
        <v>2075</v>
      </c>
      <c r="B55" s="586">
        <v>50</v>
      </c>
      <c r="C55" s="583">
        <f ca="1"/>
        <v>0</v>
      </c>
      <c r="D55" s="583">
        <f ca="1"/>
        <v>0</v>
      </c>
      <c r="E55" s="583">
        <f ca="1"/>
        <v>0</v>
      </c>
      <c r="F55" s="583">
        <f ca="1"/>
        <v>0</v>
      </c>
      <c r="G55" s="583">
        <f ca="1"/>
        <v>0</v>
      </c>
      <c r="H55" s="583">
        <f ca="1"/>
        <v>0</v>
      </c>
      <c r="I55" s="583">
        <f ca="1"/>
        <v>0</v>
      </c>
      <c r="J55">
        <f ca="1"/>
        <v>0</v>
      </c>
      <c r="K55">
        <f ca="1"/>
        <v>0</v>
      </c>
      <c r="L55">
        <f ca="1"/>
        <v>0</v>
      </c>
      <c r="M55">
        <f ca="1"/>
        <v>0</v>
      </c>
      <c r="N55">
        <f ca="1"/>
        <v>0</v>
      </c>
      <c r="O55">
        <f ca="1"/>
        <v>0</v>
      </c>
      <c r="P55">
        <f ca="1"/>
        <v>0</v>
      </c>
      <c r="Q55">
        <f ca="1"/>
        <v>0</v>
      </c>
      <c r="R55">
        <f ca="1"/>
        <v>0</v>
      </c>
      <c r="S55">
        <f ca="1"/>
        <v>0</v>
      </c>
      <c r="T55">
        <f ca="1"/>
        <v>0</v>
      </c>
      <c r="U55">
        <f ca="1"/>
        <v>0</v>
      </c>
      <c r="V55">
        <f ca="1"/>
        <v>0</v>
      </c>
      <c r="W55">
        <f ca="1"/>
        <v>0</v>
      </c>
      <c r="X55">
        <f ca="1"/>
        <v>0</v>
      </c>
      <c r="Y55">
        <f ca="1"/>
        <v>0</v>
      </c>
      <c r="Z55">
        <f ca="1"/>
        <v>0</v>
      </c>
      <c r="AA55">
        <f ca="1"/>
        <v>0</v>
      </c>
      <c r="AB55">
        <f ca="1"/>
        <v>0</v>
      </c>
      <c r="AC55">
        <f t="shared" ca="1" si="2"/>
        <v>0</v>
      </c>
      <c r="AD55" s="582">
        <f t="shared" ca="1" si="3"/>
        <v>0</v>
      </c>
      <c r="AE55" s="582">
        <f t="shared" ca="1" si="4"/>
        <v>0</v>
      </c>
      <c r="AF55" s="582">
        <f t="shared" ca="1" si="5"/>
        <v>0</v>
      </c>
      <c r="AG55" s="582">
        <f t="shared" ca="1" si="6"/>
        <v>0</v>
      </c>
      <c r="AH55" s="582">
        <f t="shared" ca="1" si="7"/>
        <v>0</v>
      </c>
      <c r="AI55" s="582">
        <f t="shared" ca="1" si="8"/>
        <v>0.67703627749076623</v>
      </c>
      <c r="AJ55" s="582">
        <f t="shared" ca="1" si="9"/>
        <v>0</v>
      </c>
      <c r="AK55" s="582">
        <f t="shared" ca="1" si="10"/>
        <v>0</v>
      </c>
      <c r="AL55" s="582">
        <f t="shared" ca="1" si="11"/>
        <v>0</v>
      </c>
      <c r="AM55" s="582">
        <f t="shared" ca="1" si="12"/>
        <v>0</v>
      </c>
      <c r="AN55" s="582">
        <f t="shared" ca="1" si="13"/>
        <v>0</v>
      </c>
      <c r="AO55" s="582">
        <f t="shared" ca="1" si="14"/>
        <v>0.17301627991566085</v>
      </c>
      <c r="AP55" s="582">
        <f t="shared" ca="1" si="15"/>
        <v>0.14994744259357273</v>
      </c>
      <c r="AQ55" s="582">
        <f t="shared" ca="1" si="16"/>
        <v>0</v>
      </c>
      <c r="AR55" s="582">
        <f t="shared" ca="1" si="17"/>
        <v>0</v>
      </c>
      <c r="AS55" s="582">
        <f t="shared" ca="1" si="18"/>
        <v>0</v>
      </c>
      <c r="AT55" s="582">
        <f t="shared" ca="1" si="19"/>
        <v>0</v>
      </c>
      <c r="AU55" s="582">
        <f t="shared" ca="1" si="20"/>
        <v>0</v>
      </c>
      <c r="AV55" s="582">
        <f t="shared" ca="1" si="21"/>
        <v>0</v>
      </c>
      <c r="AW55" s="582">
        <f t="shared" ca="1" si="22"/>
        <v>0</v>
      </c>
      <c r="AX55" s="582">
        <f t="shared" ca="1" si="23"/>
        <v>0</v>
      </c>
      <c r="AY55" s="582">
        <f t="shared" ca="1" si="24"/>
        <v>0</v>
      </c>
      <c r="AZ55" s="582">
        <f t="shared" ca="1" si="25"/>
        <v>0</v>
      </c>
      <c r="BA55" s="582">
        <f t="shared" ca="1" si="26"/>
        <v>0</v>
      </c>
      <c r="BB55" s="582">
        <f t="shared" ca="1" si="27"/>
        <v>0</v>
      </c>
      <c r="BC55" s="582">
        <f t="shared" ca="1" si="28"/>
        <v>0</v>
      </c>
      <c r="BE55" s="582">
        <f t="shared" ca="1" si="1"/>
        <v>0.99999999999999978</v>
      </c>
    </row>
    <row r="56" spans="1:57" ht="15">
      <c r="A56" s="22">
        <f t="shared" si="29"/>
        <v>2076</v>
      </c>
      <c r="B56" s="586">
        <v>51</v>
      </c>
      <c r="C56" s="583">
        <f ca="1"/>
        <v>0</v>
      </c>
      <c r="D56" s="583">
        <f ca="1"/>
        <v>0</v>
      </c>
      <c r="E56" s="583">
        <f ca="1"/>
        <v>0</v>
      </c>
      <c r="F56" s="583">
        <f ca="1"/>
        <v>0</v>
      </c>
      <c r="G56" s="583">
        <f ca="1"/>
        <v>0</v>
      </c>
      <c r="H56" s="583">
        <f ca="1"/>
        <v>0</v>
      </c>
      <c r="I56" s="583">
        <f ca="1"/>
        <v>0</v>
      </c>
      <c r="J56">
        <f ca="1"/>
        <v>0</v>
      </c>
      <c r="K56">
        <f ca="1"/>
        <v>0</v>
      </c>
      <c r="L56">
        <f ca="1"/>
        <v>0</v>
      </c>
      <c r="M56">
        <f ca="1"/>
        <v>0</v>
      </c>
      <c r="N56">
        <f ca="1"/>
        <v>0</v>
      </c>
      <c r="O56">
        <f ca="1"/>
        <v>0</v>
      </c>
      <c r="P56">
        <f ca="1"/>
        <v>0</v>
      </c>
      <c r="Q56">
        <f ca="1"/>
        <v>0</v>
      </c>
      <c r="R56">
        <f ca="1"/>
        <v>0</v>
      </c>
      <c r="S56">
        <f ca="1"/>
        <v>0</v>
      </c>
      <c r="T56">
        <f ca="1"/>
        <v>0</v>
      </c>
      <c r="U56">
        <f ca="1"/>
        <v>0</v>
      </c>
      <c r="V56">
        <f ca="1"/>
        <v>0</v>
      </c>
      <c r="W56">
        <f ca="1"/>
        <v>0</v>
      </c>
      <c r="X56">
        <f ca="1"/>
        <v>0</v>
      </c>
      <c r="Y56">
        <f ca="1"/>
        <v>0</v>
      </c>
      <c r="Z56">
        <f ca="1"/>
        <v>0</v>
      </c>
      <c r="AA56">
        <f ca="1"/>
        <v>0</v>
      </c>
      <c r="AB56">
        <f ca="1"/>
        <v>0</v>
      </c>
      <c r="AC56">
        <f t="shared" ca="1" si="2"/>
        <v>0</v>
      </c>
      <c r="AD56" s="582">
        <f t="shared" ca="1" si="3"/>
        <v>0</v>
      </c>
      <c r="AE56" s="582">
        <f t="shared" ca="1" si="4"/>
        <v>0</v>
      </c>
      <c r="AF56" s="582">
        <f t="shared" ca="1" si="5"/>
        <v>0</v>
      </c>
      <c r="AG56" s="582">
        <f t="shared" ca="1" si="6"/>
        <v>0</v>
      </c>
      <c r="AH56" s="582">
        <f t="shared" ca="1" si="7"/>
        <v>0</v>
      </c>
      <c r="AI56" s="582">
        <f t="shared" ca="1" si="8"/>
        <v>0.67703627749076623</v>
      </c>
      <c r="AJ56" s="582">
        <f t="shared" ca="1" si="9"/>
        <v>0</v>
      </c>
      <c r="AK56" s="582">
        <f t="shared" ca="1" si="10"/>
        <v>0</v>
      </c>
      <c r="AL56" s="582">
        <f t="shared" ca="1" si="11"/>
        <v>0</v>
      </c>
      <c r="AM56" s="582">
        <f t="shared" ca="1" si="12"/>
        <v>0</v>
      </c>
      <c r="AN56" s="582">
        <f t="shared" ca="1" si="13"/>
        <v>0</v>
      </c>
      <c r="AO56" s="582">
        <f t="shared" ca="1" si="14"/>
        <v>0.17301627991566085</v>
      </c>
      <c r="AP56" s="582">
        <f t="shared" ca="1" si="15"/>
        <v>0.14994744259357273</v>
      </c>
      <c r="AQ56" s="582">
        <f t="shared" ca="1" si="16"/>
        <v>0</v>
      </c>
      <c r="AR56" s="582">
        <f t="shared" ca="1" si="17"/>
        <v>0</v>
      </c>
      <c r="AS56" s="582">
        <f t="shared" ca="1" si="18"/>
        <v>0</v>
      </c>
      <c r="AT56" s="582">
        <f t="shared" ca="1" si="19"/>
        <v>0</v>
      </c>
      <c r="AU56" s="582">
        <f t="shared" ca="1" si="20"/>
        <v>0</v>
      </c>
      <c r="AV56" s="582">
        <f t="shared" ca="1" si="21"/>
        <v>0</v>
      </c>
      <c r="AW56" s="582">
        <f t="shared" ca="1" si="22"/>
        <v>0</v>
      </c>
      <c r="AX56" s="582">
        <f t="shared" ca="1" si="23"/>
        <v>0</v>
      </c>
      <c r="AY56" s="582">
        <f t="shared" ca="1" si="24"/>
        <v>0</v>
      </c>
      <c r="AZ56" s="582">
        <f t="shared" ca="1" si="25"/>
        <v>0</v>
      </c>
      <c r="BA56" s="582">
        <f t="shared" ca="1" si="26"/>
        <v>0</v>
      </c>
      <c r="BB56" s="582">
        <f t="shared" ca="1" si="27"/>
        <v>0</v>
      </c>
      <c r="BC56" s="582">
        <f t="shared" ca="1" si="28"/>
        <v>0</v>
      </c>
      <c r="BE56" s="582">
        <f t="shared" ca="1" si="1"/>
        <v>0.99999999999999978</v>
      </c>
    </row>
    <row r="57" spans="1:57" ht="15">
      <c r="A57" s="22">
        <f t="shared" si="29"/>
        <v>2077</v>
      </c>
      <c r="B57" s="586">
        <v>52</v>
      </c>
      <c r="C57" s="583">
        <f ca="1"/>
        <v>0</v>
      </c>
      <c r="D57" s="583">
        <f ca="1"/>
        <v>0</v>
      </c>
      <c r="E57" s="583">
        <f ca="1"/>
        <v>0</v>
      </c>
      <c r="F57" s="583">
        <f ca="1"/>
        <v>0</v>
      </c>
      <c r="G57" s="583">
        <f ca="1"/>
        <v>0</v>
      </c>
      <c r="H57" s="583">
        <f ca="1"/>
        <v>0</v>
      </c>
      <c r="I57" s="583">
        <f ca="1"/>
        <v>0</v>
      </c>
      <c r="J57">
        <f ca="1"/>
        <v>0</v>
      </c>
      <c r="K57">
        <f ca="1"/>
        <v>0</v>
      </c>
      <c r="L57">
        <f ca="1"/>
        <v>0</v>
      </c>
      <c r="M57">
        <f ca="1"/>
        <v>0</v>
      </c>
      <c r="N57">
        <f ca="1"/>
        <v>0</v>
      </c>
      <c r="O57">
        <f ca="1"/>
        <v>0</v>
      </c>
      <c r="P57">
        <f ca="1"/>
        <v>0</v>
      </c>
      <c r="Q57">
        <f ca="1"/>
        <v>0</v>
      </c>
      <c r="R57">
        <f ca="1"/>
        <v>0</v>
      </c>
      <c r="S57">
        <f ca="1"/>
        <v>0</v>
      </c>
      <c r="T57">
        <f ca="1"/>
        <v>0</v>
      </c>
      <c r="U57">
        <f ca="1"/>
        <v>0</v>
      </c>
      <c r="V57">
        <f ca="1"/>
        <v>0</v>
      </c>
      <c r="W57">
        <f ca="1"/>
        <v>0</v>
      </c>
      <c r="X57">
        <f ca="1"/>
        <v>0</v>
      </c>
      <c r="Y57">
        <f ca="1"/>
        <v>0</v>
      </c>
      <c r="Z57">
        <f ca="1"/>
        <v>0</v>
      </c>
      <c r="AA57">
        <f ca="1"/>
        <v>0</v>
      </c>
      <c r="AB57">
        <f ca="1"/>
        <v>0</v>
      </c>
      <c r="AC57">
        <f t="shared" ca="1" si="2"/>
        <v>0</v>
      </c>
      <c r="AD57" s="582">
        <f t="shared" ca="1" si="3"/>
        <v>0</v>
      </c>
      <c r="AE57" s="582">
        <f t="shared" ca="1" si="4"/>
        <v>0</v>
      </c>
      <c r="AF57" s="582">
        <f t="shared" ca="1" si="5"/>
        <v>0</v>
      </c>
      <c r="AG57" s="582">
        <f t="shared" ca="1" si="6"/>
        <v>0</v>
      </c>
      <c r="AH57" s="582">
        <f t="shared" ca="1" si="7"/>
        <v>0</v>
      </c>
      <c r="AI57" s="582">
        <f t="shared" ca="1" si="8"/>
        <v>0.67703627749076623</v>
      </c>
      <c r="AJ57" s="582">
        <f t="shared" ca="1" si="9"/>
        <v>0</v>
      </c>
      <c r="AK57" s="582">
        <f t="shared" ca="1" si="10"/>
        <v>0</v>
      </c>
      <c r="AL57" s="582">
        <f t="shared" ca="1" si="11"/>
        <v>0</v>
      </c>
      <c r="AM57" s="582">
        <f t="shared" ca="1" si="12"/>
        <v>0</v>
      </c>
      <c r="AN57" s="582">
        <f t="shared" ca="1" si="13"/>
        <v>0</v>
      </c>
      <c r="AO57" s="582">
        <f t="shared" ca="1" si="14"/>
        <v>0.17301627991566085</v>
      </c>
      <c r="AP57" s="582">
        <f t="shared" ca="1" si="15"/>
        <v>0.14994744259357273</v>
      </c>
      <c r="AQ57" s="582">
        <f t="shared" ca="1" si="16"/>
        <v>0</v>
      </c>
      <c r="AR57" s="582">
        <f t="shared" ca="1" si="17"/>
        <v>0</v>
      </c>
      <c r="AS57" s="582">
        <f t="shared" ca="1" si="18"/>
        <v>0</v>
      </c>
      <c r="AT57" s="582">
        <f t="shared" ca="1" si="19"/>
        <v>0</v>
      </c>
      <c r="AU57" s="582">
        <f t="shared" ca="1" si="20"/>
        <v>0</v>
      </c>
      <c r="AV57" s="582">
        <f t="shared" ca="1" si="21"/>
        <v>0</v>
      </c>
      <c r="AW57" s="582">
        <f t="shared" ca="1" si="22"/>
        <v>0</v>
      </c>
      <c r="AX57" s="582">
        <f t="shared" ca="1" si="23"/>
        <v>0</v>
      </c>
      <c r="AY57" s="582">
        <f t="shared" ca="1" si="24"/>
        <v>0</v>
      </c>
      <c r="AZ57" s="582">
        <f t="shared" ca="1" si="25"/>
        <v>0</v>
      </c>
      <c r="BA57" s="582">
        <f t="shared" ca="1" si="26"/>
        <v>0</v>
      </c>
      <c r="BB57" s="582">
        <f t="shared" ca="1" si="27"/>
        <v>0</v>
      </c>
      <c r="BC57" s="582">
        <f t="shared" ca="1" si="28"/>
        <v>0</v>
      </c>
      <c r="BE57" s="582">
        <f t="shared" ca="1" si="1"/>
        <v>0.99999999999999978</v>
      </c>
    </row>
    <row r="58" spans="1:57" ht="15">
      <c r="A58" s="22">
        <f t="shared" si="29"/>
        <v>2078</v>
      </c>
      <c r="B58" s="586">
        <v>53</v>
      </c>
      <c r="C58" s="583">
        <f ca="1"/>
        <v>0</v>
      </c>
      <c r="D58" s="583">
        <f ca="1"/>
        <v>0</v>
      </c>
      <c r="E58" s="583">
        <f ca="1"/>
        <v>0</v>
      </c>
      <c r="F58" s="583">
        <f ca="1"/>
        <v>0</v>
      </c>
      <c r="G58" s="583">
        <f ca="1"/>
        <v>0</v>
      </c>
      <c r="H58" s="583">
        <f ca="1"/>
        <v>0</v>
      </c>
      <c r="I58" s="583">
        <f ca="1"/>
        <v>0</v>
      </c>
      <c r="J58">
        <f ca="1"/>
        <v>0</v>
      </c>
      <c r="K58">
        <f ca="1"/>
        <v>0</v>
      </c>
      <c r="L58">
        <f ca="1"/>
        <v>0</v>
      </c>
      <c r="M58">
        <f ca="1"/>
        <v>0</v>
      </c>
      <c r="N58">
        <f ca="1"/>
        <v>0</v>
      </c>
      <c r="O58">
        <f ca="1"/>
        <v>0</v>
      </c>
      <c r="P58">
        <f ca="1"/>
        <v>0</v>
      </c>
      <c r="Q58">
        <f ca="1"/>
        <v>0</v>
      </c>
      <c r="R58">
        <f ca="1"/>
        <v>0</v>
      </c>
      <c r="S58">
        <f ca="1"/>
        <v>0</v>
      </c>
      <c r="T58">
        <f ca="1"/>
        <v>0</v>
      </c>
      <c r="U58">
        <f ca="1"/>
        <v>0</v>
      </c>
      <c r="V58">
        <f ca="1"/>
        <v>0</v>
      </c>
      <c r="W58">
        <f ca="1"/>
        <v>0</v>
      </c>
      <c r="X58">
        <f ca="1"/>
        <v>0</v>
      </c>
      <c r="Y58">
        <f ca="1"/>
        <v>0</v>
      </c>
      <c r="Z58">
        <f ca="1"/>
        <v>0</v>
      </c>
      <c r="AA58">
        <f ca="1"/>
        <v>0</v>
      </c>
      <c r="AB58">
        <f ca="1"/>
        <v>0</v>
      </c>
      <c r="AC58">
        <f t="shared" ca="1" si="2"/>
        <v>0</v>
      </c>
      <c r="AD58" s="582">
        <f t="shared" ca="1" si="3"/>
        <v>0</v>
      </c>
      <c r="AE58" s="582">
        <f t="shared" ca="1" si="4"/>
        <v>0</v>
      </c>
      <c r="AF58" s="582">
        <f t="shared" ca="1" si="5"/>
        <v>0</v>
      </c>
      <c r="AG58" s="582">
        <f t="shared" ca="1" si="6"/>
        <v>0</v>
      </c>
      <c r="AH58" s="582">
        <f t="shared" ca="1" si="7"/>
        <v>0</v>
      </c>
      <c r="AI58" s="582">
        <f t="shared" ca="1" si="8"/>
        <v>0.67703627749076623</v>
      </c>
      <c r="AJ58" s="582">
        <f t="shared" ca="1" si="9"/>
        <v>0</v>
      </c>
      <c r="AK58" s="582">
        <f t="shared" ca="1" si="10"/>
        <v>0</v>
      </c>
      <c r="AL58" s="582">
        <f t="shared" ca="1" si="11"/>
        <v>0</v>
      </c>
      <c r="AM58" s="582">
        <f t="shared" ca="1" si="12"/>
        <v>0</v>
      </c>
      <c r="AN58" s="582">
        <f t="shared" ca="1" si="13"/>
        <v>0</v>
      </c>
      <c r="AO58" s="582">
        <f t="shared" ca="1" si="14"/>
        <v>0.17301627991566085</v>
      </c>
      <c r="AP58" s="582">
        <f t="shared" ca="1" si="15"/>
        <v>0.14994744259357273</v>
      </c>
      <c r="AQ58" s="582">
        <f t="shared" ca="1" si="16"/>
        <v>0</v>
      </c>
      <c r="AR58" s="582">
        <f t="shared" ca="1" si="17"/>
        <v>0</v>
      </c>
      <c r="AS58" s="582">
        <f t="shared" ca="1" si="18"/>
        <v>0</v>
      </c>
      <c r="AT58" s="582">
        <f t="shared" ca="1" si="19"/>
        <v>0</v>
      </c>
      <c r="AU58" s="582">
        <f t="shared" ca="1" si="20"/>
        <v>0</v>
      </c>
      <c r="AV58" s="582">
        <f t="shared" ca="1" si="21"/>
        <v>0</v>
      </c>
      <c r="AW58" s="582">
        <f t="shared" ca="1" si="22"/>
        <v>0</v>
      </c>
      <c r="AX58" s="582">
        <f t="shared" ca="1" si="23"/>
        <v>0</v>
      </c>
      <c r="AY58" s="582">
        <f t="shared" ca="1" si="24"/>
        <v>0</v>
      </c>
      <c r="AZ58" s="582">
        <f t="shared" ca="1" si="25"/>
        <v>0</v>
      </c>
      <c r="BA58" s="582">
        <f t="shared" ca="1" si="26"/>
        <v>0</v>
      </c>
      <c r="BB58" s="582">
        <f t="shared" ca="1" si="27"/>
        <v>0</v>
      </c>
      <c r="BC58" s="582">
        <f t="shared" ca="1" si="28"/>
        <v>0</v>
      </c>
      <c r="BE58" s="582">
        <f t="shared" ca="1" si="1"/>
        <v>0.99999999999999978</v>
      </c>
    </row>
    <row r="59" spans="1:57" ht="15">
      <c r="A59" s="22">
        <f t="shared" si="29"/>
        <v>2079</v>
      </c>
      <c r="B59" s="586">
        <v>54</v>
      </c>
      <c r="C59" s="583">
        <f ca="1"/>
        <v>0</v>
      </c>
      <c r="D59" s="583">
        <f ca="1"/>
        <v>0</v>
      </c>
      <c r="E59" s="583">
        <f ca="1"/>
        <v>0</v>
      </c>
      <c r="F59" s="583">
        <f ca="1"/>
        <v>0</v>
      </c>
      <c r="G59" s="583">
        <f ca="1"/>
        <v>0</v>
      </c>
      <c r="H59" s="583">
        <f ca="1"/>
        <v>0</v>
      </c>
      <c r="I59" s="583">
        <f ca="1"/>
        <v>0</v>
      </c>
      <c r="J59">
        <f ca="1"/>
        <v>0</v>
      </c>
      <c r="K59">
        <f ca="1"/>
        <v>0</v>
      </c>
      <c r="L59">
        <f ca="1"/>
        <v>0</v>
      </c>
      <c r="M59">
        <f ca="1"/>
        <v>0</v>
      </c>
      <c r="N59">
        <f ca="1"/>
        <v>0</v>
      </c>
      <c r="O59">
        <f ca="1"/>
        <v>0</v>
      </c>
      <c r="P59">
        <f ca="1"/>
        <v>0</v>
      </c>
      <c r="Q59">
        <f ca="1"/>
        <v>0</v>
      </c>
      <c r="R59">
        <f ca="1"/>
        <v>0</v>
      </c>
      <c r="S59">
        <f ca="1"/>
        <v>0</v>
      </c>
      <c r="T59">
        <f ca="1"/>
        <v>0</v>
      </c>
      <c r="U59">
        <f ca="1"/>
        <v>0</v>
      </c>
      <c r="V59">
        <f ca="1"/>
        <v>0</v>
      </c>
      <c r="W59">
        <f ca="1"/>
        <v>0</v>
      </c>
      <c r="X59">
        <f ca="1"/>
        <v>0</v>
      </c>
      <c r="Y59">
        <f ca="1"/>
        <v>0</v>
      </c>
      <c r="Z59">
        <f ca="1"/>
        <v>0</v>
      </c>
      <c r="AA59">
        <f ca="1"/>
        <v>0</v>
      </c>
      <c r="AB59">
        <f ca="1"/>
        <v>0</v>
      </c>
      <c r="AC59">
        <f t="shared" ca="1" si="2"/>
        <v>0</v>
      </c>
      <c r="AD59" s="582">
        <f t="shared" ca="1" si="3"/>
        <v>0</v>
      </c>
      <c r="AE59" s="582">
        <f t="shared" ca="1" si="4"/>
        <v>0</v>
      </c>
      <c r="AF59" s="582">
        <f t="shared" ca="1" si="5"/>
        <v>0</v>
      </c>
      <c r="AG59" s="582">
        <f t="shared" ca="1" si="6"/>
        <v>0</v>
      </c>
      <c r="AH59" s="582">
        <f t="shared" ca="1" si="7"/>
        <v>0</v>
      </c>
      <c r="AI59" s="582">
        <f t="shared" ca="1" si="8"/>
        <v>0.67703627749076623</v>
      </c>
      <c r="AJ59" s="582">
        <f t="shared" ca="1" si="9"/>
        <v>0</v>
      </c>
      <c r="AK59" s="582">
        <f t="shared" ca="1" si="10"/>
        <v>0</v>
      </c>
      <c r="AL59" s="582">
        <f t="shared" ca="1" si="11"/>
        <v>0</v>
      </c>
      <c r="AM59" s="582">
        <f t="shared" ca="1" si="12"/>
        <v>0</v>
      </c>
      <c r="AN59" s="582">
        <f t="shared" ca="1" si="13"/>
        <v>0</v>
      </c>
      <c r="AO59" s="582">
        <f t="shared" ca="1" si="14"/>
        <v>0.17301627991566085</v>
      </c>
      <c r="AP59" s="582">
        <f t="shared" ca="1" si="15"/>
        <v>0.14994744259357273</v>
      </c>
      <c r="AQ59" s="582">
        <f t="shared" ca="1" si="16"/>
        <v>0</v>
      </c>
      <c r="AR59" s="582">
        <f t="shared" ca="1" si="17"/>
        <v>0</v>
      </c>
      <c r="AS59" s="582">
        <f t="shared" ca="1" si="18"/>
        <v>0</v>
      </c>
      <c r="AT59" s="582">
        <f t="shared" ca="1" si="19"/>
        <v>0</v>
      </c>
      <c r="AU59" s="582">
        <f t="shared" ca="1" si="20"/>
        <v>0</v>
      </c>
      <c r="AV59" s="582">
        <f t="shared" ca="1" si="21"/>
        <v>0</v>
      </c>
      <c r="AW59" s="582">
        <f t="shared" ca="1" si="22"/>
        <v>0</v>
      </c>
      <c r="AX59" s="582">
        <f t="shared" ca="1" si="23"/>
        <v>0</v>
      </c>
      <c r="AY59" s="582">
        <f t="shared" ca="1" si="24"/>
        <v>0</v>
      </c>
      <c r="AZ59" s="582">
        <f t="shared" ca="1" si="25"/>
        <v>0</v>
      </c>
      <c r="BA59" s="582">
        <f t="shared" ca="1" si="26"/>
        <v>0</v>
      </c>
      <c r="BB59" s="582">
        <f t="shared" ca="1" si="27"/>
        <v>0</v>
      </c>
      <c r="BC59" s="582">
        <f t="shared" ca="1" si="28"/>
        <v>0</v>
      </c>
      <c r="BE59" s="582">
        <f t="shared" ca="1" si="1"/>
        <v>0.99999999999999978</v>
      </c>
    </row>
    <row r="60" spans="1:57" ht="15">
      <c r="A60" s="22">
        <f t="shared" si="29"/>
        <v>2080</v>
      </c>
      <c r="B60" s="586">
        <v>55</v>
      </c>
      <c r="C60" s="583">
        <f ca="1"/>
        <v>0</v>
      </c>
      <c r="D60" s="583">
        <f ca="1"/>
        <v>0</v>
      </c>
      <c r="E60" s="583">
        <f ca="1"/>
        <v>0</v>
      </c>
      <c r="F60" s="583">
        <f ca="1"/>
        <v>0</v>
      </c>
      <c r="G60" s="583">
        <f ca="1"/>
        <v>0</v>
      </c>
      <c r="H60" s="583">
        <f ca="1"/>
        <v>0</v>
      </c>
      <c r="I60" s="583">
        <f ca="1"/>
        <v>0</v>
      </c>
      <c r="J60">
        <f ca="1"/>
        <v>0</v>
      </c>
      <c r="K60">
        <f ca="1"/>
        <v>0</v>
      </c>
      <c r="L60">
        <f ca="1"/>
        <v>0</v>
      </c>
      <c r="M60">
        <f ca="1"/>
        <v>0</v>
      </c>
      <c r="N60">
        <f ca="1"/>
        <v>0</v>
      </c>
      <c r="O60">
        <f ca="1"/>
        <v>0</v>
      </c>
      <c r="P60">
        <f ca="1"/>
        <v>0</v>
      </c>
      <c r="Q60">
        <f ca="1"/>
        <v>0</v>
      </c>
      <c r="R60">
        <f ca="1"/>
        <v>0</v>
      </c>
      <c r="S60">
        <f ca="1"/>
        <v>0</v>
      </c>
      <c r="T60">
        <f ca="1"/>
        <v>0</v>
      </c>
      <c r="U60">
        <f ca="1"/>
        <v>0</v>
      </c>
      <c r="V60">
        <f ca="1"/>
        <v>0</v>
      </c>
      <c r="W60">
        <f ca="1"/>
        <v>0</v>
      </c>
      <c r="X60">
        <f ca="1"/>
        <v>0</v>
      </c>
      <c r="Y60">
        <f ca="1"/>
        <v>0</v>
      </c>
      <c r="Z60">
        <f ca="1"/>
        <v>0</v>
      </c>
      <c r="AA60">
        <f ca="1"/>
        <v>0</v>
      </c>
      <c r="AB60">
        <f ca="1"/>
        <v>0</v>
      </c>
      <c r="AC60">
        <f t="shared" ca="1" si="2"/>
        <v>0</v>
      </c>
      <c r="AD60" s="582">
        <f t="shared" ca="1" si="3"/>
        <v>0</v>
      </c>
      <c r="AE60" s="582">
        <f t="shared" ca="1" si="4"/>
        <v>0</v>
      </c>
      <c r="AF60" s="582">
        <f t="shared" ca="1" si="5"/>
        <v>0</v>
      </c>
      <c r="AG60" s="582">
        <f t="shared" ca="1" si="6"/>
        <v>0</v>
      </c>
      <c r="AH60" s="582">
        <f t="shared" ca="1" si="7"/>
        <v>0</v>
      </c>
      <c r="AI60" s="582">
        <f t="shared" ca="1" si="8"/>
        <v>0.67703627749076623</v>
      </c>
      <c r="AJ60" s="582">
        <f t="shared" ca="1" si="9"/>
        <v>0</v>
      </c>
      <c r="AK60" s="582">
        <f t="shared" ca="1" si="10"/>
        <v>0</v>
      </c>
      <c r="AL60" s="582">
        <f t="shared" ca="1" si="11"/>
        <v>0</v>
      </c>
      <c r="AM60" s="582">
        <f t="shared" ca="1" si="12"/>
        <v>0</v>
      </c>
      <c r="AN60" s="582">
        <f t="shared" ca="1" si="13"/>
        <v>0</v>
      </c>
      <c r="AO60" s="582">
        <f t="shared" ca="1" si="14"/>
        <v>0.17301627991566085</v>
      </c>
      <c r="AP60" s="582">
        <f t="shared" ca="1" si="15"/>
        <v>0.14994744259357273</v>
      </c>
      <c r="AQ60" s="582">
        <f t="shared" ca="1" si="16"/>
        <v>0</v>
      </c>
      <c r="AR60" s="582">
        <f t="shared" ca="1" si="17"/>
        <v>0</v>
      </c>
      <c r="AS60" s="582">
        <f t="shared" ca="1" si="18"/>
        <v>0</v>
      </c>
      <c r="AT60" s="582">
        <f t="shared" ca="1" si="19"/>
        <v>0</v>
      </c>
      <c r="AU60" s="582">
        <f t="shared" ca="1" si="20"/>
        <v>0</v>
      </c>
      <c r="AV60" s="582">
        <f t="shared" ca="1" si="21"/>
        <v>0</v>
      </c>
      <c r="AW60" s="582">
        <f t="shared" ca="1" si="22"/>
        <v>0</v>
      </c>
      <c r="AX60" s="582">
        <f t="shared" ca="1" si="23"/>
        <v>0</v>
      </c>
      <c r="AY60" s="582">
        <f t="shared" ca="1" si="24"/>
        <v>0</v>
      </c>
      <c r="AZ60" s="582">
        <f t="shared" ca="1" si="25"/>
        <v>0</v>
      </c>
      <c r="BA60" s="582">
        <f t="shared" ca="1" si="26"/>
        <v>0</v>
      </c>
      <c r="BB60" s="582">
        <f t="shared" ca="1" si="27"/>
        <v>0</v>
      </c>
      <c r="BC60" s="582">
        <f t="shared" ca="1" si="28"/>
        <v>0</v>
      </c>
      <c r="BE60" s="582">
        <f t="shared" ca="1" si="1"/>
        <v>0.99999999999999978</v>
      </c>
    </row>
    <row r="61" spans="1:57" ht="15">
      <c r="A61" s="22">
        <f t="shared" si="29"/>
        <v>2081</v>
      </c>
      <c r="B61" s="586">
        <v>56</v>
      </c>
      <c r="C61" s="583">
        <f ca="1"/>
        <v>0</v>
      </c>
      <c r="D61" s="583">
        <f ca="1"/>
        <v>0</v>
      </c>
      <c r="E61" s="583">
        <f ca="1"/>
        <v>0</v>
      </c>
      <c r="F61" s="583">
        <f ca="1"/>
        <v>0</v>
      </c>
      <c r="G61" s="583">
        <f ca="1"/>
        <v>0</v>
      </c>
      <c r="H61" s="583">
        <f ca="1"/>
        <v>0</v>
      </c>
      <c r="I61" s="583">
        <f ca="1"/>
        <v>0</v>
      </c>
      <c r="J61">
        <f ca="1"/>
        <v>0</v>
      </c>
      <c r="K61">
        <f ca="1"/>
        <v>0</v>
      </c>
      <c r="L61">
        <f ca="1"/>
        <v>0</v>
      </c>
      <c r="M61">
        <f ca="1"/>
        <v>0</v>
      </c>
      <c r="N61">
        <f ca="1"/>
        <v>0</v>
      </c>
      <c r="O61">
        <f ca="1"/>
        <v>0</v>
      </c>
      <c r="P61">
        <f ca="1"/>
        <v>0</v>
      </c>
      <c r="Q61">
        <f ca="1"/>
        <v>0</v>
      </c>
      <c r="R61">
        <f ca="1"/>
        <v>0</v>
      </c>
      <c r="S61">
        <f ca="1"/>
        <v>0</v>
      </c>
      <c r="T61">
        <f ca="1"/>
        <v>0</v>
      </c>
      <c r="U61">
        <f ca="1"/>
        <v>0</v>
      </c>
      <c r="V61">
        <f ca="1"/>
        <v>0</v>
      </c>
      <c r="W61">
        <f ca="1"/>
        <v>0</v>
      </c>
      <c r="X61">
        <f ca="1"/>
        <v>0</v>
      </c>
      <c r="Y61">
        <f ca="1"/>
        <v>0</v>
      </c>
      <c r="Z61">
        <f ca="1"/>
        <v>0</v>
      </c>
      <c r="AA61">
        <f ca="1"/>
        <v>0</v>
      </c>
      <c r="AB61">
        <f ca="1"/>
        <v>0</v>
      </c>
      <c r="AC61">
        <f t="shared" ca="1" si="2"/>
        <v>0</v>
      </c>
      <c r="AD61" s="582">
        <f t="shared" ca="1" si="3"/>
        <v>0</v>
      </c>
      <c r="AE61" s="582">
        <f t="shared" ca="1" si="4"/>
        <v>0</v>
      </c>
      <c r="AF61" s="582">
        <f t="shared" ca="1" si="5"/>
        <v>0</v>
      </c>
      <c r="AG61" s="582">
        <f t="shared" ca="1" si="6"/>
        <v>0</v>
      </c>
      <c r="AH61" s="582">
        <f t="shared" ca="1" si="7"/>
        <v>0</v>
      </c>
      <c r="AI61" s="582">
        <f t="shared" ca="1" si="8"/>
        <v>0.67703627749076623</v>
      </c>
      <c r="AJ61" s="582">
        <f t="shared" ca="1" si="9"/>
        <v>0</v>
      </c>
      <c r="AK61" s="582">
        <f t="shared" ca="1" si="10"/>
        <v>0</v>
      </c>
      <c r="AL61" s="582">
        <f t="shared" ca="1" si="11"/>
        <v>0</v>
      </c>
      <c r="AM61" s="582">
        <f t="shared" ca="1" si="12"/>
        <v>0</v>
      </c>
      <c r="AN61" s="582">
        <f t="shared" ca="1" si="13"/>
        <v>0</v>
      </c>
      <c r="AO61" s="582">
        <f t="shared" ca="1" si="14"/>
        <v>0.17301627991566085</v>
      </c>
      <c r="AP61" s="582">
        <f t="shared" ca="1" si="15"/>
        <v>0.14994744259357273</v>
      </c>
      <c r="AQ61" s="582">
        <f t="shared" ca="1" si="16"/>
        <v>0</v>
      </c>
      <c r="AR61" s="582">
        <f t="shared" ca="1" si="17"/>
        <v>0</v>
      </c>
      <c r="AS61" s="582">
        <f t="shared" ca="1" si="18"/>
        <v>0</v>
      </c>
      <c r="AT61" s="582">
        <f t="shared" ca="1" si="19"/>
        <v>0</v>
      </c>
      <c r="AU61" s="582">
        <f t="shared" ca="1" si="20"/>
        <v>0</v>
      </c>
      <c r="AV61" s="582">
        <f t="shared" ca="1" si="21"/>
        <v>0</v>
      </c>
      <c r="AW61" s="582">
        <f t="shared" ca="1" si="22"/>
        <v>0</v>
      </c>
      <c r="AX61" s="582">
        <f t="shared" ca="1" si="23"/>
        <v>0</v>
      </c>
      <c r="AY61" s="582">
        <f t="shared" ca="1" si="24"/>
        <v>0</v>
      </c>
      <c r="AZ61" s="582">
        <f t="shared" ca="1" si="25"/>
        <v>0</v>
      </c>
      <c r="BA61" s="582">
        <f t="shared" ca="1" si="26"/>
        <v>0</v>
      </c>
      <c r="BB61" s="582">
        <f t="shared" ca="1" si="27"/>
        <v>0</v>
      </c>
      <c r="BC61" s="582">
        <f t="shared" ca="1" si="28"/>
        <v>0</v>
      </c>
      <c r="BE61" s="582">
        <f t="shared" ca="1" si="1"/>
        <v>0.99999999999999978</v>
      </c>
    </row>
    <row r="62" spans="1:57" ht="15">
      <c r="A62" s="22">
        <f t="shared" si="29"/>
        <v>2082</v>
      </c>
      <c r="B62" s="586">
        <v>57</v>
      </c>
      <c r="C62" s="583">
        <f ca="1"/>
        <v>0</v>
      </c>
      <c r="D62" s="583">
        <f ca="1"/>
        <v>0</v>
      </c>
      <c r="E62" s="583">
        <f ca="1"/>
        <v>0</v>
      </c>
      <c r="F62" s="583">
        <f ca="1"/>
        <v>0</v>
      </c>
      <c r="G62" s="583">
        <f ca="1"/>
        <v>0</v>
      </c>
      <c r="H62" s="583">
        <f ca="1"/>
        <v>0</v>
      </c>
      <c r="I62" s="583">
        <f ca="1"/>
        <v>0</v>
      </c>
      <c r="J62">
        <f ca="1"/>
        <v>0</v>
      </c>
      <c r="K62">
        <f ca="1"/>
        <v>0</v>
      </c>
      <c r="L62">
        <f ca="1"/>
        <v>0</v>
      </c>
      <c r="M62">
        <f ca="1"/>
        <v>0</v>
      </c>
      <c r="N62">
        <f ca="1"/>
        <v>0</v>
      </c>
      <c r="O62">
        <f ca="1"/>
        <v>0</v>
      </c>
      <c r="P62">
        <f ca="1"/>
        <v>0</v>
      </c>
      <c r="Q62">
        <f ca="1"/>
        <v>0</v>
      </c>
      <c r="R62">
        <f ca="1"/>
        <v>0</v>
      </c>
      <c r="S62">
        <f ca="1"/>
        <v>0</v>
      </c>
      <c r="T62">
        <f ca="1"/>
        <v>0</v>
      </c>
      <c r="U62">
        <f ca="1"/>
        <v>0</v>
      </c>
      <c r="V62">
        <f ca="1"/>
        <v>0</v>
      </c>
      <c r="W62">
        <f ca="1"/>
        <v>0</v>
      </c>
      <c r="X62">
        <f ca="1"/>
        <v>0</v>
      </c>
      <c r="Y62">
        <f ca="1"/>
        <v>0</v>
      </c>
      <c r="Z62">
        <f ca="1"/>
        <v>0</v>
      </c>
      <c r="AA62">
        <f ca="1"/>
        <v>0</v>
      </c>
      <c r="AB62">
        <f ca="1"/>
        <v>0</v>
      </c>
      <c r="AC62">
        <f t="shared" ca="1" si="2"/>
        <v>0</v>
      </c>
      <c r="AD62" s="582">
        <f t="shared" ca="1" si="3"/>
        <v>0</v>
      </c>
      <c r="AE62" s="582">
        <f t="shared" ca="1" si="4"/>
        <v>0</v>
      </c>
      <c r="AF62" s="582">
        <f t="shared" ca="1" si="5"/>
        <v>0</v>
      </c>
      <c r="AG62" s="582">
        <f t="shared" ca="1" si="6"/>
        <v>0</v>
      </c>
      <c r="AH62" s="582">
        <f t="shared" ca="1" si="7"/>
        <v>0</v>
      </c>
      <c r="AI62" s="582">
        <f t="shared" ca="1" si="8"/>
        <v>0.67703627749076623</v>
      </c>
      <c r="AJ62" s="582">
        <f t="shared" ca="1" si="9"/>
        <v>0</v>
      </c>
      <c r="AK62" s="582">
        <f t="shared" ca="1" si="10"/>
        <v>0</v>
      </c>
      <c r="AL62" s="582">
        <f t="shared" ca="1" si="11"/>
        <v>0</v>
      </c>
      <c r="AM62" s="582">
        <f t="shared" ca="1" si="12"/>
        <v>0</v>
      </c>
      <c r="AN62" s="582">
        <f t="shared" ca="1" si="13"/>
        <v>0</v>
      </c>
      <c r="AO62" s="582">
        <f t="shared" ca="1" si="14"/>
        <v>0.17301627991566085</v>
      </c>
      <c r="AP62" s="582">
        <f t="shared" ca="1" si="15"/>
        <v>0.14994744259357273</v>
      </c>
      <c r="AQ62" s="582">
        <f t="shared" ca="1" si="16"/>
        <v>0</v>
      </c>
      <c r="AR62" s="582">
        <f t="shared" ca="1" si="17"/>
        <v>0</v>
      </c>
      <c r="AS62" s="582">
        <f t="shared" ca="1" si="18"/>
        <v>0</v>
      </c>
      <c r="AT62" s="582">
        <f t="shared" ca="1" si="19"/>
        <v>0</v>
      </c>
      <c r="AU62" s="582">
        <f t="shared" ca="1" si="20"/>
        <v>0</v>
      </c>
      <c r="AV62" s="582">
        <f t="shared" ca="1" si="21"/>
        <v>0</v>
      </c>
      <c r="AW62" s="582">
        <f t="shared" ca="1" si="22"/>
        <v>0</v>
      </c>
      <c r="AX62" s="582">
        <f t="shared" ca="1" si="23"/>
        <v>0</v>
      </c>
      <c r="AY62" s="582">
        <f t="shared" ca="1" si="24"/>
        <v>0</v>
      </c>
      <c r="AZ62" s="582">
        <f t="shared" ca="1" si="25"/>
        <v>0</v>
      </c>
      <c r="BA62" s="582">
        <f t="shared" ca="1" si="26"/>
        <v>0</v>
      </c>
      <c r="BB62" s="582">
        <f t="shared" ca="1" si="27"/>
        <v>0</v>
      </c>
      <c r="BC62" s="582">
        <f t="shared" ca="1" si="28"/>
        <v>0</v>
      </c>
      <c r="BE62" s="582">
        <f t="shared" ca="1" si="1"/>
        <v>0.99999999999999978</v>
      </c>
    </row>
    <row r="63" spans="1:57" ht="15">
      <c r="A63" s="22">
        <f t="shared" si="29"/>
        <v>2083</v>
      </c>
      <c r="B63" s="586">
        <v>58</v>
      </c>
      <c r="C63" s="583">
        <f ca="1"/>
        <v>0</v>
      </c>
      <c r="D63" s="583">
        <f ca="1"/>
        <v>0</v>
      </c>
      <c r="E63" s="583">
        <f ca="1"/>
        <v>0</v>
      </c>
      <c r="F63" s="583">
        <f ca="1"/>
        <v>0</v>
      </c>
      <c r="G63" s="583">
        <f ca="1"/>
        <v>0</v>
      </c>
      <c r="H63" s="583">
        <f ca="1"/>
        <v>0</v>
      </c>
      <c r="I63" s="583">
        <f ca="1"/>
        <v>0</v>
      </c>
      <c r="J63">
        <f ca="1"/>
        <v>0</v>
      </c>
      <c r="K63">
        <f ca="1"/>
        <v>0</v>
      </c>
      <c r="L63">
        <f ca="1"/>
        <v>0</v>
      </c>
      <c r="M63">
        <f ca="1"/>
        <v>0</v>
      </c>
      <c r="N63">
        <f ca="1"/>
        <v>0</v>
      </c>
      <c r="O63">
        <f ca="1"/>
        <v>0</v>
      </c>
      <c r="P63">
        <f ca="1"/>
        <v>0</v>
      </c>
      <c r="Q63">
        <f ca="1"/>
        <v>0</v>
      </c>
      <c r="R63">
        <f ca="1"/>
        <v>0</v>
      </c>
      <c r="S63">
        <f ca="1"/>
        <v>0</v>
      </c>
      <c r="T63">
        <f ca="1"/>
        <v>0</v>
      </c>
      <c r="U63">
        <f ca="1"/>
        <v>0</v>
      </c>
      <c r="V63">
        <f ca="1"/>
        <v>0</v>
      </c>
      <c r="W63">
        <f ca="1"/>
        <v>0</v>
      </c>
      <c r="X63">
        <f ca="1"/>
        <v>0</v>
      </c>
      <c r="Y63">
        <f ca="1"/>
        <v>0</v>
      </c>
      <c r="Z63">
        <f ca="1"/>
        <v>0</v>
      </c>
      <c r="AA63">
        <f ca="1"/>
        <v>0</v>
      </c>
      <c r="AB63">
        <f ca="1"/>
        <v>0</v>
      </c>
      <c r="AC63">
        <f t="shared" ca="1" si="2"/>
        <v>0</v>
      </c>
      <c r="AD63" s="582">
        <f t="shared" ca="1" si="3"/>
        <v>0</v>
      </c>
      <c r="AE63" s="582">
        <f t="shared" ca="1" si="4"/>
        <v>0</v>
      </c>
      <c r="AF63" s="582">
        <f t="shared" ca="1" si="5"/>
        <v>0</v>
      </c>
      <c r="AG63" s="582">
        <f t="shared" ca="1" si="6"/>
        <v>0</v>
      </c>
      <c r="AH63" s="582">
        <f t="shared" ca="1" si="7"/>
        <v>0</v>
      </c>
      <c r="AI63" s="582">
        <f t="shared" ca="1" si="8"/>
        <v>0.67703627749076623</v>
      </c>
      <c r="AJ63" s="582">
        <f t="shared" ca="1" si="9"/>
        <v>0</v>
      </c>
      <c r="AK63" s="582">
        <f t="shared" ca="1" si="10"/>
        <v>0</v>
      </c>
      <c r="AL63" s="582">
        <f t="shared" ca="1" si="11"/>
        <v>0</v>
      </c>
      <c r="AM63" s="582">
        <f t="shared" ca="1" si="12"/>
        <v>0</v>
      </c>
      <c r="AN63" s="582">
        <f t="shared" ca="1" si="13"/>
        <v>0</v>
      </c>
      <c r="AO63" s="582">
        <f t="shared" ca="1" si="14"/>
        <v>0.17301627991566085</v>
      </c>
      <c r="AP63" s="582">
        <f t="shared" ca="1" si="15"/>
        <v>0.14994744259357273</v>
      </c>
      <c r="AQ63" s="582">
        <f t="shared" ca="1" si="16"/>
        <v>0</v>
      </c>
      <c r="AR63" s="582">
        <f t="shared" ca="1" si="17"/>
        <v>0</v>
      </c>
      <c r="AS63" s="582">
        <f t="shared" ca="1" si="18"/>
        <v>0</v>
      </c>
      <c r="AT63" s="582">
        <f t="shared" ca="1" si="19"/>
        <v>0</v>
      </c>
      <c r="AU63" s="582">
        <f t="shared" ca="1" si="20"/>
        <v>0</v>
      </c>
      <c r="AV63" s="582">
        <f t="shared" ca="1" si="21"/>
        <v>0</v>
      </c>
      <c r="AW63" s="582">
        <f t="shared" ca="1" si="22"/>
        <v>0</v>
      </c>
      <c r="AX63" s="582">
        <f t="shared" ca="1" si="23"/>
        <v>0</v>
      </c>
      <c r="AY63" s="582">
        <f t="shared" ca="1" si="24"/>
        <v>0</v>
      </c>
      <c r="AZ63" s="582">
        <f t="shared" ca="1" si="25"/>
        <v>0</v>
      </c>
      <c r="BA63" s="582">
        <f t="shared" ca="1" si="26"/>
        <v>0</v>
      </c>
      <c r="BB63" s="582">
        <f t="shared" ca="1" si="27"/>
        <v>0</v>
      </c>
      <c r="BC63" s="582">
        <f t="shared" ca="1" si="28"/>
        <v>0</v>
      </c>
      <c r="BE63" s="582">
        <f t="shared" ca="1" si="1"/>
        <v>0.99999999999999978</v>
      </c>
    </row>
    <row r="64" spans="1:57" ht="15">
      <c r="A64" s="22">
        <f t="shared" si="29"/>
        <v>2084</v>
      </c>
      <c r="B64" s="586">
        <v>59</v>
      </c>
      <c r="C64" s="583">
        <f ca="1"/>
        <v>0</v>
      </c>
      <c r="D64" s="583">
        <f ca="1"/>
        <v>0</v>
      </c>
      <c r="E64" s="583">
        <f ca="1"/>
        <v>0</v>
      </c>
      <c r="F64" s="583">
        <f ca="1"/>
        <v>0</v>
      </c>
      <c r="G64" s="583">
        <f ca="1"/>
        <v>0</v>
      </c>
      <c r="H64" s="583">
        <f ca="1"/>
        <v>0</v>
      </c>
      <c r="I64" s="583">
        <f ca="1"/>
        <v>0</v>
      </c>
      <c r="J64">
        <f ca="1"/>
        <v>0</v>
      </c>
      <c r="K64">
        <f ca="1"/>
        <v>0</v>
      </c>
      <c r="L64">
        <f ca="1"/>
        <v>0</v>
      </c>
      <c r="M64">
        <f ca="1"/>
        <v>0</v>
      </c>
      <c r="N64">
        <f ca="1"/>
        <v>0</v>
      </c>
      <c r="O64">
        <f ca="1"/>
        <v>0</v>
      </c>
      <c r="P64">
        <f ca="1"/>
        <v>0</v>
      </c>
      <c r="Q64">
        <f ca="1"/>
        <v>0</v>
      </c>
      <c r="R64">
        <f ca="1"/>
        <v>0</v>
      </c>
      <c r="S64">
        <f ca="1"/>
        <v>0</v>
      </c>
      <c r="T64">
        <f ca="1"/>
        <v>0</v>
      </c>
      <c r="U64">
        <f ca="1"/>
        <v>0</v>
      </c>
      <c r="V64">
        <f ca="1"/>
        <v>0</v>
      </c>
      <c r="W64">
        <f ca="1"/>
        <v>0</v>
      </c>
      <c r="X64">
        <f ca="1"/>
        <v>0</v>
      </c>
      <c r="Y64">
        <f ca="1"/>
        <v>0</v>
      </c>
      <c r="Z64">
        <f ca="1"/>
        <v>0</v>
      </c>
      <c r="AA64">
        <f ca="1"/>
        <v>0</v>
      </c>
      <c r="AB64">
        <f ca="1"/>
        <v>0</v>
      </c>
      <c r="AC64">
        <f t="shared" ca="1" si="2"/>
        <v>0</v>
      </c>
      <c r="AD64" s="582">
        <f t="shared" ca="1" si="3"/>
        <v>0</v>
      </c>
      <c r="AE64" s="582">
        <f t="shared" ca="1" si="4"/>
        <v>0</v>
      </c>
      <c r="AF64" s="582">
        <f t="shared" ca="1" si="5"/>
        <v>0</v>
      </c>
      <c r="AG64" s="582">
        <f t="shared" ca="1" si="6"/>
        <v>0</v>
      </c>
      <c r="AH64" s="582">
        <f t="shared" ca="1" si="7"/>
        <v>0</v>
      </c>
      <c r="AI64" s="582">
        <f t="shared" ca="1" si="8"/>
        <v>0.67703627749076623</v>
      </c>
      <c r="AJ64" s="582">
        <f t="shared" ca="1" si="9"/>
        <v>0</v>
      </c>
      <c r="AK64" s="582">
        <f t="shared" ca="1" si="10"/>
        <v>0</v>
      </c>
      <c r="AL64" s="582">
        <f t="shared" ca="1" si="11"/>
        <v>0</v>
      </c>
      <c r="AM64" s="582">
        <f t="shared" ca="1" si="12"/>
        <v>0</v>
      </c>
      <c r="AN64" s="582">
        <f t="shared" ca="1" si="13"/>
        <v>0</v>
      </c>
      <c r="AO64" s="582">
        <f t="shared" ca="1" si="14"/>
        <v>0.17301627991566085</v>
      </c>
      <c r="AP64" s="582">
        <f t="shared" ca="1" si="15"/>
        <v>0.14994744259357273</v>
      </c>
      <c r="AQ64" s="582">
        <f t="shared" ca="1" si="16"/>
        <v>0</v>
      </c>
      <c r="AR64" s="582">
        <f t="shared" ca="1" si="17"/>
        <v>0</v>
      </c>
      <c r="AS64" s="582">
        <f t="shared" ca="1" si="18"/>
        <v>0</v>
      </c>
      <c r="AT64" s="582">
        <f t="shared" ca="1" si="19"/>
        <v>0</v>
      </c>
      <c r="AU64" s="582">
        <f t="shared" ca="1" si="20"/>
        <v>0</v>
      </c>
      <c r="AV64" s="582">
        <f t="shared" ca="1" si="21"/>
        <v>0</v>
      </c>
      <c r="AW64" s="582">
        <f t="shared" ca="1" si="22"/>
        <v>0</v>
      </c>
      <c r="AX64" s="582">
        <f t="shared" ca="1" si="23"/>
        <v>0</v>
      </c>
      <c r="AY64" s="582">
        <f t="shared" ca="1" si="24"/>
        <v>0</v>
      </c>
      <c r="AZ64" s="582">
        <f t="shared" ca="1" si="25"/>
        <v>0</v>
      </c>
      <c r="BA64" s="582">
        <f t="shared" ca="1" si="26"/>
        <v>0</v>
      </c>
      <c r="BB64" s="582">
        <f t="shared" ca="1" si="27"/>
        <v>0</v>
      </c>
      <c r="BC64" s="582">
        <f t="shared" ca="1" si="28"/>
        <v>0</v>
      </c>
      <c r="BE64" s="582">
        <f t="shared" ca="1" si="1"/>
        <v>0.99999999999999978</v>
      </c>
    </row>
    <row r="65" spans="1:57" ht="15">
      <c r="A65" s="22">
        <f t="shared" si="29"/>
        <v>2085</v>
      </c>
      <c r="B65" s="586">
        <v>60</v>
      </c>
      <c r="C65" s="583">
        <f ca="1"/>
        <v>0</v>
      </c>
      <c r="D65" s="583">
        <f ca="1"/>
        <v>0</v>
      </c>
      <c r="E65" s="583">
        <f ca="1"/>
        <v>0</v>
      </c>
      <c r="F65" s="583">
        <f ca="1"/>
        <v>0</v>
      </c>
      <c r="G65" s="583">
        <f ca="1"/>
        <v>0</v>
      </c>
      <c r="H65" s="583">
        <f ca="1"/>
        <v>0</v>
      </c>
      <c r="I65" s="583">
        <f ca="1"/>
        <v>0</v>
      </c>
      <c r="J65">
        <f ca="1"/>
        <v>0</v>
      </c>
      <c r="K65">
        <f ca="1"/>
        <v>0</v>
      </c>
      <c r="L65">
        <f ca="1"/>
        <v>0</v>
      </c>
      <c r="M65">
        <f ca="1"/>
        <v>0</v>
      </c>
      <c r="N65">
        <f ca="1"/>
        <v>0</v>
      </c>
      <c r="O65">
        <f ca="1"/>
        <v>0</v>
      </c>
      <c r="P65">
        <f ca="1"/>
        <v>0</v>
      </c>
      <c r="Q65">
        <f ca="1"/>
        <v>0</v>
      </c>
      <c r="R65">
        <f ca="1"/>
        <v>0</v>
      </c>
      <c r="S65">
        <f ca="1"/>
        <v>0</v>
      </c>
      <c r="T65">
        <f ca="1"/>
        <v>0</v>
      </c>
      <c r="U65">
        <f ca="1"/>
        <v>0</v>
      </c>
      <c r="V65">
        <f ca="1"/>
        <v>0</v>
      </c>
      <c r="W65">
        <f ca="1"/>
        <v>0</v>
      </c>
      <c r="X65">
        <f ca="1"/>
        <v>0</v>
      </c>
      <c r="Y65">
        <f ca="1"/>
        <v>0</v>
      </c>
      <c r="Z65">
        <f ca="1"/>
        <v>0</v>
      </c>
      <c r="AA65">
        <f ca="1"/>
        <v>0</v>
      </c>
      <c r="AB65">
        <f ca="1"/>
        <v>0</v>
      </c>
      <c r="AC65">
        <f t="shared" ca="1" si="2"/>
        <v>0</v>
      </c>
      <c r="AD65" s="582">
        <f t="shared" ca="1" si="3"/>
        <v>0</v>
      </c>
      <c r="AE65" s="582">
        <f t="shared" ca="1" si="4"/>
        <v>0</v>
      </c>
      <c r="AF65" s="582">
        <f t="shared" ca="1" si="5"/>
        <v>0</v>
      </c>
      <c r="AG65" s="582">
        <f t="shared" ca="1" si="6"/>
        <v>0</v>
      </c>
      <c r="AH65" s="582">
        <f t="shared" ca="1" si="7"/>
        <v>0</v>
      </c>
      <c r="AI65" s="582">
        <f t="shared" ca="1" si="8"/>
        <v>0.67703627749076623</v>
      </c>
      <c r="AJ65" s="582">
        <f t="shared" ca="1" si="9"/>
        <v>0</v>
      </c>
      <c r="AK65" s="582">
        <f t="shared" ca="1" si="10"/>
        <v>0</v>
      </c>
      <c r="AL65" s="582">
        <f t="shared" ca="1" si="11"/>
        <v>0</v>
      </c>
      <c r="AM65" s="582">
        <f t="shared" ca="1" si="12"/>
        <v>0</v>
      </c>
      <c r="AN65" s="582">
        <f t="shared" ca="1" si="13"/>
        <v>0</v>
      </c>
      <c r="AO65" s="582">
        <f t="shared" ca="1" si="14"/>
        <v>0.17301627991566085</v>
      </c>
      <c r="AP65" s="582">
        <f t="shared" ca="1" si="15"/>
        <v>0.14994744259357273</v>
      </c>
      <c r="AQ65" s="582">
        <f t="shared" ca="1" si="16"/>
        <v>0</v>
      </c>
      <c r="AR65" s="582">
        <f t="shared" ca="1" si="17"/>
        <v>0</v>
      </c>
      <c r="AS65" s="582">
        <f t="shared" ca="1" si="18"/>
        <v>0</v>
      </c>
      <c r="AT65" s="582">
        <f t="shared" ca="1" si="19"/>
        <v>0</v>
      </c>
      <c r="AU65" s="582">
        <f t="shared" ca="1" si="20"/>
        <v>0</v>
      </c>
      <c r="AV65" s="582">
        <f t="shared" ca="1" si="21"/>
        <v>0</v>
      </c>
      <c r="AW65" s="582">
        <f t="shared" ca="1" si="22"/>
        <v>0</v>
      </c>
      <c r="AX65" s="582">
        <f t="shared" ca="1" si="23"/>
        <v>0</v>
      </c>
      <c r="AY65" s="582">
        <f t="shared" ca="1" si="24"/>
        <v>0</v>
      </c>
      <c r="AZ65" s="582">
        <f t="shared" ca="1" si="25"/>
        <v>0</v>
      </c>
      <c r="BA65" s="582">
        <f t="shared" ca="1" si="26"/>
        <v>0</v>
      </c>
      <c r="BB65" s="582">
        <f t="shared" ca="1" si="27"/>
        <v>0</v>
      </c>
      <c r="BC65" s="582">
        <f t="shared" ca="1" si="28"/>
        <v>0</v>
      </c>
      <c r="BE65" s="582">
        <f t="shared" ca="1" si="1"/>
        <v>0.99999999999999978</v>
      </c>
    </row>
    <row r="66" spans="1:57" ht="15">
      <c r="A66" s="22">
        <f t="shared" si="29"/>
        <v>2086</v>
      </c>
      <c r="B66" s="586">
        <v>61</v>
      </c>
      <c r="C66" s="583">
        <f ca="1"/>
        <v>0</v>
      </c>
      <c r="D66" s="583">
        <f ca="1"/>
        <v>0</v>
      </c>
      <c r="E66" s="583">
        <f ca="1"/>
        <v>0</v>
      </c>
      <c r="F66" s="583">
        <f ca="1"/>
        <v>0</v>
      </c>
      <c r="G66" s="583">
        <f ca="1"/>
        <v>0</v>
      </c>
      <c r="H66" s="583">
        <f ca="1"/>
        <v>0</v>
      </c>
      <c r="I66" s="583">
        <f ca="1"/>
        <v>0</v>
      </c>
      <c r="J66">
        <f ca="1"/>
        <v>0</v>
      </c>
      <c r="K66">
        <f ca="1"/>
        <v>0</v>
      </c>
      <c r="L66">
        <f ca="1"/>
        <v>0</v>
      </c>
      <c r="M66">
        <f ca="1"/>
        <v>0</v>
      </c>
      <c r="N66">
        <f ca="1"/>
        <v>0</v>
      </c>
      <c r="O66">
        <f ca="1"/>
        <v>0</v>
      </c>
      <c r="P66">
        <f ca="1"/>
        <v>0</v>
      </c>
      <c r="Q66">
        <f ca="1"/>
        <v>0</v>
      </c>
      <c r="R66">
        <f ca="1"/>
        <v>0</v>
      </c>
      <c r="S66">
        <f ca="1"/>
        <v>0</v>
      </c>
      <c r="T66">
        <f ca="1"/>
        <v>0</v>
      </c>
      <c r="U66">
        <f ca="1"/>
        <v>0</v>
      </c>
      <c r="V66">
        <f ca="1"/>
        <v>0</v>
      </c>
      <c r="W66">
        <f ca="1"/>
        <v>0</v>
      </c>
      <c r="X66">
        <f ca="1"/>
        <v>0</v>
      </c>
      <c r="Y66">
        <f ca="1"/>
        <v>0</v>
      </c>
      <c r="Z66">
        <f ca="1"/>
        <v>0</v>
      </c>
      <c r="AA66">
        <f ca="1"/>
        <v>0</v>
      </c>
      <c r="AB66">
        <f ca="1"/>
        <v>0</v>
      </c>
      <c r="AC66">
        <f t="shared" ca="1" si="2"/>
        <v>0</v>
      </c>
      <c r="AD66" s="582">
        <f t="shared" ca="1" si="3"/>
        <v>0</v>
      </c>
      <c r="AE66" s="582">
        <f t="shared" ca="1" si="4"/>
        <v>0</v>
      </c>
      <c r="AF66" s="582">
        <f t="shared" ca="1" si="5"/>
        <v>0</v>
      </c>
      <c r="AG66" s="582">
        <f t="shared" ca="1" si="6"/>
        <v>0</v>
      </c>
      <c r="AH66" s="582">
        <f t="shared" ca="1" si="7"/>
        <v>0</v>
      </c>
      <c r="AI66" s="582">
        <f t="shared" ca="1" si="8"/>
        <v>0.67703627749076623</v>
      </c>
      <c r="AJ66" s="582">
        <f t="shared" ca="1" si="9"/>
        <v>0</v>
      </c>
      <c r="AK66" s="582">
        <f t="shared" ca="1" si="10"/>
        <v>0</v>
      </c>
      <c r="AL66" s="582">
        <f t="shared" ca="1" si="11"/>
        <v>0</v>
      </c>
      <c r="AM66" s="582">
        <f t="shared" ca="1" si="12"/>
        <v>0</v>
      </c>
      <c r="AN66" s="582">
        <f t="shared" ca="1" si="13"/>
        <v>0</v>
      </c>
      <c r="AO66" s="582">
        <f t="shared" ca="1" si="14"/>
        <v>0.17301627991566085</v>
      </c>
      <c r="AP66" s="582">
        <f t="shared" ca="1" si="15"/>
        <v>0.14994744259357273</v>
      </c>
      <c r="AQ66" s="582">
        <f t="shared" ca="1" si="16"/>
        <v>0</v>
      </c>
      <c r="AR66" s="582">
        <f t="shared" ca="1" si="17"/>
        <v>0</v>
      </c>
      <c r="AS66" s="582">
        <f t="shared" ca="1" si="18"/>
        <v>0</v>
      </c>
      <c r="AT66" s="582">
        <f t="shared" ca="1" si="19"/>
        <v>0</v>
      </c>
      <c r="AU66" s="582">
        <f t="shared" ca="1" si="20"/>
        <v>0</v>
      </c>
      <c r="AV66" s="582">
        <f t="shared" ca="1" si="21"/>
        <v>0</v>
      </c>
      <c r="AW66" s="582">
        <f t="shared" ca="1" si="22"/>
        <v>0</v>
      </c>
      <c r="AX66" s="582">
        <f t="shared" ca="1" si="23"/>
        <v>0</v>
      </c>
      <c r="AY66" s="582">
        <f t="shared" ca="1" si="24"/>
        <v>0</v>
      </c>
      <c r="AZ66" s="582">
        <f t="shared" ca="1" si="25"/>
        <v>0</v>
      </c>
      <c r="BA66" s="582">
        <f t="shared" ca="1" si="26"/>
        <v>0</v>
      </c>
      <c r="BB66" s="582">
        <f t="shared" ca="1" si="27"/>
        <v>0</v>
      </c>
      <c r="BC66" s="582">
        <f t="shared" ca="1" si="28"/>
        <v>0</v>
      </c>
      <c r="BE66" s="582">
        <f t="shared" ca="1" si="1"/>
        <v>0.99999999999999978</v>
      </c>
    </row>
    <row r="67" spans="1:57" ht="15">
      <c r="A67" s="22">
        <f t="shared" si="29"/>
        <v>2087</v>
      </c>
      <c r="B67" s="586">
        <v>62</v>
      </c>
      <c r="C67" s="583">
        <f ca="1"/>
        <v>0</v>
      </c>
      <c r="D67" s="583">
        <f ca="1"/>
        <v>0</v>
      </c>
      <c r="E67" s="583">
        <f ca="1"/>
        <v>0</v>
      </c>
      <c r="F67" s="583">
        <f ca="1"/>
        <v>0</v>
      </c>
      <c r="G67" s="583">
        <f ca="1"/>
        <v>0</v>
      </c>
      <c r="H67" s="583">
        <f ca="1"/>
        <v>0</v>
      </c>
      <c r="I67" s="583">
        <f ca="1"/>
        <v>0</v>
      </c>
      <c r="J67">
        <f ca="1"/>
        <v>0</v>
      </c>
      <c r="K67">
        <f ca="1"/>
        <v>0</v>
      </c>
      <c r="L67">
        <f ca="1"/>
        <v>0</v>
      </c>
      <c r="M67">
        <f ca="1"/>
        <v>0</v>
      </c>
      <c r="N67">
        <f ca="1"/>
        <v>0</v>
      </c>
      <c r="O67">
        <f ca="1"/>
        <v>0</v>
      </c>
      <c r="P67">
        <f ca="1"/>
        <v>0</v>
      </c>
      <c r="Q67">
        <f ca="1"/>
        <v>0</v>
      </c>
      <c r="R67">
        <f ca="1"/>
        <v>0</v>
      </c>
      <c r="S67">
        <f ca="1"/>
        <v>0</v>
      </c>
      <c r="T67">
        <f ca="1"/>
        <v>0</v>
      </c>
      <c r="U67">
        <f ca="1"/>
        <v>0</v>
      </c>
      <c r="V67">
        <f ca="1"/>
        <v>0</v>
      </c>
      <c r="W67">
        <f ca="1"/>
        <v>0</v>
      </c>
      <c r="X67">
        <f ca="1"/>
        <v>0</v>
      </c>
      <c r="Y67">
        <f ca="1"/>
        <v>0</v>
      </c>
      <c r="Z67">
        <f ca="1"/>
        <v>0</v>
      </c>
      <c r="AA67">
        <f ca="1"/>
        <v>0</v>
      </c>
      <c r="AB67">
        <f ca="1"/>
        <v>0</v>
      </c>
      <c r="AC67">
        <f t="shared" ca="1" si="2"/>
        <v>0</v>
      </c>
      <c r="AD67" s="582">
        <f t="shared" ca="1" si="3"/>
        <v>0</v>
      </c>
      <c r="AE67" s="582">
        <f t="shared" ca="1" si="4"/>
        <v>0</v>
      </c>
      <c r="AF67" s="582">
        <f t="shared" ca="1" si="5"/>
        <v>0</v>
      </c>
      <c r="AG67" s="582">
        <f t="shared" ca="1" si="6"/>
        <v>0</v>
      </c>
      <c r="AH67" s="582">
        <f t="shared" ca="1" si="7"/>
        <v>0</v>
      </c>
      <c r="AI67" s="582">
        <f t="shared" ca="1" si="8"/>
        <v>0.67703627749076623</v>
      </c>
      <c r="AJ67" s="582">
        <f t="shared" ca="1" si="9"/>
        <v>0</v>
      </c>
      <c r="AK67" s="582">
        <f t="shared" ca="1" si="10"/>
        <v>0</v>
      </c>
      <c r="AL67" s="582">
        <f t="shared" ca="1" si="11"/>
        <v>0</v>
      </c>
      <c r="AM67" s="582">
        <f t="shared" ca="1" si="12"/>
        <v>0</v>
      </c>
      <c r="AN67" s="582">
        <f t="shared" ca="1" si="13"/>
        <v>0</v>
      </c>
      <c r="AO67" s="582">
        <f t="shared" ca="1" si="14"/>
        <v>0.17301627991566085</v>
      </c>
      <c r="AP67" s="582">
        <f t="shared" ca="1" si="15"/>
        <v>0.14994744259357273</v>
      </c>
      <c r="AQ67" s="582">
        <f t="shared" ca="1" si="16"/>
        <v>0</v>
      </c>
      <c r="AR67" s="582">
        <f t="shared" ca="1" si="17"/>
        <v>0</v>
      </c>
      <c r="AS67" s="582">
        <f t="shared" ca="1" si="18"/>
        <v>0</v>
      </c>
      <c r="AT67" s="582">
        <f t="shared" ca="1" si="19"/>
        <v>0</v>
      </c>
      <c r="AU67" s="582">
        <f t="shared" ca="1" si="20"/>
        <v>0</v>
      </c>
      <c r="AV67" s="582">
        <f t="shared" ca="1" si="21"/>
        <v>0</v>
      </c>
      <c r="AW67" s="582">
        <f t="shared" ca="1" si="22"/>
        <v>0</v>
      </c>
      <c r="AX67" s="582">
        <f t="shared" ca="1" si="23"/>
        <v>0</v>
      </c>
      <c r="AY67" s="582">
        <f t="shared" ca="1" si="24"/>
        <v>0</v>
      </c>
      <c r="AZ67" s="582">
        <f t="shared" ca="1" si="25"/>
        <v>0</v>
      </c>
      <c r="BA67" s="582">
        <f t="shared" ca="1" si="26"/>
        <v>0</v>
      </c>
      <c r="BB67" s="582">
        <f t="shared" ca="1" si="27"/>
        <v>0</v>
      </c>
      <c r="BC67" s="582">
        <f t="shared" ca="1" si="28"/>
        <v>0</v>
      </c>
      <c r="BE67" s="582">
        <f t="shared" ca="1" si="1"/>
        <v>0.99999999999999978</v>
      </c>
    </row>
    <row r="68" spans="1:57" ht="15">
      <c r="A68" s="22">
        <f t="shared" si="29"/>
        <v>2088</v>
      </c>
      <c r="B68" s="586">
        <v>63</v>
      </c>
      <c r="C68" s="583">
        <f ca="1"/>
        <v>0</v>
      </c>
      <c r="D68" s="583">
        <f ca="1"/>
        <v>0</v>
      </c>
      <c r="E68" s="583">
        <f ca="1"/>
        <v>0</v>
      </c>
      <c r="F68" s="583">
        <f ca="1"/>
        <v>0</v>
      </c>
      <c r="G68" s="583">
        <f ca="1"/>
        <v>0</v>
      </c>
      <c r="H68" s="583">
        <f ca="1"/>
        <v>0</v>
      </c>
      <c r="I68" s="583">
        <f ca="1"/>
        <v>0</v>
      </c>
      <c r="J68">
        <f ca="1"/>
        <v>0</v>
      </c>
      <c r="K68">
        <f ca="1"/>
        <v>0</v>
      </c>
      <c r="L68">
        <f ca="1"/>
        <v>0</v>
      </c>
      <c r="M68">
        <f ca="1"/>
        <v>0</v>
      </c>
      <c r="N68">
        <f ca="1"/>
        <v>0</v>
      </c>
      <c r="O68">
        <f ca="1"/>
        <v>0</v>
      </c>
      <c r="P68">
        <f ca="1"/>
        <v>0</v>
      </c>
      <c r="Q68">
        <f ca="1"/>
        <v>0</v>
      </c>
      <c r="R68">
        <f ca="1"/>
        <v>0</v>
      </c>
      <c r="S68">
        <f ca="1"/>
        <v>0</v>
      </c>
      <c r="T68">
        <f ca="1"/>
        <v>0</v>
      </c>
      <c r="U68">
        <f ca="1"/>
        <v>0</v>
      </c>
      <c r="V68">
        <f ca="1"/>
        <v>0</v>
      </c>
      <c r="W68">
        <f ca="1"/>
        <v>0</v>
      </c>
      <c r="X68">
        <f ca="1"/>
        <v>0</v>
      </c>
      <c r="Y68">
        <f ca="1"/>
        <v>0</v>
      </c>
      <c r="Z68">
        <f ca="1"/>
        <v>0</v>
      </c>
      <c r="AA68">
        <f ca="1"/>
        <v>0</v>
      </c>
      <c r="AB68">
        <f ca="1"/>
        <v>0</v>
      </c>
      <c r="AC68">
        <f t="shared" ca="1" si="2"/>
        <v>0</v>
      </c>
      <c r="AD68" s="582">
        <f t="shared" ca="1" si="3"/>
        <v>0</v>
      </c>
      <c r="AE68" s="582">
        <f t="shared" ca="1" si="4"/>
        <v>0</v>
      </c>
      <c r="AF68" s="582">
        <f t="shared" ca="1" si="5"/>
        <v>0</v>
      </c>
      <c r="AG68" s="582">
        <f t="shared" ca="1" si="6"/>
        <v>0</v>
      </c>
      <c r="AH68" s="582">
        <f t="shared" ca="1" si="7"/>
        <v>0</v>
      </c>
      <c r="AI68" s="582">
        <f t="shared" ca="1" si="8"/>
        <v>0.67703627749076623</v>
      </c>
      <c r="AJ68" s="582">
        <f t="shared" ca="1" si="9"/>
        <v>0</v>
      </c>
      <c r="AK68" s="582">
        <f t="shared" ca="1" si="10"/>
        <v>0</v>
      </c>
      <c r="AL68" s="582">
        <f t="shared" ca="1" si="11"/>
        <v>0</v>
      </c>
      <c r="AM68" s="582">
        <f t="shared" ca="1" si="12"/>
        <v>0</v>
      </c>
      <c r="AN68" s="582">
        <f t="shared" ca="1" si="13"/>
        <v>0</v>
      </c>
      <c r="AO68" s="582">
        <f t="shared" ca="1" si="14"/>
        <v>0.17301627991566085</v>
      </c>
      <c r="AP68" s="582">
        <f t="shared" ca="1" si="15"/>
        <v>0.14994744259357273</v>
      </c>
      <c r="AQ68" s="582">
        <f t="shared" ca="1" si="16"/>
        <v>0</v>
      </c>
      <c r="AR68" s="582">
        <f t="shared" ca="1" si="17"/>
        <v>0</v>
      </c>
      <c r="AS68" s="582">
        <f t="shared" ca="1" si="18"/>
        <v>0</v>
      </c>
      <c r="AT68" s="582">
        <f t="shared" ca="1" si="19"/>
        <v>0</v>
      </c>
      <c r="AU68" s="582">
        <f t="shared" ca="1" si="20"/>
        <v>0</v>
      </c>
      <c r="AV68" s="582">
        <f t="shared" ca="1" si="21"/>
        <v>0</v>
      </c>
      <c r="AW68" s="582">
        <f t="shared" ca="1" si="22"/>
        <v>0</v>
      </c>
      <c r="AX68" s="582">
        <f t="shared" ca="1" si="23"/>
        <v>0</v>
      </c>
      <c r="AY68" s="582">
        <f t="shared" ca="1" si="24"/>
        <v>0</v>
      </c>
      <c r="AZ68" s="582">
        <f t="shared" ca="1" si="25"/>
        <v>0</v>
      </c>
      <c r="BA68" s="582">
        <f t="shared" ca="1" si="26"/>
        <v>0</v>
      </c>
      <c r="BB68" s="582">
        <f t="shared" ca="1" si="27"/>
        <v>0</v>
      </c>
      <c r="BC68" s="582">
        <f t="shared" ca="1" si="28"/>
        <v>0</v>
      </c>
      <c r="BE68" s="582">
        <f t="shared" ca="1" si="1"/>
        <v>0.99999999999999978</v>
      </c>
    </row>
    <row r="69" spans="1:57" ht="15">
      <c r="A69" s="22">
        <f t="shared" si="29"/>
        <v>2089</v>
      </c>
      <c r="B69" s="586">
        <v>64</v>
      </c>
      <c r="C69" s="583">
        <f ca="1"/>
        <v>0</v>
      </c>
      <c r="D69" s="583">
        <f ca="1"/>
        <v>0</v>
      </c>
      <c r="E69" s="583">
        <f ca="1"/>
        <v>0</v>
      </c>
      <c r="F69" s="583">
        <f ca="1"/>
        <v>0</v>
      </c>
      <c r="G69" s="583">
        <f ca="1"/>
        <v>0</v>
      </c>
      <c r="H69" s="583">
        <f ca="1"/>
        <v>0</v>
      </c>
      <c r="I69" s="583">
        <f ca="1"/>
        <v>0</v>
      </c>
      <c r="J69">
        <f ca="1"/>
        <v>0</v>
      </c>
      <c r="K69">
        <f ca="1"/>
        <v>0</v>
      </c>
      <c r="L69">
        <f ca="1"/>
        <v>0</v>
      </c>
      <c r="M69">
        <f ca="1"/>
        <v>0</v>
      </c>
      <c r="N69">
        <f ca="1"/>
        <v>0</v>
      </c>
      <c r="O69">
        <f ca="1"/>
        <v>0</v>
      </c>
      <c r="P69">
        <f ca="1"/>
        <v>0</v>
      </c>
      <c r="Q69">
        <f ca="1"/>
        <v>0</v>
      </c>
      <c r="R69">
        <f ca="1"/>
        <v>0</v>
      </c>
      <c r="S69">
        <f ca="1"/>
        <v>0</v>
      </c>
      <c r="T69">
        <f ca="1"/>
        <v>0</v>
      </c>
      <c r="U69">
        <f ca="1"/>
        <v>0</v>
      </c>
      <c r="V69">
        <f ca="1"/>
        <v>0</v>
      </c>
      <c r="W69">
        <f ca="1"/>
        <v>0</v>
      </c>
      <c r="X69">
        <f ca="1"/>
        <v>0</v>
      </c>
      <c r="Y69">
        <f ca="1"/>
        <v>0</v>
      </c>
      <c r="Z69">
        <f ca="1"/>
        <v>0</v>
      </c>
      <c r="AA69">
        <f ca="1"/>
        <v>0</v>
      </c>
      <c r="AB69">
        <f ca="1"/>
        <v>0</v>
      </c>
      <c r="AC69">
        <f t="shared" ca="1" si="2"/>
        <v>0</v>
      </c>
      <c r="AD69" s="582">
        <f t="shared" ca="1" si="3"/>
        <v>0</v>
      </c>
      <c r="AE69" s="582">
        <f t="shared" ca="1" si="4"/>
        <v>0</v>
      </c>
      <c r="AF69" s="582">
        <f t="shared" ca="1" si="5"/>
        <v>0</v>
      </c>
      <c r="AG69" s="582">
        <f t="shared" ca="1" si="6"/>
        <v>0</v>
      </c>
      <c r="AH69" s="582">
        <f t="shared" ca="1" si="7"/>
        <v>0</v>
      </c>
      <c r="AI69" s="582">
        <f t="shared" ca="1" si="8"/>
        <v>0.67703627749076623</v>
      </c>
      <c r="AJ69" s="582">
        <f t="shared" ca="1" si="9"/>
        <v>0</v>
      </c>
      <c r="AK69" s="582">
        <f t="shared" ca="1" si="10"/>
        <v>0</v>
      </c>
      <c r="AL69" s="582">
        <f t="shared" ca="1" si="11"/>
        <v>0</v>
      </c>
      <c r="AM69" s="582">
        <f t="shared" ca="1" si="12"/>
        <v>0</v>
      </c>
      <c r="AN69" s="582">
        <f t="shared" ca="1" si="13"/>
        <v>0</v>
      </c>
      <c r="AO69" s="582">
        <f t="shared" ca="1" si="14"/>
        <v>0.17301627991566085</v>
      </c>
      <c r="AP69" s="582">
        <f t="shared" ca="1" si="15"/>
        <v>0.14994744259357273</v>
      </c>
      <c r="AQ69" s="582">
        <f t="shared" ca="1" si="16"/>
        <v>0</v>
      </c>
      <c r="AR69" s="582">
        <f t="shared" ca="1" si="17"/>
        <v>0</v>
      </c>
      <c r="AS69" s="582">
        <f t="shared" ca="1" si="18"/>
        <v>0</v>
      </c>
      <c r="AT69" s="582">
        <f t="shared" ca="1" si="19"/>
        <v>0</v>
      </c>
      <c r="AU69" s="582">
        <f t="shared" ca="1" si="20"/>
        <v>0</v>
      </c>
      <c r="AV69" s="582">
        <f t="shared" ca="1" si="21"/>
        <v>0</v>
      </c>
      <c r="AW69" s="582">
        <f t="shared" ca="1" si="22"/>
        <v>0</v>
      </c>
      <c r="AX69" s="582">
        <f t="shared" ca="1" si="23"/>
        <v>0</v>
      </c>
      <c r="AY69" s="582">
        <f t="shared" ca="1" si="24"/>
        <v>0</v>
      </c>
      <c r="AZ69" s="582">
        <f t="shared" ca="1" si="25"/>
        <v>0</v>
      </c>
      <c r="BA69" s="582">
        <f t="shared" ca="1" si="26"/>
        <v>0</v>
      </c>
      <c r="BB69" s="582">
        <f t="shared" ca="1" si="27"/>
        <v>0</v>
      </c>
      <c r="BC69" s="582">
        <f t="shared" ca="1" si="28"/>
        <v>0</v>
      </c>
      <c r="BE69" s="582">
        <f t="shared" ca="1" si="1"/>
        <v>0.99999999999999978</v>
      </c>
    </row>
    <row r="70" spans="1:57" ht="15">
      <c r="A70" s="22">
        <f t="shared" si="29"/>
        <v>2090</v>
      </c>
      <c r="B70" s="586">
        <v>65</v>
      </c>
      <c r="C70" s="583">
        <f ca="1"/>
        <v>0</v>
      </c>
      <c r="D70" s="583">
        <f ca="1"/>
        <v>0</v>
      </c>
      <c r="E70" s="583">
        <f ca="1"/>
        <v>0</v>
      </c>
      <c r="F70" s="583">
        <f ca="1"/>
        <v>0</v>
      </c>
      <c r="G70" s="583">
        <f ca="1"/>
        <v>0</v>
      </c>
      <c r="H70" s="583">
        <f ca="1"/>
        <v>0</v>
      </c>
      <c r="I70" s="583">
        <f ca="1"/>
        <v>0</v>
      </c>
      <c r="J70">
        <f ca="1"/>
        <v>0</v>
      </c>
      <c r="K70">
        <f ca="1"/>
        <v>0</v>
      </c>
      <c r="L70">
        <f ca="1"/>
        <v>0</v>
      </c>
      <c r="M70">
        <f ca="1"/>
        <v>0</v>
      </c>
      <c r="N70">
        <f ca="1"/>
        <v>0</v>
      </c>
      <c r="O70">
        <f ca="1"/>
        <v>0</v>
      </c>
      <c r="P70">
        <f ca="1"/>
        <v>0</v>
      </c>
      <c r="Q70">
        <f ca="1"/>
        <v>0</v>
      </c>
      <c r="R70">
        <f ca="1"/>
        <v>0</v>
      </c>
      <c r="S70">
        <f ca="1"/>
        <v>0</v>
      </c>
      <c r="T70">
        <f ca="1"/>
        <v>0</v>
      </c>
      <c r="U70">
        <f ca="1"/>
        <v>0</v>
      </c>
      <c r="V70">
        <f ca="1"/>
        <v>0</v>
      </c>
      <c r="W70">
        <f ca="1"/>
        <v>0</v>
      </c>
      <c r="X70">
        <f ca="1"/>
        <v>0</v>
      </c>
      <c r="Y70">
        <f ca="1"/>
        <v>0</v>
      </c>
      <c r="Z70">
        <f ca="1"/>
        <v>0</v>
      </c>
      <c r="AA70">
        <f ca="1"/>
        <v>0</v>
      </c>
      <c r="AB70">
        <f ca="1"/>
        <v>0</v>
      </c>
      <c r="AC70">
        <f t="shared" ca="1" si="2"/>
        <v>0</v>
      </c>
      <c r="AD70" s="582">
        <f t="shared" ca="1" si="3"/>
        <v>0</v>
      </c>
      <c r="AE70" s="582">
        <f t="shared" ca="1" si="4"/>
        <v>0</v>
      </c>
      <c r="AF70" s="582">
        <f t="shared" ca="1" si="5"/>
        <v>0</v>
      </c>
      <c r="AG70" s="582">
        <f t="shared" ca="1" si="6"/>
        <v>0</v>
      </c>
      <c r="AH70" s="582">
        <f t="shared" ca="1" si="7"/>
        <v>0</v>
      </c>
      <c r="AI70" s="582">
        <f t="shared" ca="1" si="8"/>
        <v>0.67703627749076623</v>
      </c>
      <c r="AJ70" s="582">
        <f t="shared" ca="1" si="9"/>
        <v>0</v>
      </c>
      <c r="AK70" s="582">
        <f t="shared" ca="1" si="10"/>
        <v>0</v>
      </c>
      <c r="AL70" s="582">
        <f t="shared" ca="1" si="11"/>
        <v>0</v>
      </c>
      <c r="AM70" s="582">
        <f t="shared" ca="1" si="12"/>
        <v>0</v>
      </c>
      <c r="AN70" s="582">
        <f t="shared" ca="1" si="13"/>
        <v>0</v>
      </c>
      <c r="AO70" s="582">
        <f t="shared" ca="1" si="14"/>
        <v>0.17301627991566085</v>
      </c>
      <c r="AP70" s="582">
        <f t="shared" ca="1" si="15"/>
        <v>0.14994744259357273</v>
      </c>
      <c r="AQ70" s="582">
        <f t="shared" ca="1" si="16"/>
        <v>0</v>
      </c>
      <c r="AR70" s="582">
        <f t="shared" ca="1" si="17"/>
        <v>0</v>
      </c>
      <c r="AS70" s="582">
        <f t="shared" ca="1" si="18"/>
        <v>0</v>
      </c>
      <c r="AT70" s="582">
        <f t="shared" ca="1" si="19"/>
        <v>0</v>
      </c>
      <c r="AU70" s="582">
        <f t="shared" ca="1" si="20"/>
        <v>0</v>
      </c>
      <c r="AV70" s="582">
        <f t="shared" ca="1" si="21"/>
        <v>0</v>
      </c>
      <c r="AW70" s="582">
        <f t="shared" ca="1" si="22"/>
        <v>0</v>
      </c>
      <c r="AX70" s="582">
        <f t="shared" ca="1" si="23"/>
        <v>0</v>
      </c>
      <c r="AY70" s="582">
        <f t="shared" ca="1" si="24"/>
        <v>0</v>
      </c>
      <c r="AZ70" s="582">
        <f t="shared" ca="1" si="25"/>
        <v>0</v>
      </c>
      <c r="BA70" s="582">
        <f t="shared" ca="1" si="26"/>
        <v>0</v>
      </c>
      <c r="BB70" s="582">
        <f t="shared" ca="1" si="27"/>
        <v>0</v>
      </c>
      <c r="BC70" s="582">
        <f t="shared" ca="1" si="28"/>
        <v>0</v>
      </c>
      <c r="BE70" s="582">
        <f t="shared" ref="BE70:BE77" ca="1" si="30">SUM(AD70:BC70)</f>
        <v>0.99999999999999978</v>
      </c>
    </row>
    <row r="71" spans="1:57" ht="15">
      <c r="A71" s="22">
        <f t="shared" si="29"/>
        <v>2091</v>
      </c>
      <c r="B71" s="586">
        <v>66</v>
      </c>
      <c r="C71" s="583">
        <f ca="1"/>
        <v>0</v>
      </c>
      <c r="D71" s="583">
        <f ca="1"/>
        <v>0</v>
      </c>
      <c r="E71" s="583">
        <f ca="1"/>
        <v>0</v>
      </c>
      <c r="F71" s="583">
        <f ca="1"/>
        <v>0</v>
      </c>
      <c r="G71" s="583">
        <f ca="1"/>
        <v>0</v>
      </c>
      <c r="H71" s="583">
        <f ca="1"/>
        <v>0</v>
      </c>
      <c r="I71" s="583">
        <f ca="1"/>
        <v>0</v>
      </c>
      <c r="J71">
        <f ca="1"/>
        <v>0</v>
      </c>
      <c r="K71">
        <f ca="1"/>
        <v>0</v>
      </c>
      <c r="L71">
        <f ca="1"/>
        <v>0</v>
      </c>
      <c r="M71">
        <f ca="1"/>
        <v>0</v>
      </c>
      <c r="N71">
        <f ca="1"/>
        <v>0</v>
      </c>
      <c r="O71">
        <f ca="1"/>
        <v>0</v>
      </c>
      <c r="P71">
        <f ca="1"/>
        <v>0</v>
      </c>
      <c r="Q71">
        <f ca="1"/>
        <v>0</v>
      </c>
      <c r="R71">
        <f ca="1"/>
        <v>0</v>
      </c>
      <c r="S71">
        <f ca="1"/>
        <v>0</v>
      </c>
      <c r="T71">
        <f ca="1"/>
        <v>0</v>
      </c>
      <c r="U71">
        <f ca="1"/>
        <v>0</v>
      </c>
      <c r="V71">
        <f ca="1"/>
        <v>0</v>
      </c>
      <c r="W71">
        <f ca="1"/>
        <v>0</v>
      </c>
      <c r="X71">
        <f ca="1"/>
        <v>0</v>
      </c>
      <c r="Y71">
        <f ca="1"/>
        <v>0</v>
      </c>
      <c r="Z71">
        <f ca="1"/>
        <v>0</v>
      </c>
      <c r="AA71">
        <f ca="1"/>
        <v>0</v>
      </c>
      <c r="AB71">
        <f ca="1"/>
        <v>0</v>
      </c>
      <c r="AC71">
        <f t="shared" ref="AC71:AC78" ca="1" si="31">SUM(C71:AB71)</f>
        <v>0</v>
      </c>
      <c r="AD71" s="582">
        <f t="shared" ref="AD71:AD78" ca="1" si="32">IF($AC71&lt;&gt;0,C71/$AC71,C$79/$AC$79)</f>
        <v>0</v>
      </c>
      <c r="AE71" s="582">
        <f t="shared" ref="AE71:AE78" ca="1" si="33">IF($AC71&lt;&gt;0,D71/$AC71,D$79/$AC$79)</f>
        <v>0</v>
      </c>
      <c r="AF71" s="582">
        <f t="shared" ref="AF71:AF78" ca="1" si="34">IF($AC71&lt;&gt;0,E71/$AC71,E$79/$AC$79)</f>
        <v>0</v>
      </c>
      <c r="AG71" s="582">
        <f t="shared" ref="AG71:AG78" ca="1" si="35">IF($AC71&lt;&gt;0,F71/$AC71,F$79/$AC$79)</f>
        <v>0</v>
      </c>
      <c r="AH71" s="582">
        <f t="shared" ref="AH71:AH78" ca="1" si="36">IF($AC71&lt;&gt;0,G71/$AC71,G$79/$AC$79)</f>
        <v>0</v>
      </c>
      <c r="AI71" s="582">
        <f t="shared" ref="AI71:AI78" ca="1" si="37">IF($AC71&lt;&gt;0,H71/$AC71,H$79/$AC$79)</f>
        <v>0.67703627749076623</v>
      </c>
      <c r="AJ71" s="582">
        <f t="shared" ref="AJ71:AJ78" ca="1" si="38">IF($AC71&lt;&gt;0,I71/$AC71,I$79/$AC$79)</f>
        <v>0</v>
      </c>
      <c r="AK71" s="582">
        <f t="shared" ref="AK71:AK78" ca="1" si="39">IF($AC71&lt;&gt;0,J71/$AC71,J$79/$AC$79)</f>
        <v>0</v>
      </c>
      <c r="AL71" s="582">
        <f t="shared" ref="AL71:AL78" ca="1" si="40">IF($AC71&lt;&gt;0,K71/$AC71,K$79/$AC$79)</f>
        <v>0</v>
      </c>
      <c r="AM71" s="582">
        <f t="shared" ref="AM71:AM78" ca="1" si="41">IF($AC71&lt;&gt;0,L71/$AC71,L$79/$AC$79)</f>
        <v>0</v>
      </c>
      <c r="AN71" s="582">
        <f t="shared" ref="AN71:AN78" ca="1" si="42">IF($AC71&lt;&gt;0,M71/$AC71,M$79/$AC$79)</f>
        <v>0</v>
      </c>
      <c r="AO71" s="582">
        <f t="shared" ref="AO71:AO78" ca="1" si="43">IF($AC71&lt;&gt;0,N71/$AC71,N$79/$AC$79)</f>
        <v>0.17301627991566085</v>
      </c>
      <c r="AP71" s="582">
        <f t="shared" ref="AP71:AP78" ca="1" si="44">IF($AC71&lt;&gt;0,O71/$AC71,O$79/$AC$79)</f>
        <v>0.14994744259357273</v>
      </c>
      <c r="AQ71" s="582">
        <f t="shared" ref="AQ71:AQ78" ca="1" si="45">IF($AC71&lt;&gt;0,P71/$AC71,P$79/$AC$79)</f>
        <v>0</v>
      </c>
      <c r="AR71" s="582">
        <f t="shared" ref="AR71:AR78" ca="1" si="46">IF($AC71&lt;&gt;0,Q71/$AC71,Q$79/$AC$79)</f>
        <v>0</v>
      </c>
      <c r="AS71" s="582">
        <f t="shared" ref="AS71:AS78" ca="1" si="47">IF($AC71&lt;&gt;0,R71/$AC71,R$79/$AC$79)</f>
        <v>0</v>
      </c>
      <c r="AT71" s="582">
        <f t="shared" ref="AT71:AT78" ca="1" si="48">IF($AC71&lt;&gt;0,S71/$AC71,S$79/$AC$79)</f>
        <v>0</v>
      </c>
      <c r="AU71" s="582">
        <f t="shared" ref="AU71:AU78" ca="1" si="49">IF($AC71&lt;&gt;0,T71/$AC71,T$79/$AC$79)</f>
        <v>0</v>
      </c>
      <c r="AV71" s="582">
        <f t="shared" ref="AV71:AV78" ca="1" si="50">IF($AC71&lt;&gt;0,U71/$AC71,U$79/$AC$79)</f>
        <v>0</v>
      </c>
      <c r="AW71" s="582">
        <f t="shared" ref="AW71:AW78" ca="1" si="51">IF($AC71&lt;&gt;0,V71/$AC71,V$79/$AC$79)</f>
        <v>0</v>
      </c>
      <c r="AX71" s="582">
        <f t="shared" ref="AX71:AX78" ca="1" si="52">IF($AC71&lt;&gt;0,W71/$AC71,W$79/$AC$79)</f>
        <v>0</v>
      </c>
      <c r="AY71" s="582">
        <f t="shared" ref="AY71:AY78" ca="1" si="53">IF($AC71&lt;&gt;0,X71/$AC71,X$79/$AC$79)</f>
        <v>0</v>
      </c>
      <c r="AZ71" s="582">
        <f t="shared" ref="AZ71:AZ78" ca="1" si="54">IF($AC71&lt;&gt;0,Y71/$AC71,Y$79/$AC$79)</f>
        <v>0</v>
      </c>
      <c r="BA71" s="582">
        <f t="shared" ref="BA71:BA78" ca="1" si="55">IF($AC71&lt;&gt;0,Z71/$AC71,Z$79/$AC$79)</f>
        <v>0</v>
      </c>
      <c r="BB71" s="582">
        <f t="shared" ref="BB71:BB78" ca="1" si="56">IF($AC71&lt;&gt;0,AA71/$AC71,AA$79/$AC$79)</f>
        <v>0</v>
      </c>
      <c r="BC71" s="582">
        <f t="shared" ref="BC71:BC78" ca="1" si="57">IF($AC71&lt;&gt;0,AB71/$AC71,AB$79/$AC$79)</f>
        <v>0</v>
      </c>
      <c r="BE71" s="582">
        <f t="shared" ca="1" si="30"/>
        <v>0.99999999999999978</v>
      </c>
    </row>
    <row r="72" spans="1:57" ht="15">
      <c r="A72" s="22">
        <f t="shared" ref="A72:A78" si="58">A71+1</f>
        <v>2092</v>
      </c>
      <c r="B72" s="586">
        <v>67</v>
      </c>
      <c r="C72" s="583">
        <f ca="1"/>
        <v>0</v>
      </c>
      <c r="D72" s="583">
        <f ca="1"/>
        <v>0</v>
      </c>
      <c r="E72" s="583">
        <f ca="1"/>
        <v>0</v>
      </c>
      <c r="F72" s="583">
        <f ca="1"/>
        <v>0</v>
      </c>
      <c r="G72" s="583">
        <f ca="1"/>
        <v>0</v>
      </c>
      <c r="H72" s="583">
        <f ca="1"/>
        <v>0</v>
      </c>
      <c r="I72" s="583">
        <f ca="1"/>
        <v>0</v>
      </c>
      <c r="J72">
        <f ca="1"/>
        <v>0</v>
      </c>
      <c r="K72">
        <f ca="1"/>
        <v>0</v>
      </c>
      <c r="L72">
        <f ca="1"/>
        <v>0</v>
      </c>
      <c r="M72">
        <f ca="1"/>
        <v>0</v>
      </c>
      <c r="N72">
        <f ca="1"/>
        <v>0</v>
      </c>
      <c r="O72">
        <f ca="1"/>
        <v>0</v>
      </c>
      <c r="P72">
        <f ca="1"/>
        <v>0</v>
      </c>
      <c r="Q72">
        <f ca="1"/>
        <v>0</v>
      </c>
      <c r="R72">
        <f ca="1"/>
        <v>0</v>
      </c>
      <c r="S72">
        <f ca="1"/>
        <v>0</v>
      </c>
      <c r="T72">
        <f ca="1"/>
        <v>0</v>
      </c>
      <c r="U72">
        <f ca="1"/>
        <v>0</v>
      </c>
      <c r="V72">
        <f ca="1"/>
        <v>0</v>
      </c>
      <c r="W72">
        <f ca="1"/>
        <v>0</v>
      </c>
      <c r="X72">
        <f ca="1"/>
        <v>0</v>
      </c>
      <c r="Y72">
        <f ca="1"/>
        <v>0</v>
      </c>
      <c r="Z72">
        <f ca="1"/>
        <v>0</v>
      </c>
      <c r="AA72">
        <f ca="1"/>
        <v>0</v>
      </c>
      <c r="AB72">
        <f ca="1"/>
        <v>0</v>
      </c>
      <c r="AC72">
        <f t="shared" ca="1" si="31"/>
        <v>0</v>
      </c>
      <c r="AD72" s="582">
        <f t="shared" ca="1" si="32"/>
        <v>0</v>
      </c>
      <c r="AE72" s="582">
        <f t="shared" ca="1" si="33"/>
        <v>0</v>
      </c>
      <c r="AF72" s="582">
        <f t="shared" ca="1" si="34"/>
        <v>0</v>
      </c>
      <c r="AG72" s="582">
        <f t="shared" ca="1" si="35"/>
        <v>0</v>
      </c>
      <c r="AH72" s="582">
        <f t="shared" ca="1" si="36"/>
        <v>0</v>
      </c>
      <c r="AI72" s="582">
        <f t="shared" ca="1" si="37"/>
        <v>0.67703627749076623</v>
      </c>
      <c r="AJ72" s="582">
        <f t="shared" ca="1" si="38"/>
        <v>0</v>
      </c>
      <c r="AK72" s="582">
        <f t="shared" ca="1" si="39"/>
        <v>0</v>
      </c>
      <c r="AL72" s="582">
        <f t="shared" ca="1" si="40"/>
        <v>0</v>
      </c>
      <c r="AM72" s="582">
        <f t="shared" ca="1" si="41"/>
        <v>0</v>
      </c>
      <c r="AN72" s="582">
        <f t="shared" ca="1" si="42"/>
        <v>0</v>
      </c>
      <c r="AO72" s="582">
        <f t="shared" ca="1" si="43"/>
        <v>0.17301627991566085</v>
      </c>
      <c r="AP72" s="582">
        <f t="shared" ca="1" si="44"/>
        <v>0.14994744259357273</v>
      </c>
      <c r="AQ72" s="582">
        <f t="shared" ca="1" si="45"/>
        <v>0</v>
      </c>
      <c r="AR72" s="582">
        <f t="shared" ca="1" si="46"/>
        <v>0</v>
      </c>
      <c r="AS72" s="582">
        <f t="shared" ca="1" si="47"/>
        <v>0</v>
      </c>
      <c r="AT72" s="582">
        <f t="shared" ca="1" si="48"/>
        <v>0</v>
      </c>
      <c r="AU72" s="582">
        <f t="shared" ca="1" si="49"/>
        <v>0</v>
      </c>
      <c r="AV72" s="582">
        <f t="shared" ca="1" si="50"/>
        <v>0</v>
      </c>
      <c r="AW72" s="582">
        <f t="shared" ca="1" si="51"/>
        <v>0</v>
      </c>
      <c r="AX72" s="582">
        <f t="shared" ca="1" si="52"/>
        <v>0</v>
      </c>
      <c r="AY72" s="582">
        <f t="shared" ca="1" si="53"/>
        <v>0</v>
      </c>
      <c r="AZ72" s="582">
        <f t="shared" ca="1" si="54"/>
        <v>0</v>
      </c>
      <c r="BA72" s="582">
        <f t="shared" ca="1" si="55"/>
        <v>0</v>
      </c>
      <c r="BB72" s="582">
        <f t="shared" ca="1" si="56"/>
        <v>0</v>
      </c>
      <c r="BC72" s="582">
        <f t="shared" ca="1" si="57"/>
        <v>0</v>
      </c>
      <c r="BE72" s="582">
        <f t="shared" ca="1" si="30"/>
        <v>0.99999999999999978</v>
      </c>
    </row>
    <row r="73" spans="1:57" ht="15">
      <c r="A73" s="22">
        <f t="shared" si="58"/>
        <v>2093</v>
      </c>
      <c r="B73" s="586">
        <v>68</v>
      </c>
      <c r="C73" s="583">
        <f ca="1"/>
        <v>0</v>
      </c>
      <c r="D73" s="583">
        <f ca="1"/>
        <v>0</v>
      </c>
      <c r="E73" s="583">
        <f ca="1"/>
        <v>0</v>
      </c>
      <c r="F73" s="583">
        <f ca="1"/>
        <v>0</v>
      </c>
      <c r="G73" s="583">
        <f ca="1"/>
        <v>0</v>
      </c>
      <c r="H73" s="583">
        <f ca="1"/>
        <v>0</v>
      </c>
      <c r="I73" s="583">
        <f ca="1"/>
        <v>0</v>
      </c>
      <c r="J73">
        <f ca="1"/>
        <v>0</v>
      </c>
      <c r="K73">
        <f ca="1"/>
        <v>0</v>
      </c>
      <c r="L73">
        <f ca="1"/>
        <v>0</v>
      </c>
      <c r="M73">
        <f ca="1"/>
        <v>0</v>
      </c>
      <c r="N73">
        <f ca="1"/>
        <v>0</v>
      </c>
      <c r="O73">
        <f ca="1"/>
        <v>0</v>
      </c>
      <c r="P73">
        <f ca="1"/>
        <v>0</v>
      </c>
      <c r="Q73">
        <f ca="1"/>
        <v>0</v>
      </c>
      <c r="R73">
        <f ca="1"/>
        <v>0</v>
      </c>
      <c r="S73">
        <f ca="1"/>
        <v>0</v>
      </c>
      <c r="T73">
        <f ca="1"/>
        <v>0</v>
      </c>
      <c r="U73">
        <f ca="1"/>
        <v>0</v>
      </c>
      <c r="V73">
        <f ca="1"/>
        <v>0</v>
      </c>
      <c r="W73">
        <f ca="1"/>
        <v>0</v>
      </c>
      <c r="X73">
        <f ca="1"/>
        <v>0</v>
      </c>
      <c r="Y73">
        <f ca="1"/>
        <v>0</v>
      </c>
      <c r="Z73">
        <f ca="1"/>
        <v>0</v>
      </c>
      <c r="AA73">
        <f ca="1"/>
        <v>0</v>
      </c>
      <c r="AB73">
        <f ca="1"/>
        <v>0</v>
      </c>
      <c r="AC73">
        <f t="shared" ca="1" si="31"/>
        <v>0</v>
      </c>
      <c r="AD73" s="582">
        <f t="shared" ca="1" si="32"/>
        <v>0</v>
      </c>
      <c r="AE73" s="582">
        <f t="shared" ca="1" si="33"/>
        <v>0</v>
      </c>
      <c r="AF73" s="582">
        <f t="shared" ca="1" si="34"/>
        <v>0</v>
      </c>
      <c r="AG73" s="582">
        <f t="shared" ca="1" si="35"/>
        <v>0</v>
      </c>
      <c r="AH73" s="582">
        <f t="shared" ca="1" si="36"/>
        <v>0</v>
      </c>
      <c r="AI73" s="582">
        <f t="shared" ca="1" si="37"/>
        <v>0.67703627749076623</v>
      </c>
      <c r="AJ73" s="582">
        <f t="shared" ca="1" si="38"/>
        <v>0</v>
      </c>
      <c r="AK73" s="582">
        <f t="shared" ca="1" si="39"/>
        <v>0</v>
      </c>
      <c r="AL73" s="582">
        <f t="shared" ca="1" si="40"/>
        <v>0</v>
      </c>
      <c r="AM73" s="582">
        <f t="shared" ca="1" si="41"/>
        <v>0</v>
      </c>
      <c r="AN73" s="582">
        <f t="shared" ca="1" si="42"/>
        <v>0</v>
      </c>
      <c r="AO73" s="582">
        <f t="shared" ca="1" si="43"/>
        <v>0.17301627991566085</v>
      </c>
      <c r="AP73" s="582">
        <f t="shared" ca="1" si="44"/>
        <v>0.14994744259357273</v>
      </c>
      <c r="AQ73" s="582">
        <f t="shared" ca="1" si="45"/>
        <v>0</v>
      </c>
      <c r="AR73" s="582">
        <f t="shared" ca="1" si="46"/>
        <v>0</v>
      </c>
      <c r="AS73" s="582">
        <f t="shared" ca="1" si="47"/>
        <v>0</v>
      </c>
      <c r="AT73" s="582">
        <f t="shared" ca="1" si="48"/>
        <v>0</v>
      </c>
      <c r="AU73" s="582">
        <f t="shared" ca="1" si="49"/>
        <v>0</v>
      </c>
      <c r="AV73" s="582">
        <f t="shared" ca="1" si="50"/>
        <v>0</v>
      </c>
      <c r="AW73" s="582">
        <f t="shared" ca="1" si="51"/>
        <v>0</v>
      </c>
      <c r="AX73" s="582">
        <f t="shared" ca="1" si="52"/>
        <v>0</v>
      </c>
      <c r="AY73" s="582">
        <f t="shared" ca="1" si="53"/>
        <v>0</v>
      </c>
      <c r="AZ73" s="582">
        <f t="shared" ca="1" si="54"/>
        <v>0</v>
      </c>
      <c r="BA73" s="582">
        <f t="shared" ca="1" si="55"/>
        <v>0</v>
      </c>
      <c r="BB73" s="582">
        <f t="shared" ca="1" si="56"/>
        <v>0</v>
      </c>
      <c r="BC73" s="582">
        <f t="shared" ca="1" si="57"/>
        <v>0</v>
      </c>
      <c r="BE73" s="582">
        <f t="shared" ca="1" si="30"/>
        <v>0.99999999999999978</v>
      </c>
    </row>
    <row r="74" spans="1:57" ht="15">
      <c r="A74" s="22">
        <f t="shared" si="58"/>
        <v>2094</v>
      </c>
      <c r="B74" s="586">
        <v>69</v>
      </c>
      <c r="C74" s="583">
        <f ca="1"/>
        <v>0</v>
      </c>
      <c r="D74" s="583">
        <f ca="1"/>
        <v>0</v>
      </c>
      <c r="E74" s="583">
        <f ca="1"/>
        <v>0</v>
      </c>
      <c r="F74" s="583">
        <f ca="1"/>
        <v>0</v>
      </c>
      <c r="G74" s="583">
        <f ca="1"/>
        <v>0</v>
      </c>
      <c r="H74" s="583">
        <f ca="1"/>
        <v>0</v>
      </c>
      <c r="I74" s="583">
        <f ca="1"/>
        <v>0</v>
      </c>
      <c r="J74">
        <f ca="1"/>
        <v>0</v>
      </c>
      <c r="K74">
        <f ca="1"/>
        <v>0</v>
      </c>
      <c r="L74">
        <f ca="1"/>
        <v>0</v>
      </c>
      <c r="M74">
        <f ca="1"/>
        <v>0</v>
      </c>
      <c r="N74">
        <f ca="1"/>
        <v>0</v>
      </c>
      <c r="O74">
        <f ca="1"/>
        <v>0</v>
      </c>
      <c r="P74">
        <f ca="1"/>
        <v>0</v>
      </c>
      <c r="Q74">
        <f ca="1"/>
        <v>0</v>
      </c>
      <c r="R74">
        <f ca="1"/>
        <v>0</v>
      </c>
      <c r="S74">
        <f ca="1"/>
        <v>0</v>
      </c>
      <c r="T74">
        <f ca="1"/>
        <v>0</v>
      </c>
      <c r="U74">
        <f ca="1"/>
        <v>0</v>
      </c>
      <c r="V74">
        <f ca="1"/>
        <v>0</v>
      </c>
      <c r="W74">
        <f ca="1"/>
        <v>0</v>
      </c>
      <c r="X74">
        <f ca="1"/>
        <v>0</v>
      </c>
      <c r="Y74">
        <f ca="1"/>
        <v>0</v>
      </c>
      <c r="Z74">
        <f ca="1"/>
        <v>0</v>
      </c>
      <c r="AA74">
        <f ca="1"/>
        <v>0</v>
      </c>
      <c r="AB74">
        <f ca="1"/>
        <v>0</v>
      </c>
      <c r="AC74">
        <f t="shared" ca="1" si="31"/>
        <v>0</v>
      </c>
      <c r="AD74" s="582">
        <f t="shared" ca="1" si="32"/>
        <v>0</v>
      </c>
      <c r="AE74" s="582">
        <f t="shared" ca="1" si="33"/>
        <v>0</v>
      </c>
      <c r="AF74" s="582">
        <f t="shared" ca="1" si="34"/>
        <v>0</v>
      </c>
      <c r="AG74" s="582">
        <f t="shared" ca="1" si="35"/>
        <v>0</v>
      </c>
      <c r="AH74" s="582">
        <f t="shared" ca="1" si="36"/>
        <v>0</v>
      </c>
      <c r="AI74" s="582">
        <f t="shared" ca="1" si="37"/>
        <v>0.67703627749076623</v>
      </c>
      <c r="AJ74" s="582">
        <f t="shared" ca="1" si="38"/>
        <v>0</v>
      </c>
      <c r="AK74" s="582">
        <f t="shared" ca="1" si="39"/>
        <v>0</v>
      </c>
      <c r="AL74" s="582">
        <f t="shared" ca="1" si="40"/>
        <v>0</v>
      </c>
      <c r="AM74" s="582">
        <f t="shared" ca="1" si="41"/>
        <v>0</v>
      </c>
      <c r="AN74" s="582">
        <f t="shared" ca="1" si="42"/>
        <v>0</v>
      </c>
      <c r="AO74" s="582">
        <f t="shared" ca="1" si="43"/>
        <v>0.17301627991566085</v>
      </c>
      <c r="AP74" s="582">
        <f t="shared" ca="1" si="44"/>
        <v>0.14994744259357273</v>
      </c>
      <c r="AQ74" s="582">
        <f t="shared" ca="1" si="45"/>
        <v>0</v>
      </c>
      <c r="AR74" s="582">
        <f t="shared" ca="1" si="46"/>
        <v>0</v>
      </c>
      <c r="AS74" s="582">
        <f t="shared" ca="1" si="47"/>
        <v>0</v>
      </c>
      <c r="AT74" s="582">
        <f t="shared" ca="1" si="48"/>
        <v>0</v>
      </c>
      <c r="AU74" s="582">
        <f t="shared" ca="1" si="49"/>
        <v>0</v>
      </c>
      <c r="AV74" s="582">
        <f t="shared" ca="1" si="50"/>
        <v>0</v>
      </c>
      <c r="AW74" s="582">
        <f t="shared" ca="1" si="51"/>
        <v>0</v>
      </c>
      <c r="AX74" s="582">
        <f t="shared" ca="1" si="52"/>
        <v>0</v>
      </c>
      <c r="AY74" s="582">
        <f t="shared" ca="1" si="53"/>
        <v>0</v>
      </c>
      <c r="AZ74" s="582">
        <f t="shared" ca="1" si="54"/>
        <v>0</v>
      </c>
      <c r="BA74" s="582">
        <f t="shared" ca="1" si="55"/>
        <v>0</v>
      </c>
      <c r="BB74" s="582">
        <f t="shared" ca="1" si="56"/>
        <v>0</v>
      </c>
      <c r="BC74" s="582">
        <f t="shared" ca="1" si="57"/>
        <v>0</v>
      </c>
      <c r="BE74" s="582">
        <f t="shared" ca="1" si="30"/>
        <v>0.99999999999999978</v>
      </c>
    </row>
    <row r="75" spans="1:57" ht="15">
      <c r="A75" s="22">
        <f t="shared" si="58"/>
        <v>2095</v>
      </c>
      <c r="B75" s="586">
        <v>70</v>
      </c>
      <c r="C75" s="583">
        <f ca="1"/>
        <v>0</v>
      </c>
      <c r="D75" s="583">
        <f ca="1"/>
        <v>0</v>
      </c>
      <c r="E75" s="583">
        <f ca="1"/>
        <v>0</v>
      </c>
      <c r="F75" s="583">
        <f ca="1"/>
        <v>0</v>
      </c>
      <c r="G75" s="583">
        <f ca="1"/>
        <v>0</v>
      </c>
      <c r="H75" s="583">
        <f ca="1"/>
        <v>0</v>
      </c>
      <c r="I75" s="583">
        <f ca="1"/>
        <v>0</v>
      </c>
      <c r="J75">
        <f ca="1"/>
        <v>0</v>
      </c>
      <c r="K75">
        <f ca="1"/>
        <v>0</v>
      </c>
      <c r="L75">
        <f ca="1"/>
        <v>0</v>
      </c>
      <c r="M75">
        <f ca="1"/>
        <v>0</v>
      </c>
      <c r="N75">
        <f ca="1"/>
        <v>0</v>
      </c>
      <c r="O75">
        <f ca="1"/>
        <v>0</v>
      </c>
      <c r="P75">
        <f ca="1"/>
        <v>0</v>
      </c>
      <c r="Q75">
        <f ca="1"/>
        <v>0</v>
      </c>
      <c r="R75">
        <f ca="1"/>
        <v>0</v>
      </c>
      <c r="S75">
        <f ca="1"/>
        <v>0</v>
      </c>
      <c r="T75">
        <f ca="1"/>
        <v>0</v>
      </c>
      <c r="U75">
        <f ca="1"/>
        <v>0</v>
      </c>
      <c r="V75">
        <f ca="1"/>
        <v>0</v>
      </c>
      <c r="W75">
        <f ca="1"/>
        <v>0</v>
      </c>
      <c r="X75">
        <f ca="1"/>
        <v>0</v>
      </c>
      <c r="Y75">
        <f ca="1"/>
        <v>0</v>
      </c>
      <c r="Z75">
        <f ca="1"/>
        <v>0</v>
      </c>
      <c r="AA75">
        <f ca="1"/>
        <v>0</v>
      </c>
      <c r="AB75">
        <f ca="1"/>
        <v>0</v>
      </c>
      <c r="AC75">
        <f t="shared" ca="1" si="31"/>
        <v>0</v>
      </c>
      <c r="AD75" s="582">
        <f t="shared" ca="1" si="32"/>
        <v>0</v>
      </c>
      <c r="AE75" s="582">
        <f t="shared" ca="1" si="33"/>
        <v>0</v>
      </c>
      <c r="AF75" s="582">
        <f t="shared" ca="1" si="34"/>
        <v>0</v>
      </c>
      <c r="AG75" s="582">
        <f t="shared" ca="1" si="35"/>
        <v>0</v>
      </c>
      <c r="AH75" s="582">
        <f t="shared" ca="1" si="36"/>
        <v>0</v>
      </c>
      <c r="AI75" s="582">
        <f t="shared" ca="1" si="37"/>
        <v>0.67703627749076623</v>
      </c>
      <c r="AJ75" s="582">
        <f t="shared" ca="1" si="38"/>
        <v>0</v>
      </c>
      <c r="AK75" s="582">
        <f t="shared" ca="1" si="39"/>
        <v>0</v>
      </c>
      <c r="AL75" s="582">
        <f t="shared" ca="1" si="40"/>
        <v>0</v>
      </c>
      <c r="AM75" s="582">
        <f t="shared" ca="1" si="41"/>
        <v>0</v>
      </c>
      <c r="AN75" s="582">
        <f t="shared" ca="1" si="42"/>
        <v>0</v>
      </c>
      <c r="AO75" s="582">
        <f t="shared" ca="1" si="43"/>
        <v>0.17301627991566085</v>
      </c>
      <c r="AP75" s="582">
        <f t="shared" ca="1" si="44"/>
        <v>0.14994744259357273</v>
      </c>
      <c r="AQ75" s="582">
        <f t="shared" ca="1" si="45"/>
        <v>0</v>
      </c>
      <c r="AR75" s="582">
        <f t="shared" ca="1" si="46"/>
        <v>0</v>
      </c>
      <c r="AS75" s="582">
        <f t="shared" ca="1" si="47"/>
        <v>0</v>
      </c>
      <c r="AT75" s="582">
        <f t="shared" ca="1" si="48"/>
        <v>0</v>
      </c>
      <c r="AU75" s="582">
        <f t="shared" ca="1" si="49"/>
        <v>0</v>
      </c>
      <c r="AV75" s="582">
        <f t="shared" ca="1" si="50"/>
        <v>0</v>
      </c>
      <c r="AW75" s="582">
        <f t="shared" ca="1" si="51"/>
        <v>0</v>
      </c>
      <c r="AX75" s="582">
        <f t="shared" ca="1" si="52"/>
        <v>0</v>
      </c>
      <c r="AY75" s="582">
        <f t="shared" ca="1" si="53"/>
        <v>0</v>
      </c>
      <c r="AZ75" s="582">
        <f t="shared" ca="1" si="54"/>
        <v>0</v>
      </c>
      <c r="BA75" s="582">
        <f t="shared" ca="1" si="55"/>
        <v>0</v>
      </c>
      <c r="BB75" s="582">
        <f t="shared" ca="1" si="56"/>
        <v>0</v>
      </c>
      <c r="BC75" s="582">
        <f t="shared" ca="1" si="57"/>
        <v>0</v>
      </c>
      <c r="BE75" s="582">
        <f t="shared" ca="1" si="30"/>
        <v>0.99999999999999978</v>
      </c>
    </row>
    <row r="76" spans="1:57" ht="15">
      <c r="A76" s="22">
        <f t="shared" si="58"/>
        <v>2096</v>
      </c>
      <c r="B76" s="586">
        <v>71</v>
      </c>
      <c r="C76" s="583">
        <f ca="1"/>
        <v>0</v>
      </c>
      <c r="D76" s="583">
        <f ca="1"/>
        <v>0</v>
      </c>
      <c r="E76" s="583">
        <f ca="1"/>
        <v>0</v>
      </c>
      <c r="F76" s="583">
        <f ca="1"/>
        <v>0</v>
      </c>
      <c r="G76" s="583">
        <f ca="1"/>
        <v>0</v>
      </c>
      <c r="H76" s="583">
        <f ca="1"/>
        <v>0</v>
      </c>
      <c r="I76" s="583">
        <f ca="1"/>
        <v>0</v>
      </c>
      <c r="J76">
        <f ca="1"/>
        <v>0</v>
      </c>
      <c r="K76">
        <f ca="1"/>
        <v>0</v>
      </c>
      <c r="L76">
        <f ca="1"/>
        <v>0</v>
      </c>
      <c r="M76">
        <f ca="1"/>
        <v>0</v>
      </c>
      <c r="N76">
        <f ca="1"/>
        <v>0</v>
      </c>
      <c r="O76">
        <f ca="1"/>
        <v>0</v>
      </c>
      <c r="P76">
        <f ca="1"/>
        <v>0</v>
      </c>
      <c r="Q76">
        <f ca="1"/>
        <v>0</v>
      </c>
      <c r="R76">
        <f ca="1"/>
        <v>0</v>
      </c>
      <c r="S76">
        <f ca="1"/>
        <v>0</v>
      </c>
      <c r="T76">
        <f ca="1"/>
        <v>0</v>
      </c>
      <c r="U76">
        <f ca="1"/>
        <v>0</v>
      </c>
      <c r="V76">
        <f ca="1"/>
        <v>0</v>
      </c>
      <c r="W76">
        <f ca="1"/>
        <v>0</v>
      </c>
      <c r="X76">
        <f ca="1"/>
        <v>0</v>
      </c>
      <c r="Y76">
        <f ca="1"/>
        <v>0</v>
      </c>
      <c r="Z76">
        <f ca="1"/>
        <v>0</v>
      </c>
      <c r="AA76">
        <f ca="1"/>
        <v>0</v>
      </c>
      <c r="AB76">
        <f ca="1"/>
        <v>0</v>
      </c>
      <c r="AC76">
        <f t="shared" ca="1" si="31"/>
        <v>0</v>
      </c>
      <c r="AD76" s="582">
        <f t="shared" ca="1" si="32"/>
        <v>0</v>
      </c>
      <c r="AE76" s="582">
        <f t="shared" ca="1" si="33"/>
        <v>0</v>
      </c>
      <c r="AF76" s="582">
        <f t="shared" ca="1" si="34"/>
        <v>0</v>
      </c>
      <c r="AG76" s="582">
        <f t="shared" ca="1" si="35"/>
        <v>0</v>
      </c>
      <c r="AH76" s="582">
        <f t="shared" ca="1" si="36"/>
        <v>0</v>
      </c>
      <c r="AI76" s="582">
        <f t="shared" ca="1" si="37"/>
        <v>0.67703627749076623</v>
      </c>
      <c r="AJ76" s="582">
        <f t="shared" ca="1" si="38"/>
        <v>0</v>
      </c>
      <c r="AK76" s="582">
        <f t="shared" ca="1" si="39"/>
        <v>0</v>
      </c>
      <c r="AL76" s="582">
        <f t="shared" ca="1" si="40"/>
        <v>0</v>
      </c>
      <c r="AM76" s="582">
        <f t="shared" ca="1" si="41"/>
        <v>0</v>
      </c>
      <c r="AN76" s="582">
        <f t="shared" ca="1" si="42"/>
        <v>0</v>
      </c>
      <c r="AO76" s="582">
        <f t="shared" ca="1" si="43"/>
        <v>0.17301627991566085</v>
      </c>
      <c r="AP76" s="582">
        <f t="shared" ca="1" si="44"/>
        <v>0.14994744259357273</v>
      </c>
      <c r="AQ76" s="582">
        <f t="shared" ca="1" si="45"/>
        <v>0</v>
      </c>
      <c r="AR76" s="582">
        <f t="shared" ca="1" si="46"/>
        <v>0</v>
      </c>
      <c r="AS76" s="582">
        <f t="shared" ca="1" si="47"/>
        <v>0</v>
      </c>
      <c r="AT76" s="582">
        <f t="shared" ca="1" si="48"/>
        <v>0</v>
      </c>
      <c r="AU76" s="582">
        <f t="shared" ca="1" si="49"/>
        <v>0</v>
      </c>
      <c r="AV76" s="582">
        <f t="shared" ca="1" si="50"/>
        <v>0</v>
      </c>
      <c r="AW76" s="582">
        <f t="shared" ca="1" si="51"/>
        <v>0</v>
      </c>
      <c r="AX76" s="582">
        <f t="shared" ca="1" si="52"/>
        <v>0</v>
      </c>
      <c r="AY76" s="582">
        <f t="shared" ca="1" si="53"/>
        <v>0</v>
      </c>
      <c r="AZ76" s="582">
        <f t="shared" ca="1" si="54"/>
        <v>0</v>
      </c>
      <c r="BA76" s="582">
        <f t="shared" ca="1" si="55"/>
        <v>0</v>
      </c>
      <c r="BB76" s="582">
        <f t="shared" ca="1" si="56"/>
        <v>0</v>
      </c>
      <c r="BC76" s="582">
        <f t="shared" ca="1" si="57"/>
        <v>0</v>
      </c>
      <c r="BE76" s="582">
        <f t="shared" ca="1" si="30"/>
        <v>0.99999999999999978</v>
      </c>
    </row>
    <row r="77" spans="1:57" ht="15">
      <c r="A77" s="22">
        <f t="shared" si="58"/>
        <v>2097</v>
      </c>
      <c r="B77" s="586">
        <v>72</v>
      </c>
      <c r="C77" s="583">
        <f ca="1"/>
        <v>0</v>
      </c>
      <c r="D77" s="583">
        <f ca="1"/>
        <v>0</v>
      </c>
      <c r="E77" s="583">
        <f ca="1"/>
        <v>0</v>
      </c>
      <c r="F77" s="583">
        <f ca="1"/>
        <v>0</v>
      </c>
      <c r="G77" s="583">
        <f ca="1"/>
        <v>0</v>
      </c>
      <c r="H77" s="583">
        <f ca="1"/>
        <v>0</v>
      </c>
      <c r="I77" s="583">
        <f ca="1"/>
        <v>0</v>
      </c>
      <c r="J77">
        <f ca="1"/>
        <v>0</v>
      </c>
      <c r="K77">
        <f ca="1"/>
        <v>0</v>
      </c>
      <c r="L77">
        <f ca="1"/>
        <v>0</v>
      </c>
      <c r="M77">
        <f ca="1"/>
        <v>0</v>
      </c>
      <c r="N77">
        <f ca="1"/>
        <v>0</v>
      </c>
      <c r="O77">
        <f ca="1"/>
        <v>0</v>
      </c>
      <c r="P77">
        <f ca="1"/>
        <v>0</v>
      </c>
      <c r="Q77">
        <f ca="1"/>
        <v>0</v>
      </c>
      <c r="R77">
        <f ca="1"/>
        <v>0</v>
      </c>
      <c r="S77">
        <f ca="1"/>
        <v>0</v>
      </c>
      <c r="T77">
        <f ca="1"/>
        <v>0</v>
      </c>
      <c r="U77">
        <f ca="1"/>
        <v>0</v>
      </c>
      <c r="V77">
        <f ca="1"/>
        <v>0</v>
      </c>
      <c r="W77">
        <f ca="1"/>
        <v>0</v>
      </c>
      <c r="X77">
        <f ca="1"/>
        <v>0</v>
      </c>
      <c r="Y77">
        <f ca="1"/>
        <v>0</v>
      </c>
      <c r="Z77">
        <f ca="1"/>
        <v>0</v>
      </c>
      <c r="AA77">
        <f ca="1"/>
        <v>0</v>
      </c>
      <c r="AB77">
        <f ca="1"/>
        <v>0</v>
      </c>
      <c r="AC77">
        <f t="shared" ca="1" si="31"/>
        <v>0</v>
      </c>
      <c r="AD77" s="582">
        <f t="shared" ca="1" si="32"/>
        <v>0</v>
      </c>
      <c r="AE77" s="582">
        <f t="shared" ca="1" si="33"/>
        <v>0</v>
      </c>
      <c r="AF77" s="582">
        <f t="shared" ca="1" si="34"/>
        <v>0</v>
      </c>
      <c r="AG77" s="582">
        <f t="shared" ca="1" si="35"/>
        <v>0</v>
      </c>
      <c r="AH77" s="582">
        <f t="shared" ca="1" si="36"/>
        <v>0</v>
      </c>
      <c r="AI77" s="582">
        <f t="shared" ca="1" si="37"/>
        <v>0.67703627749076623</v>
      </c>
      <c r="AJ77" s="582">
        <f t="shared" ca="1" si="38"/>
        <v>0</v>
      </c>
      <c r="AK77" s="582">
        <f t="shared" ca="1" si="39"/>
        <v>0</v>
      </c>
      <c r="AL77" s="582">
        <f t="shared" ca="1" si="40"/>
        <v>0</v>
      </c>
      <c r="AM77" s="582">
        <f t="shared" ca="1" si="41"/>
        <v>0</v>
      </c>
      <c r="AN77" s="582">
        <f t="shared" ca="1" si="42"/>
        <v>0</v>
      </c>
      <c r="AO77" s="582">
        <f t="shared" ca="1" si="43"/>
        <v>0.17301627991566085</v>
      </c>
      <c r="AP77" s="582">
        <f t="shared" ca="1" si="44"/>
        <v>0.14994744259357273</v>
      </c>
      <c r="AQ77" s="582">
        <f t="shared" ca="1" si="45"/>
        <v>0</v>
      </c>
      <c r="AR77" s="582">
        <f t="shared" ca="1" si="46"/>
        <v>0</v>
      </c>
      <c r="AS77" s="582">
        <f t="shared" ca="1" si="47"/>
        <v>0</v>
      </c>
      <c r="AT77" s="582">
        <f t="shared" ca="1" si="48"/>
        <v>0</v>
      </c>
      <c r="AU77" s="582">
        <f t="shared" ca="1" si="49"/>
        <v>0</v>
      </c>
      <c r="AV77" s="582">
        <f t="shared" ca="1" si="50"/>
        <v>0</v>
      </c>
      <c r="AW77" s="582">
        <f t="shared" ca="1" si="51"/>
        <v>0</v>
      </c>
      <c r="AX77" s="582">
        <f t="shared" ca="1" si="52"/>
        <v>0</v>
      </c>
      <c r="AY77" s="582">
        <f t="shared" ca="1" si="53"/>
        <v>0</v>
      </c>
      <c r="AZ77" s="582">
        <f t="shared" ca="1" si="54"/>
        <v>0</v>
      </c>
      <c r="BA77" s="582">
        <f t="shared" ca="1" si="55"/>
        <v>0</v>
      </c>
      <c r="BB77" s="582">
        <f t="shared" ca="1" si="56"/>
        <v>0</v>
      </c>
      <c r="BC77" s="582">
        <f t="shared" ca="1" si="57"/>
        <v>0</v>
      </c>
      <c r="BE77" s="582">
        <f t="shared" ca="1" si="30"/>
        <v>0.99999999999999978</v>
      </c>
    </row>
    <row r="78" spans="1:57" ht="15">
      <c r="A78" s="22">
        <f t="shared" si="58"/>
        <v>2098</v>
      </c>
      <c r="B78" s="586">
        <v>73</v>
      </c>
      <c r="C78" s="583">
        <f ca="1"/>
        <v>0</v>
      </c>
      <c r="D78" s="583">
        <f ca="1"/>
        <v>0</v>
      </c>
      <c r="E78" s="583">
        <f ca="1"/>
        <v>0</v>
      </c>
      <c r="F78" s="583">
        <f ca="1"/>
        <v>0</v>
      </c>
      <c r="G78" s="583">
        <f ca="1"/>
        <v>0</v>
      </c>
      <c r="H78" s="583">
        <f ca="1"/>
        <v>0</v>
      </c>
      <c r="I78" s="583">
        <f ca="1"/>
        <v>0</v>
      </c>
      <c r="J78">
        <f ca="1"/>
        <v>0</v>
      </c>
      <c r="K78">
        <f ca="1"/>
        <v>0</v>
      </c>
      <c r="L78">
        <f ca="1"/>
        <v>0</v>
      </c>
      <c r="M78">
        <f ca="1"/>
        <v>0</v>
      </c>
      <c r="N78">
        <f ca="1"/>
        <v>0</v>
      </c>
      <c r="O78">
        <f ca="1"/>
        <v>0</v>
      </c>
      <c r="P78">
        <f ca="1"/>
        <v>0</v>
      </c>
      <c r="Q78">
        <f ca="1"/>
        <v>0</v>
      </c>
      <c r="R78">
        <f ca="1"/>
        <v>0</v>
      </c>
      <c r="S78">
        <f ca="1"/>
        <v>0</v>
      </c>
      <c r="T78">
        <f ca="1"/>
        <v>0</v>
      </c>
      <c r="U78">
        <f ca="1"/>
        <v>0</v>
      </c>
      <c r="V78">
        <f ca="1"/>
        <v>0</v>
      </c>
      <c r="W78">
        <f ca="1"/>
        <v>0</v>
      </c>
      <c r="X78">
        <f ca="1"/>
        <v>0</v>
      </c>
      <c r="Y78">
        <f ca="1"/>
        <v>0</v>
      </c>
      <c r="Z78">
        <f ca="1"/>
        <v>0</v>
      </c>
      <c r="AA78">
        <f ca="1"/>
        <v>0</v>
      </c>
      <c r="AB78">
        <f ca="1"/>
        <v>0</v>
      </c>
      <c r="AC78">
        <f t="shared" ca="1" si="31"/>
        <v>0</v>
      </c>
      <c r="AD78" s="582">
        <f t="shared" ca="1" si="32"/>
        <v>0</v>
      </c>
      <c r="AE78" s="582">
        <f t="shared" ca="1" si="33"/>
        <v>0</v>
      </c>
      <c r="AF78" s="582">
        <f t="shared" ca="1" si="34"/>
        <v>0</v>
      </c>
      <c r="AG78" s="582">
        <f t="shared" ca="1" si="35"/>
        <v>0</v>
      </c>
      <c r="AH78" s="582">
        <f t="shared" ca="1" si="36"/>
        <v>0</v>
      </c>
      <c r="AI78" s="582">
        <f t="shared" ca="1" si="37"/>
        <v>0.67703627749076623</v>
      </c>
      <c r="AJ78" s="582">
        <f t="shared" ca="1" si="38"/>
        <v>0</v>
      </c>
      <c r="AK78" s="582">
        <f t="shared" ca="1" si="39"/>
        <v>0</v>
      </c>
      <c r="AL78" s="582">
        <f t="shared" ca="1" si="40"/>
        <v>0</v>
      </c>
      <c r="AM78" s="582">
        <f t="shared" ca="1" si="41"/>
        <v>0</v>
      </c>
      <c r="AN78" s="582">
        <f t="shared" ca="1" si="42"/>
        <v>0</v>
      </c>
      <c r="AO78" s="582">
        <f t="shared" ca="1" si="43"/>
        <v>0.17301627991566085</v>
      </c>
      <c r="AP78" s="582">
        <f t="shared" ca="1" si="44"/>
        <v>0.14994744259357273</v>
      </c>
      <c r="AQ78" s="582">
        <f t="shared" ca="1" si="45"/>
        <v>0</v>
      </c>
      <c r="AR78" s="582">
        <f t="shared" ca="1" si="46"/>
        <v>0</v>
      </c>
      <c r="AS78" s="582">
        <f t="shared" ca="1" si="47"/>
        <v>0</v>
      </c>
      <c r="AT78" s="582">
        <f t="shared" ca="1" si="48"/>
        <v>0</v>
      </c>
      <c r="AU78" s="582">
        <f t="shared" ca="1" si="49"/>
        <v>0</v>
      </c>
      <c r="AV78" s="582">
        <f t="shared" ca="1" si="50"/>
        <v>0</v>
      </c>
      <c r="AW78" s="582">
        <f t="shared" ca="1" si="51"/>
        <v>0</v>
      </c>
      <c r="AX78" s="582">
        <f t="shared" ca="1" si="52"/>
        <v>0</v>
      </c>
      <c r="AY78" s="582">
        <f t="shared" ca="1" si="53"/>
        <v>0</v>
      </c>
      <c r="AZ78" s="582">
        <f t="shared" ca="1" si="54"/>
        <v>0</v>
      </c>
      <c r="BA78" s="582">
        <f t="shared" ca="1" si="55"/>
        <v>0</v>
      </c>
      <c r="BB78" s="582">
        <f t="shared" ca="1" si="56"/>
        <v>0</v>
      </c>
      <c r="BC78" s="582">
        <f t="shared" ca="1" si="57"/>
        <v>0</v>
      </c>
      <c r="BE78" s="582">
        <f ca="1">SUM(AD78:BC78)</f>
        <v>0.99999999999999978</v>
      </c>
    </row>
    <row r="79" spans="1:57">
      <c r="C79">
        <f ca="1">SUM(C6:C78)</f>
        <v>0</v>
      </c>
      <c r="D79">
        <f t="shared" ref="D79:AC79" ca="1" si="59">SUM(D6:D78)</f>
        <v>0</v>
      </c>
      <c r="E79">
        <f t="shared" ca="1" si="59"/>
        <v>0</v>
      </c>
      <c r="F79">
        <f t="shared" ca="1" si="59"/>
        <v>0</v>
      </c>
      <c r="G79">
        <f t="shared" ca="1" si="59"/>
        <v>0</v>
      </c>
      <c r="H79">
        <f t="shared" ca="1" si="59"/>
        <v>4.2591466713808056E-2</v>
      </c>
      <c r="I79">
        <f t="shared" ca="1" si="59"/>
        <v>0</v>
      </c>
      <c r="J79">
        <f t="shared" ca="1" si="59"/>
        <v>0</v>
      </c>
      <c r="K79">
        <f t="shared" ca="1" si="59"/>
        <v>0</v>
      </c>
      <c r="L79">
        <f t="shared" ca="1" si="59"/>
        <v>0</v>
      </c>
      <c r="M79">
        <f t="shared" ca="1" si="59"/>
        <v>0</v>
      </c>
      <c r="N79">
        <f t="shared" ca="1" si="59"/>
        <v>1.0884227879613538E-2</v>
      </c>
      <c r="O79">
        <f t="shared" ca="1" si="59"/>
        <v>9.4329974956650665E-3</v>
      </c>
      <c r="P79">
        <f t="shared" ca="1" si="59"/>
        <v>0</v>
      </c>
      <c r="Q79">
        <f t="shared" ca="1" si="59"/>
        <v>0</v>
      </c>
      <c r="R79">
        <f t="shared" ca="1" si="59"/>
        <v>0</v>
      </c>
      <c r="S79">
        <f t="shared" ca="1" si="59"/>
        <v>0</v>
      </c>
      <c r="T79">
        <f t="shared" ca="1" si="59"/>
        <v>0</v>
      </c>
      <c r="U79">
        <f t="shared" ca="1" si="59"/>
        <v>0</v>
      </c>
      <c r="V79">
        <f t="shared" ca="1" si="59"/>
        <v>0</v>
      </c>
      <c r="W79">
        <f t="shared" ca="1" si="59"/>
        <v>0</v>
      </c>
      <c r="X79">
        <f t="shared" ca="1" si="59"/>
        <v>0</v>
      </c>
      <c r="Y79">
        <f t="shared" ca="1" si="59"/>
        <v>0</v>
      </c>
      <c r="Z79">
        <f t="shared" ca="1" si="59"/>
        <v>0</v>
      </c>
      <c r="AA79">
        <f t="shared" ca="1" si="59"/>
        <v>0</v>
      </c>
      <c r="AB79">
        <f t="shared" ca="1" si="59"/>
        <v>0</v>
      </c>
      <c r="AC79">
        <f t="shared" ca="1" si="59"/>
        <v>6.2908692089086671E-2</v>
      </c>
    </row>
  </sheetData>
  <mergeCells count="10">
    <mergeCell ref="AD3:AG3"/>
    <mergeCell ref="AH3:AJ3"/>
    <mergeCell ref="AK3:AN3"/>
    <mergeCell ref="AO3:BC4"/>
    <mergeCell ref="A1:C1"/>
    <mergeCell ref="C3:F3"/>
    <mergeCell ref="G3:I3"/>
    <mergeCell ref="J3:M3"/>
    <mergeCell ref="N3:AB4"/>
    <mergeCell ref="AC3:AC5"/>
  </mergeCells>
  <hyperlinks>
    <hyperlink ref="A1" location="'Table of Contents'!A1" tooltip="Click here to return to the Table of Contents tab" display="Return to Table of Contents" xr:uid="{00000000-0004-0000-2E00-000000000000}"/>
  </hyperlink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X3641"/>
  <sheetViews>
    <sheetView workbookViewId="0">
      <pane ySplit="1" topLeftCell="A2" activePane="bottomLeft" state="frozen"/>
      <selection pane="bottomLeft" activeCell="A2" sqref="A2"/>
    </sheetView>
  </sheetViews>
  <sheetFormatPr defaultRowHeight="12.75"/>
  <cols>
    <col min="1" max="1" width="22" customWidth="1"/>
    <col min="4" max="4" width="10.5703125" bestFit="1" customWidth="1"/>
    <col min="6" max="6" width="20.42578125" customWidth="1"/>
    <col min="7" max="7" width="11.5703125" customWidth="1"/>
  </cols>
  <sheetData>
    <row r="1" spans="1:24">
      <c r="A1" t="s">
        <v>913</v>
      </c>
      <c r="B1" t="s">
        <v>914</v>
      </c>
      <c r="C1" t="s">
        <v>915</v>
      </c>
      <c r="D1" t="s">
        <v>916</v>
      </c>
      <c r="E1" t="s">
        <v>917</v>
      </c>
      <c r="F1" t="s">
        <v>918</v>
      </c>
    </row>
    <row r="2" spans="1:24">
      <c r="A2" t="str">
        <f t="shared" ref="A2:A65" si="0">scenario_name</f>
        <v>GenericE&amp;DtemplateCIandGOA</v>
      </c>
      <c r="B2">
        <v>1</v>
      </c>
      <c r="C2">
        <v>1</v>
      </c>
      <c r="D2" s="649">
        <f ca="1">IF(E2=4,INDEX(crude_exp_dist,MATCH(B2,'Crude Exp Dist'!$B$6:$B$78,0),MATCH(C2,'Crude Exp Dist'!$AD$2:$BC$2,0))*INDEX(crude_exp_by_year,MATCH(B2,'Data Export'!$B$6:$B$78,0),1),IF(E2=5,INDEX(ref_exp_dist,MATCH(B2,'Refined Petro Exp Dist'!$B$6:$B$78,0),MATCH(C2,'Refined Petro Exp Dist'!$AD$2:$BC$2,0))*INDEX(ref_exp_by_year,MATCH(B2,'Data Export'!$B$6:$B$78,0),1)))</f>
        <v>0</v>
      </c>
      <c r="E2">
        <v>4</v>
      </c>
      <c r="F2" t="s">
        <v>158</v>
      </c>
    </row>
    <row r="3" spans="1:24">
      <c r="A3" t="str">
        <f t="shared" si="0"/>
        <v>GenericE&amp;DtemplateCIandGOA</v>
      </c>
      <c r="B3">
        <v>1</v>
      </c>
      <c r="C3">
        <v>2</v>
      </c>
      <c r="D3" s="649">
        <f ca="1">IF(E3=4,INDEX(crude_exp_dist,MATCH(B3,'Crude Exp Dist'!$B$6:$B$78,0),MATCH(C3,'Crude Exp Dist'!$AD$2:$BC$2,0))*INDEX(crude_exp_by_year,MATCH(B3,'Data Export'!$B$6:$B$78,0),1),IF(E3=5,INDEX(ref_exp_dist,MATCH(B3,'Refined Petro Exp Dist'!$B$6:$B$78,0),MATCH(C3,'Refined Petro Exp Dist'!$AD$2:$BC$2,0))*INDEX(ref_exp_by_year,MATCH(B3,'Data Export'!$B$6:$B$78,0),1)))</f>
        <v>0</v>
      </c>
      <c r="E3">
        <v>4</v>
      </c>
      <c r="F3" t="s">
        <v>166</v>
      </c>
      <c r="I3" t="s">
        <v>919</v>
      </c>
    </row>
    <row r="4" spans="1:24">
      <c r="A4" t="str">
        <f t="shared" si="0"/>
        <v>GenericE&amp;DtemplateCIandGOA</v>
      </c>
      <c r="B4">
        <v>1</v>
      </c>
      <c r="C4">
        <v>3</v>
      </c>
      <c r="D4" s="649">
        <f ca="1">IF(E4=4,INDEX(crude_exp_dist,MATCH(B4,'Crude Exp Dist'!$B$6:$B$78,0),MATCH(C4,'Crude Exp Dist'!$AD$2:$BC$2,0))*INDEX(crude_exp_by_year,MATCH(B4,'Data Export'!$B$6:$B$78,0),1),IF(E4=5,INDEX(ref_exp_dist,MATCH(B4,'Refined Petro Exp Dist'!$B$6:$B$78,0),MATCH(C4,'Refined Petro Exp Dist'!$AD$2:$BC$2,0))*INDEX(ref_exp_by_year,MATCH(B4,'Data Export'!$B$6:$B$78,0),1)))</f>
        <v>0</v>
      </c>
      <c r="E4">
        <v>4</v>
      </c>
      <c r="F4" t="s">
        <v>171</v>
      </c>
      <c r="I4" t="s">
        <v>920</v>
      </c>
      <c r="N4" s="353"/>
      <c r="O4" s="353"/>
      <c r="P4" s="353"/>
      <c r="Q4" s="353"/>
      <c r="R4" s="353"/>
      <c r="S4" s="353"/>
      <c r="T4" s="353"/>
      <c r="U4" s="353"/>
      <c r="V4" s="353"/>
      <c r="W4" s="353"/>
      <c r="X4" s="353"/>
    </row>
    <row r="5" spans="1:24">
      <c r="A5" t="str">
        <f t="shared" si="0"/>
        <v>GenericE&amp;DtemplateCIandGOA</v>
      </c>
      <c r="B5">
        <v>1</v>
      </c>
      <c r="C5">
        <v>4</v>
      </c>
      <c r="D5" s="649">
        <f ca="1">IF(E5=4,INDEX(crude_exp_dist,MATCH(B5,'Crude Exp Dist'!$B$6:$B$78,0),MATCH(C5,'Crude Exp Dist'!$AD$2:$BC$2,0))*INDEX(crude_exp_by_year,MATCH(B5,'Data Export'!$B$6:$B$78,0),1),IF(E5=5,INDEX(ref_exp_dist,MATCH(B5,'Refined Petro Exp Dist'!$B$6:$B$78,0),MATCH(C5,'Refined Petro Exp Dist'!$AD$2:$BC$2,0))*INDEX(ref_exp_by_year,MATCH(B5,'Data Export'!$B$6:$B$78,0),1)))</f>
        <v>0</v>
      </c>
      <c r="E5">
        <v>4</v>
      </c>
      <c r="F5" t="s">
        <v>173</v>
      </c>
      <c r="N5" s="353"/>
      <c r="O5" s="353"/>
      <c r="P5" s="353"/>
      <c r="Q5" s="353"/>
      <c r="R5" s="353"/>
      <c r="S5" s="353"/>
      <c r="T5" s="353"/>
      <c r="U5" s="353"/>
      <c r="V5" s="353"/>
      <c r="W5" s="353"/>
      <c r="X5" s="353"/>
    </row>
    <row r="6" spans="1:24">
      <c r="A6" t="str">
        <f t="shared" si="0"/>
        <v>GenericE&amp;DtemplateCIandGOA</v>
      </c>
      <c r="B6">
        <v>1</v>
      </c>
      <c r="C6">
        <v>5</v>
      </c>
      <c r="D6" s="649">
        <f ca="1">IF(E6=4,INDEX(crude_exp_dist,MATCH(B6,'Crude Exp Dist'!$B$6:$B$78,0),MATCH(C6,'Crude Exp Dist'!$AD$2:$BC$2,0))*INDEX(crude_exp_by_year,MATCH(B6,'Data Export'!$B$6:$B$78,0),1),IF(E6=5,INDEX(ref_exp_dist,MATCH(B6,'Refined Petro Exp Dist'!$B$6:$B$78,0),MATCH(C6,'Refined Petro Exp Dist'!$AD$2:$BC$2,0))*INDEX(ref_exp_by_year,MATCH(B6,'Data Export'!$B$6:$B$78,0),1)))</f>
        <v>0</v>
      </c>
      <c r="E6">
        <v>4</v>
      </c>
      <c r="F6" t="s">
        <v>180</v>
      </c>
      <c r="N6" s="353"/>
      <c r="O6" s="353"/>
      <c r="P6" s="353"/>
      <c r="Q6" s="353"/>
      <c r="R6" s="353"/>
      <c r="S6" s="353"/>
      <c r="T6" s="353"/>
      <c r="U6" s="353"/>
      <c r="V6" s="353"/>
      <c r="W6" s="353"/>
      <c r="X6" s="353"/>
    </row>
    <row r="7" spans="1:24">
      <c r="A7" t="str">
        <f t="shared" si="0"/>
        <v>GenericE&amp;DtemplateCIandGOA</v>
      </c>
      <c r="B7">
        <v>1</v>
      </c>
      <c r="C7">
        <v>6</v>
      </c>
      <c r="D7" s="649">
        <f ca="1">IF(E7=4,INDEX(crude_exp_dist,MATCH(B7,'Crude Exp Dist'!$B$6:$B$78,0),MATCH(C7,'Crude Exp Dist'!$AD$2:$BC$2,0))*INDEX(crude_exp_by_year,MATCH(B7,'Data Export'!$B$6:$B$78,0),1),IF(E7=5,INDEX(ref_exp_dist,MATCH(B7,'Refined Petro Exp Dist'!$B$6:$B$78,0),MATCH(C7,'Refined Petro Exp Dist'!$AD$2:$BC$2,0))*INDEX(ref_exp_by_year,MATCH(B7,'Data Export'!$B$6:$B$78,0),1)))</f>
        <v>0</v>
      </c>
      <c r="E7">
        <v>4</v>
      </c>
      <c r="F7" t="s">
        <v>186</v>
      </c>
      <c r="K7" s="353"/>
      <c r="L7" s="353"/>
      <c r="M7" s="353"/>
      <c r="N7" s="353"/>
      <c r="O7" s="353"/>
      <c r="P7" s="353"/>
      <c r="Q7" s="353"/>
      <c r="R7" s="353"/>
      <c r="S7" s="353"/>
      <c r="T7" s="353"/>
      <c r="U7" s="353"/>
      <c r="V7" s="353"/>
      <c r="W7" s="353"/>
      <c r="X7" s="353"/>
    </row>
    <row r="8" spans="1:24">
      <c r="A8" t="str">
        <f t="shared" si="0"/>
        <v>GenericE&amp;DtemplateCIandGOA</v>
      </c>
      <c r="B8">
        <v>1</v>
      </c>
      <c r="C8">
        <v>7</v>
      </c>
      <c r="D8" s="649">
        <f ca="1">IF(E8=4,INDEX(crude_exp_dist,MATCH(B8,'Crude Exp Dist'!$B$6:$B$78,0),MATCH(C8,'Crude Exp Dist'!$AD$2:$BC$2,0))*INDEX(crude_exp_by_year,MATCH(B8,'Data Export'!$B$6:$B$78,0),1),IF(E8=5,INDEX(ref_exp_dist,MATCH(B8,'Refined Petro Exp Dist'!$B$6:$B$78,0),MATCH(C8,'Refined Petro Exp Dist'!$AD$2:$BC$2,0))*INDEX(ref_exp_by_year,MATCH(B8,'Data Export'!$B$6:$B$78,0),1)))</f>
        <v>0</v>
      </c>
      <c r="E8">
        <v>4</v>
      </c>
      <c r="F8" t="s">
        <v>191</v>
      </c>
      <c r="K8" s="353"/>
      <c r="L8" s="353"/>
      <c r="M8" s="353"/>
      <c r="N8" s="353"/>
      <c r="O8" s="353"/>
      <c r="P8" s="353"/>
      <c r="Q8" s="353"/>
      <c r="R8" s="353"/>
      <c r="S8" s="353"/>
      <c r="T8" s="353"/>
      <c r="U8" s="353"/>
      <c r="V8" s="353"/>
      <c r="W8" s="353"/>
      <c r="X8" s="353"/>
    </row>
    <row r="9" spans="1:24">
      <c r="A9" t="str">
        <f t="shared" si="0"/>
        <v>GenericE&amp;DtemplateCIandGOA</v>
      </c>
      <c r="B9">
        <v>1</v>
      </c>
      <c r="C9">
        <v>8</v>
      </c>
      <c r="D9" s="649">
        <f ca="1">IF(E9=4,INDEX(crude_exp_dist,MATCH(B9,'Crude Exp Dist'!$B$6:$B$78,0),MATCH(C9,'Crude Exp Dist'!$AD$2:$BC$2,0))*INDEX(crude_exp_by_year,MATCH(B9,'Data Export'!$B$6:$B$78,0),1),IF(E9=5,INDEX(ref_exp_dist,MATCH(B9,'Refined Petro Exp Dist'!$B$6:$B$78,0),MATCH(C9,'Refined Petro Exp Dist'!$AD$2:$BC$2,0))*INDEX(ref_exp_by_year,MATCH(B9,'Data Export'!$B$6:$B$78,0),1)))</f>
        <v>0</v>
      </c>
      <c r="E9">
        <v>4</v>
      </c>
      <c r="F9" t="s">
        <v>197</v>
      </c>
      <c r="K9" s="353"/>
      <c r="L9" s="353"/>
      <c r="M9" s="353"/>
      <c r="N9" s="353"/>
      <c r="O9" s="353"/>
      <c r="P9" s="353"/>
      <c r="Q9" s="353"/>
      <c r="R9" s="353"/>
      <c r="S9" s="353"/>
      <c r="T9" s="353"/>
      <c r="U9" s="353"/>
      <c r="V9" s="353"/>
      <c r="W9" s="353"/>
      <c r="X9" s="353"/>
    </row>
    <row r="10" spans="1:24">
      <c r="A10" t="str">
        <f t="shared" si="0"/>
        <v>GenericE&amp;DtemplateCIandGOA</v>
      </c>
      <c r="B10">
        <v>1</v>
      </c>
      <c r="C10">
        <v>9</v>
      </c>
      <c r="D10" s="649">
        <f ca="1">IF(E10=4,INDEX(crude_exp_dist,MATCH(B10,'Crude Exp Dist'!$B$6:$B$78,0),MATCH(C10,'Crude Exp Dist'!$AD$2:$BC$2,0))*INDEX(crude_exp_by_year,MATCH(B10,'Data Export'!$B$6:$B$78,0),1),IF(E10=5,INDEX(ref_exp_dist,MATCH(B10,'Refined Petro Exp Dist'!$B$6:$B$78,0),MATCH(C10,'Refined Petro Exp Dist'!$AD$2:$BC$2,0))*INDEX(ref_exp_by_year,MATCH(B10,'Data Export'!$B$6:$B$78,0),1)))</f>
        <v>0</v>
      </c>
      <c r="E10">
        <v>4</v>
      </c>
      <c r="F10" t="s">
        <v>199</v>
      </c>
      <c r="K10" s="353"/>
      <c r="L10" s="353"/>
      <c r="M10" s="353"/>
      <c r="N10" s="353"/>
      <c r="O10" s="353"/>
      <c r="P10" s="353"/>
      <c r="Q10" s="353"/>
      <c r="R10" s="353"/>
      <c r="S10" s="353"/>
      <c r="T10" s="353"/>
      <c r="U10" s="353"/>
      <c r="V10" s="353"/>
      <c r="W10" s="353"/>
      <c r="X10" s="353"/>
    </row>
    <row r="11" spans="1:24">
      <c r="A11" t="str">
        <f t="shared" si="0"/>
        <v>GenericE&amp;DtemplateCIandGOA</v>
      </c>
      <c r="B11">
        <v>1</v>
      </c>
      <c r="C11">
        <v>10</v>
      </c>
      <c r="D11" s="649">
        <f ca="1">IF(E11=4,INDEX(crude_exp_dist,MATCH(B11,'Crude Exp Dist'!$B$6:$B$78,0),MATCH(C11,'Crude Exp Dist'!$AD$2:$BC$2,0))*INDEX(crude_exp_by_year,MATCH(B11,'Data Export'!$B$6:$B$78,0),1),IF(E11=5,INDEX(ref_exp_dist,MATCH(B11,'Refined Petro Exp Dist'!$B$6:$B$78,0),MATCH(C11,'Refined Petro Exp Dist'!$AD$2:$BC$2,0))*INDEX(ref_exp_by_year,MATCH(B11,'Data Export'!$B$6:$B$78,0),1)))</f>
        <v>0</v>
      </c>
      <c r="E11">
        <v>4</v>
      </c>
      <c r="F11" t="s">
        <v>201</v>
      </c>
      <c r="K11" s="353"/>
      <c r="L11" s="353"/>
      <c r="M11" s="353"/>
      <c r="N11" s="353"/>
      <c r="O11" s="353"/>
      <c r="P11" s="353"/>
      <c r="Q11" s="353"/>
      <c r="R11" s="353"/>
      <c r="S11" s="353"/>
      <c r="T11" s="353"/>
      <c r="U11" s="353"/>
      <c r="V11" s="353"/>
      <c r="W11" s="353"/>
      <c r="X11" s="353"/>
    </row>
    <row r="12" spans="1:24">
      <c r="A12" t="str">
        <f t="shared" si="0"/>
        <v>GenericE&amp;DtemplateCIandGOA</v>
      </c>
      <c r="B12">
        <v>1</v>
      </c>
      <c r="C12">
        <v>11</v>
      </c>
      <c r="D12" s="649">
        <f ca="1">IF(E12=4,INDEX(crude_exp_dist,MATCH(B12,'Crude Exp Dist'!$B$6:$B$78,0),MATCH(C12,'Crude Exp Dist'!$AD$2:$BC$2,0))*INDEX(crude_exp_by_year,MATCH(B12,'Data Export'!$B$6:$B$78,0),1),IF(E12=5,INDEX(ref_exp_dist,MATCH(B12,'Refined Petro Exp Dist'!$B$6:$B$78,0),MATCH(C12,'Refined Petro Exp Dist'!$AD$2:$BC$2,0))*INDEX(ref_exp_by_year,MATCH(B12,'Data Export'!$B$6:$B$78,0),1)))</f>
        <v>0</v>
      </c>
      <c r="E12">
        <v>4</v>
      </c>
      <c r="F12" t="s">
        <v>921</v>
      </c>
      <c r="K12" s="353"/>
      <c r="L12" s="353"/>
      <c r="M12" s="353"/>
      <c r="N12" s="353"/>
      <c r="O12" s="353"/>
      <c r="P12" s="353"/>
      <c r="Q12" s="353"/>
      <c r="R12" s="353"/>
      <c r="S12" s="353"/>
      <c r="T12" s="353"/>
      <c r="U12" s="353"/>
      <c r="V12" s="353"/>
      <c r="W12" s="353"/>
      <c r="X12" s="353"/>
    </row>
    <row r="13" spans="1:24">
      <c r="A13" t="str">
        <f t="shared" si="0"/>
        <v>GenericE&amp;DtemplateCIandGOA</v>
      </c>
      <c r="B13">
        <v>1</v>
      </c>
      <c r="C13">
        <v>12</v>
      </c>
      <c r="D13" s="649">
        <f ca="1">IF(E13=4,INDEX(crude_exp_dist,MATCH(B13,'Crude Exp Dist'!$B$6:$B$78,0),MATCH(C13,'Crude Exp Dist'!$AD$2:$BC$2,0))*INDEX(crude_exp_by_year,MATCH(B13,'Data Export'!$B$6:$B$78,0),1),IF(E13=5,INDEX(ref_exp_dist,MATCH(B13,'Refined Petro Exp Dist'!$B$6:$B$78,0),MATCH(C13,'Refined Petro Exp Dist'!$AD$2:$BC$2,0))*INDEX(ref_exp_by_year,MATCH(B13,'Data Export'!$B$6:$B$78,0),1)))</f>
        <v>0</v>
      </c>
      <c r="E13">
        <v>4</v>
      </c>
      <c r="F13" t="s">
        <v>208</v>
      </c>
      <c r="N13" s="353"/>
      <c r="O13" s="353"/>
      <c r="P13" s="353"/>
      <c r="Q13" s="353"/>
      <c r="R13" s="353"/>
      <c r="S13" s="353"/>
      <c r="T13" s="353"/>
      <c r="U13" s="353"/>
      <c r="V13" s="353"/>
      <c r="W13" s="353"/>
      <c r="X13" s="353"/>
    </row>
    <row r="14" spans="1:24">
      <c r="A14" t="str">
        <f t="shared" si="0"/>
        <v>GenericE&amp;DtemplateCIandGOA</v>
      </c>
      <c r="B14">
        <v>1</v>
      </c>
      <c r="C14">
        <v>13</v>
      </c>
      <c r="D14" s="649">
        <f ca="1">IF(E14=4,INDEX(crude_exp_dist,MATCH(B14,'Crude Exp Dist'!$B$6:$B$78,0),MATCH(C14,'Crude Exp Dist'!$AD$2:$BC$2,0))*INDEX(crude_exp_by_year,MATCH(B14,'Data Export'!$B$6:$B$78,0),1),IF(E14=5,INDEX(ref_exp_dist,MATCH(B14,'Refined Petro Exp Dist'!$B$6:$B$78,0),MATCH(C14,'Refined Petro Exp Dist'!$AD$2:$BC$2,0))*INDEX(ref_exp_by_year,MATCH(B14,'Data Export'!$B$6:$B$78,0),1)))</f>
        <v>0</v>
      </c>
      <c r="E14">
        <v>4</v>
      </c>
      <c r="F14" t="s">
        <v>211</v>
      </c>
      <c r="N14" s="353"/>
      <c r="O14" s="353"/>
      <c r="P14" s="353"/>
      <c r="Q14" s="353"/>
      <c r="R14" s="353"/>
      <c r="S14" s="353"/>
      <c r="T14" s="353"/>
      <c r="U14" s="353"/>
      <c r="V14" s="353"/>
      <c r="W14" s="353"/>
      <c r="X14" s="353"/>
    </row>
    <row r="15" spans="1:24">
      <c r="A15" t="str">
        <f t="shared" si="0"/>
        <v>GenericE&amp;DtemplateCIandGOA</v>
      </c>
      <c r="B15">
        <v>1</v>
      </c>
      <c r="C15">
        <v>14</v>
      </c>
      <c r="D15" s="649">
        <f ca="1">IF(E15=4,INDEX(crude_exp_dist,MATCH(B15,'Crude Exp Dist'!$B$6:$B$78,0),MATCH(C15,'Crude Exp Dist'!$AD$2:$BC$2,0))*INDEX(crude_exp_by_year,MATCH(B15,'Data Export'!$B$6:$B$78,0),1),IF(E15=5,INDEX(ref_exp_dist,MATCH(B15,'Refined Petro Exp Dist'!$B$6:$B$78,0),MATCH(C15,'Refined Petro Exp Dist'!$AD$2:$BC$2,0))*INDEX(ref_exp_by_year,MATCH(B15,'Data Export'!$B$6:$B$78,0),1)))</f>
        <v>0</v>
      </c>
      <c r="E15">
        <v>4</v>
      </c>
      <c r="F15" t="s">
        <v>213</v>
      </c>
      <c r="N15" s="353"/>
      <c r="O15" s="353"/>
      <c r="P15" s="353"/>
      <c r="Q15" s="353"/>
      <c r="R15" s="353"/>
      <c r="S15" s="353"/>
      <c r="T15" s="353"/>
      <c r="U15" s="353"/>
      <c r="V15" s="353"/>
      <c r="W15" s="353"/>
      <c r="X15" s="353"/>
    </row>
    <row r="16" spans="1:24">
      <c r="A16" t="str">
        <f t="shared" si="0"/>
        <v>GenericE&amp;DtemplateCIandGOA</v>
      </c>
      <c r="B16">
        <v>1</v>
      </c>
      <c r="C16">
        <v>15</v>
      </c>
      <c r="D16" s="649">
        <f ca="1">IF(E16=4,INDEX(crude_exp_dist,MATCH(B16,'Crude Exp Dist'!$B$6:$B$78,0),MATCH(C16,'Crude Exp Dist'!$AD$2:$BC$2,0))*INDEX(crude_exp_by_year,MATCH(B16,'Data Export'!$B$6:$B$78,0),1),IF(E16=5,INDEX(ref_exp_dist,MATCH(B16,'Refined Petro Exp Dist'!$B$6:$B$78,0),MATCH(C16,'Refined Petro Exp Dist'!$AD$2:$BC$2,0))*INDEX(ref_exp_by_year,MATCH(B16,'Data Export'!$B$6:$B$78,0),1)))</f>
        <v>0</v>
      </c>
      <c r="E16">
        <v>4</v>
      </c>
      <c r="F16" t="s">
        <v>215</v>
      </c>
    </row>
    <row r="17" spans="1:6">
      <c r="A17" t="str">
        <f t="shared" si="0"/>
        <v>GenericE&amp;DtemplateCIandGOA</v>
      </c>
      <c r="B17">
        <v>1</v>
      </c>
      <c r="C17">
        <v>16</v>
      </c>
      <c r="D17" s="649">
        <f ca="1">IF(E17=4,INDEX(crude_exp_dist,MATCH(B17,'Crude Exp Dist'!$B$6:$B$78,0),MATCH(C17,'Crude Exp Dist'!$AD$2:$BC$2,0))*INDEX(crude_exp_by_year,MATCH(B17,'Data Export'!$B$6:$B$78,0),1),IF(E17=5,INDEX(ref_exp_dist,MATCH(B17,'Refined Petro Exp Dist'!$B$6:$B$78,0),MATCH(C17,'Refined Petro Exp Dist'!$AD$2:$BC$2,0))*INDEX(ref_exp_by_year,MATCH(B17,'Data Export'!$B$6:$B$78,0),1)))</f>
        <v>0</v>
      </c>
      <c r="E17">
        <v>4</v>
      </c>
      <c r="F17" t="s">
        <v>219</v>
      </c>
    </row>
    <row r="18" spans="1:6">
      <c r="A18" t="str">
        <f t="shared" si="0"/>
        <v>GenericE&amp;DtemplateCIandGOA</v>
      </c>
      <c r="B18">
        <v>1</v>
      </c>
      <c r="C18">
        <v>17</v>
      </c>
      <c r="D18" s="649">
        <f ca="1">IF(E18=4,INDEX(crude_exp_dist,MATCH(B18,'Crude Exp Dist'!$B$6:$B$78,0),MATCH(C18,'Crude Exp Dist'!$AD$2:$BC$2,0))*INDEX(crude_exp_by_year,MATCH(B18,'Data Export'!$B$6:$B$78,0),1),IF(E18=5,INDEX(ref_exp_dist,MATCH(B18,'Refined Petro Exp Dist'!$B$6:$B$78,0),MATCH(C18,'Refined Petro Exp Dist'!$AD$2:$BC$2,0))*INDEX(ref_exp_by_year,MATCH(B18,'Data Export'!$B$6:$B$78,0),1)))</f>
        <v>0</v>
      </c>
      <c r="E18">
        <v>4</v>
      </c>
      <c r="F18" t="s">
        <v>222</v>
      </c>
    </row>
    <row r="19" spans="1:6">
      <c r="A19" t="str">
        <f t="shared" si="0"/>
        <v>GenericE&amp;DtemplateCIandGOA</v>
      </c>
      <c r="B19">
        <v>1</v>
      </c>
      <c r="C19">
        <v>18</v>
      </c>
      <c r="D19" s="649">
        <f ca="1">IF(E19=4,INDEX(crude_exp_dist,MATCH(B19,'Crude Exp Dist'!$B$6:$B$78,0),MATCH(C19,'Crude Exp Dist'!$AD$2:$BC$2,0))*INDEX(crude_exp_by_year,MATCH(B19,'Data Export'!$B$6:$B$78,0),1),IF(E19=5,INDEX(ref_exp_dist,MATCH(B19,'Refined Petro Exp Dist'!$B$6:$B$78,0),MATCH(C19,'Refined Petro Exp Dist'!$AD$2:$BC$2,0))*INDEX(ref_exp_by_year,MATCH(B19,'Data Export'!$B$6:$B$78,0),1)))</f>
        <v>0</v>
      </c>
      <c r="E19">
        <v>4</v>
      </c>
      <c r="F19" t="s">
        <v>224</v>
      </c>
    </row>
    <row r="20" spans="1:6">
      <c r="A20" t="str">
        <f t="shared" si="0"/>
        <v>GenericE&amp;DtemplateCIandGOA</v>
      </c>
      <c r="B20">
        <v>1</v>
      </c>
      <c r="C20">
        <v>19</v>
      </c>
      <c r="D20" s="649">
        <f ca="1">IF(E20=4,INDEX(crude_exp_dist,MATCH(B20,'Crude Exp Dist'!$B$6:$B$78,0),MATCH(C20,'Crude Exp Dist'!$AD$2:$BC$2,0))*INDEX(crude_exp_by_year,MATCH(B20,'Data Export'!$B$6:$B$78,0),1),IF(E20=5,INDEX(ref_exp_dist,MATCH(B20,'Refined Petro Exp Dist'!$B$6:$B$78,0),MATCH(C20,'Refined Petro Exp Dist'!$AD$2:$BC$2,0))*INDEX(ref_exp_by_year,MATCH(B20,'Data Export'!$B$6:$B$78,0),1)))</f>
        <v>0</v>
      </c>
      <c r="E20">
        <v>4</v>
      </c>
      <c r="F20" t="s">
        <v>228</v>
      </c>
    </row>
    <row r="21" spans="1:6">
      <c r="A21" t="str">
        <f t="shared" si="0"/>
        <v>GenericE&amp;DtemplateCIandGOA</v>
      </c>
      <c r="B21">
        <v>1</v>
      </c>
      <c r="C21">
        <v>20</v>
      </c>
      <c r="D21" s="649">
        <f ca="1">IF(E21=4,INDEX(crude_exp_dist,MATCH(B21,'Crude Exp Dist'!$B$6:$B$78,0),MATCH(C21,'Crude Exp Dist'!$AD$2:$BC$2,0))*INDEX(crude_exp_by_year,MATCH(B21,'Data Export'!$B$6:$B$78,0),1),IF(E21=5,INDEX(ref_exp_dist,MATCH(B21,'Refined Petro Exp Dist'!$B$6:$B$78,0),MATCH(C21,'Refined Petro Exp Dist'!$AD$2:$BC$2,0))*INDEX(ref_exp_by_year,MATCH(B21,'Data Export'!$B$6:$B$78,0),1)))</f>
        <v>0</v>
      </c>
      <c r="E21">
        <v>4</v>
      </c>
      <c r="F21" t="s">
        <v>231</v>
      </c>
    </row>
    <row r="22" spans="1:6">
      <c r="A22" t="str">
        <f t="shared" si="0"/>
        <v>GenericE&amp;DtemplateCIandGOA</v>
      </c>
      <c r="B22">
        <v>1</v>
      </c>
      <c r="C22">
        <v>21</v>
      </c>
      <c r="D22" s="649">
        <f ca="1">IF(E22=4,INDEX(crude_exp_dist,MATCH(B22,'Crude Exp Dist'!$B$6:$B$78,0),MATCH(C22,'Crude Exp Dist'!$AD$2:$BC$2,0))*INDEX(crude_exp_by_year,MATCH(B22,'Data Export'!$B$6:$B$78,0),1),IF(E22=5,INDEX(ref_exp_dist,MATCH(B22,'Refined Petro Exp Dist'!$B$6:$B$78,0),MATCH(C22,'Refined Petro Exp Dist'!$AD$2:$BC$2,0))*INDEX(ref_exp_by_year,MATCH(B22,'Data Export'!$B$6:$B$78,0),1)))</f>
        <v>0</v>
      </c>
      <c r="E22">
        <v>4</v>
      </c>
      <c r="F22" t="s">
        <v>232</v>
      </c>
    </row>
    <row r="23" spans="1:6">
      <c r="A23" t="str">
        <f t="shared" si="0"/>
        <v>GenericE&amp;DtemplateCIandGOA</v>
      </c>
      <c r="B23">
        <v>1</v>
      </c>
      <c r="C23">
        <v>22</v>
      </c>
      <c r="D23" s="649">
        <f ca="1">IF(E23=4,INDEX(crude_exp_dist,MATCH(B23,'Crude Exp Dist'!$B$6:$B$78,0),MATCH(C23,'Crude Exp Dist'!$AD$2:$BC$2,0))*INDEX(crude_exp_by_year,MATCH(B23,'Data Export'!$B$6:$B$78,0),1),IF(E23=5,INDEX(ref_exp_dist,MATCH(B23,'Refined Petro Exp Dist'!$B$6:$B$78,0),MATCH(C23,'Refined Petro Exp Dist'!$AD$2:$BC$2,0))*INDEX(ref_exp_by_year,MATCH(B23,'Data Export'!$B$6:$B$78,0),1)))</f>
        <v>0</v>
      </c>
      <c r="E23">
        <v>4</v>
      </c>
      <c r="F23" t="s">
        <v>235</v>
      </c>
    </row>
    <row r="24" spans="1:6">
      <c r="A24" t="str">
        <f t="shared" si="0"/>
        <v>GenericE&amp;DtemplateCIandGOA</v>
      </c>
      <c r="B24">
        <v>1</v>
      </c>
      <c r="C24">
        <v>23</v>
      </c>
      <c r="D24" s="649">
        <f ca="1">IF(E24=4,INDEX(crude_exp_dist,MATCH(B24,'Crude Exp Dist'!$B$6:$B$78,0),MATCH(C24,'Crude Exp Dist'!$AD$2:$BC$2,0))*INDEX(crude_exp_by_year,MATCH(B24,'Data Export'!$B$6:$B$78,0),1),IF(E24=5,INDEX(ref_exp_dist,MATCH(B24,'Refined Petro Exp Dist'!$B$6:$B$78,0),MATCH(C24,'Refined Petro Exp Dist'!$AD$2:$BC$2,0))*INDEX(ref_exp_by_year,MATCH(B24,'Data Export'!$B$6:$B$78,0),1)))</f>
        <v>0</v>
      </c>
      <c r="E24">
        <v>4</v>
      </c>
      <c r="F24" t="s">
        <v>237</v>
      </c>
    </row>
    <row r="25" spans="1:6">
      <c r="A25" t="str">
        <f t="shared" si="0"/>
        <v>GenericE&amp;DtemplateCIandGOA</v>
      </c>
      <c r="B25">
        <v>1</v>
      </c>
      <c r="C25">
        <v>24</v>
      </c>
      <c r="D25" s="649">
        <f ca="1">IF(E25=4,INDEX(crude_exp_dist,MATCH(B25,'Crude Exp Dist'!$B$6:$B$78,0),MATCH(C25,'Crude Exp Dist'!$AD$2:$BC$2,0))*INDEX(crude_exp_by_year,MATCH(B25,'Data Export'!$B$6:$B$78,0),1),IF(E25=5,INDEX(ref_exp_dist,MATCH(B25,'Refined Petro Exp Dist'!$B$6:$B$78,0),MATCH(C25,'Refined Petro Exp Dist'!$AD$2:$BC$2,0))*INDEX(ref_exp_by_year,MATCH(B25,'Data Export'!$B$6:$B$78,0),1)))</f>
        <v>0</v>
      </c>
      <c r="E25">
        <v>4</v>
      </c>
      <c r="F25" t="s">
        <v>239</v>
      </c>
    </row>
    <row r="26" spans="1:6">
      <c r="A26" t="str">
        <f t="shared" si="0"/>
        <v>GenericE&amp;DtemplateCIandGOA</v>
      </c>
      <c r="B26">
        <v>1</v>
      </c>
      <c r="C26">
        <v>25</v>
      </c>
      <c r="D26" s="649">
        <f ca="1">IF(E26=4,INDEX(crude_exp_dist,MATCH(B26,'Crude Exp Dist'!$B$6:$B$78,0),MATCH(C26,'Crude Exp Dist'!$AD$2:$BC$2,0))*INDEX(crude_exp_by_year,MATCH(B26,'Data Export'!$B$6:$B$78,0),1),IF(E26=5,INDEX(ref_exp_dist,MATCH(B26,'Refined Petro Exp Dist'!$B$6:$B$78,0),MATCH(C26,'Refined Petro Exp Dist'!$AD$2:$BC$2,0))*INDEX(ref_exp_by_year,MATCH(B26,'Data Export'!$B$6:$B$78,0),1)))</f>
        <v>0</v>
      </c>
      <c r="E26">
        <v>4</v>
      </c>
      <c r="F26" t="s">
        <v>242</v>
      </c>
    </row>
    <row r="27" spans="1:6">
      <c r="A27" t="str">
        <f t="shared" si="0"/>
        <v>GenericE&amp;DtemplateCIandGOA</v>
      </c>
      <c r="B27">
        <v>1</v>
      </c>
      <c r="C27">
        <v>26</v>
      </c>
      <c r="D27" s="649">
        <f ca="1">IF(E27=4,INDEX(crude_exp_dist,MATCH(B27,'Crude Exp Dist'!$B$6:$B$78,0),MATCH(C27,'Crude Exp Dist'!$AD$2:$BC$2,0))*INDEX(crude_exp_by_year,MATCH(B27,'Data Export'!$B$6:$B$78,0),1),IF(E27=5,INDEX(ref_exp_dist,MATCH(B27,'Refined Petro Exp Dist'!$B$6:$B$78,0),MATCH(C27,'Refined Petro Exp Dist'!$AD$2:$BC$2,0))*INDEX(ref_exp_by_year,MATCH(B27,'Data Export'!$B$6:$B$78,0),1)))</f>
        <v>0</v>
      </c>
      <c r="E27">
        <v>4</v>
      </c>
      <c r="F27" t="s">
        <v>245</v>
      </c>
    </row>
    <row r="28" spans="1:6">
      <c r="A28" t="str">
        <f t="shared" si="0"/>
        <v>GenericE&amp;DtemplateCIandGOA</v>
      </c>
      <c r="B28">
        <v>2</v>
      </c>
      <c r="C28">
        <v>1</v>
      </c>
      <c r="D28" s="649">
        <f ca="1">IF(E28=4,INDEX(crude_exp_dist,MATCH(B28,'Crude Exp Dist'!$B$6:$B$78,0),MATCH(C28,'Crude Exp Dist'!$AD$2:$BC$2,0))*INDEX(crude_exp_by_year,MATCH(B28,'Data Export'!$B$6:$B$78,0),1),IF(E28=5,INDEX(ref_exp_dist,MATCH(B28,'Refined Petro Exp Dist'!$B$6:$B$78,0),MATCH(C28,'Refined Petro Exp Dist'!$AD$2:$BC$2,0))*INDEX(ref_exp_by_year,MATCH(B28,'Data Export'!$B$6:$B$78,0),1)))</f>
        <v>0</v>
      </c>
      <c r="E28">
        <v>4</v>
      </c>
      <c r="F28" t="s">
        <v>158</v>
      </c>
    </row>
    <row r="29" spans="1:6">
      <c r="A29" t="str">
        <f t="shared" si="0"/>
        <v>GenericE&amp;DtemplateCIandGOA</v>
      </c>
      <c r="B29">
        <v>2</v>
      </c>
      <c r="C29">
        <v>2</v>
      </c>
      <c r="D29" s="649">
        <f ca="1">IF(E29=4,INDEX(crude_exp_dist,MATCH(B29,'Crude Exp Dist'!$B$6:$B$78,0),MATCH(C29,'Crude Exp Dist'!$AD$2:$BC$2,0))*INDEX(crude_exp_by_year,MATCH(B29,'Data Export'!$B$6:$B$78,0),1),IF(E29=5,INDEX(ref_exp_dist,MATCH(B29,'Refined Petro Exp Dist'!$B$6:$B$78,0),MATCH(C29,'Refined Petro Exp Dist'!$AD$2:$BC$2,0))*INDEX(ref_exp_by_year,MATCH(B29,'Data Export'!$B$6:$B$78,0),1)))</f>
        <v>0</v>
      </c>
      <c r="E29">
        <v>4</v>
      </c>
      <c r="F29" t="s">
        <v>166</v>
      </c>
    </row>
    <row r="30" spans="1:6">
      <c r="A30" t="str">
        <f t="shared" si="0"/>
        <v>GenericE&amp;DtemplateCIandGOA</v>
      </c>
      <c r="B30">
        <v>2</v>
      </c>
      <c r="C30">
        <v>3</v>
      </c>
      <c r="D30" s="649">
        <f ca="1">IF(E30=4,INDEX(crude_exp_dist,MATCH(B30,'Crude Exp Dist'!$B$6:$B$78,0),MATCH(C30,'Crude Exp Dist'!$AD$2:$BC$2,0))*INDEX(crude_exp_by_year,MATCH(B30,'Data Export'!$B$6:$B$78,0),1),IF(E30=5,INDEX(ref_exp_dist,MATCH(B30,'Refined Petro Exp Dist'!$B$6:$B$78,0),MATCH(C30,'Refined Petro Exp Dist'!$AD$2:$BC$2,0))*INDEX(ref_exp_by_year,MATCH(B30,'Data Export'!$B$6:$B$78,0),1)))</f>
        <v>0</v>
      </c>
      <c r="E30">
        <v>4</v>
      </c>
      <c r="F30" t="s">
        <v>171</v>
      </c>
    </row>
    <row r="31" spans="1:6">
      <c r="A31" t="str">
        <f t="shared" si="0"/>
        <v>GenericE&amp;DtemplateCIandGOA</v>
      </c>
      <c r="B31">
        <v>2</v>
      </c>
      <c r="C31">
        <v>4</v>
      </c>
      <c r="D31" s="649">
        <f ca="1">IF(E31=4,INDEX(crude_exp_dist,MATCH(B31,'Crude Exp Dist'!$B$6:$B$78,0),MATCH(C31,'Crude Exp Dist'!$AD$2:$BC$2,0))*INDEX(crude_exp_by_year,MATCH(B31,'Data Export'!$B$6:$B$78,0),1),IF(E31=5,INDEX(ref_exp_dist,MATCH(B31,'Refined Petro Exp Dist'!$B$6:$B$78,0),MATCH(C31,'Refined Petro Exp Dist'!$AD$2:$BC$2,0))*INDEX(ref_exp_by_year,MATCH(B31,'Data Export'!$B$6:$B$78,0),1)))</f>
        <v>0</v>
      </c>
      <c r="E31">
        <v>4</v>
      </c>
      <c r="F31" t="s">
        <v>173</v>
      </c>
    </row>
    <row r="32" spans="1:6">
      <c r="A32" t="str">
        <f t="shared" si="0"/>
        <v>GenericE&amp;DtemplateCIandGOA</v>
      </c>
      <c r="B32">
        <v>2</v>
      </c>
      <c r="C32">
        <v>5</v>
      </c>
      <c r="D32" s="649">
        <f ca="1">IF(E32=4,INDEX(crude_exp_dist,MATCH(B32,'Crude Exp Dist'!$B$6:$B$78,0),MATCH(C32,'Crude Exp Dist'!$AD$2:$BC$2,0))*INDEX(crude_exp_by_year,MATCH(B32,'Data Export'!$B$6:$B$78,0),1),IF(E32=5,INDEX(ref_exp_dist,MATCH(B32,'Refined Petro Exp Dist'!$B$6:$B$78,0),MATCH(C32,'Refined Petro Exp Dist'!$AD$2:$BC$2,0))*INDEX(ref_exp_by_year,MATCH(B32,'Data Export'!$B$6:$B$78,0),1)))</f>
        <v>0</v>
      </c>
      <c r="E32">
        <v>4</v>
      </c>
      <c r="F32" t="s">
        <v>180</v>
      </c>
    </row>
    <row r="33" spans="1:6">
      <c r="A33" t="str">
        <f t="shared" si="0"/>
        <v>GenericE&amp;DtemplateCIandGOA</v>
      </c>
      <c r="B33">
        <v>2</v>
      </c>
      <c r="C33">
        <v>6</v>
      </c>
      <c r="D33" s="649">
        <f ca="1">IF(E33=4,INDEX(crude_exp_dist,MATCH(B33,'Crude Exp Dist'!$B$6:$B$78,0),MATCH(C33,'Crude Exp Dist'!$AD$2:$BC$2,0))*INDEX(crude_exp_by_year,MATCH(B33,'Data Export'!$B$6:$B$78,0),1),IF(E33=5,INDEX(ref_exp_dist,MATCH(B33,'Refined Petro Exp Dist'!$B$6:$B$78,0),MATCH(C33,'Refined Petro Exp Dist'!$AD$2:$BC$2,0))*INDEX(ref_exp_by_year,MATCH(B33,'Data Export'!$B$6:$B$78,0),1)))</f>
        <v>0</v>
      </c>
      <c r="E33">
        <v>4</v>
      </c>
      <c r="F33" t="s">
        <v>186</v>
      </c>
    </row>
    <row r="34" spans="1:6">
      <c r="A34" t="str">
        <f t="shared" si="0"/>
        <v>GenericE&amp;DtemplateCIandGOA</v>
      </c>
      <c r="B34">
        <v>2</v>
      </c>
      <c r="C34">
        <v>7</v>
      </c>
      <c r="D34" s="649">
        <f ca="1">IF(E34=4,INDEX(crude_exp_dist,MATCH(B34,'Crude Exp Dist'!$B$6:$B$78,0),MATCH(C34,'Crude Exp Dist'!$AD$2:$BC$2,0))*INDEX(crude_exp_by_year,MATCH(B34,'Data Export'!$B$6:$B$78,0),1),IF(E34=5,INDEX(ref_exp_dist,MATCH(B34,'Refined Petro Exp Dist'!$B$6:$B$78,0),MATCH(C34,'Refined Petro Exp Dist'!$AD$2:$BC$2,0))*INDEX(ref_exp_by_year,MATCH(B34,'Data Export'!$B$6:$B$78,0),1)))</f>
        <v>0</v>
      </c>
      <c r="E34">
        <v>4</v>
      </c>
      <c r="F34" t="s">
        <v>191</v>
      </c>
    </row>
    <row r="35" spans="1:6">
      <c r="A35" t="str">
        <f t="shared" si="0"/>
        <v>GenericE&amp;DtemplateCIandGOA</v>
      </c>
      <c r="B35">
        <v>2</v>
      </c>
      <c r="C35">
        <v>8</v>
      </c>
      <c r="D35" s="649">
        <f ca="1">IF(E35=4,INDEX(crude_exp_dist,MATCH(B35,'Crude Exp Dist'!$B$6:$B$78,0),MATCH(C35,'Crude Exp Dist'!$AD$2:$BC$2,0))*INDEX(crude_exp_by_year,MATCH(B35,'Data Export'!$B$6:$B$78,0),1),IF(E35=5,INDEX(ref_exp_dist,MATCH(B35,'Refined Petro Exp Dist'!$B$6:$B$78,0),MATCH(C35,'Refined Petro Exp Dist'!$AD$2:$BC$2,0))*INDEX(ref_exp_by_year,MATCH(B35,'Data Export'!$B$6:$B$78,0),1)))</f>
        <v>0</v>
      </c>
      <c r="E35">
        <v>4</v>
      </c>
      <c r="F35" t="s">
        <v>197</v>
      </c>
    </row>
    <row r="36" spans="1:6">
      <c r="A36" t="str">
        <f t="shared" si="0"/>
        <v>GenericE&amp;DtemplateCIandGOA</v>
      </c>
      <c r="B36">
        <v>2</v>
      </c>
      <c r="C36">
        <v>9</v>
      </c>
      <c r="D36" s="649">
        <f ca="1">IF(E36=4,INDEX(crude_exp_dist,MATCH(B36,'Crude Exp Dist'!$B$6:$B$78,0),MATCH(C36,'Crude Exp Dist'!$AD$2:$BC$2,0))*INDEX(crude_exp_by_year,MATCH(B36,'Data Export'!$B$6:$B$78,0),1),IF(E36=5,INDEX(ref_exp_dist,MATCH(B36,'Refined Petro Exp Dist'!$B$6:$B$78,0),MATCH(C36,'Refined Petro Exp Dist'!$AD$2:$BC$2,0))*INDEX(ref_exp_by_year,MATCH(B36,'Data Export'!$B$6:$B$78,0),1)))</f>
        <v>0</v>
      </c>
      <c r="E36">
        <v>4</v>
      </c>
      <c r="F36" t="s">
        <v>199</v>
      </c>
    </row>
    <row r="37" spans="1:6">
      <c r="A37" t="str">
        <f t="shared" si="0"/>
        <v>GenericE&amp;DtemplateCIandGOA</v>
      </c>
      <c r="B37">
        <v>2</v>
      </c>
      <c r="C37">
        <v>10</v>
      </c>
      <c r="D37" s="649">
        <f ca="1">IF(E37=4,INDEX(crude_exp_dist,MATCH(B37,'Crude Exp Dist'!$B$6:$B$78,0),MATCH(C37,'Crude Exp Dist'!$AD$2:$BC$2,0))*INDEX(crude_exp_by_year,MATCH(B37,'Data Export'!$B$6:$B$78,0),1),IF(E37=5,INDEX(ref_exp_dist,MATCH(B37,'Refined Petro Exp Dist'!$B$6:$B$78,0),MATCH(C37,'Refined Petro Exp Dist'!$AD$2:$BC$2,0))*INDEX(ref_exp_by_year,MATCH(B37,'Data Export'!$B$6:$B$78,0),1)))</f>
        <v>0</v>
      </c>
      <c r="E37">
        <v>4</v>
      </c>
      <c r="F37" t="s">
        <v>201</v>
      </c>
    </row>
    <row r="38" spans="1:6">
      <c r="A38" t="str">
        <f t="shared" si="0"/>
        <v>GenericE&amp;DtemplateCIandGOA</v>
      </c>
      <c r="B38">
        <v>2</v>
      </c>
      <c r="C38">
        <v>11</v>
      </c>
      <c r="D38" s="649">
        <f ca="1">IF(E38=4,INDEX(crude_exp_dist,MATCH(B38,'Crude Exp Dist'!$B$6:$B$78,0),MATCH(C38,'Crude Exp Dist'!$AD$2:$BC$2,0))*INDEX(crude_exp_by_year,MATCH(B38,'Data Export'!$B$6:$B$78,0),1),IF(E38=5,INDEX(ref_exp_dist,MATCH(B38,'Refined Petro Exp Dist'!$B$6:$B$78,0),MATCH(C38,'Refined Petro Exp Dist'!$AD$2:$BC$2,0))*INDEX(ref_exp_by_year,MATCH(B38,'Data Export'!$B$6:$B$78,0),1)))</f>
        <v>0</v>
      </c>
      <c r="E38">
        <v>4</v>
      </c>
      <c r="F38" t="s">
        <v>921</v>
      </c>
    </row>
    <row r="39" spans="1:6">
      <c r="A39" t="str">
        <f t="shared" si="0"/>
        <v>GenericE&amp;DtemplateCIandGOA</v>
      </c>
      <c r="B39">
        <v>2</v>
      </c>
      <c r="C39">
        <v>12</v>
      </c>
      <c r="D39" s="649">
        <f ca="1">IF(E39=4,INDEX(crude_exp_dist,MATCH(B39,'Crude Exp Dist'!$B$6:$B$78,0),MATCH(C39,'Crude Exp Dist'!$AD$2:$BC$2,0))*INDEX(crude_exp_by_year,MATCH(B39,'Data Export'!$B$6:$B$78,0),1),IF(E39=5,INDEX(ref_exp_dist,MATCH(B39,'Refined Petro Exp Dist'!$B$6:$B$78,0),MATCH(C39,'Refined Petro Exp Dist'!$AD$2:$BC$2,0))*INDEX(ref_exp_by_year,MATCH(B39,'Data Export'!$B$6:$B$78,0),1)))</f>
        <v>0</v>
      </c>
      <c r="E39">
        <v>4</v>
      </c>
      <c r="F39" t="s">
        <v>208</v>
      </c>
    </row>
    <row r="40" spans="1:6">
      <c r="A40" t="str">
        <f t="shared" si="0"/>
        <v>GenericE&amp;DtemplateCIandGOA</v>
      </c>
      <c r="B40">
        <v>2</v>
      </c>
      <c r="C40">
        <v>13</v>
      </c>
      <c r="D40" s="649">
        <f ca="1">IF(E40=4,INDEX(crude_exp_dist,MATCH(B40,'Crude Exp Dist'!$B$6:$B$78,0),MATCH(C40,'Crude Exp Dist'!$AD$2:$BC$2,0))*INDEX(crude_exp_by_year,MATCH(B40,'Data Export'!$B$6:$B$78,0),1),IF(E40=5,INDEX(ref_exp_dist,MATCH(B40,'Refined Petro Exp Dist'!$B$6:$B$78,0),MATCH(C40,'Refined Petro Exp Dist'!$AD$2:$BC$2,0))*INDEX(ref_exp_by_year,MATCH(B40,'Data Export'!$B$6:$B$78,0),1)))</f>
        <v>0</v>
      </c>
      <c r="E40">
        <v>4</v>
      </c>
      <c r="F40" t="s">
        <v>211</v>
      </c>
    </row>
    <row r="41" spans="1:6">
      <c r="A41" t="str">
        <f t="shared" si="0"/>
        <v>GenericE&amp;DtemplateCIandGOA</v>
      </c>
      <c r="B41">
        <v>2</v>
      </c>
      <c r="C41">
        <v>14</v>
      </c>
      <c r="D41" s="649">
        <f ca="1">IF(E41=4,INDEX(crude_exp_dist,MATCH(B41,'Crude Exp Dist'!$B$6:$B$78,0),MATCH(C41,'Crude Exp Dist'!$AD$2:$BC$2,0))*INDEX(crude_exp_by_year,MATCH(B41,'Data Export'!$B$6:$B$78,0),1),IF(E41=5,INDEX(ref_exp_dist,MATCH(B41,'Refined Petro Exp Dist'!$B$6:$B$78,0),MATCH(C41,'Refined Petro Exp Dist'!$AD$2:$BC$2,0))*INDEX(ref_exp_by_year,MATCH(B41,'Data Export'!$B$6:$B$78,0),1)))</f>
        <v>0</v>
      </c>
      <c r="E41">
        <v>4</v>
      </c>
      <c r="F41" t="s">
        <v>213</v>
      </c>
    </row>
    <row r="42" spans="1:6">
      <c r="A42" t="str">
        <f t="shared" si="0"/>
        <v>GenericE&amp;DtemplateCIandGOA</v>
      </c>
      <c r="B42">
        <v>2</v>
      </c>
      <c r="C42">
        <v>15</v>
      </c>
      <c r="D42" s="649">
        <f ca="1">IF(E42=4,INDEX(crude_exp_dist,MATCH(B42,'Crude Exp Dist'!$B$6:$B$78,0),MATCH(C42,'Crude Exp Dist'!$AD$2:$BC$2,0))*INDEX(crude_exp_by_year,MATCH(B42,'Data Export'!$B$6:$B$78,0),1),IF(E42=5,INDEX(ref_exp_dist,MATCH(B42,'Refined Petro Exp Dist'!$B$6:$B$78,0),MATCH(C42,'Refined Petro Exp Dist'!$AD$2:$BC$2,0))*INDEX(ref_exp_by_year,MATCH(B42,'Data Export'!$B$6:$B$78,0),1)))</f>
        <v>0</v>
      </c>
      <c r="E42">
        <v>4</v>
      </c>
      <c r="F42" t="s">
        <v>215</v>
      </c>
    </row>
    <row r="43" spans="1:6">
      <c r="A43" t="str">
        <f t="shared" si="0"/>
        <v>GenericE&amp;DtemplateCIandGOA</v>
      </c>
      <c r="B43">
        <v>2</v>
      </c>
      <c r="C43">
        <v>16</v>
      </c>
      <c r="D43" s="649">
        <f ca="1">IF(E43=4,INDEX(crude_exp_dist,MATCH(B43,'Crude Exp Dist'!$B$6:$B$78,0),MATCH(C43,'Crude Exp Dist'!$AD$2:$BC$2,0))*INDEX(crude_exp_by_year,MATCH(B43,'Data Export'!$B$6:$B$78,0),1),IF(E43=5,INDEX(ref_exp_dist,MATCH(B43,'Refined Petro Exp Dist'!$B$6:$B$78,0),MATCH(C43,'Refined Petro Exp Dist'!$AD$2:$BC$2,0))*INDEX(ref_exp_by_year,MATCH(B43,'Data Export'!$B$6:$B$78,0),1)))</f>
        <v>0</v>
      </c>
      <c r="E43">
        <v>4</v>
      </c>
      <c r="F43" t="s">
        <v>219</v>
      </c>
    </row>
    <row r="44" spans="1:6">
      <c r="A44" t="str">
        <f t="shared" si="0"/>
        <v>GenericE&amp;DtemplateCIandGOA</v>
      </c>
      <c r="B44">
        <v>2</v>
      </c>
      <c r="C44">
        <v>17</v>
      </c>
      <c r="D44" s="649">
        <f ca="1">IF(E44=4,INDEX(crude_exp_dist,MATCH(B44,'Crude Exp Dist'!$B$6:$B$78,0),MATCH(C44,'Crude Exp Dist'!$AD$2:$BC$2,0))*INDEX(crude_exp_by_year,MATCH(B44,'Data Export'!$B$6:$B$78,0),1),IF(E44=5,INDEX(ref_exp_dist,MATCH(B44,'Refined Petro Exp Dist'!$B$6:$B$78,0),MATCH(C44,'Refined Petro Exp Dist'!$AD$2:$BC$2,0))*INDEX(ref_exp_by_year,MATCH(B44,'Data Export'!$B$6:$B$78,0),1)))</f>
        <v>0</v>
      </c>
      <c r="E44">
        <v>4</v>
      </c>
      <c r="F44" t="s">
        <v>222</v>
      </c>
    </row>
    <row r="45" spans="1:6">
      <c r="A45" t="str">
        <f t="shared" si="0"/>
        <v>GenericE&amp;DtemplateCIandGOA</v>
      </c>
      <c r="B45">
        <v>2</v>
      </c>
      <c r="C45">
        <v>18</v>
      </c>
      <c r="D45" s="649">
        <f ca="1">IF(E45=4,INDEX(crude_exp_dist,MATCH(B45,'Crude Exp Dist'!$B$6:$B$78,0),MATCH(C45,'Crude Exp Dist'!$AD$2:$BC$2,0))*INDEX(crude_exp_by_year,MATCH(B45,'Data Export'!$B$6:$B$78,0),1),IF(E45=5,INDEX(ref_exp_dist,MATCH(B45,'Refined Petro Exp Dist'!$B$6:$B$78,0),MATCH(C45,'Refined Petro Exp Dist'!$AD$2:$BC$2,0))*INDEX(ref_exp_by_year,MATCH(B45,'Data Export'!$B$6:$B$78,0),1)))</f>
        <v>0</v>
      </c>
      <c r="E45">
        <v>4</v>
      </c>
      <c r="F45" t="s">
        <v>224</v>
      </c>
    </row>
    <row r="46" spans="1:6">
      <c r="A46" t="str">
        <f t="shared" si="0"/>
        <v>GenericE&amp;DtemplateCIandGOA</v>
      </c>
      <c r="B46">
        <v>2</v>
      </c>
      <c r="C46">
        <v>19</v>
      </c>
      <c r="D46" s="649">
        <f ca="1">IF(E46=4,INDEX(crude_exp_dist,MATCH(B46,'Crude Exp Dist'!$B$6:$B$78,0),MATCH(C46,'Crude Exp Dist'!$AD$2:$BC$2,0))*INDEX(crude_exp_by_year,MATCH(B46,'Data Export'!$B$6:$B$78,0),1),IF(E46=5,INDEX(ref_exp_dist,MATCH(B46,'Refined Petro Exp Dist'!$B$6:$B$78,0),MATCH(C46,'Refined Petro Exp Dist'!$AD$2:$BC$2,0))*INDEX(ref_exp_by_year,MATCH(B46,'Data Export'!$B$6:$B$78,0),1)))</f>
        <v>0</v>
      </c>
      <c r="E46">
        <v>4</v>
      </c>
      <c r="F46" t="s">
        <v>228</v>
      </c>
    </row>
    <row r="47" spans="1:6">
      <c r="A47" t="str">
        <f t="shared" si="0"/>
        <v>GenericE&amp;DtemplateCIandGOA</v>
      </c>
      <c r="B47">
        <v>2</v>
      </c>
      <c r="C47">
        <v>20</v>
      </c>
      <c r="D47" s="649">
        <f ca="1">IF(E47=4,INDEX(crude_exp_dist,MATCH(B47,'Crude Exp Dist'!$B$6:$B$78,0),MATCH(C47,'Crude Exp Dist'!$AD$2:$BC$2,0))*INDEX(crude_exp_by_year,MATCH(B47,'Data Export'!$B$6:$B$78,0),1),IF(E47=5,INDEX(ref_exp_dist,MATCH(B47,'Refined Petro Exp Dist'!$B$6:$B$78,0),MATCH(C47,'Refined Petro Exp Dist'!$AD$2:$BC$2,0))*INDEX(ref_exp_by_year,MATCH(B47,'Data Export'!$B$6:$B$78,0),1)))</f>
        <v>0</v>
      </c>
      <c r="E47">
        <v>4</v>
      </c>
      <c r="F47" t="s">
        <v>231</v>
      </c>
    </row>
    <row r="48" spans="1:6">
      <c r="A48" t="str">
        <f t="shared" si="0"/>
        <v>GenericE&amp;DtemplateCIandGOA</v>
      </c>
      <c r="B48">
        <v>2</v>
      </c>
      <c r="C48">
        <v>21</v>
      </c>
      <c r="D48" s="649">
        <f ca="1">IF(E48=4,INDEX(crude_exp_dist,MATCH(B48,'Crude Exp Dist'!$B$6:$B$78,0),MATCH(C48,'Crude Exp Dist'!$AD$2:$BC$2,0))*INDEX(crude_exp_by_year,MATCH(B48,'Data Export'!$B$6:$B$78,0),1),IF(E48=5,INDEX(ref_exp_dist,MATCH(B48,'Refined Petro Exp Dist'!$B$6:$B$78,0),MATCH(C48,'Refined Petro Exp Dist'!$AD$2:$BC$2,0))*INDEX(ref_exp_by_year,MATCH(B48,'Data Export'!$B$6:$B$78,0),1)))</f>
        <v>0</v>
      </c>
      <c r="E48">
        <v>4</v>
      </c>
      <c r="F48" t="s">
        <v>232</v>
      </c>
    </row>
    <row r="49" spans="1:6">
      <c r="A49" t="str">
        <f t="shared" si="0"/>
        <v>GenericE&amp;DtemplateCIandGOA</v>
      </c>
      <c r="B49">
        <v>2</v>
      </c>
      <c r="C49">
        <v>22</v>
      </c>
      <c r="D49" s="649">
        <f ca="1">IF(E49=4,INDEX(crude_exp_dist,MATCH(B49,'Crude Exp Dist'!$B$6:$B$78,0),MATCH(C49,'Crude Exp Dist'!$AD$2:$BC$2,0))*INDEX(crude_exp_by_year,MATCH(B49,'Data Export'!$B$6:$B$78,0),1),IF(E49=5,INDEX(ref_exp_dist,MATCH(B49,'Refined Petro Exp Dist'!$B$6:$B$78,0),MATCH(C49,'Refined Petro Exp Dist'!$AD$2:$BC$2,0))*INDEX(ref_exp_by_year,MATCH(B49,'Data Export'!$B$6:$B$78,0),1)))</f>
        <v>0</v>
      </c>
      <c r="E49">
        <v>4</v>
      </c>
      <c r="F49" t="s">
        <v>235</v>
      </c>
    </row>
    <row r="50" spans="1:6">
      <c r="A50" t="str">
        <f t="shared" si="0"/>
        <v>GenericE&amp;DtemplateCIandGOA</v>
      </c>
      <c r="B50">
        <v>2</v>
      </c>
      <c r="C50">
        <v>23</v>
      </c>
      <c r="D50" s="649">
        <f ca="1">IF(E50=4,INDEX(crude_exp_dist,MATCH(B50,'Crude Exp Dist'!$B$6:$B$78,0),MATCH(C50,'Crude Exp Dist'!$AD$2:$BC$2,0))*INDEX(crude_exp_by_year,MATCH(B50,'Data Export'!$B$6:$B$78,0),1),IF(E50=5,INDEX(ref_exp_dist,MATCH(B50,'Refined Petro Exp Dist'!$B$6:$B$78,0),MATCH(C50,'Refined Petro Exp Dist'!$AD$2:$BC$2,0))*INDEX(ref_exp_by_year,MATCH(B50,'Data Export'!$B$6:$B$78,0),1)))</f>
        <v>0</v>
      </c>
      <c r="E50">
        <v>4</v>
      </c>
      <c r="F50" t="s">
        <v>237</v>
      </c>
    </row>
    <row r="51" spans="1:6">
      <c r="A51" t="str">
        <f t="shared" si="0"/>
        <v>GenericE&amp;DtemplateCIandGOA</v>
      </c>
      <c r="B51">
        <v>2</v>
      </c>
      <c r="C51">
        <v>24</v>
      </c>
      <c r="D51" s="649">
        <f ca="1">IF(E51=4,INDEX(crude_exp_dist,MATCH(B51,'Crude Exp Dist'!$B$6:$B$78,0),MATCH(C51,'Crude Exp Dist'!$AD$2:$BC$2,0))*INDEX(crude_exp_by_year,MATCH(B51,'Data Export'!$B$6:$B$78,0),1),IF(E51=5,INDEX(ref_exp_dist,MATCH(B51,'Refined Petro Exp Dist'!$B$6:$B$78,0),MATCH(C51,'Refined Petro Exp Dist'!$AD$2:$BC$2,0))*INDEX(ref_exp_by_year,MATCH(B51,'Data Export'!$B$6:$B$78,0),1)))</f>
        <v>0</v>
      </c>
      <c r="E51">
        <v>4</v>
      </c>
      <c r="F51" t="s">
        <v>239</v>
      </c>
    </row>
    <row r="52" spans="1:6">
      <c r="A52" t="str">
        <f t="shared" si="0"/>
        <v>GenericE&amp;DtemplateCIandGOA</v>
      </c>
      <c r="B52">
        <v>2</v>
      </c>
      <c r="C52">
        <v>25</v>
      </c>
      <c r="D52" s="649">
        <f ca="1">IF(E52=4,INDEX(crude_exp_dist,MATCH(B52,'Crude Exp Dist'!$B$6:$B$78,0),MATCH(C52,'Crude Exp Dist'!$AD$2:$BC$2,0))*INDEX(crude_exp_by_year,MATCH(B52,'Data Export'!$B$6:$B$78,0),1),IF(E52=5,INDEX(ref_exp_dist,MATCH(B52,'Refined Petro Exp Dist'!$B$6:$B$78,0),MATCH(C52,'Refined Petro Exp Dist'!$AD$2:$BC$2,0))*INDEX(ref_exp_by_year,MATCH(B52,'Data Export'!$B$6:$B$78,0),1)))</f>
        <v>0</v>
      </c>
      <c r="E52">
        <v>4</v>
      </c>
      <c r="F52" t="s">
        <v>242</v>
      </c>
    </row>
    <row r="53" spans="1:6">
      <c r="A53" t="str">
        <f t="shared" si="0"/>
        <v>GenericE&amp;DtemplateCIandGOA</v>
      </c>
      <c r="B53">
        <v>2</v>
      </c>
      <c r="C53">
        <v>26</v>
      </c>
      <c r="D53" s="649">
        <f ca="1">IF(E53=4,INDEX(crude_exp_dist,MATCH(B53,'Crude Exp Dist'!$B$6:$B$78,0),MATCH(C53,'Crude Exp Dist'!$AD$2:$BC$2,0))*INDEX(crude_exp_by_year,MATCH(B53,'Data Export'!$B$6:$B$78,0),1),IF(E53=5,INDEX(ref_exp_dist,MATCH(B53,'Refined Petro Exp Dist'!$B$6:$B$78,0),MATCH(C53,'Refined Petro Exp Dist'!$AD$2:$BC$2,0))*INDEX(ref_exp_by_year,MATCH(B53,'Data Export'!$B$6:$B$78,0),1)))</f>
        <v>0</v>
      </c>
      <c r="E53">
        <v>4</v>
      </c>
      <c r="F53" t="s">
        <v>245</v>
      </c>
    </row>
    <row r="54" spans="1:6">
      <c r="A54" t="str">
        <f t="shared" si="0"/>
        <v>GenericE&amp;DtemplateCIandGOA</v>
      </c>
      <c r="B54">
        <v>3</v>
      </c>
      <c r="C54">
        <v>1</v>
      </c>
      <c r="D54" s="649">
        <f ca="1">IF(E54=4,INDEX(crude_exp_dist,MATCH(B54,'Crude Exp Dist'!$B$6:$B$78,0),MATCH(C54,'Crude Exp Dist'!$AD$2:$BC$2,0))*INDEX(crude_exp_by_year,MATCH(B54,'Data Export'!$B$6:$B$78,0),1),IF(E54=5,INDEX(ref_exp_dist,MATCH(B54,'Refined Petro Exp Dist'!$B$6:$B$78,0),MATCH(C54,'Refined Petro Exp Dist'!$AD$2:$BC$2,0))*INDEX(ref_exp_by_year,MATCH(B54,'Data Export'!$B$6:$B$78,0),1)))</f>
        <v>0</v>
      </c>
      <c r="E54">
        <v>4</v>
      </c>
      <c r="F54" t="s">
        <v>158</v>
      </c>
    </row>
    <row r="55" spans="1:6">
      <c r="A55" t="str">
        <f t="shared" si="0"/>
        <v>GenericE&amp;DtemplateCIandGOA</v>
      </c>
      <c r="B55">
        <v>3</v>
      </c>
      <c r="C55">
        <v>2</v>
      </c>
      <c r="D55" s="649">
        <f ca="1">IF(E55=4,INDEX(crude_exp_dist,MATCH(B55,'Crude Exp Dist'!$B$6:$B$78,0),MATCH(C55,'Crude Exp Dist'!$AD$2:$BC$2,0))*INDEX(crude_exp_by_year,MATCH(B55,'Data Export'!$B$6:$B$78,0),1),IF(E55=5,INDEX(ref_exp_dist,MATCH(B55,'Refined Petro Exp Dist'!$B$6:$B$78,0),MATCH(C55,'Refined Petro Exp Dist'!$AD$2:$BC$2,0))*INDEX(ref_exp_by_year,MATCH(B55,'Data Export'!$B$6:$B$78,0),1)))</f>
        <v>0</v>
      </c>
      <c r="E55">
        <v>4</v>
      </c>
      <c r="F55" t="s">
        <v>166</v>
      </c>
    </row>
    <row r="56" spans="1:6">
      <c r="A56" t="str">
        <f t="shared" si="0"/>
        <v>GenericE&amp;DtemplateCIandGOA</v>
      </c>
      <c r="B56">
        <v>3</v>
      </c>
      <c r="C56">
        <v>3</v>
      </c>
      <c r="D56" s="649">
        <f ca="1">IF(E56=4,INDEX(crude_exp_dist,MATCH(B56,'Crude Exp Dist'!$B$6:$B$78,0),MATCH(C56,'Crude Exp Dist'!$AD$2:$BC$2,0))*INDEX(crude_exp_by_year,MATCH(B56,'Data Export'!$B$6:$B$78,0),1),IF(E56=5,INDEX(ref_exp_dist,MATCH(B56,'Refined Petro Exp Dist'!$B$6:$B$78,0),MATCH(C56,'Refined Petro Exp Dist'!$AD$2:$BC$2,0))*INDEX(ref_exp_by_year,MATCH(B56,'Data Export'!$B$6:$B$78,0),1)))</f>
        <v>0</v>
      </c>
      <c r="E56">
        <v>4</v>
      </c>
      <c r="F56" t="s">
        <v>171</v>
      </c>
    </row>
    <row r="57" spans="1:6">
      <c r="A57" t="str">
        <f t="shared" si="0"/>
        <v>GenericE&amp;DtemplateCIandGOA</v>
      </c>
      <c r="B57">
        <v>3</v>
      </c>
      <c r="C57">
        <v>4</v>
      </c>
      <c r="D57" s="649">
        <f ca="1">IF(E57=4,INDEX(crude_exp_dist,MATCH(B57,'Crude Exp Dist'!$B$6:$B$78,0),MATCH(C57,'Crude Exp Dist'!$AD$2:$BC$2,0))*INDEX(crude_exp_by_year,MATCH(B57,'Data Export'!$B$6:$B$78,0),1),IF(E57=5,INDEX(ref_exp_dist,MATCH(B57,'Refined Petro Exp Dist'!$B$6:$B$78,0),MATCH(C57,'Refined Petro Exp Dist'!$AD$2:$BC$2,0))*INDEX(ref_exp_by_year,MATCH(B57,'Data Export'!$B$6:$B$78,0),1)))</f>
        <v>0</v>
      </c>
      <c r="E57">
        <v>4</v>
      </c>
      <c r="F57" t="s">
        <v>173</v>
      </c>
    </row>
    <row r="58" spans="1:6">
      <c r="A58" t="str">
        <f t="shared" si="0"/>
        <v>GenericE&amp;DtemplateCIandGOA</v>
      </c>
      <c r="B58">
        <v>3</v>
      </c>
      <c r="C58">
        <v>5</v>
      </c>
      <c r="D58" s="649">
        <f ca="1">IF(E58=4,INDEX(crude_exp_dist,MATCH(B58,'Crude Exp Dist'!$B$6:$B$78,0),MATCH(C58,'Crude Exp Dist'!$AD$2:$BC$2,0))*INDEX(crude_exp_by_year,MATCH(B58,'Data Export'!$B$6:$B$78,0),1),IF(E58=5,INDEX(ref_exp_dist,MATCH(B58,'Refined Petro Exp Dist'!$B$6:$B$78,0),MATCH(C58,'Refined Petro Exp Dist'!$AD$2:$BC$2,0))*INDEX(ref_exp_by_year,MATCH(B58,'Data Export'!$B$6:$B$78,0),1)))</f>
        <v>0</v>
      </c>
      <c r="E58">
        <v>4</v>
      </c>
      <c r="F58" t="s">
        <v>180</v>
      </c>
    </row>
    <row r="59" spans="1:6">
      <c r="A59" t="str">
        <f t="shared" si="0"/>
        <v>GenericE&amp;DtemplateCIandGOA</v>
      </c>
      <c r="B59">
        <v>3</v>
      </c>
      <c r="C59">
        <v>6</v>
      </c>
      <c r="D59" s="649">
        <f ca="1">IF(E59=4,INDEX(crude_exp_dist,MATCH(B59,'Crude Exp Dist'!$B$6:$B$78,0),MATCH(C59,'Crude Exp Dist'!$AD$2:$BC$2,0))*INDEX(crude_exp_by_year,MATCH(B59,'Data Export'!$B$6:$B$78,0),1),IF(E59=5,INDEX(ref_exp_dist,MATCH(B59,'Refined Petro Exp Dist'!$B$6:$B$78,0),MATCH(C59,'Refined Petro Exp Dist'!$AD$2:$BC$2,0))*INDEX(ref_exp_by_year,MATCH(B59,'Data Export'!$B$6:$B$78,0),1)))</f>
        <v>0</v>
      </c>
      <c r="E59">
        <v>4</v>
      </c>
      <c r="F59" t="s">
        <v>186</v>
      </c>
    </row>
    <row r="60" spans="1:6">
      <c r="A60" t="str">
        <f t="shared" si="0"/>
        <v>GenericE&amp;DtemplateCIandGOA</v>
      </c>
      <c r="B60">
        <v>3</v>
      </c>
      <c r="C60">
        <v>7</v>
      </c>
      <c r="D60" s="649">
        <f ca="1">IF(E60=4,INDEX(crude_exp_dist,MATCH(B60,'Crude Exp Dist'!$B$6:$B$78,0),MATCH(C60,'Crude Exp Dist'!$AD$2:$BC$2,0))*INDEX(crude_exp_by_year,MATCH(B60,'Data Export'!$B$6:$B$78,0),1),IF(E60=5,INDEX(ref_exp_dist,MATCH(B60,'Refined Petro Exp Dist'!$B$6:$B$78,0),MATCH(C60,'Refined Petro Exp Dist'!$AD$2:$BC$2,0))*INDEX(ref_exp_by_year,MATCH(B60,'Data Export'!$B$6:$B$78,0),1)))</f>
        <v>0</v>
      </c>
      <c r="E60">
        <v>4</v>
      </c>
      <c r="F60" t="s">
        <v>191</v>
      </c>
    </row>
    <row r="61" spans="1:6">
      <c r="A61" t="str">
        <f t="shared" si="0"/>
        <v>GenericE&amp;DtemplateCIandGOA</v>
      </c>
      <c r="B61">
        <v>3</v>
      </c>
      <c r="C61">
        <v>8</v>
      </c>
      <c r="D61" s="649">
        <f ca="1">IF(E61=4,INDEX(crude_exp_dist,MATCH(B61,'Crude Exp Dist'!$B$6:$B$78,0),MATCH(C61,'Crude Exp Dist'!$AD$2:$BC$2,0))*INDEX(crude_exp_by_year,MATCH(B61,'Data Export'!$B$6:$B$78,0),1),IF(E61=5,INDEX(ref_exp_dist,MATCH(B61,'Refined Petro Exp Dist'!$B$6:$B$78,0),MATCH(C61,'Refined Petro Exp Dist'!$AD$2:$BC$2,0))*INDEX(ref_exp_by_year,MATCH(B61,'Data Export'!$B$6:$B$78,0),1)))</f>
        <v>0</v>
      </c>
      <c r="E61">
        <v>4</v>
      </c>
      <c r="F61" t="s">
        <v>197</v>
      </c>
    </row>
    <row r="62" spans="1:6">
      <c r="A62" t="str">
        <f t="shared" si="0"/>
        <v>GenericE&amp;DtemplateCIandGOA</v>
      </c>
      <c r="B62">
        <v>3</v>
      </c>
      <c r="C62">
        <v>9</v>
      </c>
      <c r="D62" s="649">
        <f ca="1">IF(E62=4,INDEX(crude_exp_dist,MATCH(B62,'Crude Exp Dist'!$B$6:$B$78,0),MATCH(C62,'Crude Exp Dist'!$AD$2:$BC$2,0))*INDEX(crude_exp_by_year,MATCH(B62,'Data Export'!$B$6:$B$78,0),1),IF(E62=5,INDEX(ref_exp_dist,MATCH(B62,'Refined Petro Exp Dist'!$B$6:$B$78,0),MATCH(C62,'Refined Petro Exp Dist'!$AD$2:$BC$2,0))*INDEX(ref_exp_by_year,MATCH(B62,'Data Export'!$B$6:$B$78,0),1)))</f>
        <v>0</v>
      </c>
      <c r="E62">
        <v>4</v>
      </c>
      <c r="F62" t="s">
        <v>199</v>
      </c>
    </row>
    <row r="63" spans="1:6">
      <c r="A63" t="str">
        <f t="shared" si="0"/>
        <v>GenericE&amp;DtemplateCIandGOA</v>
      </c>
      <c r="B63">
        <v>3</v>
      </c>
      <c r="C63">
        <v>10</v>
      </c>
      <c r="D63" s="649">
        <f ca="1">IF(E63=4,INDEX(crude_exp_dist,MATCH(B63,'Crude Exp Dist'!$B$6:$B$78,0),MATCH(C63,'Crude Exp Dist'!$AD$2:$BC$2,0))*INDEX(crude_exp_by_year,MATCH(B63,'Data Export'!$B$6:$B$78,0),1),IF(E63=5,INDEX(ref_exp_dist,MATCH(B63,'Refined Petro Exp Dist'!$B$6:$B$78,0),MATCH(C63,'Refined Petro Exp Dist'!$AD$2:$BC$2,0))*INDEX(ref_exp_by_year,MATCH(B63,'Data Export'!$B$6:$B$78,0),1)))</f>
        <v>0</v>
      </c>
      <c r="E63">
        <v>4</v>
      </c>
      <c r="F63" t="s">
        <v>201</v>
      </c>
    </row>
    <row r="64" spans="1:6">
      <c r="A64" t="str">
        <f t="shared" si="0"/>
        <v>GenericE&amp;DtemplateCIandGOA</v>
      </c>
      <c r="B64">
        <v>3</v>
      </c>
      <c r="C64">
        <v>11</v>
      </c>
      <c r="D64" s="649">
        <f ca="1">IF(E64=4,INDEX(crude_exp_dist,MATCH(B64,'Crude Exp Dist'!$B$6:$B$78,0),MATCH(C64,'Crude Exp Dist'!$AD$2:$BC$2,0))*INDEX(crude_exp_by_year,MATCH(B64,'Data Export'!$B$6:$B$78,0),1),IF(E64=5,INDEX(ref_exp_dist,MATCH(B64,'Refined Petro Exp Dist'!$B$6:$B$78,0),MATCH(C64,'Refined Petro Exp Dist'!$AD$2:$BC$2,0))*INDEX(ref_exp_by_year,MATCH(B64,'Data Export'!$B$6:$B$78,0),1)))</f>
        <v>0</v>
      </c>
      <c r="E64">
        <v>4</v>
      </c>
      <c r="F64" t="s">
        <v>921</v>
      </c>
    </row>
    <row r="65" spans="1:6">
      <c r="A65" t="str">
        <f t="shared" si="0"/>
        <v>GenericE&amp;DtemplateCIandGOA</v>
      </c>
      <c r="B65">
        <v>3</v>
      </c>
      <c r="C65">
        <v>12</v>
      </c>
      <c r="D65" s="649">
        <f ca="1">IF(E65=4,INDEX(crude_exp_dist,MATCH(B65,'Crude Exp Dist'!$B$6:$B$78,0),MATCH(C65,'Crude Exp Dist'!$AD$2:$BC$2,0))*INDEX(crude_exp_by_year,MATCH(B65,'Data Export'!$B$6:$B$78,0),1),IF(E65=5,INDEX(ref_exp_dist,MATCH(B65,'Refined Petro Exp Dist'!$B$6:$B$78,0),MATCH(C65,'Refined Petro Exp Dist'!$AD$2:$BC$2,0))*INDEX(ref_exp_by_year,MATCH(B65,'Data Export'!$B$6:$B$78,0),1)))</f>
        <v>0</v>
      </c>
      <c r="E65">
        <v>4</v>
      </c>
      <c r="F65" t="s">
        <v>208</v>
      </c>
    </row>
    <row r="66" spans="1:6">
      <c r="A66" t="str">
        <f t="shared" ref="A66:A129" si="1">scenario_name</f>
        <v>GenericE&amp;DtemplateCIandGOA</v>
      </c>
      <c r="B66">
        <v>3</v>
      </c>
      <c r="C66">
        <v>13</v>
      </c>
      <c r="D66" s="649">
        <f ca="1">IF(E66=4,INDEX(crude_exp_dist,MATCH(B66,'Crude Exp Dist'!$B$6:$B$78,0),MATCH(C66,'Crude Exp Dist'!$AD$2:$BC$2,0))*INDEX(crude_exp_by_year,MATCH(B66,'Data Export'!$B$6:$B$78,0),1),IF(E66=5,INDEX(ref_exp_dist,MATCH(B66,'Refined Petro Exp Dist'!$B$6:$B$78,0),MATCH(C66,'Refined Petro Exp Dist'!$AD$2:$BC$2,0))*INDEX(ref_exp_by_year,MATCH(B66,'Data Export'!$B$6:$B$78,0),1)))</f>
        <v>0</v>
      </c>
      <c r="E66">
        <v>4</v>
      </c>
      <c r="F66" t="s">
        <v>211</v>
      </c>
    </row>
    <row r="67" spans="1:6">
      <c r="A67" t="str">
        <f t="shared" si="1"/>
        <v>GenericE&amp;DtemplateCIandGOA</v>
      </c>
      <c r="B67">
        <v>3</v>
      </c>
      <c r="C67">
        <v>14</v>
      </c>
      <c r="D67" s="649">
        <f ca="1">IF(E67=4,INDEX(crude_exp_dist,MATCH(B67,'Crude Exp Dist'!$B$6:$B$78,0),MATCH(C67,'Crude Exp Dist'!$AD$2:$BC$2,0))*INDEX(crude_exp_by_year,MATCH(B67,'Data Export'!$B$6:$B$78,0),1),IF(E67=5,INDEX(ref_exp_dist,MATCH(B67,'Refined Petro Exp Dist'!$B$6:$B$78,0),MATCH(C67,'Refined Petro Exp Dist'!$AD$2:$BC$2,0))*INDEX(ref_exp_by_year,MATCH(B67,'Data Export'!$B$6:$B$78,0),1)))</f>
        <v>0</v>
      </c>
      <c r="E67">
        <v>4</v>
      </c>
      <c r="F67" t="s">
        <v>213</v>
      </c>
    </row>
    <row r="68" spans="1:6">
      <c r="A68" t="str">
        <f t="shared" si="1"/>
        <v>GenericE&amp;DtemplateCIandGOA</v>
      </c>
      <c r="B68">
        <v>3</v>
      </c>
      <c r="C68">
        <v>15</v>
      </c>
      <c r="D68" s="649">
        <f ca="1">IF(E68=4,INDEX(crude_exp_dist,MATCH(B68,'Crude Exp Dist'!$B$6:$B$78,0),MATCH(C68,'Crude Exp Dist'!$AD$2:$BC$2,0))*INDEX(crude_exp_by_year,MATCH(B68,'Data Export'!$B$6:$B$78,0),1),IF(E68=5,INDEX(ref_exp_dist,MATCH(B68,'Refined Petro Exp Dist'!$B$6:$B$78,0),MATCH(C68,'Refined Petro Exp Dist'!$AD$2:$BC$2,0))*INDEX(ref_exp_by_year,MATCH(B68,'Data Export'!$B$6:$B$78,0),1)))</f>
        <v>0</v>
      </c>
      <c r="E68">
        <v>4</v>
      </c>
      <c r="F68" t="s">
        <v>215</v>
      </c>
    </row>
    <row r="69" spans="1:6">
      <c r="A69" t="str">
        <f t="shared" si="1"/>
        <v>GenericE&amp;DtemplateCIandGOA</v>
      </c>
      <c r="B69">
        <v>3</v>
      </c>
      <c r="C69">
        <v>16</v>
      </c>
      <c r="D69" s="649">
        <f ca="1">IF(E69=4,INDEX(crude_exp_dist,MATCH(B69,'Crude Exp Dist'!$B$6:$B$78,0),MATCH(C69,'Crude Exp Dist'!$AD$2:$BC$2,0))*INDEX(crude_exp_by_year,MATCH(B69,'Data Export'!$B$6:$B$78,0),1),IF(E69=5,INDEX(ref_exp_dist,MATCH(B69,'Refined Petro Exp Dist'!$B$6:$B$78,0),MATCH(C69,'Refined Petro Exp Dist'!$AD$2:$BC$2,0))*INDEX(ref_exp_by_year,MATCH(B69,'Data Export'!$B$6:$B$78,0),1)))</f>
        <v>0</v>
      </c>
      <c r="E69">
        <v>4</v>
      </c>
      <c r="F69" t="s">
        <v>219</v>
      </c>
    </row>
    <row r="70" spans="1:6">
      <c r="A70" t="str">
        <f t="shared" si="1"/>
        <v>GenericE&amp;DtemplateCIandGOA</v>
      </c>
      <c r="B70">
        <v>3</v>
      </c>
      <c r="C70">
        <v>17</v>
      </c>
      <c r="D70" s="649">
        <f ca="1">IF(E70=4,INDEX(crude_exp_dist,MATCH(B70,'Crude Exp Dist'!$B$6:$B$78,0),MATCH(C70,'Crude Exp Dist'!$AD$2:$BC$2,0))*INDEX(crude_exp_by_year,MATCH(B70,'Data Export'!$B$6:$B$78,0),1),IF(E70=5,INDEX(ref_exp_dist,MATCH(B70,'Refined Petro Exp Dist'!$B$6:$B$78,0),MATCH(C70,'Refined Petro Exp Dist'!$AD$2:$BC$2,0))*INDEX(ref_exp_by_year,MATCH(B70,'Data Export'!$B$6:$B$78,0),1)))</f>
        <v>0</v>
      </c>
      <c r="E70">
        <v>4</v>
      </c>
      <c r="F70" t="s">
        <v>222</v>
      </c>
    </row>
    <row r="71" spans="1:6">
      <c r="A71" t="str">
        <f t="shared" si="1"/>
        <v>GenericE&amp;DtemplateCIandGOA</v>
      </c>
      <c r="B71">
        <v>3</v>
      </c>
      <c r="C71">
        <v>18</v>
      </c>
      <c r="D71" s="649">
        <f ca="1">IF(E71=4,INDEX(crude_exp_dist,MATCH(B71,'Crude Exp Dist'!$B$6:$B$78,0),MATCH(C71,'Crude Exp Dist'!$AD$2:$BC$2,0))*INDEX(crude_exp_by_year,MATCH(B71,'Data Export'!$B$6:$B$78,0),1),IF(E71=5,INDEX(ref_exp_dist,MATCH(B71,'Refined Petro Exp Dist'!$B$6:$B$78,0),MATCH(C71,'Refined Petro Exp Dist'!$AD$2:$BC$2,0))*INDEX(ref_exp_by_year,MATCH(B71,'Data Export'!$B$6:$B$78,0),1)))</f>
        <v>0</v>
      </c>
      <c r="E71">
        <v>4</v>
      </c>
      <c r="F71" t="s">
        <v>224</v>
      </c>
    </row>
    <row r="72" spans="1:6">
      <c r="A72" t="str">
        <f t="shared" si="1"/>
        <v>GenericE&amp;DtemplateCIandGOA</v>
      </c>
      <c r="B72">
        <v>3</v>
      </c>
      <c r="C72">
        <v>19</v>
      </c>
      <c r="D72" s="649">
        <f ca="1">IF(E72=4,INDEX(crude_exp_dist,MATCH(B72,'Crude Exp Dist'!$B$6:$B$78,0),MATCH(C72,'Crude Exp Dist'!$AD$2:$BC$2,0))*INDEX(crude_exp_by_year,MATCH(B72,'Data Export'!$B$6:$B$78,0),1),IF(E72=5,INDEX(ref_exp_dist,MATCH(B72,'Refined Petro Exp Dist'!$B$6:$B$78,0),MATCH(C72,'Refined Petro Exp Dist'!$AD$2:$BC$2,0))*INDEX(ref_exp_by_year,MATCH(B72,'Data Export'!$B$6:$B$78,0),1)))</f>
        <v>0</v>
      </c>
      <c r="E72">
        <v>4</v>
      </c>
      <c r="F72" t="s">
        <v>228</v>
      </c>
    </row>
    <row r="73" spans="1:6">
      <c r="A73" t="str">
        <f t="shared" si="1"/>
        <v>GenericE&amp;DtemplateCIandGOA</v>
      </c>
      <c r="B73">
        <v>3</v>
      </c>
      <c r="C73">
        <v>20</v>
      </c>
      <c r="D73" s="649">
        <f ca="1">IF(E73=4,INDEX(crude_exp_dist,MATCH(B73,'Crude Exp Dist'!$B$6:$B$78,0),MATCH(C73,'Crude Exp Dist'!$AD$2:$BC$2,0))*INDEX(crude_exp_by_year,MATCH(B73,'Data Export'!$B$6:$B$78,0),1),IF(E73=5,INDEX(ref_exp_dist,MATCH(B73,'Refined Petro Exp Dist'!$B$6:$B$78,0),MATCH(C73,'Refined Petro Exp Dist'!$AD$2:$BC$2,0))*INDEX(ref_exp_by_year,MATCH(B73,'Data Export'!$B$6:$B$78,0),1)))</f>
        <v>0</v>
      </c>
      <c r="E73">
        <v>4</v>
      </c>
      <c r="F73" t="s">
        <v>231</v>
      </c>
    </row>
    <row r="74" spans="1:6">
      <c r="A74" t="str">
        <f t="shared" si="1"/>
        <v>GenericE&amp;DtemplateCIandGOA</v>
      </c>
      <c r="B74">
        <v>3</v>
      </c>
      <c r="C74">
        <v>21</v>
      </c>
      <c r="D74" s="649">
        <f ca="1">IF(E74=4,INDEX(crude_exp_dist,MATCH(B74,'Crude Exp Dist'!$B$6:$B$78,0),MATCH(C74,'Crude Exp Dist'!$AD$2:$BC$2,0))*INDEX(crude_exp_by_year,MATCH(B74,'Data Export'!$B$6:$B$78,0),1),IF(E74=5,INDEX(ref_exp_dist,MATCH(B74,'Refined Petro Exp Dist'!$B$6:$B$78,0),MATCH(C74,'Refined Petro Exp Dist'!$AD$2:$BC$2,0))*INDEX(ref_exp_by_year,MATCH(B74,'Data Export'!$B$6:$B$78,0),1)))</f>
        <v>0</v>
      </c>
      <c r="E74">
        <v>4</v>
      </c>
      <c r="F74" t="s">
        <v>232</v>
      </c>
    </row>
    <row r="75" spans="1:6">
      <c r="A75" t="str">
        <f t="shared" si="1"/>
        <v>GenericE&amp;DtemplateCIandGOA</v>
      </c>
      <c r="B75">
        <v>3</v>
      </c>
      <c r="C75">
        <v>22</v>
      </c>
      <c r="D75" s="649">
        <f ca="1">IF(E75=4,INDEX(crude_exp_dist,MATCH(B75,'Crude Exp Dist'!$B$6:$B$78,0),MATCH(C75,'Crude Exp Dist'!$AD$2:$BC$2,0))*INDEX(crude_exp_by_year,MATCH(B75,'Data Export'!$B$6:$B$78,0),1),IF(E75=5,INDEX(ref_exp_dist,MATCH(B75,'Refined Petro Exp Dist'!$B$6:$B$78,0),MATCH(C75,'Refined Petro Exp Dist'!$AD$2:$BC$2,0))*INDEX(ref_exp_by_year,MATCH(B75,'Data Export'!$B$6:$B$78,0),1)))</f>
        <v>0</v>
      </c>
      <c r="E75">
        <v>4</v>
      </c>
      <c r="F75" t="s">
        <v>235</v>
      </c>
    </row>
    <row r="76" spans="1:6">
      <c r="A76" t="str">
        <f t="shared" si="1"/>
        <v>GenericE&amp;DtemplateCIandGOA</v>
      </c>
      <c r="B76">
        <v>3</v>
      </c>
      <c r="C76">
        <v>23</v>
      </c>
      <c r="D76" s="649">
        <f ca="1">IF(E76=4,INDEX(crude_exp_dist,MATCH(B76,'Crude Exp Dist'!$B$6:$B$78,0),MATCH(C76,'Crude Exp Dist'!$AD$2:$BC$2,0))*INDEX(crude_exp_by_year,MATCH(B76,'Data Export'!$B$6:$B$78,0),1),IF(E76=5,INDEX(ref_exp_dist,MATCH(B76,'Refined Petro Exp Dist'!$B$6:$B$78,0),MATCH(C76,'Refined Petro Exp Dist'!$AD$2:$BC$2,0))*INDEX(ref_exp_by_year,MATCH(B76,'Data Export'!$B$6:$B$78,0),1)))</f>
        <v>0</v>
      </c>
      <c r="E76">
        <v>4</v>
      </c>
      <c r="F76" t="s">
        <v>237</v>
      </c>
    </row>
    <row r="77" spans="1:6">
      <c r="A77" t="str">
        <f t="shared" si="1"/>
        <v>GenericE&amp;DtemplateCIandGOA</v>
      </c>
      <c r="B77">
        <v>3</v>
      </c>
      <c r="C77">
        <v>24</v>
      </c>
      <c r="D77" s="649">
        <f ca="1">IF(E77=4,INDEX(crude_exp_dist,MATCH(B77,'Crude Exp Dist'!$B$6:$B$78,0),MATCH(C77,'Crude Exp Dist'!$AD$2:$BC$2,0))*INDEX(crude_exp_by_year,MATCH(B77,'Data Export'!$B$6:$B$78,0),1),IF(E77=5,INDEX(ref_exp_dist,MATCH(B77,'Refined Petro Exp Dist'!$B$6:$B$78,0),MATCH(C77,'Refined Petro Exp Dist'!$AD$2:$BC$2,0))*INDEX(ref_exp_by_year,MATCH(B77,'Data Export'!$B$6:$B$78,0),1)))</f>
        <v>0</v>
      </c>
      <c r="E77">
        <v>4</v>
      </c>
      <c r="F77" t="s">
        <v>239</v>
      </c>
    </row>
    <row r="78" spans="1:6">
      <c r="A78" t="str">
        <f t="shared" si="1"/>
        <v>GenericE&amp;DtemplateCIandGOA</v>
      </c>
      <c r="B78">
        <v>3</v>
      </c>
      <c r="C78">
        <v>25</v>
      </c>
      <c r="D78" s="649">
        <f ca="1">IF(E78=4,INDEX(crude_exp_dist,MATCH(B78,'Crude Exp Dist'!$B$6:$B$78,0),MATCH(C78,'Crude Exp Dist'!$AD$2:$BC$2,0))*INDEX(crude_exp_by_year,MATCH(B78,'Data Export'!$B$6:$B$78,0),1),IF(E78=5,INDEX(ref_exp_dist,MATCH(B78,'Refined Petro Exp Dist'!$B$6:$B$78,0),MATCH(C78,'Refined Petro Exp Dist'!$AD$2:$BC$2,0))*INDEX(ref_exp_by_year,MATCH(B78,'Data Export'!$B$6:$B$78,0),1)))</f>
        <v>0</v>
      </c>
      <c r="E78">
        <v>4</v>
      </c>
      <c r="F78" t="s">
        <v>242</v>
      </c>
    </row>
    <row r="79" spans="1:6">
      <c r="A79" t="str">
        <f t="shared" si="1"/>
        <v>GenericE&amp;DtemplateCIandGOA</v>
      </c>
      <c r="B79">
        <v>3</v>
      </c>
      <c r="C79">
        <v>26</v>
      </c>
      <c r="D79" s="649">
        <f ca="1">IF(E79=4,INDEX(crude_exp_dist,MATCH(B79,'Crude Exp Dist'!$B$6:$B$78,0),MATCH(C79,'Crude Exp Dist'!$AD$2:$BC$2,0))*INDEX(crude_exp_by_year,MATCH(B79,'Data Export'!$B$6:$B$78,0),1),IF(E79=5,INDEX(ref_exp_dist,MATCH(B79,'Refined Petro Exp Dist'!$B$6:$B$78,0),MATCH(C79,'Refined Petro Exp Dist'!$AD$2:$BC$2,0))*INDEX(ref_exp_by_year,MATCH(B79,'Data Export'!$B$6:$B$78,0),1)))</f>
        <v>0</v>
      </c>
      <c r="E79">
        <v>4</v>
      </c>
      <c r="F79" t="s">
        <v>245</v>
      </c>
    </row>
    <row r="80" spans="1:6">
      <c r="A80" t="str">
        <f t="shared" si="1"/>
        <v>GenericE&amp;DtemplateCIandGOA</v>
      </c>
      <c r="B80">
        <v>4</v>
      </c>
      <c r="C80">
        <v>1</v>
      </c>
      <c r="D80" s="649">
        <f ca="1">IF(E80=4,INDEX(crude_exp_dist,MATCH(B80,'Crude Exp Dist'!$B$6:$B$78,0),MATCH(C80,'Crude Exp Dist'!$AD$2:$BC$2,0))*INDEX(crude_exp_by_year,MATCH(B80,'Data Export'!$B$6:$B$78,0),1),IF(E80=5,INDEX(ref_exp_dist,MATCH(B80,'Refined Petro Exp Dist'!$B$6:$B$78,0),MATCH(C80,'Refined Petro Exp Dist'!$AD$2:$BC$2,0))*INDEX(ref_exp_by_year,MATCH(B80,'Data Export'!$B$6:$B$78,0),1)))</f>
        <v>0</v>
      </c>
      <c r="E80">
        <v>4</v>
      </c>
      <c r="F80" t="s">
        <v>158</v>
      </c>
    </row>
    <row r="81" spans="1:6">
      <c r="A81" t="str">
        <f t="shared" si="1"/>
        <v>GenericE&amp;DtemplateCIandGOA</v>
      </c>
      <c r="B81">
        <v>4</v>
      </c>
      <c r="C81">
        <v>2</v>
      </c>
      <c r="D81" s="649">
        <f ca="1">IF(E81=4,INDEX(crude_exp_dist,MATCH(B81,'Crude Exp Dist'!$B$6:$B$78,0),MATCH(C81,'Crude Exp Dist'!$AD$2:$BC$2,0))*INDEX(crude_exp_by_year,MATCH(B81,'Data Export'!$B$6:$B$78,0),1),IF(E81=5,INDEX(ref_exp_dist,MATCH(B81,'Refined Petro Exp Dist'!$B$6:$B$78,0),MATCH(C81,'Refined Petro Exp Dist'!$AD$2:$BC$2,0))*INDEX(ref_exp_by_year,MATCH(B81,'Data Export'!$B$6:$B$78,0),1)))</f>
        <v>0</v>
      </c>
      <c r="E81">
        <v>4</v>
      </c>
      <c r="F81" t="s">
        <v>166</v>
      </c>
    </row>
    <row r="82" spans="1:6">
      <c r="A82" t="str">
        <f t="shared" si="1"/>
        <v>GenericE&amp;DtemplateCIandGOA</v>
      </c>
      <c r="B82">
        <v>4</v>
      </c>
      <c r="C82">
        <v>3</v>
      </c>
      <c r="D82" s="649">
        <f ca="1">IF(E82=4,INDEX(crude_exp_dist,MATCH(B82,'Crude Exp Dist'!$B$6:$B$78,0),MATCH(C82,'Crude Exp Dist'!$AD$2:$BC$2,0))*INDEX(crude_exp_by_year,MATCH(B82,'Data Export'!$B$6:$B$78,0),1),IF(E82=5,INDEX(ref_exp_dist,MATCH(B82,'Refined Petro Exp Dist'!$B$6:$B$78,0),MATCH(C82,'Refined Petro Exp Dist'!$AD$2:$BC$2,0))*INDEX(ref_exp_by_year,MATCH(B82,'Data Export'!$B$6:$B$78,0),1)))</f>
        <v>0</v>
      </c>
      <c r="E82">
        <v>4</v>
      </c>
      <c r="F82" t="s">
        <v>171</v>
      </c>
    </row>
    <row r="83" spans="1:6">
      <c r="A83" t="str">
        <f t="shared" si="1"/>
        <v>GenericE&amp;DtemplateCIandGOA</v>
      </c>
      <c r="B83">
        <v>4</v>
      </c>
      <c r="C83">
        <v>4</v>
      </c>
      <c r="D83" s="649">
        <f ca="1">IF(E83=4,INDEX(crude_exp_dist,MATCH(B83,'Crude Exp Dist'!$B$6:$B$78,0),MATCH(C83,'Crude Exp Dist'!$AD$2:$BC$2,0))*INDEX(crude_exp_by_year,MATCH(B83,'Data Export'!$B$6:$B$78,0),1),IF(E83=5,INDEX(ref_exp_dist,MATCH(B83,'Refined Petro Exp Dist'!$B$6:$B$78,0),MATCH(C83,'Refined Petro Exp Dist'!$AD$2:$BC$2,0))*INDEX(ref_exp_by_year,MATCH(B83,'Data Export'!$B$6:$B$78,0),1)))</f>
        <v>0</v>
      </c>
      <c r="E83">
        <v>4</v>
      </c>
      <c r="F83" t="s">
        <v>173</v>
      </c>
    </row>
    <row r="84" spans="1:6">
      <c r="A84" t="str">
        <f t="shared" si="1"/>
        <v>GenericE&amp;DtemplateCIandGOA</v>
      </c>
      <c r="B84">
        <v>4</v>
      </c>
      <c r="C84">
        <v>5</v>
      </c>
      <c r="D84" s="649">
        <f ca="1">IF(E84=4,INDEX(crude_exp_dist,MATCH(B84,'Crude Exp Dist'!$B$6:$B$78,0),MATCH(C84,'Crude Exp Dist'!$AD$2:$BC$2,0))*INDEX(crude_exp_by_year,MATCH(B84,'Data Export'!$B$6:$B$78,0),1),IF(E84=5,INDEX(ref_exp_dist,MATCH(B84,'Refined Petro Exp Dist'!$B$6:$B$78,0),MATCH(C84,'Refined Petro Exp Dist'!$AD$2:$BC$2,0))*INDEX(ref_exp_by_year,MATCH(B84,'Data Export'!$B$6:$B$78,0),1)))</f>
        <v>0</v>
      </c>
      <c r="E84">
        <v>4</v>
      </c>
      <c r="F84" t="s">
        <v>180</v>
      </c>
    </row>
    <row r="85" spans="1:6">
      <c r="A85" t="str">
        <f t="shared" si="1"/>
        <v>GenericE&amp;DtemplateCIandGOA</v>
      </c>
      <c r="B85">
        <v>4</v>
      </c>
      <c r="C85">
        <v>6</v>
      </c>
      <c r="D85" s="649">
        <f ca="1">IF(E85=4,INDEX(crude_exp_dist,MATCH(B85,'Crude Exp Dist'!$B$6:$B$78,0),MATCH(C85,'Crude Exp Dist'!$AD$2:$BC$2,0))*INDEX(crude_exp_by_year,MATCH(B85,'Data Export'!$B$6:$B$78,0),1),IF(E85=5,INDEX(ref_exp_dist,MATCH(B85,'Refined Petro Exp Dist'!$B$6:$B$78,0),MATCH(C85,'Refined Petro Exp Dist'!$AD$2:$BC$2,0))*INDEX(ref_exp_by_year,MATCH(B85,'Data Export'!$B$6:$B$78,0),1)))</f>
        <v>0</v>
      </c>
      <c r="E85">
        <v>4</v>
      </c>
      <c r="F85" t="s">
        <v>186</v>
      </c>
    </row>
    <row r="86" spans="1:6">
      <c r="A86" t="str">
        <f t="shared" si="1"/>
        <v>GenericE&amp;DtemplateCIandGOA</v>
      </c>
      <c r="B86">
        <v>4</v>
      </c>
      <c r="C86">
        <v>7</v>
      </c>
      <c r="D86" s="649">
        <f ca="1">IF(E86=4,INDEX(crude_exp_dist,MATCH(B86,'Crude Exp Dist'!$B$6:$B$78,0),MATCH(C86,'Crude Exp Dist'!$AD$2:$BC$2,0))*INDEX(crude_exp_by_year,MATCH(B86,'Data Export'!$B$6:$B$78,0),1),IF(E86=5,INDEX(ref_exp_dist,MATCH(B86,'Refined Petro Exp Dist'!$B$6:$B$78,0),MATCH(C86,'Refined Petro Exp Dist'!$AD$2:$BC$2,0))*INDEX(ref_exp_by_year,MATCH(B86,'Data Export'!$B$6:$B$78,0),1)))</f>
        <v>0</v>
      </c>
      <c r="E86">
        <v>4</v>
      </c>
      <c r="F86" t="s">
        <v>191</v>
      </c>
    </row>
    <row r="87" spans="1:6">
      <c r="A87" t="str">
        <f t="shared" si="1"/>
        <v>GenericE&amp;DtemplateCIandGOA</v>
      </c>
      <c r="B87">
        <v>4</v>
      </c>
      <c r="C87">
        <v>8</v>
      </c>
      <c r="D87" s="649">
        <f ca="1">IF(E87=4,INDEX(crude_exp_dist,MATCH(B87,'Crude Exp Dist'!$B$6:$B$78,0),MATCH(C87,'Crude Exp Dist'!$AD$2:$BC$2,0))*INDEX(crude_exp_by_year,MATCH(B87,'Data Export'!$B$6:$B$78,0),1),IF(E87=5,INDEX(ref_exp_dist,MATCH(B87,'Refined Petro Exp Dist'!$B$6:$B$78,0),MATCH(C87,'Refined Petro Exp Dist'!$AD$2:$BC$2,0))*INDEX(ref_exp_by_year,MATCH(B87,'Data Export'!$B$6:$B$78,0),1)))</f>
        <v>0</v>
      </c>
      <c r="E87">
        <v>4</v>
      </c>
      <c r="F87" t="s">
        <v>197</v>
      </c>
    </row>
    <row r="88" spans="1:6">
      <c r="A88" t="str">
        <f t="shared" si="1"/>
        <v>GenericE&amp;DtemplateCIandGOA</v>
      </c>
      <c r="B88">
        <v>4</v>
      </c>
      <c r="C88">
        <v>9</v>
      </c>
      <c r="D88" s="649">
        <f ca="1">IF(E88=4,INDEX(crude_exp_dist,MATCH(B88,'Crude Exp Dist'!$B$6:$B$78,0),MATCH(C88,'Crude Exp Dist'!$AD$2:$BC$2,0))*INDEX(crude_exp_by_year,MATCH(B88,'Data Export'!$B$6:$B$78,0),1),IF(E88=5,INDEX(ref_exp_dist,MATCH(B88,'Refined Petro Exp Dist'!$B$6:$B$78,0),MATCH(C88,'Refined Petro Exp Dist'!$AD$2:$BC$2,0))*INDEX(ref_exp_by_year,MATCH(B88,'Data Export'!$B$6:$B$78,0),1)))</f>
        <v>0</v>
      </c>
      <c r="E88">
        <v>4</v>
      </c>
      <c r="F88" t="s">
        <v>199</v>
      </c>
    </row>
    <row r="89" spans="1:6">
      <c r="A89" t="str">
        <f t="shared" si="1"/>
        <v>GenericE&amp;DtemplateCIandGOA</v>
      </c>
      <c r="B89">
        <v>4</v>
      </c>
      <c r="C89">
        <v>10</v>
      </c>
      <c r="D89" s="649">
        <f ca="1">IF(E89=4,INDEX(crude_exp_dist,MATCH(B89,'Crude Exp Dist'!$B$6:$B$78,0),MATCH(C89,'Crude Exp Dist'!$AD$2:$BC$2,0))*INDEX(crude_exp_by_year,MATCH(B89,'Data Export'!$B$6:$B$78,0),1),IF(E89=5,INDEX(ref_exp_dist,MATCH(B89,'Refined Petro Exp Dist'!$B$6:$B$78,0),MATCH(C89,'Refined Petro Exp Dist'!$AD$2:$BC$2,0))*INDEX(ref_exp_by_year,MATCH(B89,'Data Export'!$B$6:$B$78,0),1)))</f>
        <v>0</v>
      </c>
      <c r="E89">
        <v>4</v>
      </c>
      <c r="F89" t="s">
        <v>201</v>
      </c>
    </row>
    <row r="90" spans="1:6">
      <c r="A90" t="str">
        <f t="shared" si="1"/>
        <v>GenericE&amp;DtemplateCIandGOA</v>
      </c>
      <c r="B90">
        <v>4</v>
      </c>
      <c r="C90">
        <v>11</v>
      </c>
      <c r="D90" s="649">
        <f ca="1">IF(E90=4,INDEX(crude_exp_dist,MATCH(B90,'Crude Exp Dist'!$B$6:$B$78,0),MATCH(C90,'Crude Exp Dist'!$AD$2:$BC$2,0))*INDEX(crude_exp_by_year,MATCH(B90,'Data Export'!$B$6:$B$78,0),1),IF(E90=5,INDEX(ref_exp_dist,MATCH(B90,'Refined Petro Exp Dist'!$B$6:$B$78,0),MATCH(C90,'Refined Petro Exp Dist'!$AD$2:$BC$2,0))*INDEX(ref_exp_by_year,MATCH(B90,'Data Export'!$B$6:$B$78,0),1)))</f>
        <v>0</v>
      </c>
      <c r="E90">
        <v>4</v>
      </c>
      <c r="F90" t="s">
        <v>921</v>
      </c>
    </row>
    <row r="91" spans="1:6">
      <c r="A91" t="str">
        <f t="shared" si="1"/>
        <v>GenericE&amp;DtemplateCIandGOA</v>
      </c>
      <c r="B91">
        <v>4</v>
      </c>
      <c r="C91">
        <v>12</v>
      </c>
      <c r="D91" s="649">
        <f ca="1">IF(E91=4,INDEX(crude_exp_dist,MATCH(B91,'Crude Exp Dist'!$B$6:$B$78,0),MATCH(C91,'Crude Exp Dist'!$AD$2:$BC$2,0))*INDEX(crude_exp_by_year,MATCH(B91,'Data Export'!$B$6:$B$78,0),1),IF(E91=5,INDEX(ref_exp_dist,MATCH(B91,'Refined Petro Exp Dist'!$B$6:$B$78,0),MATCH(C91,'Refined Petro Exp Dist'!$AD$2:$BC$2,0))*INDEX(ref_exp_by_year,MATCH(B91,'Data Export'!$B$6:$B$78,0),1)))</f>
        <v>0</v>
      </c>
      <c r="E91">
        <v>4</v>
      </c>
      <c r="F91" t="s">
        <v>208</v>
      </c>
    </row>
    <row r="92" spans="1:6">
      <c r="A92" t="str">
        <f t="shared" si="1"/>
        <v>GenericE&amp;DtemplateCIandGOA</v>
      </c>
      <c r="B92">
        <v>4</v>
      </c>
      <c r="C92">
        <v>13</v>
      </c>
      <c r="D92" s="649">
        <f ca="1">IF(E92=4,INDEX(crude_exp_dist,MATCH(B92,'Crude Exp Dist'!$B$6:$B$78,0),MATCH(C92,'Crude Exp Dist'!$AD$2:$BC$2,0))*INDEX(crude_exp_by_year,MATCH(B92,'Data Export'!$B$6:$B$78,0),1),IF(E92=5,INDEX(ref_exp_dist,MATCH(B92,'Refined Petro Exp Dist'!$B$6:$B$78,0),MATCH(C92,'Refined Petro Exp Dist'!$AD$2:$BC$2,0))*INDEX(ref_exp_by_year,MATCH(B92,'Data Export'!$B$6:$B$78,0),1)))</f>
        <v>0</v>
      </c>
      <c r="E92">
        <v>4</v>
      </c>
      <c r="F92" t="s">
        <v>211</v>
      </c>
    </row>
    <row r="93" spans="1:6">
      <c r="A93" t="str">
        <f t="shared" si="1"/>
        <v>GenericE&amp;DtemplateCIandGOA</v>
      </c>
      <c r="B93">
        <v>4</v>
      </c>
      <c r="C93">
        <v>14</v>
      </c>
      <c r="D93" s="649">
        <f ca="1">IF(E93=4,INDEX(crude_exp_dist,MATCH(B93,'Crude Exp Dist'!$B$6:$B$78,0),MATCH(C93,'Crude Exp Dist'!$AD$2:$BC$2,0))*INDEX(crude_exp_by_year,MATCH(B93,'Data Export'!$B$6:$B$78,0),1),IF(E93=5,INDEX(ref_exp_dist,MATCH(B93,'Refined Petro Exp Dist'!$B$6:$B$78,0),MATCH(C93,'Refined Petro Exp Dist'!$AD$2:$BC$2,0))*INDEX(ref_exp_by_year,MATCH(B93,'Data Export'!$B$6:$B$78,0),1)))</f>
        <v>0</v>
      </c>
      <c r="E93">
        <v>4</v>
      </c>
      <c r="F93" t="s">
        <v>213</v>
      </c>
    </row>
    <row r="94" spans="1:6">
      <c r="A94" t="str">
        <f t="shared" si="1"/>
        <v>GenericE&amp;DtemplateCIandGOA</v>
      </c>
      <c r="B94">
        <v>4</v>
      </c>
      <c r="C94">
        <v>15</v>
      </c>
      <c r="D94" s="649">
        <f ca="1">IF(E94=4,INDEX(crude_exp_dist,MATCH(B94,'Crude Exp Dist'!$B$6:$B$78,0),MATCH(C94,'Crude Exp Dist'!$AD$2:$BC$2,0))*INDEX(crude_exp_by_year,MATCH(B94,'Data Export'!$B$6:$B$78,0),1),IF(E94=5,INDEX(ref_exp_dist,MATCH(B94,'Refined Petro Exp Dist'!$B$6:$B$78,0),MATCH(C94,'Refined Petro Exp Dist'!$AD$2:$BC$2,0))*INDEX(ref_exp_by_year,MATCH(B94,'Data Export'!$B$6:$B$78,0),1)))</f>
        <v>0</v>
      </c>
      <c r="E94">
        <v>4</v>
      </c>
      <c r="F94" t="s">
        <v>215</v>
      </c>
    </row>
    <row r="95" spans="1:6">
      <c r="A95" t="str">
        <f t="shared" si="1"/>
        <v>GenericE&amp;DtemplateCIandGOA</v>
      </c>
      <c r="B95">
        <v>4</v>
      </c>
      <c r="C95">
        <v>16</v>
      </c>
      <c r="D95" s="649">
        <f ca="1">IF(E95=4,INDEX(crude_exp_dist,MATCH(B95,'Crude Exp Dist'!$B$6:$B$78,0),MATCH(C95,'Crude Exp Dist'!$AD$2:$BC$2,0))*INDEX(crude_exp_by_year,MATCH(B95,'Data Export'!$B$6:$B$78,0),1),IF(E95=5,INDEX(ref_exp_dist,MATCH(B95,'Refined Petro Exp Dist'!$B$6:$B$78,0),MATCH(C95,'Refined Petro Exp Dist'!$AD$2:$BC$2,0))*INDEX(ref_exp_by_year,MATCH(B95,'Data Export'!$B$6:$B$78,0),1)))</f>
        <v>0</v>
      </c>
      <c r="E95">
        <v>4</v>
      </c>
      <c r="F95" t="s">
        <v>219</v>
      </c>
    </row>
    <row r="96" spans="1:6">
      <c r="A96" t="str">
        <f t="shared" si="1"/>
        <v>GenericE&amp;DtemplateCIandGOA</v>
      </c>
      <c r="B96">
        <v>4</v>
      </c>
      <c r="C96">
        <v>17</v>
      </c>
      <c r="D96" s="649">
        <f ca="1">IF(E96=4,INDEX(crude_exp_dist,MATCH(B96,'Crude Exp Dist'!$B$6:$B$78,0),MATCH(C96,'Crude Exp Dist'!$AD$2:$BC$2,0))*INDEX(crude_exp_by_year,MATCH(B96,'Data Export'!$B$6:$B$78,0),1),IF(E96=5,INDEX(ref_exp_dist,MATCH(B96,'Refined Petro Exp Dist'!$B$6:$B$78,0),MATCH(C96,'Refined Petro Exp Dist'!$AD$2:$BC$2,0))*INDEX(ref_exp_by_year,MATCH(B96,'Data Export'!$B$6:$B$78,0),1)))</f>
        <v>0</v>
      </c>
      <c r="E96">
        <v>4</v>
      </c>
      <c r="F96" t="s">
        <v>222</v>
      </c>
    </row>
    <row r="97" spans="1:6">
      <c r="A97" t="str">
        <f t="shared" si="1"/>
        <v>GenericE&amp;DtemplateCIandGOA</v>
      </c>
      <c r="B97">
        <v>4</v>
      </c>
      <c r="C97">
        <v>18</v>
      </c>
      <c r="D97" s="649">
        <f ca="1">IF(E97=4,INDEX(crude_exp_dist,MATCH(B97,'Crude Exp Dist'!$B$6:$B$78,0),MATCH(C97,'Crude Exp Dist'!$AD$2:$BC$2,0))*INDEX(crude_exp_by_year,MATCH(B97,'Data Export'!$B$6:$B$78,0),1),IF(E97=5,INDEX(ref_exp_dist,MATCH(B97,'Refined Petro Exp Dist'!$B$6:$B$78,0),MATCH(C97,'Refined Petro Exp Dist'!$AD$2:$BC$2,0))*INDEX(ref_exp_by_year,MATCH(B97,'Data Export'!$B$6:$B$78,0),1)))</f>
        <v>0</v>
      </c>
      <c r="E97">
        <v>4</v>
      </c>
      <c r="F97" t="s">
        <v>224</v>
      </c>
    </row>
    <row r="98" spans="1:6">
      <c r="A98" t="str">
        <f t="shared" si="1"/>
        <v>GenericE&amp;DtemplateCIandGOA</v>
      </c>
      <c r="B98">
        <v>4</v>
      </c>
      <c r="C98">
        <v>19</v>
      </c>
      <c r="D98" s="649">
        <f ca="1">IF(E98=4,INDEX(crude_exp_dist,MATCH(B98,'Crude Exp Dist'!$B$6:$B$78,0),MATCH(C98,'Crude Exp Dist'!$AD$2:$BC$2,0))*INDEX(crude_exp_by_year,MATCH(B98,'Data Export'!$B$6:$B$78,0),1),IF(E98=5,INDEX(ref_exp_dist,MATCH(B98,'Refined Petro Exp Dist'!$B$6:$B$78,0),MATCH(C98,'Refined Petro Exp Dist'!$AD$2:$BC$2,0))*INDEX(ref_exp_by_year,MATCH(B98,'Data Export'!$B$6:$B$78,0),1)))</f>
        <v>0</v>
      </c>
      <c r="E98">
        <v>4</v>
      </c>
      <c r="F98" t="s">
        <v>228</v>
      </c>
    </row>
    <row r="99" spans="1:6">
      <c r="A99" t="str">
        <f t="shared" si="1"/>
        <v>GenericE&amp;DtemplateCIandGOA</v>
      </c>
      <c r="B99">
        <v>4</v>
      </c>
      <c r="C99">
        <v>20</v>
      </c>
      <c r="D99" s="649">
        <f ca="1">IF(E99=4,INDEX(crude_exp_dist,MATCH(B99,'Crude Exp Dist'!$B$6:$B$78,0),MATCH(C99,'Crude Exp Dist'!$AD$2:$BC$2,0))*INDEX(crude_exp_by_year,MATCH(B99,'Data Export'!$B$6:$B$78,0),1),IF(E99=5,INDEX(ref_exp_dist,MATCH(B99,'Refined Petro Exp Dist'!$B$6:$B$78,0),MATCH(C99,'Refined Petro Exp Dist'!$AD$2:$BC$2,0))*INDEX(ref_exp_by_year,MATCH(B99,'Data Export'!$B$6:$B$78,0),1)))</f>
        <v>0</v>
      </c>
      <c r="E99">
        <v>4</v>
      </c>
      <c r="F99" t="s">
        <v>231</v>
      </c>
    </row>
    <row r="100" spans="1:6">
      <c r="A100" t="str">
        <f t="shared" si="1"/>
        <v>GenericE&amp;DtemplateCIandGOA</v>
      </c>
      <c r="B100">
        <v>4</v>
      </c>
      <c r="C100">
        <v>21</v>
      </c>
      <c r="D100" s="649">
        <f ca="1">IF(E100=4,INDEX(crude_exp_dist,MATCH(B100,'Crude Exp Dist'!$B$6:$B$78,0),MATCH(C100,'Crude Exp Dist'!$AD$2:$BC$2,0))*INDEX(crude_exp_by_year,MATCH(B100,'Data Export'!$B$6:$B$78,0),1),IF(E100=5,INDEX(ref_exp_dist,MATCH(B100,'Refined Petro Exp Dist'!$B$6:$B$78,0),MATCH(C100,'Refined Petro Exp Dist'!$AD$2:$BC$2,0))*INDEX(ref_exp_by_year,MATCH(B100,'Data Export'!$B$6:$B$78,0),1)))</f>
        <v>0</v>
      </c>
      <c r="E100">
        <v>4</v>
      </c>
      <c r="F100" t="s">
        <v>232</v>
      </c>
    </row>
    <row r="101" spans="1:6">
      <c r="A101" t="str">
        <f t="shared" si="1"/>
        <v>GenericE&amp;DtemplateCIandGOA</v>
      </c>
      <c r="B101">
        <v>4</v>
      </c>
      <c r="C101">
        <v>22</v>
      </c>
      <c r="D101" s="649">
        <f ca="1">IF(E101=4,INDEX(crude_exp_dist,MATCH(B101,'Crude Exp Dist'!$B$6:$B$78,0),MATCH(C101,'Crude Exp Dist'!$AD$2:$BC$2,0))*INDEX(crude_exp_by_year,MATCH(B101,'Data Export'!$B$6:$B$78,0),1),IF(E101=5,INDEX(ref_exp_dist,MATCH(B101,'Refined Petro Exp Dist'!$B$6:$B$78,0),MATCH(C101,'Refined Petro Exp Dist'!$AD$2:$BC$2,0))*INDEX(ref_exp_by_year,MATCH(B101,'Data Export'!$B$6:$B$78,0),1)))</f>
        <v>0</v>
      </c>
      <c r="E101">
        <v>4</v>
      </c>
      <c r="F101" t="s">
        <v>235</v>
      </c>
    </row>
    <row r="102" spans="1:6">
      <c r="A102" t="str">
        <f t="shared" si="1"/>
        <v>GenericE&amp;DtemplateCIandGOA</v>
      </c>
      <c r="B102">
        <v>4</v>
      </c>
      <c r="C102">
        <v>23</v>
      </c>
      <c r="D102" s="649">
        <f ca="1">IF(E102=4,INDEX(crude_exp_dist,MATCH(B102,'Crude Exp Dist'!$B$6:$B$78,0),MATCH(C102,'Crude Exp Dist'!$AD$2:$BC$2,0))*INDEX(crude_exp_by_year,MATCH(B102,'Data Export'!$B$6:$B$78,0),1),IF(E102=5,INDEX(ref_exp_dist,MATCH(B102,'Refined Petro Exp Dist'!$B$6:$B$78,0),MATCH(C102,'Refined Petro Exp Dist'!$AD$2:$BC$2,0))*INDEX(ref_exp_by_year,MATCH(B102,'Data Export'!$B$6:$B$78,0),1)))</f>
        <v>0</v>
      </c>
      <c r="E102">
        <v>4</v>
      </c>
      <c r="F102" t="s">
        <v>237</v>
      </c>
    </row>
    <row r="103" spans="1:6">
      <c r="A103" t="str">
        <f t="shared" si="1"/>
        <v>GenericE&amp;DtemplateCIandGOA</v>
      </c>
      <c r="B103">
        <v>4</v>
      </c>
      <c r="C103">
        <v>24</v>
      </c>
      <c r="D103" s="649">
        <f ca="1">IF(E103=4,INDEX(crude_exp_dist,MATCH(B103,'Crude Exp Dist'!$B$6:$B$78,0),MATCH(C103,'Crude Exp Dist'!$AD$2:$BC$2,0))*INDEX(crude_exp_by_year,MATCH(B103,'Data Export'!$B$6:$B$78,0),1),IF(E103=5,INDEX(ref_exp_dist,MATCH(B103,'Refined Petro Exp Dist'!$B$6:$B$78,0),MATCH(C103,'Refined Petro Exp Dist'!$AD$2:$BC$2,0))*INDEX(ref_exp_by_year,MATCH(B103,'Data Export'!$B$6:$B$78,0),1)))</f>
        <v>0</v>
      </c>
      <c r="E103">
        <v>4</v>
      </c>
      <c r="F103" t="s">
        <v>239</v>
      </c>
    </row>
    <row r="104" spans="1:6">
      <c r="A104" t="str">
        <f t="shared" si="1"/>
        <v>GenericE&amp;DtemplateCIandGOA</v>
      </c>
      <c r="B104">
        <v>4</v>
      </c>
      <c r="C104">
        <v>25</v>
      </c>
      <c r="D104" s="649">
        <f ca="1">IF(E104=4,INDEX(crude_exp_dist,MATCH(B104,'Crude Exp Dist'!$B$6:$B$78,0),MATCH(C104,'Crude Exp Dist'!$AD$2:$BC$2,0))*INDEX(crude_exp_by_year,MATCH(B104,'Data Export'!$B$6:$B$78,0),1),IF(E104=5,INDEX(ref_exp_dist,MATCH(B104,'Refined Petro Exp Dist'!$B$6:$B$78,0),MATCH(C104,'Refined Petro Exp Dist'!$AD$2:$BC$2,0))*INDEX(ref_exp_by_year,MATCH(B104,'Data Export'!$B$6:$B$78,0),1)))</f>
        <v>0</v>
      </c>
      <c r="E104">
        <v>4</v>
      </c>
      <c r="F104" t="s">
        <v>242</v>
      </c>
    </row>
    <row r="105" spans="1:6">
      <c r="A105" t="str">
        <f t="shared" si="1"/>
        <v>GenericE&amp;DtemplateCIandGOA</v>
      </c>
      <c r="B105">
        <v>4</v>
      </c>
      <c r="C105">
        <v>26</v>
      </c>
      <c r="D105" s="649">
        <f ca="1">IF(E105=4,INDEX(crude_exp_dist,MATCH(B105,'Crude Exp Dist'!$B$6:$B$78,0),MATCH(C105,'Crude Exp Dist'!$AD$2:$BC$2,0))*INDEX(crude_exp_by_year,MATCH(B105,'Data Export'!$B$6:$B$78,0),1),IF(E105=5,INDEX(ref_exp_dist,MATCH(B105,'Refined Petro Exp Dist'!$B$6:$B$78,0),MATCH(C105,'Refined Petro Exp Dist'!$AD$2:$BC$2,0))*INDEX(ref_exp_by_year,MATCH(B105,'Data Export'!$B$6:$B$78,0),1)))</f>
        <v>0</v>
      </c>
      <c r="E105">
        <v>4</v>
      </c>
      <c r="F105" t="s">
        <v>245</v>
      </c>
    </row>
    <row r="106" spans="1:6">
      <c r="A106" t="str">
        <f t="shared" si="1"/>
        <v>GenericE&amp;DtemplateCIandGOA</v>
      </c>
      <c r="B106">
        <v>5</v>
      </c>
      <c r="C106">
        <v>1</v>
      </c>
      <c r="D106" s="649">
        <f ca="1">IF(E106=4,INDEX(crude_exp_dist,MATCH(B106,'Crude Exp Dist'!$B$6:$B$78,0),MATCH(C106,'Crude Exp Dist'!$AD$2:$BC$2,0))*INDEX(crude_exp_by_year,MATCH(B106,'Data Export'!$B$6:$B$78,0),1),IF(E106=5,INDEX(ref_exp_dist,MATCH(B106,'Refined Petro Exp Dist'!$B$6:$B$78,0),MATCH(C106,'Refined Petro Exp Dist'!$AD$2:$BC$2,0))*INDEX(ref_exp_by_year,MATCH(B106,'Data Export'!$B$6:$B$78,0),1)))</f>
        <v>0</v>
      </c>
      <c r="E106">
        <v>4</v>
      </c>
      <c r="F106" t="s">
        <v>158</v>
      </c>
    </row>
    <row r="107" spans="1:6">
      <c r="A107" t="str">
        <f t="shared" si="1"/>
        <v>GenericE&amp;DtemplateCIandGOA</v>
      </c>
      <c r="B107">
        <v>5</v>
      </c>
      <c r="C107">
        <v>2</v>
      </c>
      <c r="D107" s="649">
        <f ca="1">IF(E107=4,INDEX(crude_exp_dist,MATCH(B107,'Crude Exp Dist'!$B$6:$B$78,0),MATCH(C107,'Crude Exp Dist'!$AD$2:$BC$2,0))*INDEX(crude_exp_by_year,MATCH(B107,'Data Export'!$B$6:$B$78,0),1),IF(E107=5,INDEX(ref_exp_dist,MATCH(B107,'Refined Petro Exp Dist'!$B$6:$B$78,0),MATCH(C107,'Refined Petro Exp Dist'!$AD$2:$BC$2,0))*INDEX(ref_exp_by_year,MATCH(B107,'Data Export'!$B$6:$B$78,0),1)))</f>
        <v>0</v>
      </c>
      <c r="E107">
        <v>4</v>
      </c>
      <c r="F107" t="s">
        <v>166</v>
      </c>
    </row>
    <row r="108" spans="1:6">
      <c r="A108" t="str">
        <f t="shared" si="1"/>
        <v>GenericE&amp;DtemplateCIandGOA</v>
      </c>
      <c r="B108">
        <v>5</v>
      </c>
      <c r="C108">
        <v>3</v>
      </c>
      <c r="D108" s="649">
        <f ca="1">IF(E108=4,INDEX(crude_exp_dist,MATCH(B108,'Crude Exp Dist'!$B$6:$B$78,0),MATCH(C108,'Crude Exp Dist'!$AD$2:$BC$2,0))*INDEX(crude_exp_by_year,MATCH(B108,'Data Export'!$B$6:$B$78,0),1),IF(E108=5,INDEX(ref_exp_dist,MATCH(B108,'Refined Petro Exp Dist'!$B$6:$B$78,0),MATCH(C108,'Refined Petro Exp Dist'!$AD$2:$BC$2,0))*INDEX(ref_exp_by_year,MATCH(B108,'Data Export'!$B$6:$B$78,0),1)))</f>
        <v>0</v>
      </c>
      <c r="E108">
        <v>4</v>
      </c>
      <c r="F108" t="s">
        <v>171</v>
      </c>
    </row>
    <row r="109" spans="1:6">
      <c r="A109" t="str">
        <f t="shared" si="1"/>
        <v>GenericE&amp;DtemplateCIandGOA</v>
      </c>
      <c r="B109">
        <v>5</v>
      </c>
      <c r="C109">
        <v>4</v>
      </c>
      <c r="D109" s="649">
        <f ca="1">IF(E109=4,INDEX(crude_exp_dist,MATCH(B109,'Crude Exp Dist'!$B$6:$B$78,0),MATCH(C109,'Crude Exp Dist'!$AD$2:$BC$2,0))*INDEX(crude_exp_by_year,MATCH(B109,'Data Export'!$B$6:$B$78,0),1),IF(E109=5,INDEX(ref_exp_dist,MATCH(B109,'Refined Petro Exp Dist'!$B$6:$B$78,0),MATCH(C109,'Refined Petro Exp Dist'!$AD$2:$BC$2,0))*INDEX(ref_exp_by_year,MATCH(B109,'Data Export'!$B$6:$B$78,0),1)))</f>
        <v>0</v>
      </c>
      <c r="E109">
        <v>4</v>
      </c>
      <c r="F109" t="s">
        <v>173</v>
      </c>
    </row>
    <row r="110" spans="1:6">
      <c r="A110" t="str">
        <f t="shared" si="1"/>
        <v>GenericE&amp;DtemplateCIandGOA</v>
      </c>
      <c r="B110">
        <v>5</v>
      </c>
      <c r="C110">
        <v>5</v>
      </c>
      <c r="D110" s="649">
        <f ca="1">IF(E110=4,INDEX(crude_exp_dist,MATCH(B110,'Crude Exp Dist'!$B$6:$B$78,0),MATCH(C110,'Crude Exp Dist'!$AD$2:$BC$2,0))*INDEX(crude_exp_by_year,MATCH(B110,'Data Export'!$B$6:$B$78,0),1),IF(E110=5,INDEX(ref_exp_dist,MATCH(B110,'Refined Petro Exp Dist'!$B$6:$B$78,0),MATCH(C110,'Refined Petro Exp Dist'!$AD$2:$BC$2,0))*INDEX(ref_exp_by_year,MATCH(B110,'Data Export'!$B$6:$B$78,0),1)))</f>
        <v>0</v>
      </c>
      <c r="E110">
        <v>4</v>
      </c>
      <c r="F110" t="s">
        <v>180</v>
      </c>
    </row>
    <row r="111" spans="1:6">
      <c r="A111" t="str">
        <f t="shared" si="1"/>
        <v>GenericE&amp;DtemplateCIandGOA</v>
      </c>
      <c r="B111">
        <v>5</v>
      </c>
      <c r="C111">
        <v>6</v>
      </c>
      <c r="D111" s="649">
        <f ca="1">IF(E111=4,INDEX(crude_exp_dist,MATCH(B111,'Crude Exp Dist'!$B$6:$B$78,0),MATCH(C111,'Crude Exp Dist'!$AD$2:$BC$2,0))*INDEX(crude_exp_by_year,MATCH(B111,'Data Export'!$B$6:$B$78,0),1),IF(E111=5,INDEX(ref_exp_dist,MATCH(B111,'Refined Petro Exp Dist'!$B$6:$B$78,0),MATCH(C111,'Refined Petro Exp Dist'!$AD$2:$BC$2,0))*INDEX(ref_exp_by_year,MATCH(B111,'Data Export'!$B$6:$B$78,0),1)))</f>
        <v>0</v>
      </c>
      <c r="E111">
        <v>4</v>
      </c>
      <c r="F111" t="s">
        <v>186</v>
      </c>
    </row>
    <row r="112" spans="1:6">
      <c r="A112" t="str">
        <f t="shared" si="1"/>
        <v>GenericE&amp;DtemplateCIandGOA</v>
      </c>
      <c r="B112">
        <v>5</v>
      </c>
      <c r="C112">
        <v>7</v>
      </c>
      <c r="D112" s="649">
        <f ca="1">IF(E112=4,INDEX(crude_exp_dist,MATCH(B112,'Crude Exp Dist'!$B$6:$B$78,0),MATCH(C112,'Crude Exp Dist'!$AD$2:$BC$2,0))*INDEX(crude_exp_by_year,MATCH(B112,'Data Export'!$B$6:$B$78,0),1),IF(E112=5,INDEX(ref_exp_dist,MATCH(B112,'Refined Petro Exp Dist'!$B$6:$B$78,0),MATCH(C112,'Refined Petro Exp Dist'!$AD$2:$BC$2,0))*INDEX(ref_exp_by_year,MATCH(B112,'Data Export'!$B$6:$B$78,0),1)))</f>
        <v>0</v>
      </c>
      <c r="E112">
        <v>4</v>
      </c>
      <c r="F112" t="s">
        <v>191</v>
      </c>
    </row>
    <row r="113" spans="1:6">
      <c r="A113" t="str">
        <f t="shared" si="1"/>
        <v>GenericE&amp;DtemplateCIandGOA</v>
      </c>
      <c r="B113">
        <v>5</v>
      </c>
      <c r="C113">
        <v>8</v>
      </c>
      <c r="D113" s="649">
        <f ca="1">IF(E113=4,INDEX(crude_exp_dist,MATCH(B113,'Crude Exp Dist'!$B$6:$B$78,0),MATCH(C113,'Crude Exp Dist'!$AD$2:$BC$2,0))*INDEX(crude_exp_by_year,MATCH(B113,'Data Export'!$B$6:$B$78,0),1),IF(E113=5,INDEX(ref_exp_dist,MATCH(B113,'Refined Petro Exp Dist'!$B$6:$B$78,0),MATCH(C113,'Refined Petro Exp Dist'!$AD$2:$BC$2,0))*INDEX(ref_exp_by_year,MATCH(B113,'Data Export'!$B$6:$B$78,0),1)))</f>
        <v>0</v>
      </c>
      <c r="E113">
        <v>4</v>
      </c>
      <c r="F113" t="s">
        <v>197</v>
      </c>
    </row>
    <row r="114" spans="1:6">
      <c r="A114" t="str">
        <f t="shared" si="1"/>
        <v>GenericE&amp;DtemplateCIandGOA</v>
      </c>
      <c r="B114">
        <v>5</v>
      </c>
      <c r="C114">
        <v>9</v>
      </c>
      <c r="D114" s="649">
        <f ca="1">IF(E114=4,INDEX(crude_exp_dist,MATCH(B114,'Crude Exp Dist'!$B$6:$B$78,0),MATCH(C114,'Crude Exp Dist'!$AD$2:$BC$2,0))*INDEX(crude_exp_by_year,MATCH(B114,'Data Export'!$B$6:$B$78,0),1),IF(E114=5,INDEX(ref_exp_dist,MATCH(B114,'Refined Petro Exp Dist'!$B$6:$B$78,0),MATCH(C114,'Refined Petro Exp Dist'!$AD$2:$BC$2,0))*INDEX(ref_exp_by_year,MATCH(B114,'Data Export'!$B$6:$B$78,0),1)))</f>
        <v>0</v>
      </c>
      <c r="E114">
        <v>4</v>
      </c>
      <c r="F114" t="s">
        <v>199</v>
      </c>
    </row>
    <row r="115" spans="1:6">
      <c r="A115" t="str">
        <f t="shared" si="1"/>
        <v>GenericE&amp;DtemplateCIandGOA</v>
      </c>
      <c r="B115">
        <v>5</v>
      </c>
      <c r="C115">
        <v>10</v>
      </c>
      <c r="D115" s="649">
        <f ca="1">IF(E115=4,INDEX(crude_exp_dist,MATCH(B115,'Crude Exp Dist'!$B$6:$B$78,0),MATCH(C115,'Crude Exp Dist'!$AD$2:$BC$2,0))*INDEX(crude_exp_by_year,MATCH(B115,'Data Export'!$B$6:$B$78,0),1),IF(E115=5,INDEX(ref_exp_dist,MATCH(B115,'Refined Petro Exp Dist'!$B$6:$B$78,0),MATCH(C115,'Refined Petro Exp Dist'!$AD$2:$BC$2,0))*INDEX(ref_exp_by_year,MATCH(B115,'Data Export'!$B$6:$B$78,0),1)))</f>
        <v>0</v>
      </c>
      <c r="E115">
        <v>4</v>
      </c>
      <c r="F115" t="s">
        <v>201</v>
      </c>
    </row>
    <row r="116" spans="1:6">
      <c r="A116" t="str">
        <f t="shared" si="1"/>
        <v>GenericE&amp;DtemplateCIandGOA</v>
      </c>
      <c r="B116">
        <v>5</v>
      </c>
      <c r="C116">
        <v>11</v>
      </c>
      <c r="D116" s="649">
        <f ca="1">IF(E116=4,INDEX(crude_exp_dist,MATCH(B116,'Crude Exp Dist'!$B$6:$B$78,0),MATCH(C116,'Crude Exp Dist'!$AD$2:$BC$2,0))*INDEX(crude_exp_by_year,MATCH(B116,'Data Export'!$B$6:$B$78,0),1),IF(E116=5,INDEX(ref_exp_dist,MATCH(B116,'Refined Petro Exp Dist'!$B$6:$B$78,0),MATCH(C116,'Refined Petro Exp Dist'!$AD$2:$BC$2,0))*INDEX(ref_exp_by_year,MATCH(B116,'Data Export'!$B$6:$B$78,0),1)))</f>
        <v>0</v>
      </c>
      <c r="E116">
        <v>4</v>
      </c>
      <c r="F116" t="s">
        <v>921</v>
      </c>
    </row>
    <row r="117" spans="1:6">
      <c r="A117" t="str">
        <f t="shared" si="1"/>
        <v>GenericE&amp;DtemplateCIandGOA</v>
      </c>
      <c r="B117">
        <v>5</v>
      </c>
      <c r="C117">
        <v>12</v>
      </c>
      <c r="D117" s="649">
        <f ca="1">IF(E117=4,INDEX(crude_exp_dist,MATCH(B117,'Crude Exp Dist'!$B$6:$B$78,0),MATCH(C117,'Crude Exp Dist'!$AD$2:$BC$2,0))*INDEX(crude_exp_by_year,MATCH(B117,'Data Export'!$B$6:$B$78,0),1),IF(E117=5,INDEX(ref_exp_dist,MATCH(B117,'Refined Petro Exp Dist'!$B$6:$B$78,0),MATCH(C117,'Refined Petro Exp Dist'!$AD$2:$BC$2,0))*INDEX(ref_exp_by_year,MATCH(B117,'Data Export'!$B$6:$B$78,0),1)))</f>
        <v>1.4171280895871607E-2</v>
      </c>
      <c r="E117">
        <v>4</v>
      </c>
      <c r="F117" t="s">
        <v>208</v>
      </c>
    </row>
    <row r="118" spans="1:6">
      <c r="A118" t="str">
        <f t="shared" si="1"/>
        <v>GenericE&amp;DtemplateCIandGOA</v>
      </c>
      <c r="B118">
        <v>5</v>
      </c>
      <c r="C118">
        <v>13</v>
      </c>
      <c r="D118" s="649">
        <f ca="1">IF(E118=4,INDEX(crude_exp_dist,MATCH(B118,'Crude Exp Dist'!$B$6:$B$78,0),MATCH(C118,'Crude Exp Dist'!$AD$2:$BC$2,0))*INDEX(crude_exp_by_year,MATCH(B118,'Data Export'!$B$6:$B$78,0),1),IF(E118=5,INDEX(ref_exp_dist,MATCH(B118,'Refined Petro Exp Dist'!$B$6:$B$78,0),MATCH(C118,'Refined Petro Exp Dist'!$AD$2:$BC$2,0))*INDEX(ref_exp_by_year,MATCH(B118,'Data Export'!$B$6:$B$78,0),1)))</f>
        <v>0</v>
      </c>
      <c r="E118">
        <v>4</v>
      </c>
      <c r="F118" t="s">
        <v>211</v>
      </c>
    </row>
    <row r="119" spans="1:6">
      <c r="A119" t="str">
        <f t="shared" si="1"/>
        <v>GenericE&amp;DtemplateCIandGOA</v>
      </c>
      <c r="B119">
        <v>5</v>
      </c>
      <c r="C119">
        <v>14</v>
      </c>
      <c r="D119" s="649">
        <f ca="1">IF(E119=4,INDEX(crude_exp_dist,MATCH(B119,'Crude Exp Dist'!$B$6:$B$78,0),MATCH(C119,'Crude Exp Dist'!$AD$2:$BC$2,0))*INDEX(crude_exp_by_year,MATCH(B119,'Data Export'!$B$6:$B$78,0),1),IF(E119=5,INDEX(ref_exp_dist,MATCH(B119,'Refined Petro Exp Dist'!$B$6:$B$78,0),MATCH(C119,'Refined Petro Exp Dist'!$AD$2:$BC$2,0))*INDEX(ref_exp_by_year,MATCH(B119,'Data Export'!$B$6:$B$78,0),1)))</f>
        <v>0</v>
      </c>
      <c r="E119">
        <v>4</v>
      </c>
      <c r="F119" t="s">
        <v>213</v>
      </c>
    </row>
    <row r="120" spans="1:6">
      <c r="A120" t="str">
        <f t="shared" si="1"/>
        <v>GenericE&amp;DtemplateCIandGOA</v>
      </c>
      <c r="B120">
        <v>5</v>
      </c>
      <c r="C120">
        <v>15</v>
      </c>
      <c r="D120" s="649">
        <f ca="1">IF(E120=4,INDEX(crude_exp_dist,MATCH(B120,'Crude Exp Dist'!$B$6:$B$78,0),MATCH(C120,'Crude Exp Dist'!$AD$2:$BC$2,0))*INDEX(crude_exp_by_year,MATCH(B120,'Data Export'!$B$6:$B$78,0),1),IF(E120=5,INDEX(ref_exp_dist,MATCH(B120,'Refined Petro Exp Dist'!$B$6:$B$78,0),MATCH(C120,'Refined Petro Exp Dist'!$AD$2:$BC$2,0))*INDEX(ref_exp_by_year,MATCH(B120,'Data Export'!$B$6:$B$78,0),1)))</f>
        <v>0</v>
      </c>
      <c r="E120">
        <v>4</v>
      </c>
      <c r="F120" t="s">
        <v>215</v>
      </c>
    </row>
    <row r="121" spans="1:6">
      <c r="A121" t="str">
        <f t="shared" si="1"/>
        <v>GenericE&amp;DtemplateCIandGOA</v>
      </c>
      <c r="B121">
        <v>5</v>
      </c>
      <c r="C121">
        <v>16</v>
      </c>
      <c r="D121" s="649">
        <f ca="1">IF(E121=4,INDEX(crude_exp_dist,MATCH(B121,'Crude Exp Dist'!$B$6:$B$78,0),MATCH(C121,'Crude Exp Dist'!$AD$2:$BC$2,0))*INDEX(crude_exp_by_year,MATCH(B121,'Data Export'!$B$6:$B$78,0),1),IF(E121=5,INDEX(ref_exp_dist,MATCH(B121,'Refined Petro Exp Dist'!$B$6:$B$78,0),MATCH(C121,'Refined Petro Exp Dist'!$AD$2:$BC$2,0))*INDEX(ref_exp_by_year,MATCH(B121,'Data Export'!$B$6:$B$78,0),1)))</f>
        <v>0</v>
      </c>
      <c r="E121">
        <v>4</v>
      </c>
      <c r="F121" t="s">
        <v>219</v>
      </c>
    </row>
    <row r="122" spans="1:6">
      <c r="A122" t="str">
        <f t="shared" si="1"/>
        <v>GenericE&amp;DtemplateCIandGOA</v>
      </c>
      <c r="B122">
        <v>5</v>
      </c>
      <c r="C122">
        <v>17</v>
      </c>
      <c r="D122" s="649">
        <f ca="1">IF(E122=4,INDEX(crude_exp_dist,MATCH(B122,'Crude Exp Dist'!$B$6:$B$78,0),MATCH(C122,'Crude Exp Dist'!$AD$2:$BC$2,0))*INDEX(crude_exp_by_year,MATCH(B122,'Data Export'!$B$6:$B$78,0),1),IF(E122=5,INDEX(ref_exp_dist,MATCH(B122,'Refined Petro Exp Dist'!$B$6:$B$78,0),MATCH(C122,'Refined Petro Exp Dist'!$AD$2:$BC$2,0))*INDEX(ref_exp_by_year,MATCH(B122,'Data Export'!$B$6:$B$78,0),1)))</f>
        <v>0</v>
      </c>
      <c r="E122">
        <v>4</v>
      </c>
      <c r="F122" t="s">
        <v>222</v>
      </c>
    </row>
    <row r="123" spans="1:6">
      <c r="A123" t="str">
        <f t="shared" si="1"/>
        <v>GenericE&amp;DtemplateCIandGOA</v>
      </c>
      <c r="B123">
        <v>5</v>
      </c>
      <c r="C123">
        <v>18</v>
      </c>
      <c r="D123" s="649">
        <f ca="1">IF(E123=4,INDEX(crude_exp_dist,MATCH(B123,'Crude Exp Dist'!$B$6:$B$78,0),MATCH(C123,'Crude Exp Dist'!$AD$2:$BC$2,0))*INDEX(crude_exp_by_year,MATCH(B123,'Data Export'!$B$6:$B$78,0),1),IF(E123=5,INDEX(ref_exp_dist,MATCH(B123,'Refined Petro Exp Dist'!$B$6:$B$78,0),MATCH(C123,'Refined Petro Exp Dist'!$AD$2:$BC$2,0))*INDEX(ref_exp_by_year,MATCH(B123,'Data Export'!$B$6:$B$78,0),1)))</f>
        <v>0</v>
      </c>
      <c r="E123">
        <v>4</v>
      </c>
      <c r="F123" t="s">
        <v>224</v>
      </c>
    </row>
    <row r="124" spans="1:6">
      <c r="A124" t="str">
        <f t="shared" si="1"/>
        <v>GenericE&amp;DtemplateCIandGOA</v>
      </c>
      <c r="B124">
        <v>5</v>
      </c>
      <c r="C124">
        <v>19</v>
      </c>
      <c r="D124" s="649">
        <f ca="1">IF(E124=4,INDEX(crude_exp_dist,MATCH(B124,'Crude Exp Dist'!$B$6:$B$78,0),MATCH(C124,'Crude Exp Dist'!$AD$2:$BC$2,0))*INDEX(crude_exp_by_year,MATCH(B124,'Data Export'!$B$6:$B$78,0),1),IF(E124=5,INDEX(ref_exp_dist,MATCH(B124,'Refined Petro Exp Dist'!$B$6:$B$78,0),MATCH(C124,'Refined Petro Exp Dist'!$AD$2:$BC$2,0))*INDEX(ref_exp_by_year,MATCH(B124,'Data Export'!$B$6:$B$78,0),1)))</f>
        <v>0</v>
      </c>
      <c r="E124">
        <v>4</v>
      </c>
      <c r="F124" t="s">
        <v>228</v>
      </c>
    </row>
    <row r="125" spans="1:6">
      <c r="A125" t="str">
        <f t="shared" si="1"/>
        <v>GenericE&amp;DtemplateCIandGOA</v>
      </c>
      <c r="B125">
        <v>5</v>
      </c>
      <c r="C125">
        <v>20</v>
      </c>
      <c r="D125" s="649">
        <f ca="1">IF(E125=4,INDEX(crude_exp_dist,MATCH(B125,'Crude Exp Dist'!$B$6:$B$78,0),MATCH(C125,'Crude Exp Dist'!$AD$2:$BC$2,0))*INDEX(crude_exp_by_year,MATCH(B125,'Data Export'!$B$6:$B$78,0),1),IF(E125=5,INDEX(ref_exp_dist,MATCH(B125,'Refined Petro Exp Dist'!$B$6:$B$78,0),MATCH(C125,'Refined Petro Exp Dist'!$AD$2:$BC$2,0))*INDEX(ref_exp_by_year,MATCH(B125,'Data Export'!$B$6:$B$78,0),1)))</f>
        <v>0</v>
      </c>
      <c r="E125">
        <v>4</v>
      </c>
      <c r="F125" t="s">
        <v>231</v>
      </c>
    </row>
    <row r="126" spans="1:6">
      <c r="A126" t="str">
        <f t="shared" si="1"/>
        <v>GenericE&amp;DtemplateCIandGOA</v>
      </c>
      <c r="B126">
        <v>5</v>
      </c>
      <c r="C126">
        <v>21</v>
      </c>
      <c r="D126" s="649">
        <f ca="1">IF(E126=4,INDEX(crude_exp_dist,MATCH(B126,'Crude Exp Dist'!$B$6:$B$78,0),MATCH(C126,'Crude Exp Dist'!$AD$2:$BC$2,0))*INDEX(crude_exp_by_year,MATCH(B126,'Data Export'!$B$6:$B$78,0),1),IF(E126=5,INDEX(ref_exp_dist,MATCH(B126,'Refined Petro Exp Dist'!$B$6:$B$78,0),MATCH(C126,'Refined Petro Exp Dist'!$AD$2:$BC$2,0))*INDEX(ref_exp_by_year,MATCH(B126,'Data Export'!$B$6:$B$78,0),1)))</f>
        <v>0</v>
      </c>
      <c r="E126">
        <v>4</v>
      </c>
      <c r="F126" t="s">
        <v>232</v>
      </c>
    </row>
    <row r="127" spans="1:6">
      <c r="A127" t="str">
        <f t="shared" si="1"/>
        <v>GenericE&amp;DtemplateCIandGOA</v>
      </c>
      <c r="B127">
        <v>5</v>
      </c>
      <c r="C127">
        <v>22</v>
      </c>
      <c r="D127" s="649">
        <f ca="1">IF(E127=4,INDEX(crude_exp_dist,MATCH(B127,'Crude Exp Dist'!$B$6:$B$78,0),MATCH(C127,'Crude Exp Dist'!$AD$2:$BC$2,0))*INDEX(crude_exp_by_year,MATCH(B127,'Data Export'!$B$6:$B$78,0),1),IF(E127=5,INDEX(ref_exp_dist,MATCH(B127,'Refined Petro Exp Dist'!$B$6:$B$78,0),MATCH(C127,'Refined Petro Exp Dist'!$AD$2:$BC$2,0))*INDEX(ref_exp_by_year,MATCH(B127,'Data Export'!$B$6:$B$78,0),1)))</f>
        <v>0</v>
      </c>
      <c r="E127">
        <v>4</v>
      </c>
      <c r="F127" t="s">
        <v>235</v>
      </c>
    </row>
    <row r="128" spans="1:6">
      <c r="A128" t="str">
        <f t="shared" si="1"/>
        <v>GenericE&amp;DtemplateCIandGOA</v>
      </c>
      <c r="B128">
        <v>5</v>
      </c>
      <c r="C128">
        <v>23</v>
      </c>
      <c r="D128" s="649">
        <f ca="1">IF(E128=4,INDEX(crude_exp_dist,MATCH(B128,'Crude Exp Dist'!$B$6:$B$78,0),MATCH(C128,'Crude Exp Dist'!$AD$2:$BC$2,0))*INDEX(crude_exp_by_year,MATCH(B128,'Data Export'!$B$6:$B$78,0),1),IF(E128=5,INDEX(ref_exp_dist,MATCH(B128,'Refined Petro Exp Dist'!$B$6:$B$78,0),MATCH(C128,'Refined Petro Exp Dist'!$AD$2:$BC$2,0))*INDEX(ref_exp_by_year,MATCH(B128,'Data Export'!$B$6:$B$78,0),1)))</f>
        <v>0</v>
      </c>
      <c r="E128">
        <v>4</v>
      </c>
      <c r="F128" t="s">
        <v>237</v>
      </c>
    </row>
    <row r="129" spans="1:6">
      <c r="A129" t="str">
        <f t="shared" si="1"/>
        <v>GenericE&amp;DtemplateCIandGOA</v>
      </c>
      <c r="B129">
        <v>5</v>
      </c>
      <c r="C129">
        <v>24</v>
      </c>
      <c r="D129" s="649">
        <f ca="1">IF(E129=4,INDEX(crude_exp_dist,MATCH(B129,'Crude Exp Dist'!$B$6:$B$78,0),MATCH(C129,'Crude Exp Dist'!$AD$2:$BC$2,0))*INDEX(crude_exp_by_year,MATCH(B129,'Data Export'!$B$6:$B$78,0),1),IF(E129=5,INDEX(ref_exp_dist,MATCH(B129,'Refined Petro Exp Dist'!$B$6:$B$78,0),MATCH(C129,'Refined Petro Exp Dist'!$AD$2:$BC$2,0))*INDEX(ref_exp_by_year,MATCH(B129,'Data Export'!$B$6:$B$78,0),1)))</f>
        <v>0</v>
      </c>
      <c r="E129">
        <v>4</v>
      </c>
      <c r="F129" t="s">
        <v>239</v>
      </c>
    </row>
    <row r="130" spans="1:6">
      <c r="A130" t="str">
        <f t="shared" ref="A130:A193" si="2">scenario_name</f>
        <v>GenericE&amp;DtemplateCIandGOA</v>
      </c>
      <c r="B130">
        <v>5</v>
      </c>
      <c r="C130">
        <v>25</v>
      </c>
      <c r="D130" s="649">
        <f ca="1">IF(E130=4,INDEX(crude_exp_dist,MATCH(B130,'Crude Exp Dist'!$B$6:$B$78,0),MATCH(C130,'Crude Exp Dist'!$AD$2:$BC$2,0))*INDEX(crude_exp_by_year,MATCH(B130,'Data Export'!$B$6:$B$78,0),1),IF(E130=5,INDEX(ref_exp_dist,MATCH(B130,'Refined Petro Exp Dist'!$B$6:$B$78,0),MATCH(C130,'Refined Petro Exp Dist'!$AD$2:$BC$2,0))*INDEX(ref_exp_by_year,MATCH(B130,'Data Export'!$B$6:$B$78,0),1)))</f>
        <v>0</v>
      </c>
      <c r="E130">
        <v>4</v>
      </c>
      <c r="F130" t="s">
        <v>242</v>
      </c>
    </row>
    <row r="131" spans="1:6">
      <c r="A131" t="str">
        <f t="shared" si="2"/>
        <v>GenericE&amp;DtemplateCIandGOA</v>
      </c>
      <c r="B131">
        <v>5</v>
      </c>
      <c r="C131">
        <v>26</v>
      </c>
      <c r="D131" s="649">
        <f ca="1">IF(E131=4,INDEX(crude_exp_dist,MATCH(B131,'Crude Exp Dist'!$B$6:$B$78,0),MATCH(C131,'Crude Exp Dist'!$AD$2:$BC$2,0))*INDEX(crude_exp_by_year,MATCH(B131,'Data Export'!$B$6:$B$78,0),1),IF(E131=5,INDEX(ref_exp_dist,MATCH(B131,'Refined Petro Exp Dist'!$B$6:$B$78,0),MATCH(C131,'Refined Petro Exp Dist'!$AD$2:$BC$2,0))*INDEX(ref_exp_by_year,MATCH(B131,'Data Export'!$B$6:$B$78,0),1)))</f>
        <v>0</v>
      </c>
      <c r="E131">
        <v>4</v>
      </c>
      <c r="F131" t="s">
        <v>245</v>
      </c>
    </row>
    <row r="132" spans="1:6">
      <c r="A132" t="str">
        <f t="shared" si="2"/>
        <v>GenericE&amp;DtemplateCIandGOA</v>
      </c>
      <c r="B132">
        <v>6</v>
      </c>
      <c r="C132">
        <v>1</v>
      </c>
      <c r="D132" s="649">
        <f ca="1">IF(E132=4,INDEX(crude_exp_dist,MATCH(B132,'Crude Exp Dist'!$B$6:$B$78,0),MATCH(C132,'Crude Exp Dist'!$AD$2:$BC$2,0))*INDEX(crude_exp_by_year,MATCH(B132,'Data Export'!$B$6:$B$78,0),1),IF(E132=5,INDEX(ref_exp_dist,MATCH(B132,'Refined Petro Exp Dist'!$B$6:$B$78,0),MATCH(C132,'Refined Petro Exp Dist'!$AD$2:$BC$2,0))*INDEX(ref_exp_by_year,MATCH(B132,'Data Export'!$B$6:$B$78,0),1)))</f>
        <v>0</v>
      </c>
      <c r="E132">
        <v>4</v>
      </c>
      <c r="F132" t="s">
        <v>158</v>
      </c>
    </row>
    <row r="133" spans="1:6">
      <c r="A133" t="str">
        <f t="shared" si="2"/>
        <v>GenericE&amp;DtemplateCIandGOA</v>
      </c>
      <c r="B133">
        <v>6</v>
      </c>
      <c r="C133">
        <v>2</v>
      </c>
      <c r="D133" s="649">
        <f ca="1">IF(E133=4,INDEX(crude_exp_dist,MATCH(B133,'Crude Exp Dist'!$B$6:$B$78,0),MATCH(C133,'Crude Exp Dist'!$AD$2:$BC$2,0))*INDEX(crude_exp_by_year,MATCH(B133,'Data Export'!$B$6:$B$78,0),1),IF(E133=5,INDEX(ref_exp_dist,MATCH(B133,'Refined Petro Exp Dist'!$B$6:$B$78,0),MATCH(C133,'Refined Petro Exp Dist'!$AD$2:$BC$2,0))*INDEX(ref_exp_by_year,MATCH(B133,'Data Export'!$B$6:$B$78,0),1)))</f>
        <v>0</v>
      </c>
      <c r="E133">
        <v>4</v>
      </c>
      <c r="F133" t="s">
        <v>166</v>
      </c>
    </row>
    <row r="134" spans="1:6">
      <c r="A134" t="str">
        <f t="shared" si="2"/>
        <v>GenericE&amp;DtemplateCIandGOA</v>
      </c>
      <c r="B134">
        <v>6</v>
      </c>
      <c r="C134">
        <v>3</v>
      </c>
      <c r="D134" s="649">
        <f ca="1">IF(E134=4,INDEX(crude_exp_dist,MATCH(B134,'Crude Exp Dist'!$B$6:$B$78,0),MATCH(C134,'Crude Exp Dist'!$AD$2:$BC$2,0))*INDEX(crude_exp_by_year,MATCH(B134,'Data Export'!$B$6:$B$78,0),1),IF(E134=5,INDEX(ref_exp_dist,MATCH(B134,'Refined Petro Exp Dist'!$B$6:$B$78,0),MATCH(C134,'Refined Petro Exp Dist'!$AD$2:$BC$2,0))*INDEX(ref_exp_by_year,MATCH(B134,'Data Export'!$B$6:$B$78,0),1)))</f>
        <v>0</v>
      </c>
      <c r="E134">
        <v>4</v>
      </c>
      <c r="F134" t="s">
        <v>171</v>
      </c>
    </row>
    <row r="135" spans="1:6">
      <c r="A135" t="str">
        <f t="shared" si="2"/>
        <v>GenericE&amp;DtemplateCIandGOA</v>
      </c>
      <c r="B135">
        <v>6</v>
      </c>
      <c r="C135">
        <v>4</v>
      </c>
      <c r="D135" s="649">
        <f ca="1">IF(E135=4,INDEX(crude_exp_dist,MATCH(B135,'Crude Exp Dist'!$B$6:$B$78,0),MATCH(C135,'Crude Exp Dist'!$AD$2:$BC$2,0))*INDEX(crude_exp_by_year,MATCH(B135,'Data Export'!$B$6:$B$78,0),1),IF(E135=5,INDEX(ref_exp_dist,MATCH(B135,'Refined Petro Exp Dist'!$B$6:$B$78,0),MATCH(C135,'Refined Petro Exp Dist'!$AD$2:$BC$2,0))*INDEX(ref_exp_by_year,MATCH(B135,'Data Export'!$B$6:$B$78,0),1)))</f>
        <v>0</v>
      </c>
      <c r="E135">
        <v>4</v>
      </c>
      <c r="F135" t="s">
        <v>173</v>
      </c>
    </row>
    <row r="136" spans="1:6">
      <c r="A136" t="str">
        <f t="shared" si="2"/>
        <v>GenericE&amp;DtemplateCIandGOA</v>
      </c>
      <c r="B136">
        <v>6</v>
      </c>
      <c r="C136">
        <v>5</v>
      </c>
      <c r="D136" s="649">
        <f ca="1">IF(E136=4,INDEX(crude_exp_dist,MATCH(B136,'Crude Exp Dist'!$B$6:$B$78,0),MATCH(C136,'Crude Exp Dist'!$AD$2:$BC$2,0))*INDEX(crude_exp_by_year,MATCH(B136,'Data Export'!$B$6:$B$78,0),1),IF(E136=5,INDEX(ref_exp_dist,MATCH(B136,'Refined Petro Exp Dist'!$B$6:$B$78,0),MATCH(C136,'Refined Petro Exp Dist'!$AD$2:$BC$2,0))*INDEX(ref_exp_by_year,MATCH(B136,'Data Export'!$B$6:$B$78,0),1)))</f>
        <v>0</v>
      </c>
      <c r="E136">
        <v>4</v>
      </c>
      <c r="F136" t="s">
        <v>180</v>
      </c>
    </row>
    <row r="137" spans="1:6">
      <c r="A137" t="str">
        <f t="shared" si="2"/>
        <v>GenericE&amp;DtemplateCIandGOA</v>
      </c>
      <c r="B137">
        <v>6</v>
      </c>
      <c r="C137">
        <v>6</v>
      </c>
      <c r="D137" s="649">
        <f ca="1">IF(E137=4,INDEX(crude_exp_dist,MATCH(B137,'Crude Exp Dist'!$B$6:$B$78,0),MATCH(C137,'Crude Exp Dist'!$AD$2:$BC$2,0))*INDEX(crude_exp_by_year,MATCH(B137,'Data Export'!$B$6:$B$78,0),1),IF(E137=5,INDEX(ref_exp_dist,MATCH(B137,'Refined Petro Exp Dist'!$B$6:$B$78,0),MATCH(C137,'Refined Petro Exp Dist'!$AD$2:$BC$2,0))*INDEX(ref_exp_by_year,MATCH(B137,'Data Export'!$B$6:$B$78,0),1)))</f>
        <v>0</v>
      </c>
      <c r="E137">
        <v>4</v>
      </c>
      <c r="F137" t="s">
        <v>186</v>
      </c>
    </row>
    <row r="138" spans="1:6">
      <c r="A138" t="str">
        <f t="shared" si="2"/>
        <v>GenericE&amp;DtemplateCIandGOA</v>
      </c>
      <c r="B138">
        <v>6</v>
      </c>
      <c r="C138">
        <v>7</v>
      </c>
      <c r="D138" s="649">
        <f ca="1">IF(E138=4,INDEX(crude_exp_dist,MATCH(B138,'Crude Exp Dist'!$B$6:$B$78,0),MATCH(C138,'Crude Exp Dist'!$AD$2:$BC$2,0))*INDEX(crude_exp_by_year,MATCH(B138,'Data Export'!$B$6:$B$78,0),1),IF(E138=5,INDEX(ref_exp_dist,MATCH(B138,'Refined Petro Exp Dist'!$B$6:$B$78,0),MATCH(C138,'Refined Petro Exp Dist'!$AD$2:$BC$2,0))*INDEX(ref_exp_by_year,MATCH(B138,'Data Export'!$B$6:$B$78,0),1)))</f>
        <v>0</v>
      </c>
      <c r="E138">
        <v>4</v>
      </c>
      <c r="F138" t="s">
        <v>191</v>
      </c>
    </row>
    <row r="139" spans="1:6">
      <c r="A139" t="str">
        <f t="shared" si="2"/>
        <v>GenericE&amp;DtemplateCIandGOA</v>
      </c>
      <c r="B139">
        <v>6</v>
      </c>
      <c r="C139">
        <v>8</v>
      </c>
      <c r="D139" s="649">
        <f ca="1">IF(E139=4,INDEX(crude_exp_dist,MATCH(B139,'Crude Exp Dist'!$B$6:$B$78,0),MATCH(C139,'Crude Exp Dist'!$AD$2:$BC$2,0))*INDEX(crude_exp_by_year,MATCH(B139,'Data Export'!$B$6:$B$78,0),1),IF(E139=5,INDEX(ref_exp_dist,MATCH(B139,'Refined Petro Exp Dist'!$B$6:$B$78,0),MATCH(C139,'Refined Petro Exp Dist'!$AD$2:$BC$2,0))*INDEX(ref_exp_by_year,MATCH(B139,'Data Export'!$B$6:$B$78,0),1)))</f>
        <v>0</v>
      </c>
      <c r="E139">
        <v>4</v>
      </c>
      <c r="F139" t="s">
        <v>197</v>
      </c>
    </row>
    <row r="140" spans="1:6">
      <c r="A140" t="str">
        <f t="shared" si="2"/>
        <v>GenericE&amp;DtemplateCIandGOA</v>
      </c>
      <c r="B140">
        <v>6</v>
      </c>
      <c r="C140">
        <v>9</v>
      </c>
      <c r="D140" s="649">
        <f ca="1">IF(E140=4,INDEX(crude_exp_dist,MATCH(B140,'Crude Exp Dist'!$B$6:$B$78,0),MATCH(C140,'Crude Exp Dist'!$AD$2:$BC$2,0))*INDEX(crude_exp_by_year,MATCH(B140,'Data Export'!$B$6:$B$78,0),1),IF(E140=5,INDEX(ref_exp_dist,MATCH(B140,'Refined Petro Exp Dist'!$B$6:$B$78,0),MATCH(C140,'Refined Petro Exp Dist'!$AD$2:$BC$2,0))*INDEX(ref_exp_by_year,MATCH(B140,'Data Export'!$B$6:$B$78,0),1)))</f>
        <v>0</v>
      </c>
      <c r="E140">
        <v>4</v>
      </c>
      <c r="F140" t="s">
        <v>199</v>
      </c>
    </row>
    <row r="141" spans="1:6">
      <c r="A141" t="str">
        <f t="shared" si="2"/>
        <v>GenericE&amp;DtemplateCIandGOA</v>
      </c>
      <c r="B141">
        <v>6</v>
      </c>
      <c r="C141">
        <v>10</v>
      </c>
      <c r="D141" s="649">
        <f ca="1">IF(E141=4,INDEX(crude_exp_dist,MATCH(B141,'Crude Exp Dist'!$B$6:$B$78,0),MATCH(C141,'Crude Exp Dist'!$AD$2:$BC$2,0))*INDEX(crude_exp_by_year,MATCH(B141,'Data Export'!$B$6:$B$78,0),1),IF(E141=5,INDEX(ref_exp_dist,MATCH(B141,'Refined Petro Exp Dist'!$B$6:$B$78,0),MATCH(C141,'Refined Petro Exp Dist'!$AD$2:$BC$2,0))*INDEX(ref_exp_by_year,MATCH(B141,'Data Export'!$B$6:$B$78,0),1)))</f>
        <v>0</v>
      </c>
      <c r="E141">
        <v>4</v>
      </c>
      <c r="F141" t="s">
        <v>201</v>
      </c>
    </row>
    <row r="142" spans="1:6">
      <c r="A142" t="str">
        <f t="shared" si="2"/>
        <v>GenericE&amp;DtemplateCIandGOA</v>
      </c>
      <c r="B142">
        <v>6</v>
      </c>
      <c r="C142">
        <v>11</v>
      </c>
      <c r="D142" s="649">
        <f ca="1">IF(E142=4,INDEX(crude_exp_dist,MATCH(B142,'Crude Exp Dist'!$B$6:$B$78,0),MATCH(C142,'Crude Exp Dist'!$AD$2:$BC$2,0))*INDEX(crude_exp_by_year,MATCH(B142,'Data Export'!$B$6:$B$78,0),1),IF(E142=5,INDEX(ref_exp_dist,MATCH(B142,'Refined Petro Exp Dist'!$B$6:$B$78,0),MATCH(C142,'Refined Petro Exp Dist'!$AD$2:$BC$2,0))*INDEX(ref_exp_by_year,MATCH(B142,'Data Export'!$B$6:$B$78,0),1)))</f>
        <v>0</v>
      </c>
      <c r="E142">
        <v>4</v>
      </c>
      <c r="F142" t="s">
        <v>921</v>
      </c>
    </row>
    <row r="143" spans="1:6">
      <c r="A143" t="str">
        <f t="shared" si="2"/>
        <v>GenericE&amp;DtemplateCIandGOA</v>
      </c>
      <c r="B143">
        <v>6</v>
      </c>
      <c r="C143">
        <v>12</v>
      </c>
      <c r="D143" s="649">
        <f ca="1">IF(E143=4,INDEX(crude_exp_dist,MATCH(B143,'Crude Exp Dist'!$B$6:$B$78,0),MATCH(C143,'Crude Exp Dist'!$AD$2:$BC$2,0))*INDEX(crude_exp_by_year,MATCH(B143,'Data Export'!$B$6:$B$78,0),1),IF(E143=5,INDEX(ref_exp_dist,MATCH(B143,'Refined Petro Exp Dist'!$B$6:$B$78,0),MATCH(C143,'Refined Petro Exp Dist'!$AD$2:$BC$2,0))*INDEX(ref_exp_by_year,MATCH(B143,'Data Export'!$B$6:$B$78,0),1)))</f>
        <v>1.455160933445665E-2</v>
      </c>
      <c r="E143">
        <v>4</v>
      </c>
      <c r="F143" t="s">
        <v>208</v>
      </c>
    </row>
    <row r="144" spans="1:6">
      <c r="A144" t="str">
        <f t="shared" si="2"/>
        <v>GenericE&amp;DtemplateCIandGOA</v>
      </c>
      <c r="B144">
        <v>6</v>
      </c>
      <c r="C144">
        <v>13</v>
      </c>
      <c r="D144" s="649">
        <f ca="1">IF(E144=4,INDEX(crude_exp_dist,MATCH(B144,'Crude Exp Dist'!$B$6:$B$78,0),MATCH(C144,'Crude Exp Dist'!$AD$2:$BC$2,0))*INDEX(crude_exp_by_year,MATCH(B144,'Data Export'!$B$6:$B$78,0),1),IF(E144=5,INDEX(ref_exp_dist,MATCH(B144,'Refined Petro Exp Dist'!$B$6:$B$78,0),MATCH(C144,'Refined Petro Exp Dist'!$AD$2:$BC$2,0))*INDEX(ref_exp_by_year,MATCH(B144,'Data Export'!$B$6:$B$78,0),1)))</f>
        <v>0</v>
      </c>
      <c r="E144">
        <v>4</v>
      </c>
      <c r="F144" t="s">
        <v>211</v>
      </c>
    </row>
    <row r="145" spans="1:6">
      <c r="A145" t="str">
        <f t="shared" si="2"/>
        <v>GenericE&amp;DtemplateCIandGOA</v>
      </c>
      <c r="B145">
        <v>6</v>
      </c>
      <c r="C145">
        <v>14</v>
      </c>
      <c r="D145" s="649">
        <f ca="1">IF(E145=4,INDEX(crude_exp_dist,MATCH(B145,'Crude Exp Dist'!$B$6:$B$78,0),MATCH(C145,'Crude Exp Dist'!$AD$2:$BC$2,0))*INDEX(crude_exp_by_year,MATCH(B145,'Data Export'!$B$6:$B$78,0),1),IF(E145=5,INDEX(ref_exp_dist,MATCH(B145,'Refined Petro Exp Dist'!$B$6:$B$78,0),MATCH(C145,'Refined Petro Exp Dist'!$AD$2:$BC$2,0))*INDEX(ref_exp_by_year,MATCH(B145,'Data Export'!$B$6:$B$78,0),1)))</f>
        <v>0</v>
      </c>
      <c r="E145">
        <v>4</v>
      </c>
      <c r="F145" t="s">
        <v>213</v>
      </c>
    </row>
    <row r="146" spans="1:6">
      <c r="A146" t="str">
        <f t="shared" si="2"/>
        <v>GenericE&amp;DtemplateCIandGOA</v>
      </c>
      <c r="B146">
        <v>6</v>
      </c>
      <c r="C146">
        <v>15</v>
      </c>
      <c r="D146" s="649">
        <f ca="1">IF(E146=4,INDEX(crude_exp_dist,MATCH(B146,'Crude Exp Dist'!$B$6:$B$78,0),MATCH(C146,'Crude Exp Dist'!$AD$2:$BC$2,0))*INDEX(crude_exp_by_year,MATCH(B146,'Data Export'!$B$6:$B$78,0),1),IF(E146=5,INDEX(ref_exp_dist,MATCH(B146,'Refined Petro Exp Dist'!$B$6:$B$78,0),MATCH(C146,'Refined Petro Exp Dist'!$AD$2:$BC$2,0))*INDEX(ref_exp_by_year,MATCH(B146,'Data Export'!$B$6:$B$78,0),1)))</f>
        <v>0</v>
      </c>
      <c r="E146">
        <v>4</v>
      </c>
      <c r="F146" t="s">
        <v>215</v>
      </c>
    </row>
    <row r="147" spans="1:6">
      <c r="A147" t="str">
        <f t="shared" si="2"/>
        <v>GenericE&amp;DtemplateCIandGOA</v>
      </c>
      <c r="B147">
        <v>6</v>
      </c>
      <c r="C147">
        <v>16</v>
      </c>
      <c r="D147" s="649">
        <f ca="1">IF(E147=4,INDEX(crude_exp_dist,MATCH(B147,'Crude Exp Dist'!$B$6:$B$78,0),MATCH(C147,'Crude Exp Dist'!$AD$2:$BC$2,0))*INDEX(crude_exp_by_year,MATCH(B147,'Data Export'!$B$6:$B$78,0),1),IF(E147=5,INDEX(ref_exp_dist,MATCH(B147,'Refined Petro Exp Dist'!$B$6:$B$78,0),MATCH(C147,'Refined Petro Exp Dist'!$AD$2:$BC$2,0))*INDEX(ref_exp_by_year,MATCH(B147,'Data Export'!$B$6:$B$78,0),1)))</f>
        <v>0</v>
      </c>
      <c r="E147">
        <v>4</v>
      </c>
      <c r="F147" t="s">
        <v>219</v>
      </c>
    </row>
    <row r="148" spans="1:6">
      <c r="A148" t="str">
        <f t="shared" si="2"/>
        <v>GenericE&amp;DtemplateCIandGOA</v>
      </c>
      <c r="B148">
        <v>6</v>
      </c>
      <c r="C148">
        <v>17</v>
      </c>
      <c r="D148" s="649">
        <f ca="1">IF(E148=4,INDEX(crude_exp_dist,MATCH(B148,'Crude Exp Dist'!$B$6:$B$78,0),MATCH(C148,'Crude Exp Dist'!$AD$2:$BC$2,0))*INDEX(crude_exp_by_year,MATCH(B148,'Data Export'!$B$6:$B$78,0),1),IF(E148=5,INDEX(ref_exp_dist,MATCH(B148,'Refined Petro Exp Dist'!$B$6:$B$78,0),MATCH(C148,'Refined Petro Exp Dist'!$AD$2:$BC$2,0))*INDEX(ref_exp_by_year,MATCH(B148,'Data Export'!$B$6:$B$78,0),1)))</f>
        <v>0</v>
      </c>
      <c r="E148">
        <v>4</v>
      </c>
      <c r="F148" t="s">
        <v>222</v>
      </c>
    </row>
    <row r="149" spans="1:6">
      <c r="A149" t="str">
        <f t="shared" si="2"/>
        <v>GenericE&amp;DtemplateCIandGOA</v>
      </c>
      <c r="B149">
        <v>6</v>
      </c>
      <c r="C149">
        <v>18</v>
      </c>
      <c r="D149" s="649">
        <f ca="1">IF(E149=4,INDEX(crude_exp_dist,MATCH(B149,'Crude Exp Dist'!$B$6:$B$78,0),MATCH(C149,'Crude Exp Dist'!$AD$2:$BC$2,0))*INDEX(crude_exp_by_year,MATCH(B149,'Data Export'!$B$6:$B$78,0),1),IF(E149=5,INDEX(ref_exp_dist,MATCH(B149,'Refined Petro Exp Dist'!$B$6:$B$78,0),MATCH(C149,'Refined Petro Exp Dist'!$AD$2:$BC$2,0))*INDEX(ref_exp_by_year,MATCH(B149,'Data Export'!$B$6:$B$78,0),1)))</f>
        <v>0</v>
      </c>
      <c r="E149">
        <v>4</v>
      </c>
      <c r="F149" t="s">
        <v>224</v>
      </c>
    </row>
    <row r="150" spans="1:6">
      <c r="A150" t="str">
        <f t="shared" si="2"/>
        <v>GenericE&amp;DtemplateCIandGOA</v>
      </c>
      <c r="B150">
        <v>6</v>
      </c>
      <c r="C150">
        <v>19</v>
      </c>
      <c r="D150" s="649">
        <f ca="1">IF(E150=4,INDEX(crude_exp_dist,MATCH(B150,'Crude Exp Dist'!$B$6:$B$78,0),MATCH(C150,'Crude Exp Dist'!$AD$2:$BC$2,0))*INDEX(crude_exp_by_year,MATCH(B150,'Data Export'!$B$6:$B$78,0),1),IF(E150=5,INDEX(ref_exp_dist,MATCH(B150,'Refined Petro Exp Dist'!$B$6:$B$78,0),MATCH(C150,'Refined Petro Exp Dist'!$AD$2:$BC$2,0))*INDEX(ref_exp_by_year,MATCH(B150,'Data Export'!$B$6:$B$78,0),1)))</f>
        <v>0</v>
      </c>
      <c r="E150">
        <v>4</v>
      </c>
      <c r="F150" t="s">
        <v>228</v>
      </c>
    </row>
    <row r="151" spans="1:6">
      <c r="A151" t="str">
        <f t="shared" si="2"/>
        <v>GenericE&amp;DtemplateCIandGOA</v>
      </c>
      <c r="B151">
        <v>6</v>
      </c>
      <c r="C151">
        <v>20</v>
      </c>
      <c r="D151" s="649">
        <f ca="1">IF(E151=4,INDEX(crude_exp_dist,MATCH(B151,'Crude Exp Dist'!$B$6:$B$78,0),MATCH(C151,'Crude Exp Dist'!$AD$2:$BC$2,0))*INDEX(crude_exp_by_year,MATCH(B151,'Data Export'!$B$6:$B$78,0),1),IF(E151=5,INDEX(ref_exp_dist,MATCH(B151,'Refined Petro Exp Dist'!$B$6:$B$78,0),MATCH(C151,'Refined Petro Exp Dist'!$AD$2:$BC$2,0))*INDEX(ref_exp_by_year,MATCH(B151,'Data Export'!$B$6:$B$78,0),1)))</f>
        <v>0</v>
      </c>
      <c r="E151">
        <v>4</v>
      </c>
      <c r="F151" t="s">
        <v>231</v>
      </c>
    </row>
    <row r="152" spans="1:6">
      <c r="A152" t="str">
        <f t="shared" si="2"/>
        <v>GenericE&amp;DtemplateCIandGOA</v>
      </c>
      <c r="B152">
        <v>6</v>
      </c>
      <c r="C152">
        <v>21</v>
      </c>
      <c r="D152" s="649">
        <f ca="1">IF(E152=4,INDEX(crude_exp_dist,MATCH(B152,'Crude Exp Dist'!$B$6:$B$78,0),MATCH(C152,'Crude Exp Dist'!$AD$2:$BC$2,0))*INDEX(crude_exp_by_year,MATCH(B152,'Data Export'!$B$6:$B$78,0),1),IF(E152=5,INDEX(ref_exp_dist,MATCH(B152,'Refined Petro Exp Dist'!$B$6:$B$78,0),MATCH(C152,'Refined Petro Exp Dist'!$AD$2:$BC$2,0))*INDEX(ref_exp_by_year,MATCH(B152,'Data Export'!$B$6:$B$78,0),1)))</f>
        <v>0</v>
      </c>
      <c r="E152">
        <v>4</v>
      </c>
      <c r="F152" t="s">
        <v>232</v>
      </c>
    </row>
    <row r="153" spans="1:6">
      <c r="A153" t="str">
        <f t="shared" si="2"/>
        <v>GenericE&amp;DtemplateCIandGOA</v>
      </c>
      <c r="B153">
        <v>6</v>
      </c>
      <c r="C153">
        <v>22</v>
      </c>
      <c r="D153" s="649">
        <f ca="1">IF(E153=4,INDEX(crude_exp_dist,MATCH(B153,'Crude Exp Dist'!$B$6:$B$78,0),MATCH(C153,'Crude Exp Dist'!$AD$2:$BC$2,0))*INDEX(crude_exp_by_year,MATCH(B153,'Data Export'!$B$6:$B$78,0),1),IF(E153=5,INDEX(ref_exp_dist,MATCH(B153,'Refined Petro Exp Dist'!$B$6:$B$78,0),MATCH(C153,'Refined Petro Exp Dist'!$AD$2:$BC$2,0))*INDEX(ref_exp_by_year,MATCH(B153,'Data Export'!$B$6:$B$78,0),1)))</f>
        <v>0</v>
      </c>
      <c r="E153">
        <v>4</v>
      </c>
      <c r="F153" t="s">
        <v>235</v>
      </c>
    </row>
    <row r="154" spans="1:6">
      <c r="A154" t="str">
        <f t="shared" si="2"/>
        <v>GenericE&amp;DtemplateCIandGOA</v>
      </c>
      <c r="B154">
        <v>6</v>
      </c>
      <c r="C154">
        <v>23</v>
      </c>
      <c r="D154" s="649">
        <f ca="1">IF(E154=4,INDEX(crude_exp_dist,MATCH(B154,'Crude Exp Dist'!$B$6:$B$78,0),MATCH(C154,'Crude Exp Dist'!$AD$2:$BC$2,0))*INDEX(crude_exp_by_year,MATCH(B154,'Data Export'!$B$6:$B$78,0),1),IF(E154=5,INDEX(ref_exp_dist,MATCH(B154,'Refined Petro Exp Dist'!$B$6:$B$78,0),MATCH(C154,'Refined Petro Exp Dist'!$AD$2:$BC$2,0))*INDEX(ref_exp_by_year,MATCH(B154,'Data Export'!$B$6:$B$78,0),1)))</f>
        <v>0</v>
      </c>
      <c r="E154">
        <v>4</v>
      </c>
      <c r="F154" t="s">
        <v>237</v>
      </c>
    </row>
    <row r="155" spans="1:6">
      <c r="A155" t="str">
        <f t="shared" si="2"/>
        <v>GenericE&amp;DtemplateCIandGOA</v>
      </c>
      <c r="B155">
        <v>6</v>
      </c>
      <c r="C155">
        <v>24</v>
      </c>
      <c r="D155" s="649">
        <f ca="1">IF(E155=4,INDEX(crude_exp_dist,MATCH(B155,'Crude Exp Dist'!$B$6:$B$78,0),MATCH(C155,'Crude Exp Dist'!$AD$2:$BC$2,0))*INDEX(crude_exp_by_year,MATCH(B155,'Data Export'!$B$6:$B$78,0),1),IF(E155=5,INDEX(ref_exp_dist,MATCH(B155,'Refined Petro Exp Dist'!$B$6:$B$78,0),MATCH(C155,'Refined Petro Exp Dist'!$AD$2:$BC$2,0))*INDEX(ref_exp_by_year,MATCH(B155,'Data Export'!$B$6:$B$78,0),1)))</f>
        <v>0</v>
      </c>
      <c r="E155">
        <v>4</v>
      </c>
      <c r="F155" t="s">
        <v>239</v>
      </c>
    </row>
    <row r="156" spans="1:6">
      <c r="A156" t="str">
        <f t="shared" si="2"/>
        <v>GenericE&amp;DtemplateCIandGOA</v>
      </c>
      <c r="B156">
        <v>6</v>
      </c>
      <c r="C156">
        <v>25</v>
      </c>
      <c r="D156" s="649">
        <f ca="1">IF(E156=4,INDEX(crude_exp_dist,MATCH(B156,'Crude Exp Dist'!$B$6:$B$78,0),MATCH(C156,'Crude Exp Dist'!$AD$2:$BC$2,0))*INDEX(crude_exp_by_year,MATCH(B156,'Data Export'!$B$6:$B$78,0),1),IF(E156=5,INDEX(ref_exp_dist,MATCH(B156,'Refined Petro Exp Dist'!$B$6:$B$78,0),MATCH(C156,'Refined Petro Exp Dist'!$AD$2:$BC$2,0))*INDEX(ref_exp_by_year,MATCH(B156,'Data Export'!$B$6:$B$78,0),1)))</f>
        <v>0</v>
      </c>
      <c r="E156">
        <v>4</v>
      </c>
      <c r="F156" t="s">
        <v>242</v>
      </c>
    </row>
    <row r="157" spans="1:6">
      <c r="A157" t="str">
        <f t="shared" si="2"/>
        <v>GenericE&amp;DtemplateCIandGOA</v>
      </c>
      <c r="B157">
        <v>6</v>
      </c>
      <c r="C157">
        <v>26</v>
      </c>
      <c r="D157" s="649">
        <f ca="1">IF(E157=4,INDEX(crude_exp_dist,MATCH(B157,'Crude Exp Dist'!$B$6:$B$78,0),MATCH(C157,'Crude Exp Dist'!$AD$2:$BC$2,0))*INDEX(crude_exp_by_year,MATCH(B157,'Data Export'!$B$6:$B$78,0),1),IF(E157=5,INDEX(ref_exp_dist,MATCH(B157,'Refined Petro Exp Dist'!$B$6:$B$78,0),MATCH(C157,'Refined Petro Exp Dist'!$AD$2:$BC$2,0))*INDEX(ref_exp_by_year,MATCH(B157,'Data Export'!$B$6:$B$78,0),1)))</f>
        <v>0</v>
      </c>
      <c r="E157">
        <v>4</v>
      </c>
      <c r="F157" t="s">
        <v>245</v>
      </c>
    </row>
    <row r="158" spans="1:6">
      <c r="A158" t="str">
        <f t="shared" si="2"/>
        <v>GenericE&amp;DtemplateCIandGOA</v>
      </c>
      <c r="B158">
        <v>7</v>
      </c>
      <c r="C158">
        <v>1</v>
      </c>
      <c r="D158" s="649">
        <f ca="1">IF(E158=4,INDEX(crude_exp_dist,MATCH(B158,'Crude Exp Dist'!$B$6:$B$78,0),MATCH(C158,'Crude Exp Dist'!$AD$2:$BC$2,0))*INDEX(crude_exp_by_year,MATCH(B158,'Data Export'!$B$6:$B$78,0),1),IF(E158=5,INDEX(ref_exp_dist,MATCH(B158,'Refined Petro Exp Dist'!$B$6:$B$78,0),MATCH(C158,'Refined Petro Exp Dist'!$AD$2:$BC$2,0))*INDEX(ref_exp_by_year,MATCH(B158,'Data Export'!$B$6:$B$78,0),1)))</f>
        <v>0</v>
      </c>
      <c r="E158">
        <v>4</v>
      </c>
      <c r="F158" t="s">
        <v>158</v>
      </c>
    </row>
    <row r="159" spans="1:6">
      <c r="A159" t="str">
        <f t="shared" si="2"/>
        <v>GenericE&amp;DtemplateCIandGOA</v>
      </c>
      <c r="B159">
        <v>7</v>
      </c>
      <c r="C159">
        <v>2</v>
      </c>
      <c r="D159" s="649">
        <f ca="1">IF(E159=4,INDEX(crude_exp_dist,MATCH(B159,'Crude Exp Dist'!$B$6:$B$78,0),MATCH(C159,'Crude Exp Dist'!$AD$2:$BC$2,0))*INDEX(crude_exp_by_year,MATCH(B159,'Data Export'!$B$6:$B$78,0),1),IF(E159=5,INDEX(ref_exp_dist,MATCH(B159,'Refined Petro Exp Dist'!$B$6:$B$78,0),MATCH(C159,'Refined Petro Exp Dist'!$AD$2:$BC$2,0))*INDEX(ref_exp_by_year,MATCH(B159,'Data Export'!$B$6:$B$78,0),1)))</f>
        <v>0</v>
      </c>
      <c r="E159">
        <v>4</v>
      </c>
      <c r="F159" t="s">
        <v>166</v>
      </c>
    </row>
    <row r="160" spans="1:6">
      <c r="A160" t="str">
        <f t="shared" si="2"/>
        <v>GenericE&amp;DtemplateCIandGOA</v>
      </c>
      <c r="B160">
        <v>7</v>
      </c>
      <c r="C160">
        <v>3</v>
      </c>
      <c r="D160" s="649">
        <f ca="1">IF(E160=4,INDEX(crude_exp_dist,MATCH(B160,'Crude Exp Dist'!$B$6:$B$78,0),MATCH(C160,'Crude Exp Dist'!$AD$2:$BC$2,0))*INDEX(crude_exp_by_year,MATCH(B160,'Data Export'!$B$6:$B$78,0),1),IF(E160=5,INDEX(ref_exp_dist,MATCH(B160,'Refined Petro Exp Dist'!$B$6:$B$78,0),MATCH(C160,'Refined Petro Exp Dist'!$AD$2:$BC$2,0))*INDEX(ref_exp_by_year,MATCH(B160,'Data Export'!$B$6:$B$78,0),1)))</f>
        <v>0</v>
      </c>
      <c r="E160">
        <v>4</v>
      </c>
      <c r="F160" t="s">
        <v>171</v>
      </c>
    </row>
    <row r="161" spans="1:6">
      <c r="A161" t="str">
        <f t="shared" si="2"/>
        <v>GenericE&amp;DtemplateCIandGOA</v>
      </c>
      <c r="B161">
        <v>7</v>
      </c>
      <c r="C161">
        <v>4</v>
      </c>
      <c r="D161" s="649">
        <f ca="1">IF(E161=4,INDEX(crude_exp_dist,MATCH(B161,'Crude Exp Dist'!$B$6:$B$78,0),MATCH(C161,'Crude Exp Dist'!$AD$2:$BC$2,0))*INDEX(crude_exp_by_year,MATCH(B161,'Data Export'!$B$6:$B$78,0),1),IF(E161=5,INDEX(ref_exp_dist,MATCH(B161,'Refined Petro Exp Dist'!$B$6:$B$78,0),MATCH(C161,'Refined Petro Exp Dist'!$AD$2:$BC$2,0))*INDEX(ref_exp_by_year,MATCH(B161,'Data Export'!$B$6:$B$78,0),1)))</f>
        <v>0</v>
      </c>
      <c r="E161">
        <v>4</v>
      </c>
      <c r="F161" t="s">
        <v>173</v>
      </c>
    </row>
    <row r="162" spans="1:6">
      <c r="A162" t="str">
        <f t="shared" si="2"/>
        <v>GenericE&amp;DtemplateCIandGOA</v>
      </c>
      <c r="B162">
        <v>7</v>
      </c>
      <c r="C162">
        <v>5</v>
      </c>
      <c r="D162" s="649">
        <f ca="1">IF(E162=4,INDEX(crude_exp_dist,MATCH(B162,'Crude Exp Dist'!$B$6:$B$78,0),MATCH(C162,'Crude Exp Dist'!$AD$2:$BC$2,0))*INDEX(crude_exp_by_year,MATCH(B162,'Data Export'!$B$6:$B$78,0),1),IF(E162=5,INDEX(ref_exp_dist,MATCH(B162,'Refined Petro Exp Dist'!$B$6:$B$78,0),MATCH(C162,'Refined Petro Exp Dist'!$AD$2:$BC$2,0))*INDEX(ref_exp_by_year,MATCH(B162,'Data Export'!$B$6:$B$78,0),1)))</f>
        <v>0</v>
      </c>
      <c r="E162">
        <v>4</v>
      </c>
      <c r="F162" t="s">
        <v>180</v>
      </c>
    </row>
    <row r="163" spans="1:6">
      <c r="A163" t="str">
        <f t="shared" si="2"/>
        <v>GenericE&amp;DtemplateCIandGOA</v>
      </c>
      <c r="B163">
        <v>7</v>
      </c>
      <c r="C163">
        <v>6</v>
      </c>
      <c r="D163" s="649">
        <f ca="1">IF(E163=4,INDEX(crude_exp_dist,MATCH(B163,'Crude Exp Dist'!$B$6:$B$78,0),MATCH(C163,'Crude Exp Dist'!$AD$2:$BC$2,0))*INDEX(crude_exp_by_year,MATCH(B163,'Data Export'!$B$6:$B$78,0),1),IF(E163=5,INDEX(ref_exp_dist,MATCH(B163,'Refined Petro Exp Dist'!$B$6:$B$78,0),MATCH(C163,'Refined Petro Exp Dist'!$AD$2:$BC$2,0))*INDEX(ref_exp_by_year,MATCH(B163,'Data Export'!$B$6:$B$78,0),1)))</f>
        <v>3.9984971395226908E-2</v>
      </c>
      <c r="E163">
        <v>4</v>
      </c>
      <c r="F163" t="s">
        <v>186</v>
      </c>
    </row>
    <row r="164" spans="1:6">
      <c r="A164" t="str">
        <f t="shared" si="2"/>
        <v>GenericE&amp;DtemplateCIandGOA</v>
      </c>
      <c r="B164">
        <v>7</v>
      </c>
      <c r="C164">
        <v>7</v>
      </c>
      <c r="D164" s="649">
        <f ca="1">IF(E164=4,INDEX(crude_exp_dist,MATCH(B164,'Crude Exp Dist'!$B$6:$B$78,0),MATCH(C164,'Crude Exp Dist'!$AD$2:$BC$2,0))*INDEX(crude_exp_by_year,MATCH(B164,'Data Export'!$B$6:$B$78,0),1),IF(E164=5,INDEX(ref_exp_dist,MATCH(B164,'Refined Petro Exp Dist'!$B$6:$B$78,0),MATCH(C164,'Refined Petro Exp Dist'!$AD$2:$BC$2,0))*INDEX(ref_exp_by_year,MATCH(B164,'Data Export'!$B$6:$B$78,0),1)))</f>
        <v>0</v>
      </c>
      <c r="E164">
        <v>4</v>
      </c>
      <c r="F164" t="s">
        <v>191</v>
      </c>
    </row>
    <row r="165" spans="1:6">
      <c r="A165" t="str">
        <f t="shared" si="2"/>
        <v>GenericE&amp;DtemplateCIandGOA</v>
      </c>
      <c r="B165">
        <v>7</v>
      </c>
      <c r="C165">
        <v>8</v>
      </c>
      <c r="D165" s="649">
        <f ca="1">IF(E165=4,INDEX(crude_exp_dist,MATCH(B165,'Crude Exp Dist'!$B$6:$B$78,0),MATCH(C165,'Crude Exp Dist'!$AD$2:$BC$2,0))*INDEX(crude_exp_by_year,MATCH(B165,'Data Export'!$B$6:$B$78,0),1),IF(E165=5,INDEX(ref_exp_dist,MATCH(B165,'Refined Petro Exp Dist'!$B$6:$B$78,0),MATCH(C165,'Refined Petro Exp Dist'!$AD$2:$BC$2,0))*INDEX(ref_exp_by_year,MATCH(B165,'Data Export'!$B$6:$B$78,0),1)))</f>
        <v>0</v>
      </c>
      <c r="E165">
        <v>4</v>
      </c>
      <c r="F165" t="s">
        <v>197</v>
      </c>
    </row>
    <row r="166" spans="1:6">
      <c r="A166" t="str">
        <f t="shared" si="2"/>
        <v>GenericE&amp;DtemplateCIandGOA</v>
      </c>
      <c r="B166">
        <v>7</v>
      </c>
      <c r="C166">
        <v>9</v>
      </c>
      <c r="D166" s="649">
        <f ca="1">IF(E166=4,INDEX(crude_exp_dist,MATCH(B166,'Crude Exp Dist'!$B$6:$B$78,0),MATCH(C166,'Crude Exp Dist'!$AD$2:$BC$2,0))*INDEX(crude_exp_by_year,MATCH(B166,'Data Export'!$B$6:$B$78,0),1),IF(E166=5,INDEX(ref_exp_dist,MATCH(B166,'Refined Petro Exp Dist'!$B$6:$B$78,0),MATCH(C166,'Refined Petro Exp Dist'!$AD$2:$BC$2,0))*INDEX(ref_exp_by_year,MATCH(B166,'Data Export'!$B$6:$B$78,0),1)))</f>
        <v>0</v>
      </c>
      <c r="E166">
        <v>4</v>
      </c>
      <c r="F166" t="s">
        <v>199</v>
      </c>
    </row>
    <row r="167" spans="1:6">
      <c r="A167" t="str">
        <f t="shared" si="2"/>
        <v>GenericE&amp;DtemplateCIandGOA</v>
      </c>
      <c r="B167">
        <v>7</v>
      </c>
      <c r="C167">
        <v>10</v>
      </c>
      <c r="D167" s="649">
        <f ca="1">IF(E167=4,INDEX(crude_exp_dist,MATCH(B167,'Crude Exp Dist'!$B$6:$B$78,0),MATCH(C167,'Crude Exp Dist'!$AD$2:$BC$2,0))*INDEX(crude_exp_by_year,MATCH(B167,'Data Export'!$B$6:$B$78,0),1),IF(E167=5,INDEX(ref_exp_dist,MATCH(B167,'Refined Petro Exp Dist'!$B$6:$B$78,0),MATCH(C167,'Refined Petro Exp Dist'!$AD$2:$BC$2,0))*INDEX(ref_exp_by_year,MATCH(B167,'Data Export'!$B$6:$B$78,0),1)))</f>
        <v>0</v>
      </c>
      <c r="E167">
        <v>4</v>
      </c>
      <c r="F167" t="s">
        <v>201</v>
      </c>
    </row>
    <row r="168" spans="1:6">
      <c r="A168" t="str">
        <f t="shared" si="2"/>
        <v>GenericE&amp;DtemplateCIandGOA</v>
      </c>
      <c r="B168">
        <v>7</v>
      </c>
      <c r="C168">
        <v>11</v>
      </c>
      <c r="D168" s="649">
        <f ca="1">IF(E168=4,INDEX(crude_exp_dist,MATCH(B168,'Crude Exp Dist'!$B$6:$B$78,0),MATCH(C168,'Crude Exp Dist'!$AD$2:$BC$2,0))*INDEX(crude_exp_by_year,MATCH(B168,'Data Export'!$B$6:$B$78,0),1),IF(E168=5,INDEX(ref_exp_dist,MATCH(B168,'Refined Petro Exp Dist'!$B$6:$B$78,0),MATCH(C168,'Refined Petro Exp Dist'!$AD$2:$BC$2,0))*INDEX(ref_exp_by_year,MATCH(B168,'Data Export'!$B$6:$B$78,0),1)))</f>
        <v>0</v>
      </c>
      <c r="E168">
        <v>4</v>
      </c>
      <c r="F168" t="s">
        <v>921</v>
      </c>
    </row>
    <row r="169" spans="1:6">
      <c r="A169" t="str">
        <f t="shared" si="2"/>
        <v>GenericE&amp;DtemplateCIandGOA</v>
      </c>
      <c r="B169">
        <v>7</v>
      </c>
      <c r="C169">
        <v>12</v>
      </c>
      <c r="D169" s="649">
        <f ca="1">IF(E169=4,INDEX(crude_exp_dist,MATCH(B169,'Crude Exp Dist'!$B$6:$B$78,0),MATCH(C169,'Crude Exp Dist'!$AD$2:$BC$2,0))*INDEX(crude_exp_by_year,MATCH(B169,'Data Export'!$B$6:$B$78,0),1),IF(E169=5,INDEX(ref_exp_dist,MATCH(B169,'Refined Petro Exp Dist'!$B$6:$B$78,0),MATCH(C169,'Refined Petro Exp Dist'!$AD$2:$BC$2,0))*INDEX(ref_exp_by_year,MATCH(B169,'Data Export'!$B$6:$B$78,0),1)))</f>
        <v>1.9297110796130611E-3</v>
      </c>
      <c r="E169">
        <v>4</v>
      </c>
      <c r="F169" t="s">
        <v>208</v>
      </c>
    </row>
    <row r="170" spans="1:6">
      <c r="A170" t="str">
        <f t="shared" si="2"/>
        <v>GenericE&amp;DtemplateCIandGOA</v>
      </c>
      <c r="B170">
        <v>7</v>
      </c>
      <c r="C170">
        <v>13</v>
      </c>
      <c r="D170" s="649">
        <f ca="1">IF(E170=4,INDEX(crude_exp_dist,MATCH(B170,'Crude Exp Dist'!$B$6:$B$78,0),MATCH(C170,'Crude Exp Dist'!$AD$2:$BC$2,0))*INDEX(crude_exp_by_year,MATCH(B170,'Data Export'!$B$6:$B$78,0),1),IF(E170=5,INDEX(ref_exp_dist,MATCH(B170,'Refined Petro Exp Dist'!$B$6:$B$78,0),MATCH(C170,'Refined Petro Exp Dist'!$AD$2:$BC$2,0))*INDEX(ref_exp_by_year,MATCH(B170,'Data Export'!$B$6:$B$78,0),1)))</f>
        <v>1.9297110796130611E-3</v>
      </c>
      <c r="E170">
        <v>4</v>
      </c>
      <c r="F170" t="s">
        <v>211</v>
      </c>
    </row>
    <row r="171" spans="1:6">
      <c r="A171" t="str">
        <f t="shared" si="2"/>
        <v>GenericE&amp;DtemplateCIandGOA</v>
      </c>
      <c r="B171">
        <v>7</v>
      </c>
      <c r="C171">
        <v>14</v>
      </c>
      <c r="D171" s="649">
        <f ca="1">IF(E171=4,INDEX(crude_exp_dist,MATCH(B171,'Crude Exp Dist'!$B$6:$B$78,0),MATCH(C171,'Crude Exp Dist'!$AD$2:$BC$2,0))*INDEX(crude_exp_by_year,MATCH(B171,'Data Export'!$B$6:$B$78,0),1),IF(E171=5,INDEX(ref_exp_dist,MATCH(B171,'Refined Petro Exp Dist'!$B$6:$B$78,0),MATCH(C171,'Refined Petro Exp Dist'!$AD$2:$BC$2,0))*INDEX(ref_exp_by_year,MATCH(B171,'Data Export'!$B$6:$B$78,0),1)))</f>
        <v>0</v>
      </c>
      <c r="E171">
        <v>4</v>
      </c>
      <c r="F171" t="s">
        <v>213</v>
      </c>
    </row>
    <row r="172" spans="1:6">
      <c r="A172" t="str">
        <f t="shared" si="2"/>
        <v>GenericE&amp;DtemplateCIandGOA</v>
      </c>
      <c r="B172">
        <v>7</v>
      </c>
      <c r="C172">
        <v>15</v>
      </c>
      <c r="D172" s="649">
        <f ca="1">IF(E172=4,INDEX(crude_exp_dist,MATCH(B172,'Crude Exp Dist'!$B$6:$B$78,0),MATCH(C172,'Crude Exp Dist'!$AD$2:$BC$2,0))*INDEX(crude_exp_by_year,MATCH(B172,'Data Export'!$B$6:$B$78,0),1),IF(E172=5,INDEX(ref_exp_dist,MATCH(B172,'Refined Petro Exp Dist'!$B$6:$B$78,0),MATCH(C172,'Refined Petro Exp Dist'!$AD$2:$BC$2,0))*INDEX(ref_exp_by_year,MATCH(B172,'Data Export'!$B$6:$B$78,0),1)))</f>
        <v>0</v>
      </c>
      <c r="E172">
        <v>4</v>
      </c>
      <c r="F172" t="s">
        <v>215</v>
      </c>
    </row>
    <row r="173" spans="1:6">
      <c r="A173" t="str">
        <f t="shared" si="2"/>
        <v>GenericE&amp;DtemplateCIandGOA</v>
      </c>
      <c r="B173">
        <v>7</v>
      </c>
      <c r="C173">
        <v>16</v>
      </c>
      <c r="D173" s="649">
        <f ca="1">IF(E173=4,INDEX(crude_exp_dist,MATCH(B173,'Crude Exp Dist'!$B$6:$B$78,0),MATCH(C173,'Crude Exp Dist'!$AD$2:$BC$2,0))*INDEX(crude_exp_by_year,MATCH(B173,'Data Export'!$B$6:$B$78,0),1),IF(E173=5,INDEX(ref_exp_dist,MATCH(B173,'Refined Petro Exp Dist'!$B$6:$B$78,0),MATCH(C173,'Refined Petro Exp Dist'!$AD$2:$BC$2,0))*INDEX(ref_exp_by_year,MATCH(B173,'Data Export'!$B$6:$B$78,0),1)))</f>
        <v>0</v>
      </c>
      <c r="E173">
        <v>4</v>
      </c>
      <c r="F173" t="s">
        <v>219</v>
      </c>
    </row>
    <row r="174" spans="1:6">
      <c r="A174" t="str">
        <f t="shared" si="2"/>
        <v>GenericE&amp;DtemplateCIandGOA</v>
      </c>
      <c r="B174">
        <v>7</v>
      </c>
      <c r="C174">
        <v>17</v>
      </c>
      <c r="D174" s="649">
        <f ca="1">IF(E174=4,INDEX(crude_exp_dist,MATCH(B174,'Crude Exp Dist'!$B$6:$B$78,0),MATCH(C174,'Crude Exp Dist'!$AD$2:$BC$2,0))*INDEX(crude_exp_by_year,MATCH(B174,'Data Export'!$B$6:$B$78,0),1),IF(E174=5,INDEX(ref_exp_dist,MATCH(B174,'Refined Petro Exp Dist'!$B$6:$B$78,0),MATCH(C174,'Refined Petro Exp Dist'!$AD$2:$BC$2,0))*INDEX(ref_exp_by_year,MATCH(B174,'Data Export'!$B$6:$B$78,0),1)))</f>
        <v>0</v>
      </c>
      <c r="E174">
        <v>4</v>
      </c>
      <c r="F174" t="s">
        <v>222</v>
      </c>
    </row>
    <row r="175" spans="1:6">
      <c r="A175" t="str">
        <f t="shared" si="2"/>
        <v>GenericE&amp;DtemplateCIandGOA</v>
      </c>
      <c r="B175">
        <v>7</v>
      </c>
      <c r="C175">
        <v>18</v>
      </c>
      <c r="D175" s="649">
        <f ca="1">IF(E175=4,INDEX(crude_exp_dist,MATCH(B175,'Crude Exp Dist'!$B$6:$B$78,0),MATCH(C175,'Crude Exp Dist'!$AD$2:$BC$2,0))*INDEX(crude_exp_by_year,MATCH(B175,'Data Export'!$B$6:$B$78,0),1),IF(E175=5,INDEX(ref_exp_dist,MATCH(B175,'Refined Petro Exp Dist'!$B$6:$B$78,0),MATCH(C175,'Refined Petro Exp Dist'!$AD$2:$BC$2,0))*INDEX(ref_exp_by_year,MATCH(B175,'Data Export'!$B$6:$B$78,0),1)))</f>
        <v>0</v>
      </c>
      <c r="E175">
        <v>4</v>
      </c>
      <c r="F175" t="s">
        <v>224</v>
      </c>
    </row>
    <row r="176" spans="1:6">
      <c r="A176" t="str">
        <f t="shared" si="2"/>
        <v>GenericE&amp;DtemplateCIandGOA</v>
      </c>
      <c r="B176">
        <v>7</v>
      </c>
      <c r="C176">
        <v>19</v>
      </c>
      <c r="D176" s="649">
        <f ca="1">IF(E176=4,INDEX(crude_exp_dist,MATCH(B176,'Crude Exp Dist'!$B$6:$B$78,0),MATCH(C176,'Crude Exp Dist'!$AD$2:$BC$2,0))*INDEX(crude_exp_by_year,MATCH(B176,'Data Export'!$B$6:$B$78,0),1),IF(E176=5,INDEX(ref_exp_dist,MATCH(B176,'Refined Petro Exp Dist'!$B$6:$B$78,0),MATCH(C176,'Refined Petro Exp Dist'!$AD$2:$BC$2,0))*INDEX(ref_exp_by_year,MATCH(B176,'Data Export'!$B$6:$B$78,0),1)))</f>
        <v>0</v>
      </c>
      <c r="E176">
        <v>4</v>
      </c>
      <c r="F176" t="s">
        <v>228</v>
      </c>
    </row>
    <row r="177" spans="1:6">
      <c r="A177" t="str">
        <f t="shared" si="2"/>
        <v>GenericE&amp;DtemplateCIandGOA</v>
      </c>
      <c r="B177">
        <v>7</v>
      </c>
      <c r="C177">
        <v>20</v>
      </c>
      <c r="D177" s="649">
        <f ca="1">IF(E177=4,INDEX(crude_exp_dist,MATCH(B177,'Crude Exp Dist'!$B$6:$B$78,0),MATCH(C177,'Crude Exp Dist'!$AD$2:$BC$2,0))*INDEX(crude_exp_by_year,MATCH(B177,'Data Export'!$B$6:$B$78,0),1),IF(E177=5,INDEX(ref_exp_dist,MATCH(B177,'Refined Petro Exp Dist'!$B$6:$B$78,0),MATCH(C177,'Refined Petro Exp Dist'!$AD$2:$BC$2,0))*INDEX(ref_exp_by_year,MATCH(B177,'Data Export'!$B$6:$B$78,0),1)))</f>
        <v>0</v>
      </c>
      <c r="E177">
        <v>4</v>
      </c>
      <c r="F177" t="s">
        <v>231</v>
      </c>
    </row>
    <row r="178" spans="1:6">
      <c r="A178" t="str">
        <f t="shared" si="2"/>
        <v>GenericE&amp;DtemplateCIandGOA</v>
      </c>
      <c r="B178">
        <v>7</v>
      </c>
      <c r="C178">
        <v>21</v>
      </c>
      <c r="D178" s="649">
        <f ca="1">IF(E178=4,INDEX(crude_exp_dist,MATCH(B178,'Crude Exp Dist'!$B$6:$B$78,0),MATCH(C178,'Crude Exp Dist'!$AD$2:$BC$2,0))*INDEX(crude_exp_by_year,MATCH(B178,'Data Export'!$B$6:$B$78,0),1),IF(E178=5,INDEX(ref_exp_dist,MATCH(B178,'Refined Petro Exp Dist'!$B$6:$B$78,0),MATCH(C178,'Refined Petro Exp Dist'!$AD$2:$BC$2,0))*INDEX(ref_exp_by_year,MATCH(B178,'Data Export'!$B$6:$B$78,0),1)))</f>
        <v>0</v>
      </c>
      <c r="E178">
        <v>4</v>
      </c>
      <c r="F178" t="s">
        <v>232</v>
      </c>
    </row>
    <row r="179" spans="1:6">
      <c r="A179" t="str">
        <f t="shared" si="2"/>
        <v>GenericE&amp;DtemplateCIandGOA</v>
      </c>
      <c r="B179">
        <v>7</v>
      </c>
      <c r="C179">
        <v>22</v>
      </c>
      <c r="D179" s="649">
        <f ca="1">IF(E179=4,INDEX(crude_exp_dist,MATCH(B179,'Crude Exp Dist'!$B$6:$B$78,0),MATCH(C179,'Crude Exp Dist'!$AD$2:$BC$2,0))*INDEX(crude_exp_by_year,MATCH(B179,'Data Export'!$B$6:$B$78,0),1),IF(E179=5,INDEX(ref_exp_dist,MATCH(B179,'Refined Petro Exp Dist'!$B$6:$B$78,0),MATCH(C179,'Refined Petro Exp Dist'!$AD$2:$BC$2,0))*INDEX(ref_exp_by_year,MATCH(B179,'Data Export'!$B$6:$B$78,0),1)))</f>
        <v>0</v>
      </c>
      <c r="E179">
        <v>4</v>
      </c>
      <c r="F179" t="s">
        <v>235</v>
      </c>
    </row>
    <row r="180" spans="1:6">
      <c r="A180" t="str">
        <f t="shared" si="2"/>
        <v>GenericE&amp;DtemplateCIandGOA</v>
      </c>
      <c r="B180">
        <v>7</v>
      </c>
      <c r="C180">
        <v>23</v>
      </c>
      <c r="D180" s="649">
        <f ca="1">IF(E180=4,INDEX(crude_exp_dist,MATCH(B180,'Crude Exp Dist'!$B$6:$B$78,0),MATCH(C180,'Crude Exp Dist'!$AD$2:$BC$2,0))*INDEX(crude_exp_by_year,MATCH(B180,'Data Export'!$B$6:$B$78,0),1),IF(E180=5,INDEX(ref_exp_dist,MATCH(B180,'Refined Petro Exp Dist'!$B$6:$B$78,0),MATCH(C180,'Refined Petro Exp Dist'!$AD$2:$BC$2,0))*INDEX(ref_exp_by_year,MATCH(B180,'Data Export'!$B$6:$B$78,0),1)))</f>
        <v>0</v>
      </c>
      <c r="E180">
        <v>4</v>
      </c>
      <c r="F180" t="s">
        <v>237</v>
      </c>
    </row>
    <row r="181" spans="1:6">
      <c r="A181" t="str">
        <f t="shared" si="2"/>
        <v>GenericE&amp;DtemplateCIandGOA</v>
      </c>
      <c r="B181">
        <v>7</v>
      </c>
      <c r="C181">
        <v>24</v>
      </c>
      <c r="D181" s="649">
        <f ca="1">IF(E181=4,INDEX(crude_exp_dist,MATCH(B181,'Crude Exp Dist'!$B$6:$B$78,0),MATCH(C181,'Crude Exp Dist'!$AD$2:$BC$2,0))*INDEX(crude_exp_by_year,MATCH(B181,'Data Export'!$B$6:$B$78,0),1),IF(E181=5,INDEX(ref_exp_dist,MATCH(B181,'Refined Petro Exp Dist'!$B$6:$B$78,0),MATCH(C181,'Refined Petro Exp Dist'!$AD$2:$BC$2,0))*INDEX(ref_exp_by_year,MATCH(B181,'Data Export'!$B$6:$B$78,0),1)))</f>
        <v>0</v>
      </c>
      <c r="E181">
        <v>4</v>
      </c>
      <c r="F181" t="s">
        <v>239</v>
      </c>
    </row>
    <row r="182" spans="1:6">
      <c r="A182" t="str">
        <f t="shared" si="2"/>
        <v>GenericE&amp;DtemplateCIandGOA</v>
      </c>
      <c r="B182">
        <v>7</v>
      </c>
      <c r="C182">
        <v>25</v>
      </c>
      <c r="D182" s="649">
        <f ca="1">IF(E182=4,INDEX(crude_exp_dist,MATCH(B182,'Crude Exp Dist'!$B$6:$B$78,0),MATCH(C182,'Crude Exp Dist'!$AD$2:$BC$2,0))*INDEX(crude_exp_by_year,MATCH(B182,'Data Export'!$B$6:$B$78,0),1),IF(E182=5,INDEX(ref_exp_dist,MATCH(B182,'Refined Petro Exp Dist'!$B$6:$B$78,0),MATCH(C182,'Refined Petro Exp Dist'!$AD$2:$BC$2,0))*INDEX(ref_exp_by_year,MATCH(B182,'Data Export'!$B$6:$B$78,0),1)))</f>
        <v>0</v>
      </c>
      <c r="E182">
        <v>4</v>
      </c>
      <c r="F182" t="s">
        <v>242</v>
      </c>
    </row>
    <row r="183" spans="1:6">
      <c r="A183" t="str">
        <f t="shared" si="2"/>
        <v>GenericE&amp;DtemplateCIandGOA</v>
      </c>
      <c r="B183">
        <v>7</v>
      </c>
      <c r="C183">
        <v>26</v>
      </c>
      <c r="D183" s="649">
        <f ca="1">IF(E183=4,INDEX(crude_exp_dist,MATCH(B183,'Crude Exp Dist'!$B$6:$B$78,0),MATCH(C183,'Crude Exp Dist'!$AD$2:$BC$2,0))*INDEX(crude_exp_by_year,MATCH(B183,'Data Export'!$B$6:$B$78,0),1),IF(E183=5,INDEX(ref_exp_dist,MATCH(B183,'Refined Petro Exp Dist'!$B$6:$B$78,0),MATCH(C183,'Refined Petro Exp Dist'!$AD$2:$BC$2,0))*INDEX(ref_exp_by_year,MATCH(B183,'Data Export'!$B$6:$B$78,0),1)))</f>
        <v>0</v>
      </c>
      <c r="E183">
        <v>4</v>
      </c>
      <c r="F183" t="s">
        <v>245</v>
      </c>
    </row>
    <row r="184" spans="1:6">
      <c r="A184" t="str">
        <f t="shared" si="2"/>
        <v>GenericE&amp;DtemplateCIandGOA</v>
      </c>
      <c r="B184">
        <v>8</v>
      </c>
      <c r="C184">
        <v>1</v>
      </c>
      <c r="D184" s="649">
        <f ca="1">IF(E184=4,INDEX(crude_exp_dist,MATCH(B184,'Crude Exp Dist'!$B$6:$B$78,0),MATCH(C184,'Crude Exp Dist'!$AD$2:$BC$2,0))*INDEX(crude_exp_by_year,MATCH(B184,'Data Export'!$B$6:$B$78,0),1),IF(E184=5,INDEX(ref_exp_dist,MATCH(B184,'Refined Petro Exp Dist'!$B$6:$B$78,0),MATCH(C184,'Refined Petro Exp Dist'!$AD$2:$BC$2,0))*INDEX(ref_exp_by_year,MATCH(B184,'Data Export'!$B$6:$B$78,0),1)))</f>
        <v>0</v>
      </c>
      <c r="E184">
        <v>4</v>
      </c>
      <c r="F184" t="s">
        <v>158</v>
      </c>
    </row>
    <row r="185" spans="1:6">
      <c r="A185" t="str">
        <f t="shared" si="2"/>
        <v>GenericE&amp;DtemplateCIandGOA</v>
      </c>
      <c r="B185">
        <v>8</v>
      </c>
      <c r="C185">
        <v>2</v>
      </c>
      <c r="D185" s="649">
        <f ca="1">IF(E185=4,INDEX(crude_exp_dist,MATCH(B185,'Crude Exp Dist'!$B$6:$B$78,0),MATCH(C185,'Crude Exp Dist'!$AD$2:$BC$2,0))*INDEX(crude_exp_by_year,MATCH(B185,'Data Export'!$B$6:$B$78,0),1),IF(E185=5,INDEX(ref_exp_dist,MATCH(B185,'Refined Petro Exp Dist'!$B$6:$B$78,0),MATCH(C185,'Refined Petro Exp Dist'!$AD$2:$BC$2,0))*INDEX(ref_exp_by_year,MATCH(B185,'Data Export'!$B$6:$B$78,0),1)))</f>
        <v>0</v>
      </c>
      <c r="E185">
        <v>4</v>
      </c>
      <c r="F185" t="s">
        <v>166</v>
      </c>
    </row>
    <row r="186" spans="1:6">
      <c r="A186" t="str">
        <f t="shared" si="2"/>
        <v>GenericE&amp;DtemplateCIandGOA</v>
      </c>
      <c r="B186">
        <v>8</v>
      </c>
      <c r="C186">
        <v>3</v>
      </c>
      <c r="D186" s="649">
        <f ca="1">IF(E186=4,INDEX(crude_exp_dist,MATCH(B186,'Crude Exp Dist'!$B$6:$B$78,0),MATCH(C186,'Crude Exp Dist'!$AD$2:$BC$2,0))*INDEX(crude_exp_by_year,MATCH(B186,'Data Export'!$B$6:$B$78,0),1),IF(E186=5,INDEX(ref_exp_dist,MATCH(B186,'Refined Petro Exp Dist'!$B$6:$B$78,0),MATCH(C186,'Refined Petro Exp Dist'!$AD$2:$BC$2,0))*INDEX(ref_exp_by_year,MATCH(B186,'Data Export'!$B$6:$B$78,0),1)))</f>
        <v>0</v>
      </c>
      <c r="E186">
        <v>4</v>
      </c>
      <c r="F186" t="s">
        <v>171</v>
      </c>
    </row>
    <row r="187" spans="1:6">
      <c r="A187" t="str">
        <f t="shared" si="2"/>
        <v>GenericE&amp;DtemplateCIandGOA</v>
      </c>
      <c r="B187">
        <v>8</v>
      </c>
      <c r="C187">
        <v>4</v>
      </c>
      <c r="D187" s="649">
        <f ca="1">IF(E187=4,INDEX(crude_exp_dist,MATCH(B187,'Crude Exp Dist'!$B$6:$B$78,0),MATCH(C187,'Crude Exp Dist'!$AD$2:$BC$2,0))*INDEX(crude_exp_by_year,MATCH(B187,'Data Export'!$B$6:$B$78,0),1),IF(E187=5,INDEX(ref_exp_dist,MATCH(B187,'Refined Petro Exp Dist'!$B$6:$B$78,0),MATCH(C187,'Refined Petro Exp Dist'!$AD$2:$BC$2,0))*INDEX(ref_exp_by_year,MATCH(B187,'Data Export'!$B$6:$B$78,0),1)))</f>
        <v>0</v>
      </c>
      <c r="E187">
        <v>4</v>
      </c>
      <c r="F187" t="s">
        <v>173</v>
      </c>
    </row>
    <row r="188" spans="1:6">
      <c r="A188" t="str">
        <f t="shared" si="2"/>
        <v>GenericE&amp;DtemplateCIandGOA</v>
      </c>
      <c r="B188">
        <v>8</v>
      </c>
      <c r="C188">
        <v>5</v>
      </c>
      <c r="D188" s="649">
        <f ca="1">IF(E188=4,INDEX(crude_exp_dist,MATCH(B188,'Crude Exp Dist'!$B$6:$B$78,0),MATCH(C188,'Crude Exp Dist'!$AD$2:$BC$2,0))*INDEX(crude_exp_by_year,MATCH(B188,'Data Export'!$B$6:$B$78,0),1),IF(E188=5,INDEX(ref_exp_dist,MATCH(B188,'Refined Petro Exp Dist'!$B$6:$B$78,0),MATCH(C188,'Refined Petro Exp Dist'!$AD$2:$BC$2,0))*INDEX(ref_exp_by_year,MATCH(B188,'Data Export'!$B$6:$B$78,0),1)))</f>
        <v>0</v>
      </c>
      <c r="E188">
        <v>4</v>
      </c>
      <c r="F188" t="s">
        <v>180</v>
      </c>
    </row>
    <row r="189" spans="1:6">
      <c r="A189" t="str">
        <f t="shared" si="2"/>
        <v>GenericE&amp;DtemplateCIandGOA</v>
      </c>
      <c r="B189">
        <v>8</v>
      </c>
      <c r="C189">
        <v>6</v>
      </c>
      <c r="D189" s="649">
        <f ca="1">IF(E189=4,INDEX(crude_exp_dist,MATCH(B189,'Crude Exp Dist'!$B$6:$B$78,0),MATCH(C189,'Crude Exp Dist'!$AD$2:$BC$2,0))*INDEX(crude_exp_by_year,MATCH(B189,'Data Export'!$B$6:$B$78,0),1),IF(E189=5,INDEX(ref_exp_dist,MATCH(B189,'Refined Petro Exp Dist'!$B$6:$B$78,0),MATCH(C189,'Refined Petro Exp Dist'!$AD$2:$BC$2,0))*INDEX(ref_exp_by_year,MATCH(B189,'Data Export'!$B$6:$B$78,0),1)))</f>
        <v>4.1253510771123977E-2</v>
      </c>
      <c r="E189">
        <v>4</v>
      </c>
      <c r="F189" t="s">
        <v>186</v>
      </c>
    </row>
    <row r="190" spans="1:6">
      <c r="A190" t="str">
        <f t="shared" si="2"/>
        <v>GenericE&amp;DtemplateCIandGOA</v>
      </c>
      <c r="B190">
        <v>8</v>
      </c>
      <c r="C190">
        <v>7</v>
      </c>
      <c r="D190" s="649">
        <f ca="1">IF(E190=4,INDEX(crude_exp_dist,MATCH(B190,'Crude Exp Dist'!$B$6:$B$78,0),MATCH(C190,'Crude Exp Dist'!$AD$2:$BC$2,0))*INDEX(crude_exp_by_year,MATCH(B190,'Data Export'!$B$6:$B$78,0),1),IF(E190=5,INDEX(ref_exp_dist,MATCH(B190,'Refined Petro Exp Dist'!$B$6:$B$78,0),MATCH(C190,'Refined Petro Exp Dist'!$AD$2:$BC$2,0))*INDEX(ref_exp_by_year,MATCH(B190,'Data Export'!$B$6:$B$78,0),1)))</f>
        <v>0</v>
      </c>
      <c r="E190">
        <v>4</v>
      </c>
      <c r="F190" t="s">
        <v>191</v>
      </c>
    </row>
    <row r="191" spans="1:6">
      <c r="A191" t="str">
        <f t="shared" si="2"/>
        <v>GenericE&amp;DtemplateCIandGOA</v>
      </c>
      <c r="B191">
        <v>8</v>
      </c>
      <c r="C191">
        <v>8</v>
      </c>
      <c r="D191" s="649">
        <f ca="1">IF(E191=4,INDEX(crude_exp_dist,MATCH(B191,'Crude Exp Dist'!$B$6:$B$78,0),MATCH(C191,'Crude Exp Dist'!$AD$2:$BC$2,0))*INDEX(crude_exp_by_year,MATCH(B191,'Data Export'!$B$6:$B$78,0),1),IF(E191=5,INDEX(ref_exp_dist,MATCH(B191,'Refined Petro Exp Dist'!$B$6:$B$78,0),MATCH(C191,'Refined Petro Exp Dist'!$AD$2:$BC$2,0))*INDEX(ref_exp_by_year,MATCH(B191,'Data Export'!$B$6:$B$78,0),1)))</f>
        <v>0</v>
      </c>
      <c r="E191">
        <v>4</v>
      </c>
      <c r="F191" t="s">
        <v>197</v>
      </c>
    </row>
    <row r="192" spans="1:6">
      <c r="A192" t="str">
        <f t="shared" si="2"/>
        <v>GenericE&amp;DtemplateCIandGOA</v>
      </c>
      <c r="B192">
        <v>8</v>
      </c>
      <c r="C192">
        <v>9</v>
      </c>
      <c r="D192" s="649">
        <f ca="1">IF(E192=4,INDEX(crude_exp_dist,MATCH(B192,'Crude Exp Dist'!$B$6:$B$78,0),MATCH(C192,'Crude Exp Dist'!$AD$2:$BC$2,0))*INDEX(crude_exp_by_year,MATCH(B192,'Data Export'!$B$6:$B$78,0),1),IF(E192=5,INDEX(ref_exp_dist,MATCH(B192,'Refined Petro Exp Dist'!$B$6:$B$78,0),MATCH(C192,'Refined Petro Exp Dist'!$AD$2:$BC$2,0))*INDEX(ref_exp_by_year,MATCH(B192,'Data Export'!$B$6:$B$78,0),1)))</f>
        <v>0</v>
      </c>
      <c r="E192">
        <v>4</v>
      </c>
      <c r="F192" t="s">
        <v>199</v>
      </c>
    </row>
    <row r="193" spans="1:6">
      <c r="A193" t="str">
        <f t="shared" si="2"/>
        <v>GenericE&amp;DtemplateCIandGOA</v>
      </c>
      <c r="B193">
        <v>8</v>
      </c>
      <c r="C193">
        <v>10</v>
      </c>
      <c r="D193" s="649">
        <f ca="1">IF(E193=4,INDEX(crude_exp_dist,MATCH(B193,'Crude Exp Dist'!$B$6:$B$78,0),MATCH(C193,'Crude Exp Dist'!$AD$2:$BC$2,0))*INDEX(crude_exp_by_year,MATCH(B193,'Data Export'!$B$6:$B$78,0),1),IF(E193=5,INDEX(ref_exp_dist,MATCH(B193,'Refined Petro Exp Dist'!$B$6:$B$78,0),MATCH(C193,'Refined Petro Exp Dist'!$AD$2:$BC$2,0))*INDEX(ref_exp_by_year,MATCH(B193,'Data Export'!$B$6:$B$78,0),1)))</f>
        <v>0</v>
      </c>
      <c r="E193">
        <v>4</v>
      </c>
      <c r="F193" t="s">
        <v>201</v>
      </c>
    </row>
    <row r="194" spans="1:6">
      <c r="A194" t="str">
        <f t="shared" ref="A194:A257" si="3">scenario_name</f>
        <v>GenericE&amp;DtemplateCIandGOA</v>
      </c>
      <c r="B194">
        <v>8</v>
      </c>
      <c r="C194">
        <v>11</v>
      </c>
      <c r="D194" s="649">
        <f ca="1">IF(E194=4,INDEX(crude_exp_dist,MATCH(B194,'Crude Exp Dist'!$B$6:$B$78,0),MATCH(C194,'Crude Exp Dist'!$AD$2:$BC$2,0))*INDEX(crude_exp_by_year,MATCH(B194,'Data Export'!$B$6:$B$78,0),1),IF(E194=5,INDEX(ref_exp_dist,MATCH(B194,'Refined Petro Exp Dist'!$B$6:$B$78,0),MATCH(C194,'Refined Petro Exp Dist'!$AD$2:$BC$2,0))*INDEX(ref_exp_by_year,MATCH(B194,'Data Export'!$B$6:$B$78,0),1)))</f>
        <v>0</v>
      </c>
      <c r="E194">
        <v>4</v>
      </c>
      <c r="F194" t="s">
        <v>921</v>
      </c>
    </row>
    <row r="195" spans="1:6">
      <c r="A195" t="str">
        <f t="shared" si="3"/>
        <v>GenericE&amp;DtemplateCIandGOA</v>
      </c>
      <c r="B195">
        <v>8</v>
      </c>
      <c r="C195">
        <v>12</v>
      </c>
      <c r="D195" s="649">
        <f ca="1">IF(E195=4,INDEX(crude_exp_dist,MATCH(B195,'Crude Exp Dist'!$B$6:$B$78,0),MATCH(C195,'Crude Exp Dist'!$AD$2:$BC$2,0))*INDEX(crude_exp_by_year,MATCH(B195,'Data Export'!$B$6:$B$78,0),1),IF(E195=5,INDEX(ref_exp_dist,MATCH(B195,'Refined Petro Exp Dist'!$B$6:$B$78,0),MATCH(C195,'Refined Petro Exp Dist'!$AD$2:$BC$2,0))*INDEX(ref_exp_by_year,MATCH(B195,'Data Export'!$B$6:$B$78,0),1)))</f>
        <v>1.9909319434320664E-3</v>
      </c>
      <c r="E195">
        <v>4</v>
      </c>
      <c r="F195" t="s">
        <v>208</v>
      </c>
    </row>
    <row r="196" spans="1:6">
      <c r="A196" t="str">
        <f t="shared" si="3"/>
        <v>GenericE&amp;DtemplateCIandGOA</v>
      </c>
      <c r="B196">
        <v>8</v>
      </c>
      <c r="C196">
        <v>13</v>
      </c>
      <c r="D196" s="649">
        <f ca="1">IF(E196=4,INDEX(crude_exp_dist,MATCH(B196,'Crude Exp Dist'!$B$6:$B$78,0),MATCH(C196,'Crude Exp Dist'!$AD$2:$BC$2,0))*INDEX(crude_exp_by_year,MATCH(B196,'Data Export'!$B$6:$B$78,0),1),IF(E196=5,INDEX(ref_exp_dist,MATCH(B196,'Refined Petro Exp Dist'!$B$6:$B$78,0),MATCH(C196,'Refined Petro Exp Dist'!$AD$2:$BC$2,0))*INDEX(ref_exp_by_year,MATCH(B196,'Data Export'!$B$6:$B$78,0),1)))</f>
        <v>1.9909319434320664E-3</v>
      </c>
      <c r="E196">
        <v>4</v>
      </c>
      <c r="F196" t="s">
        <v>211</v>
      </c>
    </row>
    <row r="197" spans="1:6">
      <c r="A197" t="str">
        <f t="shared" si="3"/>
        <v>GenericE&amp;DtemplateCIandGOA</v>
      </c>
      <c r="B197">
        <v>8</v>
      </c>
      <c r="C197">
        <v>14</v>
      </c>
      <c r="D197" s="649">
        <f ca="1">IF(E197=4,INDEX(crude_exp_dist,MATCH(B197,'Crude Exp Dist'!$B$6:$B$78,0),MATCH(C197,'Crude Exp Dist'!$AD$2:$BC$2,0))*INDEX(crude_exp_by_year,MATCH(B197,'Data Export'!$B$6:$B$78,0),1),IF(E197=5,INDEX(ref_exp_dist,MATCH(B197,'Refined Petro Exp Dist'!$B$6:$B$78,0),MATCH(C197,'Refined Petro Exp Dist'!$AD$2:$BC$2,0))*INDEX(ref_exp_by_year,MATCH(B197,'Data Export'!$B$6:$B$78,0),1)))</f>
        <v>0</v>
      </c>
      <c r="E197">
        <v>4</v>
      </c>
      <c r="F197" t="s">
        <v>213</v>
      </c>
    </row>
    <row r="198" spans="1:6">
      <c r="A198" t="str">
        <f t="shared" si="3"/>
        <v>GenericE&amp;DtemplateCIandGOA</v>
      </c>
      <c r="B198">
        <v>8</v>
      </c>
      <c r="C198">
        <v>15</v>
      </c>
      <c r="D198" s="649">
        <f ca="1">IF(E198=4,INDEX(crude_exp_dist,MATCH(B198,'Crude Exp Dist'!$B$6:$B$78,0),MATCH(C198,'Crude Exp Dist'!$AD$2:$BC$2,0))*INDEX(crude_exp_by_year,MATCH(B198,'Data Export'!$B$6:$B$78,0),1),IF(E198=5,INDEX(ref_exp_dist,MATCH(B198,'Refined Petro Exp Dist'!$B$6:$B$78,0),MATCH(C198,'Refined Petro Exp Dist'!$AD$2:$BC$2,0))*INDEX(ref_exp_by_year,MATCH(B198,'Data Export'!$B$6:$B$78,0),1)))</f>
        <v>0</v>
      </c>
      <c r="E198">
        <v>4</v>
      </c>
      <c r="F198" t="s">
        <v>215</v>
      </c>
    </row>
    <row r="199" spans="1:6">
      <c r="A199" t="str">
        <f t="shared" si="3"/>
        <v>GenericE&amp;DtemplateCIandGOA</v>
      </c>
      <c r="B199">
        <v>8</v>
      </c>
      <c r="C199">
        <v>16</v>
      </c>
      <c r="D199" s="649">
        <f ca="1">IF(E199=4,INDEX(crude_exp_dist,MATCH(B199,'Crude Exp Dist'!$B$6:$B$78,0),MATCH(C199,'Crude Exp Dist'!$AD$2:$BC$2,0))*INDEX(crude_exp_by_year,MATCH(B199,'Data Export'!$B$6:$B$78,0),1),IF(E199=5,INDEX(ref_exp_dist,MATCH(B199,'Refined Petro Exp Dist'!$B$6:$B$78,0),MATCH(C199,'Refined Petro Exp Dist'!$AD$2:$BC$2,0))*INDEX(ref_exp_by_year,MATCH(B199,'Data Export'!$B$6:$B$78,0),1)))</f>
        <v>0</v>
      </c>
      <c r="E199">
        <v>4</v>
      </c>
      <c r="F199" t="s">
        <v>219</v>
      </c>
    </row>
    <row r="200" spans="1:6">
      <c r="A200" t="str">
        <f t="shared" si="3"/>
        <v>GenericE&amp;DtemplateCIandGOA</v>
      </c>
      <c r="B200">
        <v>8</v>
      </c>
      <c r="C200">
        <v>17</v>
      </c>
      <c r="D200" s="649">
        <f ca="1">IF(E200=4,INDEX(crude_exp_dist,MATCH(B200,'Crude Exp Dist'!$B$6:$B$78,0),MATCH(C200,'Crude Exp Dist'!$AD$2:$BC$2,0))*INDEX(crude_exp_by_year,MATCH(B200,'Data Export'!$B$6:$B$78,0),1),IF(E200=5,INDEX(ref_exp_dist,MATCH(B200,'Refined Petro Exp Dist'!$B$6:$B$78,0),MATCH(C200,'Refined Petro Exp Dist'!$AD$2:$BC$2,0))*INDEX(ref_exp_by_year,MATCH(B200,'Data Export'!$B$6:$B$78,0),1)))</f>
        <v>0</v>
      </c>
      <c r="E200">
        <v>4</v>
      </c>
      <c r="F200" t="s">
        <v>222</v>
      </c>
    </row>
    <row r="201" spans="1:6">
      <c r="A201" t="str">
        <f t="shared" si="3"/>
        <v>GenericE&amp;DtemplateCIandGOA</v>
      </c>
      <c r="B201">
        <v>8</v>
      </c>
      <c r="C201">
        <v>18</v>
      </c>
      <c r="D201" s="649">
        <f ca="1">IF(E201=4,INDEX(crude_exp_dist,MATCH(B201,'Crude Exp Dist'!$B$6:$B$78,0),MATCH(C201,'Crude Exp Dist'!$AD$2:$BC$2,0))*INDEX(crude_exp_by_year,MATCH(B201,'Data Export'!$B$6:$B$78,0),1),IF(E201=5,INDEX(ref_exp_dist,MATCH(B201,'Refined Petro Exp Dist'!$B$6:$B$78,0),MATCH(C201,'Refined Petro Exp Dist'!$AD$2:$BC$2,0))*INDEX(ref_exp_by_year,MATCH(B201,'Data Export'!$B$6:$B$78,0),1)))</f>
        <v>0</v>
      </c>
      <c r="E201">
        <v>4</v>
      </c>
      <c r="F201" t="s">
        <v>224</v>
      </c>
    </row>
    <row r="202" spans="1:6">
      <c r="A202" t="str">
        <f t="shared" si="3"/>
        <v>GenericE&amp;DtemplateCIandGOA</v>
      </c>
      <c r="B202">
        <v>8</v>
      </c>
      <c r="C202">
        <v>19</v>
      </c>
      <c r="D202" s="649">
        <f ca="1">IF(E202=4,INDEX(crude_exp_dist,MATCH(B202,'Crude Exp Dist'!$B$6:$B$78,0),MATCH(C202,'Crude Exp Dist'!$AD$2:$BC$2,0))*INDEX(crude_exp_by_year,MATCH(B202,'Data Export'!$B$6:$B$78,0),1),IF(E202=5,INDEX(ref_exp_dist,MATCH(B202,'Refined Petro Exp Dist'!$B$6:$B$78,0),MATCH(C202,'Refined Petro Exp Dist'!$AD$2:$BC$2,0))*INDEX(ref_exp_by_year,MATCH(B202,'Data Export'!$B$6:$B$78,0),1)))</f>
        <v>0</v>
      </c>
      <c r="E202">
        <v>4</v>
      </c>
      <c r="F202" t="s">
        <v>228</v>
      </c>
    </row>
    <row r="203" spans="1:6">
      <c r="A203" t="str">
        <f t="shared" si="3"/>
        <v>GenericE&amp;DtemplateCIandGOA</v>
      </c>
      <c r="B203">
        <v>8</v>
      </c>
      <c r="C203">
        <v>20</v>
      </c>
      <c r="D203" s="649">
        <f ca="1">IF(E203=4,INDEX(crude_exp_dist,MATCH(B203,'Crude Exp Dist'!$B$6:$B$78,0),MATCH(C203,'Crude Exp Dist'!$AD$2:$BC$2,0))*INDEX(crude_exp_by_year,MATCH(B203,'Data Export'!$B$6:$B$78,0),1),IF(E203=5,INDEX(ref_exp_dist,MATCH(B203,'Refined Petro Exp Dist'!$B$6:$B$78,0),MATCH(C203,'Refined Petro Exp Dist'!$AD$2:$BC$2,0))*INDEX(ref_exp_by_year,MATCH(B203,'Data Export'!$B$6:$B$78,0),1)))</f>
        <v>0</v>
      </c>
      <c r="E203">
        <v>4</v>
      </c>
      <c r="F203" t="s">
        <v>231</v>
      </c>
    </row>
    <row r="204" spans="1:6">
      <c r="A204" t="str">
        <f t="shared" si="3"/>
        <v>GenericE&amp;DtemplateCIandGOA</v>
      </c>
      <c r="B204">
        <v>8</v>
      </c>
      <c r="C204">
        <v>21</v>
      </c>
      <c r="D204" s="649">
        <f ca="1">IF(E204=4,INDEX(crude_exp_dist,MATCH(B204,'Crude Exp Dist'!$B$6:$B$78,0),MATCH(C204,'Crude Exp Dist'!$AD$2:$BC$2,0))*INDEX(crude_exp_by_year,MATCH(B204,'Data Export'!$B$6:$B$78,0),1),IF(E204=5,INDEX(ref_exp_dist,MATCH(B204,'Refined Petro Exp Dist'!$B$6:$B$78,0),MATCH(C204,'Refined Petro Exp Dist'!$AD$2:$BC$2,0))*INDEX(ref_exp_by_year,MATCH(B204,'Data Export'!$B$6:$B$78,0),1)))</f>
        <v>0</v>
      </c>
      <c r="E204">
        <v>4</v>
      </c>
      <c r="F204" t="s">
        <v>232</v>
      </c>
    </row>
    <row r="205" spans="1:6">
      <c r="A205" t="str">
        <f t="shared" si="3"/>
        <v>GenericE&amp;DtemplateCIandGOA</v>
      </c>
      <c r="B205">
        <v>8</v>
      </c>
      <c r="C205">
        <v>22</v>
      </c>
      <c r="D205" s="649">
        <f ca="1">IF(E205=4,INDEX(crude_exp_dist,MATCH(B205,'Crude Exp Dist'!$B$6:$B$78,0),MATCH(C205,'Crude Exp Dist'!$AD$2:$BC$2,0))*INDEX(crude_exp_by_year,MATCH(B205,'Data Export'!$B$6:$B$78,0),1),IF(E205=5,INDEX(ref_exp_dist,MATCH(B205,'Refined Petro Exp Dist'!$B$6:$B$78,0),MATCH(C205,'Refined Petro Exp Dist'!$AD$2:$BC$2,0))*INDEX(ref_exp_by_year,MATCH(B205,'Data Export'!$B$6:$B$78,0),1)))</f>
        <v>0</v>
      </c>
      <c r="E205">
        <v>4</v>
      </c>
      <c r="F205" t="s">
        <v>235</v>
      </c>
    </row>
    <row r="206" spans="1:6">
      <c r="A206" t="str">
        <f t="shared" si="3"/>
        <v>GenericE&amp;DtemplateCIandGOA</v>
      </c>
      <c r="B206">
        <v>8</v>
      </c>
      <c r="C206">
        <v>23</v>
      </c>
      <c r="D206" s="649">
        <f ca="1">IF(E206=4,INDEX(crude_exp_dist,MATCH(B206,'Crude Exp Dist'!$B$6:$B$78,0),MATCH(C206,'Crude Exp Dist'!$AD$2:$BC$2,0))*INDEX(crude_exp_by_year,MATCH(B206,'Data Export'!$B$6:$B$78,0),1),IF(E206=5,INDEX(ref_exp_dist,MATCH(B206,'Refined Petro Exp Dist'!$B$6:$B$78,0),MATCH(C206,'Refined Petro Exp Dist'!$AD$2:$BC$2,0))*INDEX(ref_exp_by_year,MATCH(B206,'Data Export'!$B$6:$B$78,0),1)))</f>
        <v>0</v>
      </c>
      <c r="E206">
        <v>4</v>
      </c>
      <c r="F206" t="s">
        <v>237</v>
      </c>
    </row>
    <row r="207" spans="1:6">
      <c r="A207" t="str">
        <f t="shared" si="3"/>
        <v>GenericE&amp;DtemplateCIandGOA</v>
      </c>
      <c r="B207">
        <v>8</v>
      </c>
      <c r="C207">
        <v>24</v>
      </c>
      <c r="D207" s="649">
        <f ca="1">IF(E207=4,INDEX(crude_exp_dist,MATCH(B207,'Crude Exp Dist'!$B$6:$B$78,0),MATCH(C207,'Crude Exp Dist'!$AD$2:$BC$2,0))*INDEX(crude_exp_by_year,MATCH(B207,'Data Export'!$B$6:$B$78,0),1),IF(E207=5,INDEX(ref_exp_dist,MATCH(B207,'Refined Petro Exp Dist'!$B$6:$B$78,0),MATCH(C207,'Refined Petro Exp Dist'!$AD$2:$BC$2,0))*INDEX(ref_exp_by_year,MATCH(B207,'Data Export'!$B$6:$B$78,0),1)))</f>
        <v>0</v>
      </c>
      <c r="E207">
        <v>4</v>
      </c>
      <c r="F207" t="s">
        <v>239</v>
      </c>
    </row>
    <row r="208" spans="1:6">
      <c r="A208" t="str">
        <f t="shared" si="3"/>
        <v>GenericE&amp;DtemplateCIandGOA</v>
      </c>
      <c r="B208">
        <v>8</v>
      </c>
      <c r="C208">
        <v>25</v>
      </c>
      <c r="D208" s="649">
        <f ca="1">IF(E208=4,INDEX(crude_exp_dist,MATCH(B208,'Crude Exp Dist'!$B$6:$B$78,0),MATCH(C208,'Crude Exp Dist'!$AD$2:$BC$2,0))*INDEX(crude_exp_by_year,MATCH(B208,'Data Export'!$B$6:$B$78,0),1),IF(E208=5,INDEX(ref_exp_dist,MATCH(B208,'Refined Petro Exp Dist'!$B$6:$B$78,0),MATCH(C208,'Refined Petro Exp Dist'!$AD$2:$BC$2,0))*INDEX(ref_exp_by_year,MATCH(B208,'Data Export'!$B$6:$B$78,0),1)))</f>
        <v>0</v>
      </c>
      <c r="E208">
        <v>4</v>
      </c>
      <c r="F208" t="s">
        <v>242</v>
      </c>
    </row>
    <row r="209" spans="1:6">
      <c r="A209" t="str">
        <f t="shared" si="3"/>
        <v>GenericE&amp;DtemplateCIandGOA</v>
      </c>
      <c r="B209">
        <v>8</v>
      </c>
      <c r="C209">
        <v>26</v>
      </c>
      <c r="D209" s="649">
        <f ca="1">IF(E209=4,INDEX(crude_exp_dist,MATCH(B209,'Crude Exp Dist'!$B$6:$B$78,0),MATCH(C209,'Crude Exp Dist'!$AD$2:$BC$2,0))*INDEX(crude_exp_by_year,MATCH(B209,'Data Export'!$B$6:$B$78,0),1),IF(E209=5,INDEX(ref_exp_dist,MATCH(B209,'Refined Petro Exp Dist'!$B$6:$B$78,0),MATCH(C209,'Refined Petro Exp Dist'!$AD$2:$BC$2,0))*INDEX(ref_exp_by_year,MATCH(B209,'Data Export'!$B$6:$B$78,0),1)))</f>
        <v>0</v>
      </c>
      <c r="E209">
        <v>4</v>
      </c>
      <c r="F209" t="s">
        <v>245</v>
      </c>
    </row>
    <row r="210" spans="1:6">
      <c r="A210" t="str">
        <f t="shared" si="3"/>
        <v>GenericE&amp;DtemplateCIandGOA</v>
      </c>
      <c r="B210">
        <v>9</v>
      </c>
      <c r="C210">
        <v>1</v>
      </c>
      <c r="D210" s="649">
        <f ca="1">IF(E210=4,INDEX(crude_exp_dist,MATCH(B210,'Crude Exp Dist'!$B$6:$B$78,0),MATCH(C210,'Crude Exp Dist'!$AD$2:$BC$2,0))*INDEX(crude_exp_by_year,MATCH(B210,'Data Export'!$B$6:$B$78,0),1),IF(E210=5,INDEX(ref_exp_dist,MATCH(B210,'Refined Petro Exp Dist'!$B$6:$B$78,0),MATCH(C210,'Refined Petro Exp Dist'!$AD$2:$BC$2,0))*INDEX(ref_exp_by_year,MATCH(B210,'Data Export'!$B$6:$B$78,0),1)))</f>
        <v>0</v>
      </c>
      <c r="E210">
        <v>4</v>
      </c>
      <c r="F210" t="s">
        <v>158</v>
      </c>
    </row>
    <row r="211" spans="1:6">
      <c r="A211" t="str">
        <f t="shared" si="3"/>
        <v>GenericE&amp;DtemplateCIandGOA</v>
      </c>
      <c r="B211">
        <v>9</v>
      </c>
      <c r="C211">
        <v>2</v>
      </c>
      <c r="D211" s="649">
        <f ca="1">IF(E211=4,INDEX(crude_exp_dist,MATCH(B211,'Crude Exp Dist'!$B$6:$B$78,0),MATCH(C211,'Crude Exp Dist'!$AD$2:$BC$2,0))*INDEX(crude_exp_by_year,MATCH(B211,'Data Export'!$B$6:$B$78,0),1),IF(E211=5,INDEX(ref_exp_dist,MATCH(B211,'Refined Petro Exp Dist'!$B$6:$B$78,0),MATCH(C211,'Refined Petro Exp Dist'!$AD$2:$BC$2,0))*INDEX(ref_exp_by_year,MATCH(B211,'Data Export'!$B$6:$B$78,0),1)))</f>
        <v>0</v>
      </c>
      <c r="E211">
        <v>4</v>
      </c>
      <c r="F211" t="s">
        <v>166</v>
      </c>
    </row>
    <row r="212" spans="1:6">
      <c r="A212" t="str">
        <f t="shared" si="3"/>
        <v>GenericE&amp;DtemplateCIandGOA</v>
      </c>
      <c r="B212">
        <v>9</v>
      </c>
      <c r="C212">
        <v>3</v>
      </c>
      <c r="D212" s="649">
        <f ca="1">IF(E212=4,INDEX(crude_exp_dist,MATCH(B212,'Crude Exp Dist'!$B$6:$B$78,0),MATCH(C212,'Crude Exp Dist'!$AD$2:$BC$2,0))*INDEX(crude_exp_by_year,MATCH(B212,'Data Export'!$B$6:$B$78,0),1),IF(E212=5,INDEX(ref_exp_dist,MATCH(B212,'Refined Petro Exp Dist'!$B$6:$B$78,0),MATCH(C212,'Refined Petro Exp Dist'!$AD$2:$BC$2,0))*INDEX(ref_exp_by_year,MATCH(B212,'Data Export'!$B$6:$B$78,0),1)))</f>
        <v>0</v>
      </c>
      <c r="E212">
        <v>4</v>
      </c>
      <c r="F212" t="s">
        <v>171</v>
      </c>
    </row>
    <row r="213" spans="1:6">
      <c r="A213" t="str">
        <f t="shared" si="3"/>
        <v>GenericE&amp;DtemplateCIandGOA</v>
      </c>
      <c r="B213">
        <v>9</v>
      </c>
      <c r="C213">
        <v>4</v>
      </c>
      <c r="D213" s="649">
        <f ca="1">IF(E213=4,INDEX(crude_exp_dist,MATCH(B213,'Crude Exp Dist'!$B$6:$B$78,0),MATCH(C213,'Crude Exp Dist'!$AD$2:$BC$2,0))*INDEX(crude_exp_by_year,MATCH(B213,'Data Export'!$B$6:$B$78,0),1),IF(E213=5,INDEX(ref_exp_dist,MATCH(B213,'Refined Petro Exp Dist'!$B$6:$B$78,0),MATCH(C213,'Refined Petro Exp Dist'!$AD$2:$BC$2,0))*INDEX(ref_exp_by_year,MATCH(B213,'Data Export'!$B$6:$B$78,0),1)))</f>
        <v>0</v>
      </c>
      <c r="E213">
        <v>4</v>
      </c>
      <c r="F213" t="s">
        <v>173</v>
      </c>
    </row>
    <row r="214" spans="1:6">
      <c r="A214" t="str">
        <f t="shared" si="3"/>
        <v>GenericE&amp;DtemplateCIandGOA</v>
      </c>
      <c r="B214">
        <v>9</v>
      </c>
      <c r="C214">
        <v>5</v>
      </c>
      <c r="D214" s="649">
        <f ca="1">IF(E214=4,INDEX(crude_exp_dist,MATCH(B214,'Crude Exp Dist'!$B$6:$B$78,0),MATCH(C214,'Crude Exp Dist'!$AD$2:$BC$2,0))*INDEX(crude_exp_by_year,MATCH(B214,'Data Export'!$B$6:$B$78,0),1),IF(E214=5,INDEX(ref_exp_dist,MATCH(B214,'Refined Petro Exp Dist'!$B$6:$B$78,0),MATCH(C214,'Refined Petro Exp Dist'!$AD$2:$BC$2,0))*INDEX(ref_exp_by_year,MATCH(B214,'Data Export'!$B$6:$B$78,0),1)))</f>
        <v>0</v>
      </c>
      <c r="E214">
        <v>4</v>
      </c>
      <c r="F214" t="s">
        <v>180</v>
      </c>
    </row>
    <row r="215" spans="1:6">
      <c r="A215" t="str">
        <f t="shared" si="3"/>
        <v>GenericE&amp;DtemplateCIandGOA</v>
      </c>
      <c r="B215">
        <v>9</v>
      </c>
      <c r="C215">
        <v>6</v>
      </c>
      <c r="D215" s="649">
        <f ca="1">IF(E215=4,INDEX(crude_exp_dist,MATCH(B215,'Crude Exp Dist'!$B$6:$B$78,0),MATCH(C215,'Crude Exp Dist'!$AD$2:$BC$2,0))*INDEX(crude_exp_by_year,MATCH(B215,'Data Export'!$B$6:$B$78,0),1),IF(E215=5,INDEX(ref_exp_dist,MATCH(B215,'Refined Petro Exp Dist'!$B$6:$B$78,0),MATCH(C215,'Refined Petro Exp Dist'!$AD$2:$BC$2,0))*INDEX(ref_exp_by_year,MATCH(B215,'Data Export'!$B$6:$B$78,0),1)))</f>
        <v>4.2854021961010423E-2</v>
      </c>
      <c r="E215">
        <v>4</v>
      </c>
      <c r="F215" t="s">
        <v>186</v>
      </c>
    </row>
    <row r="216" spans="1:6">
      <c r="A216" t="str">
        <f t="shared" si="3"/>
        <v>GenericE&amp;DtemplateCIandGOA</v>
      </c>
      <c r="B216">
        <v>9</v>
      </c>
      <c r="C216">
        <v>7</v>
      </c>
      <c r="D216" s="649">
        <f ca="1">IF(E216=4,INDEX(crude_exp_dist,MATCH(B216,'Crude Exp Dist'!$B$6:$B$78,0),MATCH(C216,'Crude Exp Dist'!$AD$2:$BC$2,0))*INDEX(crude_exp_by_year,MATCH(B216,'Data Export'!$B$6:$B$78,0),1),IF(E216=5,INDEX(ref_exp_dist,MATCH(B216,'Refined Petro Exp Dist'!$B$6:$B$78,0),MATCH(C216,'Refined Petro Exp Dist'!$AD$2:$BC$2,0))*INDEX(ref_exp_by_year,MATCH(B216,'Data Export'!$B$6:$B$78,0),1)))</f>
        <v>0</v>
      </c>
      <c r="E216">
        <v>4</v>
      </c>
      <c r="F216" t="s">
        <v>191</v>
      </c>
    </row>
    <row r="217" spans="1:6">
      <c r="A217" t="str">
        <f t="shared" si="3"/>
        <v>GenericE&amp;DtemplateCIandGOA</v>
      </c>
      <c r="B217">
        <v>9</v>
      </c>
      <c r="C217">
        <v>8</v>
      </c>
      <c r="D217" s="649">
        <f ca="1">IF(E217=4,INDEX(crude_exp_dist,MATCH(B217,'Crude Exp Dist'!$B$6:$B$78,0),MATCH(C217,'Crude Exp Dist'!$AD$2:$BC$2,0))*INDEX(crude_exp_by_year,MATCH(B217,'Data Export'!$B$6:$B$78,0),1),IF(E217=5,INDEX(ref_exp_dist,MATCH(B217,'Refined Petro Exp Dist'!$B$6:$B$78,0),MATCH(C217,'Refined Petro Exp Dist'!$AD$2:$BC$2,0))*INDEX(ref_exp_by_year,MATCH(B217,'Data Export'!$B$6:$B$78,0),1)))</f>
        <v>0</v>
      </c>
      <c r="E217">
        <v>4</v>
      </c>
      <c r="F217" t="s">
        <v>197</v>
      </c>
    </row>
    <row r="218" spans="1:6">
      <c r="A218" t="str">
        <f t="shared" si="3"/>
        <v>GenericE&amp;DtemplateCIandGOA</v>
      </c>
      <c r="B218">
        <v>9</v>
      </c>
      <c r="C218">
        <v>9</v>
      </c>
      <c r="D218" s="649">
        <f ca="1">IF(E218=4,INDEX(crude_exp_dist,MATCH(B218,'Crude Exp Dist'!$B$6:$B$78,0),MATCH(C218,'Crude Exp Dist'!$AD$2:$BC$2,0))*INDEX(crude_exp_by_year,MATCH(B218,'Data Export'!$B$6:$B$78,0),1),IF(E218=5,INDEX(ref_exp_dist,MATCH(B218,'Refined Petro Exp Dist'!$B$6:$B$78,0),MATCH(C218,'Refined Petro Exp Dist'!$AD$2:$BC$2,0))*INDEX(ref_exp_by_year,MATCH(B218,'Data Export'!$B$6:$B$78,0),1)))</f>
        <v>0</v>
      </c>
      <c r="E218">
        <v>4</v>
      </c>
      <c r="F218" t="s">
        <v>199</v>
      </c>
    </row>
    <row r="219" spans="1:6">
      <c r="A219" t="str">
        <f t="shared" si="3"/>
        <v>GenericE&amp;DtemplateCIandGOA</v>
      </c>
      <c r="B219">
        <v>9</v>
      </c>
      <c r="C219">
        <v>10</v>
      </c>
      <c r="D219" s="649">
        <f ca="1">IF(E219=4,INDEX(crude_exp_dist,MATCH(B219,'Crude Exp Dist'!$B$6:$B$78,0),MATCH(C219,'Crude Exp Dist'!$AD$2:$BC$2,0))*INDEX(crude_exp_by_year,MATCH(B219,'Data Export'!$B$6:$B$78,0),1),IF(E219=5,INDEX(ref_exp_dist,MATCH(B219,'Refined Petro Exp Dist'!$B$6:$B$78,0),MATCH(C219,'Refined Petro Exp Dist'!$AD$2:$BC$2,0))*INDEX(ref_exp_by_year,MATCH(B219,'Data Export'!$B$6:$B$78,0),1)))</f>
        <v>0</v>
      </c>
      <c r="E219">
        <v>4</v>
      </c>
      <c r="F219" t="s">
        <v>201</v>
      </c>
    </row>
    <row r="220" spans="1:6">
      <c r="A220" t="str">
        <f t="shared" si="3"/>
        <v>GenericE&amp;DtemplateCIandGOA</v>
      </c>
      <c r="B220">
        <v>9</v>
      </c>
      <c r="C220">
        <v>11</v>
      </c>
      <c r="D220" s="649">
        <f ca="1">IF(E220=4,INDEX(crude_exp_dist,MATCH(B220,'Crude Exp Dist'!$B$6:$B$78,0),MATCH(C220,'Crude Exp Dist'!$AD$2:$BC$2,0))*INDEX(crude_exp_by_year,MATCH(B220,'Data Export'!$B$6:$B$78,0),1),IF(E220=5,INDEX(ref_exp_dist,MATCH(B220,'Refined Petro Exp Dist'!$B$6:$B$78,0),MATCH(C220,'Refined Petro Exp Dist'!$AD$2:$BC$2,0))*INDEX(ref_exp_by_year,MATCH(B220,'Data Export'!$B$6:$B$78,0),1)))</f>
        <v>0</v>
      </c>
      <c r="E220">
        <v>4</v>
      </c>
      <c r="F220" t="s">
        <v>921</v>
      </c>
    </row>
    <row r="221" spans="1:6">
      <c r="A221" t="str">
        <f t="shared" si="3"/>
        <v>GenericE&amp;DtemplateCIandGOA</v>
      </c>
      <c r="B221">
        <v>9</v>
      </c>
      <c r="C221">
        <v>12</v>
      </c>
      <c r="D221" s="649">
        <f ca="1">IF(E221=4,INDEX(crude_exp_dist,MATCH(B221,'Crude Exp Dist'!$B$6:$B$78,0),MATCH(C221,'Crude Exp Dist'!$AD$2:$BC$2,0))*INDEX(crude_exp_by_year,MATCH(B221,'Data Export'!$B$6:$B$78,0),1),IF(E221=5,INDEX(ref_exp_dist,MATCH(B221,'Refined Petro Exp Dist'!$B$6:$B$78,0),MATCH(C221,'Refined Petro Exp Dist'!$AD$2:$BC$2,0))*INDEX(ref_exp_by_year,MATCH(B221,'Data Export'!$B$6:$B$78,0),1)))</f>
        <v>2.0681740688706569E-3</v>
      </c>
      <c r="E221">
        <v>4</v>
      </c>
      <c r="F221" t="s">
        <v>208</v>
      </c>
    </row>
    <row r="222" spans="1:6">
      <c r="A222" t="str">
        <f t="shared" si="3"/>
        <v>GenericE&amp;DtemplateCIandGOA</v>
      </c>
      <c r="B222">
        <v>9</v>
      </c>
      <c r="C222">
        <v>13</v>
      </c>
      <c r="D222" s="649">
        <f ca="1">IF(E222=4,INDEX(crude_exp_dist,MATCH(B222,'Crude Exp Dist'!$B$6:$B$78,0),MATCH(C222,'Crude Exp Dist'!$AD$2:$BC$2,0))*INDEX(crude_exp_by_year,MATCH(B222,'Data Export'!$B$6:$B$78,0),1),IF(E222=5,INDEX(ref_exp_dist,MATCH(B222,'Refined Petro Exp Dist'!$B$6:$B$78,0),MATCH(C222,'Refined Petro Exp Dist'!$AD$2:$BC$2,0))*INDEX(ref_exp_by_year,MATCH(B222,'Data Export'!$B$6:$B$78,0),1)))</f>
        <v>2.0681740688706569E-3</v>
      </c>
      <c r="E222">
        <v>4</v>
      </c>
      <c r="F222" t="s">
        <v>211</v>
      </c>
    </row>
    <row r="223" spans="1:6">
      <c r="A223" t="str">
        <f t="shared" si="3"/>
        <v>GenericE&amp;DtemplateCIandGOA</v>
      </c>
      <c r="B223">
        <v>9</v>
      </c>
      <c r="C223">
        <v>14</v>
      </c>
      <c r="D223" s="649">
        <f ca="1">IF(E223=4,INDEX(crude_exp_dist,MATCH(B223,'Crude Exp Dist'!$B$6:$B$78,0),MATCH(C223,'Crude Exp Dist'!$AD$2:$BC$2,0))*INDEX(crude_exp_by_year,MATCH(B223,'Data Export'!$B$6:$B$78,0),1),IF(E223=5,INDEX(ref_exp_dist,MATCH(B223,'Refined Petro Exp Dist'!$B$6:$B$78,0),MATCH(C223,'Refined Petro Exp Dist'!$AD$2:$BC$2,0))*INDEX(ref_exp_by_year,MATCH(B223,'Data Export'!$B$6:$B$78,0),1)))</f>
        <v>0</v>
      </c>
      <c r="E223">
        <v>4</v>
      </c>
      <c r="F223" t="s">
        <v>213</v>
      </c>
    </row>
    <row r="224" spans="1:6">
      <c r="A224" t="str">
        <f t="shared" si="3"/>
        <v>GenericE&amp;DtemplateCIandGOA</v>
      </c>
      <c r="B224">
        <v>9</v>
      </c>
      <c r="C224">
        <v>15</v>
      </c>
      <c r="D224" s="649">
        <f ca="1">IF(E224=4,INDEX(crude_exp_dist,MATCH(B224,'Crude Exp Dist'!$B$6:$B$78,0),MATCH(C224,'Crude Exp Dist'!$AD$2:$BC$2,0))*INDEX(crude_exp_by_year,MATCH(B224,'Data Export'!$B$6:$B$78,0),1),IF(E224=5,INDEX(ref_exp_dist,MATCH(B224,'Refined Petro Exp Dist'!$B$6:$B$78,0),MATCH(C224,'Refined Petro Exp Dist'!$AD$2:$BC$2,0))*INDEX(ref_exp_by_year,MATCH(B224,'Data Export'!$B$6:$B$78,0),1)))</f>
        <v>0</v>
      </c>
      <c r="E224">
        <v>4</v>
      </c>
      <c r="F224" t="s">
        <v>215</v>
      </c>
    </row>
    <row r="225" spans="1:6">
      <c r="A225" t="str">
        <f t="shared" si="3"/>
        <v>GenericE&amp;DtemplateCIandGOA</v>
      </c>
      <c r="B225">
        <v>9</v>
      </c>
      <c r="C225">
        <v>16</v>
      </c>
      <c r="D225" s="649">
        <f ca="1">IF(E225=4,INDEX(crude_exp_dist,MATCH(B225,'Crude Exp Dist'!$B$6:$B$78,0),MATCH(C225,'Crude Exp Dist'!$AD$2:$BC$2,0))*INDEX(crude_exp_by_year,MATCH(B225,'Data Export'!$B$6:$B$78,0),1),IF(E225=5,INDEX(ref_exp_dist,MATCH(B225,'Refined Petro Exp Dist'!$B$6:$B$78,0),MATCH(C225,'Refined Petro Exp Dist'!$AD$2:$BC$2,0))*INDEX(ref_exp_by_year,MATCH(B225,'Data Export'!$B$6:$B$78,0),1)))</f>
        <v>0</v>
      </c>
      <c r="E225">
        <v>4</v>
      </c>
      <c r="F225" t="s">
        <v>219</v>
      </c>
    </row>
    <row r="226" spans="1:6">
      <c r="A226" t="str">
        <f t="shared" si="3"/>
        <v>GenericE&amp;DtemplateCIandGOA</v>
      </c>
      <c r="B226">
        <v>9</v>
      </c>
      <c r="C226">
        <v>17</v>
      </c>
      <c r="D226" s="649">
        <f ca="1">IF(E226=4,INDEX(crude_exp_dist,MATCH(B226,'Crude Exp Dist'!$B$6:$B$78,0),MATCH(C226,'Crude Exp Dist'!$AD$2:$BC$2,0))*INDEX(crude_exp_by_year,MATCH(B226,'Data Export'!$B$6:$B$78,0),1),IF(E226=5,INDEX(ref_exp_dist,MATCH(B226,'Refined Petro Exp Dist'!$B$6:$B$78,0),MATCH(C226,'Refined Petro Exp Dist'!$AD$2:$BC$2,0))*INDEX(ref_exp_by_year,MATCH(B226,'Data Export'!$B$6:$B$78,0),1)))</f>
        <v>0</v>
      </c>
      <c r="E226">
        <v>4</v>
      </c>
      <c r="F226" t="s">
        <v>222</v>
      </c>
    </row>
    <row r="227" spans="1:6">
      <c r="A227" t="str">
        <f t="shared" si="3"/>
        <v>GenericE&amp;DtemplateCIandGOA</v>
      </c>
      <c r="B227">
        <v>9</v>
      </c>
      <c r="C227">
        <v>18</v>
      </c>
      <c r="D227" s="649">
        <f ca="1">IF(E227=4,INDEX(crude_exp_dist,MATCH(B227,'Crude Exp Dist'!$B$6:$B$78,0),MATCH(C227,'Crude Exp Dist'!$AD$2:$BC$2,0))*INDEX(crude_exp_by_year,MATCH(B227,'Data Export'!$B$6:$B$78,0),1),IF(E227=5,INDEX(ref_exp_dist,MATCH(B227,'Refined Petro Exp Dist'!$B$6:$B$78,0),MATCH(C227,'Refined Petro Exp Dist'!$AD$2:$BC$2,0))*INDEX(ref_exp_by_year,MATCH(B227,'Data Export'!$B$6:$B$78,0),1)))</f>
        <v>0</v>
      </c>
      <c r="E227">
        <v>4</v>
      </c>
      <c r="F227" t="s">
        <v>224</v>
      </c>
    </row>
    <row r="228" spans="1:6">
      <c r="A228" t="str">
        <f t="shared" si="3"/>
        <v>GenericE&amp;DtemplateCIandGOA</v>
      </c>
      <c r="B228">
        <v>9</v>
      </c>
      <c r="C228">
        <v>19</v>
      </c>
      <c r="D228" s="649">
        <f ca="1">IF(E228=4,INDEX(crude_exp_dist,MATCH(B228,'Crude Exp Dist'!$B$6:$B$78,0),MATCH(C228,'Crude Exp Dist'!$AD$2:$BC$2,0))*INDEX(crude_exp_by_year,MATCH(B228,'Data Export'!$B$6:$B$78,0),1),IF(E228=5,INDEX(ref_exp_dist,MATCH(B228,'Refined Petro Exp Dist'!$B$6:$B$78,0),MATCH(C228,'Refined Petro Exp Dist'!$AD$2:$BC$2,0))*INDEX(ref_exp_by_year,MATCH(B228,'Data Export'!$B$6:$B$78,0),1)))</f>
        <v>0</v>
      </c>
      <c r="E228">
        <v>4</v>
      </c>
      <c r="F228" t="s">
        <v>228</v>
      </c>
    </row>
    <row r="229" spans="1:6">
      <c r="A229" t="str">
        <f t="shared" si="3"/>
        <v>GenericE&amp;DtemplateCIandGOA</v>
      </c>
      <c r="B229">
        <v>9</v>
      </c>
      <c r="C229">
        <v>20</v>
      </c>
      <c r="D229" s="649">
        <f ca="1">IF(E229=4,INDEX(crude_exp_dist,MATCH(B229,'Crude Exp Dist'!$B$6:$B$78,0),MATCH(C229,'Crude Exp Dist'!$AD$2:$BC$2,0))*INDEX(crude_exp_by_year,MATCH(B229,'Data Export'!$B$6:$B$78,0),1),IF(E229=5,INDEX(ref_exp_dist,MATCH(B229,'Refined Petro Exp Dist'!$B$6:$B$78,0),MATCH(C229,'Refined Petro Exp Dist'!$AD$2:$BC$2,0))*INDEX(ref_exp_by_year,MATCH(B229,'Data Export'!$B$6:$B$78,0),1)))</f>
        <v>0</v>
      </c>
      <c r="E229">
        <v>4</v>
      </c>
      <c r="F229" t="s">
        <v>231</v>
      </c>
    </row>
    <row r="230" spans="1:6">
      <c r="A230" t="str">
        <f t="shared" si="3"/>
        <v>GenericE&amp;DtemplateCIandGOA</v>
      </c>
      <c r="B230">
        <v>9</v>
      </c>
      <c r="C230">
        <v>21</v>
      </c>
      <c r="D230" s="649">
        <f ca="1">IF(E230=4,INDEX(crude_exp_dist,MATCH(B230,'Crude Exp Dist'!$B$6:$B$78,0),MATCH(C230,'Crude Exp Dist'!$AD$2:$BC$2,0))*INDEX(crude_exp_by_year,MATCH(B230,'Data Export'!$B$6:$B$78,0),1),IF(E230=5,INDEX(ref_exp_dist,MATCH(B230,'Refined Petro Exp Dist'!$B$6:$B$78,0),MATCH(C230,'Refined Petro Exp Dist'!$AD$2:$BC$2,0))*INDEX(ref_exp_by_year,MATCH(B230,'Data Export'!$B$6:$B$78,0),1)))</f>
        <v>0</v>
      </c>
      <c r="E230">
        <v>4</v>
      </c>
      <c r="F230" t="s">
        <v>232</v>
      </c>
    </row>
    <row r="231" spans="1:6">
      <c r="A231" t="str">
        <f t="shared" si="3"/>
        <v>GenericE&amp;DtemplateCIandGOA</v>
      </c>
      <c r="B231">
        <v>9</v>
      </c>
      <c r="C231">
        <v>22</v>
      </c>
      <c r="D231" s="649">
        <f ca="1">IF(E231=4,INDEX(crude_exp_dist,MATCH(B231,'Crude Exp Dist'!$B$6:$B$78,0),MATCH(C231,'Crude Exp Dist'!$AD$2:$BC$2,0))*INDEX(crude_exp_by_year,MATCH(B231,'Data Export'!$B$6:$B$78,0),1),IF(E231=5,INDEX(ref_exp_dist,MATCH(B231,'Refined Petro Exp Dist'!$B$6:$B$78,0),MATCH(C231,'Refined Petro Exp Dist'!$AD$2:$BC$2,0))*INDEX(ref_exp_by_year,MATCH(B231,'Data Export'!$B$6:$B$78,0),1)))</f>
        <v>0</v>
      </c>
      <c r="E231">
        <v>4</v>
      </c>
      <c r="F231" t="s">
        <v>235</v>
      </c>
    </row>
    <row r="232" spans="1:6">
      <c r="A232" t="str">
        <f t="shared" si="3"/>
        <v>GenericE&amp;DtemplateCIandGOA</v>
      </c>
      <c r="B232">
        <v>9</v>
      </c>
      <c r="C232">
        <v>23</v>
      </c>
      <c r="D232" s="649">
        <f ca="1">IF(E232=4,INDEX(crude_exp_dist,MATCH(B232,'Crude Exp Dist'!$B$6:$B$78,0),MATCH(C232,'Crude Exp Dist'!$AD$2:$BC$2,0))*INDEX(crude_exp_by_year,MATCH(B232,'Data Export'!$B$6:$B$78,0),1),IF(E232=5,INDEX(ref_exp_dist,MATCH(B232,'Refined Petro Exp Dist'!$B$6:$B$78,0),MATCH(C232,'Refined Petro Exp Dist'!$AD$2:$BC$2,0))*INDEX(ref_exp_by_year,MATCH(B232,'Data Export'!$B$6:$B$78,0),1)))</f>
        <v>0</v>
      </c>
      <c r="E232">
        <v>4</v>
      </c>
      <c r="F232" t="s">
        <v>237</v>
      </c>
    </row>
    <row r="233" spans="1:6">
      <c r="A233" t="str">
        <f t="shared" si="3"/>
        <v>GenericE&amp;DtemplateCIandGOA</v>
      </c>
      <c r="B233">
        <v>9</v>
      </c>
      <c r="C233">
        <v>24</v>
      </c>
      <c r="D233" s="649">
        <f ca="1">IF(E233=4,INDEX(crude_exp_dist,MATCH(B233,'Crude Exp Dist'!$B$6:$B$78,0),MATCH(C233,'Crude Exp Dist'!$AD$2:$BC$2,0))*INDEX(crude_exp_by_year,MATCH(B233,'Data Export'!$B$6:$B$78,0),1),IF(E233=5,INDEX(ref_exp_dist,MATCH(B233,'Refined Petro Exp Dist'!$B$6:$B$78,0),MATCH(C233,'Refined Petro Exp Dist'!$AD$2:$BC$2,0))*INDEX(ref_exp_by_year,MATCH(B233,'Data Export'!$B$6:$B$78,0),1)))</f>
        <v>0</v>
      </c>
      <c r="E233">
        <v>4</v>
      </c>
      <c r="F233" t="s">
        <v>239</v>
      </c>
    </row>
    <row r="234" spans="1:6">
      <c r="A234" t="str">
        <f t="shared" si="3"/>
        <v>GenericE&amp;DtemplateCIandGOA</v>
      </c>
      <c r="B234">
        <v>9</v>
      </c>
      <c r="C234">
        <v>25</v>
      </c>
      <c r="D234" s="649">
        <f ca="1">IF(E234=4,INDEX(crude_exp_dist,MATCH(B234,'Crude Exp Dist'!$B$6:$B$78,0),MATCH(C234,'Crude Exp Dist'!$AD$2:$BC$2,0))*INDEX(crude_exp_by_year,MATCH(B234,'Data Export'!$B$6:$B$78,0),1),IF(E234=5,INDEX(ref_exp_dist,MATCH(B234,'Refined Petro Exp Dist'!$B$6:$B$78,0),MATCH(C234,'Refined Petro Exp Dist'!$AD$2:$BC$2,0))*INDEX(ref_exp_by_year,MATCH(B234,'Data Export'!$B$6:$B$78,0),1)))</f>
        <v>0</v>
      </c>
      <c r="E234">
        <v>4</v>
      </c>
      <c r="F234" t="s">
        <v>242</v>
      </c>
    </row>
    <row r="235" spans="1:6">
      <c r="A235" t="str">
        <f t="shared" si="3"/>
        <v>GenericE&amp;DtemplateCIandGOA</v>
      </c>
      <c r="B235">
        <v>9</v>
      </c>
      <c r="C235">
        <v>26</v>
      </c>
      <c r="D235" s="649">
        <f ca="1">IF(E235=4,INDEX(crude_exp_dist,MATCH(B235,'Crude Exp Dist'!$B$6:$B$78,0),MATCH(C235,'Crude Exp Dist'!$AD$2:$BC$2,0))*INDEX(crude_exp_by_year,MATCH(B235,'Data Export'!$B$6:$B$78,0),1),IF(E235=5,INDEX(ref_exp_dist,MATCH(B235,'Refined Petro Exp Dist'!$B$6:$B$78,0),MATCH(C235,'Refined Petro Exp Dist'!$AD$2:$BC$2,0))*INDEX(ref_exp_by_year,MATCH(B235,'Data Export'!$B$6:$B$78,0),1)))</f>
        <v>0</v>
      </c>
      <c r="E235">
        <v>4</v>
      </c>
      <c r="F235" t="s">
        <v>245</v>
      </c>
    </row>
    <row r="236" spans="1:6">
      <c r="A236" t="str">
        <f t="shared" si="3"/>
        <v>GenericE&amp;DtemplateCIandGOA</v>
      </c>
      <c r="B236">
        <v>10</v>
      </c>
      <c r="C236">
        <v>1</v>
      </c>
      <c r="D236" s="649">
        <f ca="1">IF(E236=4,INDEX(crude_exp_dist,MATCH(B236,'Crude Exp Dist'!$B$6:$B$78,0),MATCH(C236,'Crude Exp Dist'!$AD$2:$BC$2,0))*INDEX(crude_exp_by_year,MATCH(B236,'Data Export'!$B$6:$B$78,0),1),IF(E236=5,INDEX(ref_exp_dist,MATCH(B236,'Refined Petro Exp Dist'!$B$6:$B$78,0),MATCH(C236,'Refined Petro Exp Dist'!$AD$2:$BC$2,0))*INDEX(ref_exp_by_year,MATCH(B236,'Data Export'!$B$6:$B$78,0),1)))</f>
        <v>0</v>
      </c>
      <c r="E236">
        <v>4</v>
      </c>
      <c r="F236" t="s">
        <v>158</v>
      </c>
    </row>
    <row r="237" spans="1:6">
      <c r="A237" t="str">
        <f t="shared" si="3"/>
        <v>GenericE&amp;DtemplateCIandGOA</v>
      </c>
      <c r="B237">
        <v>10</v>
      </c>
      <c r="C237">
        <v>2</v>
      </c>
      <c r="D237" s="649">
        <f ca="1">IF(E237=4,INDEX(crude_exp_dist,MATCH(B237,'Crude Exp Dist'!$B$6:$B$78,0),MATCH(C237,'Crude Exp Dist'!$AD$2:$BC$2,0))*INDEX(crude_exp_by_year,MATCH(B237,'Data Export'!$B$6:$B$78,0),1),IF(E237=5,INDEX(ref_exp_dist,MATCH(B237,'Refined Petro Exp Dist'!$B$6:$B$78,0),MATCH(C237,'Refined Petro Exp Dist'!$AD$2:$BC$2,0))*INDEX(ref_exp_by_year,MATCH(B237,'Data Export'!$B$6:$B$78,0),1)))</f>
        <v>0</v>
      </c>
      <c r="E237">
        <v>4</v>
      </c>
      <c r="F237" t="s">
        <v>166</v>
      </c>
    </row>
    <row r="238" spans="1:6">
      <c r="A238" t="str">
        <f t="shared" si="3"/>
        <v>GenericE&amp;DtemplateCIandGOA</v>
      </c>
      <c r="B238">
        <v>10</v>
      </c>
      <c r="C238">
        <v>3</v>
      </c>
      <c r="D238" s="649">
        <f ca="1">IF(E238=4,INDEX(crude_exp_dist,MATCH(B238,'Crude Exp Dist'!$B$6:$B$78,0),MATCH(C238,'Crude Exp Dist'!$AD$2:$BC$2,0))*INDEX(crude_exp_by_year,MATCH(B238,'Data Export'!$B$6:$B$78,0),1),IF(E238=5,INDEX(ref_exp_dist,MATCH(B238,'Refined Petro Exp Dist'!$B$6:$B$78,0),MATCH(C238,'Refined Petro Exp Dist'!$AD$2:$BC$2,0))*INDEX(ref_exp_by_year,MATCH(B238,'Data Export'!$B$6:$B$78,0),1)))</f>
        <v>0</v>
      </c>
      <c r="E238">
        <v>4</v>
      </c>
      <c r="F238" t="s">
        <v>171</v>
      </c>
    </row>
    <row r="239" spans="1:6">
      <c r="A239" t="str">
        <f t="shared" si="3"/>
        <v>GenericE&amp;DtemplateCIandGOA</v>
      </c>
      <c r="B239">
        <v>10</v>
      </c>
      <c r="C239">
        <v>4</v>
      </c>
      <c r="D239" s="649">
        <f ca="1">IF(E239=4,INDEX(crude_exp_dist,MATCH(B239,'Crude Exp Dist'!$B$6:$B$78,0),MATCH(C239,'Crude Exp Dist'!$AD$2:$BC$2,0))*INDEX(crude_exp_by_year,MATCH(B239,'Data Export'!$B$6:$B$78,0),1),IF(E239=5,INDEX(ref_exp_dist,MATCH(B239,'Refined Petro Exp Dist'!$B$6:$B$78,0),MATCH(C239,'Refined Petro Exp Dist'!$AD$2:$BC$2,0))*INDEX(ref_exp_by_year,MATCH(B239,'Data Export'!$B$6:$B$78,0),1)))</f>
        <v>0</v>
      </c>
      <c r="E239">
        <v>4</v>
      </c>
      <c r="F239" t="s">
        <v>173</v>
      </c>
    </row>
    <row r="240" spans="1:6">
      <c r="A240" t="str">
        <f t="shared" si="3"/>
        <v>GenericE&amp;DtemplateCIandGOA</v>
      </c>
      <c r="B240">
        <v>10</v>
      </c>
      <c r="C240">
        <v>5</v>
      </c>
      <c r="D240" s="649">
        <f ca="1">IF(E240=4,INDEX(crude_exp_dist,MATCH(B240,'Crude Exp Dist'!$B$6:$B$78,0),MATCH(C240,'Crude Exp Dist'!$AD$2:$BC$2,0))*INDEX(crude_exp_by_year,MATCH(B240,'Data Export'!$B$6:$B$78,0),1),IF(E240=5,INDEX(ref_exp_dist,MATCH(B240,'Refined Petro Exp Dist'!$B$6:$B$78,0),MATCH(C240,'Refined Petro Exp Dist'!$AD$2:$BC$2,0))*INDEX(ref_exp_by_year,MATCH(B240,'Data Export'!$B$6:$B$78,0),1)))</f>
        <v>0</v>
      </c>
      <c r="E240">
        <v>4</v>
      </c>
      <c r="F240" t="s">
        <v>180</v>
      </c>
    </row>
    <row r="241" spans="1:6">
      <c r="A241" t="str">
        <f t="shared" si="3"/>
        <v>GenericE&amp;DtemplateCIandGOA</v>
      </c>
      <c r="B241">
        <v>10</v>
      </c>
      <c r="C241">
        <v>6</v>
      </c>
      <c r="D241" s="649">
        <f ca="1">IF(E241=4,INDEX(crude_exp_dist,MATCH(B241,'Crude Exp Dist'!$B$6:$B$78,0),MATCH(C241,'Crude Exp Dist'!$AD$2:$BC$2,0))*INDEX(crude_exp_by_year,MATCH(B241,'Data Export'!$B$6:$B$78,0),1),IF(E241=5,INDEX(ref_exp_dist,MATCH(B241,'Refined Petro Exp Dist'!$B$6:$B$78,0),MATCH(C241,'Refined Petro Exp Dist'!$AD$2:$BC$2,0))*INDEX(ref_exp_by_year,MATCH(B241,'Data Export'!$B$6:$B$78,0),1)))</f>
        <v>4.4544262279921136E-2</v>
      </c>
      <c r="E241">
        <v>4</v>
      </c>
      <c r="F241" t="s">
        <v>186</v>
      </c>
    </row>
    <row r="242" spans="1:6">
      <c r="A242" t="str">
        <f t="shared" si="3"/>
        <v>GenericE&amp;DtemplateCIandGOA</v>
      </c>
      <c r="B242">
        <v>10</v>
      </c>
      <c r="C242">
        <v>7</v>
      </c>
      <c r="D242" s="649">
        <f ca="1">IF(E242=4,INDEX(crude_exp_dist,MATCH(B242,'Crude Exp Dist'!$B$6:$B$78,0),MATCH(C242,'Crude Exp Dist'!$AD$2:$BC$2,0))*INDEX(crude_exp_by_year,MATCH(B242,'Data Export'!$B$6:$B$78,0),1),IF(E242=5,INDEX(ref_exp_dist,MATCH(B242,'Refined Petro Exp Dist'!$B$6:$B$78,0),MATCH(C242,'Refined Petro Exp Dist'!$AD$2:$BC$2,0))*INDEX(ref_exp_by_year,MATCH(B242,'Data Export'!$B$6:$B$78,0),1)))</f>
        <v>0</v>
      </c>
      <c r="E242">
        <v>4</v>
      </c>
      <c r="F242" t="s">
        <v>191</v>
      </c>
    </row>
    <row r="243" spans="1:6">
      <c r="A243" t="str">
        <f t="shared" si="3"/>
        <v>GenericE&amp;DtemplateCIandGOA</v>
      </c>
      <c r="B243">
        <v>10</v>
      </c>
      <c r="C243">
        <v>8</v>
      </c>
      <c r="D243" s="649">
        <f ca="1">IF(E243=4,INDEX(crude_exp_dist,MATCH(B243,'Crude Exp Dist'!$B$6:$B$78,0),MATCH(C243,'Crude Exp Dist'!$AD$2:$BC$2,0))*INDEX(crude_exp_by_year,MATCH(B243,'Data Export'!$B$6:$B$78,0),1),IF(E243=5,INDEX(ref_exp_dist,MATCH(B243,'Refined Petro Exp Dist'!$B$6:$B$78,0),MATCH(C243,'Refined Petro Exp Dist'!$AD$2:$BC$2,0))*INDEX(ref_exp_by_year,MATCH(B243,'Data Export'!$B$6:$B$78,0),1)))</f>
        <v>0</v>
      </c>
      <c r="E243">
        <v>4</v>
      </c>
      <c r="F243" t="s">
        <v>197</v>
      </c>
    </row>
    <row r="244" spans="1:6">
      <c r="A244" t="str">
        <f t="shared" si="3"/>
        <v>GenericE&amp;DtemplateCIandGOA</v>
      </c>
      <c r="B244">
        <v>10</v>
      </c>
      <c r="C244">
        <v>9</v>
      </c>
      <c r="D244" s="649">
        <f ca="1">IF(E244=4,INDEX(crude_exp_dist,MATCH(B244,'Crude Exp Dist'!$B$6:$B$78,0),MATCH(C244,'Crude Exp Dist'!$AD$2:$BC$2,0))*INDEX(crude_exp_by_year,MATCH(B244,'Data Export'!$B$6:$B$78,0),1),IF(E244=5,INDEX(ref_exp_dist,MATCH(B244,'Refined Petro Exp Dist'!$B$6:$B$78,0),MATCH(C244,'Refined Petro Exp Dist'!$AD$2:$BC$2,0))*INDEX(ref_exp_by_year,MATCH(B244,'Data Export'!$B$6:$B$78,0),1)))</f>
        <v>0</v>
      </c>
      <c r="E244">
        <v>4</v>
      </c>
      <c r="F244" t="s">
        <v>199</v>
      </c>
    </row>
    <row r="245" spans="1:6">
      <c r="A245" t="str">
        <f t="shared" si="3"/>
        <v>GenericE&amp;DtemplateCIandGOA</v>
      </c>
      <c r="B245">
        <v>10</v>
      </c>
      <c r="C245">
        <v>10</v>
      </c>
      <c r="D245" s="649">
        <f ca="1">IF(E245=4,INDEX(crude_exp_dist,MATCH(B245,'Crude Exp Dist'!$B$6:$B$78,0),MATCH(C245,'Crude Exp Dist'!$AD$2:$BC$2,0))*INDEX(crude_exp_by_year,MATCH(B245,'Data Export'!$B$6:$B$78,0),1),IF(E245=5,INDEX(ref_exp_dist,MATCH(B245,'Refined Petro Exp Dist'!$B$6:$B$78,0),MATCH(C245,'Refined Petro Exp Dist'!$AD$2:$BC$2,0))*INDEX(ref_exp_by_year,MATCH(B245,'Data Export'!$B$6:$B$78,0),1)))</f>
        <v>0</v>
      </c>
      <c r="E245">
        <v>4</v>
      </c>
      <c r="F245" t="s">
        <v>201</v>
      </c>
    </row>
    <row r="246" spans="1:6">
      <c r="A246" t="str">
        <f t="shared" si="3"/>
        <v>GenericE&amp;DtemplateCIandGOA</v>
      </c>
      <c r="B246">
        <v>10</v>
      </c>
      <c r="C246">
        <v>11</v>
      </c>
      <c r="D246" s="649">
        <f ca="1">IF(E246=4,INDEX(crude_exp_dist,MATCH(B246,'Crude Exp Dist'!$B$6:$B$78,0),MATCH(C246,'Crude Exp Dist'!$AD$2:$BC$2,0))*INDEX(crude_exp_by_year,MATCH(B246,'Data Export'!$B$6:$B$78,0),1),IF(E246=5,INDEX(ref_exp_dist,MATCH(B246,'Refined Petro Exp Dist'!$B$6:$B$78,0),MATCH(C246,'Refined Petro Exp Dist'!$AD$2:$BC$2,0))*INDEX(ref_exp_by_year,MATCH(B246,'Data Export'!$B$6:$B$78,0),1)))</f>
        <v>0</v>
      </c>
      <c r="E246">
        <v>4</v>
      </c>
      <c r="F246" t="s">
        <v>921</v>
      </c>
    </row>
    <row r="247" spans="1:6">
      <c r="A247" t="str">
        <f t="shared" si="3"/>
        <v>GenericE&amp;DtemplateCIandGOA</v>
      </c>
      <c r="B247">
        <v>10</v>
      </c>
      <c r="C247">
        <v>12</v>
      </c>
      <c r="D247" s="649">
        <f ca="1">IF(E247=4,INDEX(crude_exp_dist,MATCH(B247,'Crude Exp Dist'!$B$6:$B$78,0),MATCH(C247,'Crude Exp Dist'!$AD$2:$BC$2,0))*INDEX(crude_exp_by_year,MATCH(B247,'Data Export'!$B$6:$B$78,0),1),IF(E247=5,INDEX(ref_exp_dist,MATCH(B247,'Refined Petro Exp Dist'!$B$6:$B$78,0),MATCH(C247,'Refined Petro Exp Dist'!$AD$2:$BC$2,0))*INDEX(ref_exp_by_year,MATCH(B247,'Data Export'!$B$6:$B$78,0),1)))</f>
        <v>2.1497466036705711E-3</v>
      </c>
      <c r="E247">
        <v>4</v>
      </c>
      <c r="F247" t="s">
        <v>208</v>
      </c>
    </row>
    <row r="248" spans="1:6">
      <c r="A248" t="str">
        <f t="shared" si="3"/>
        <v>GenericE&amp;DtemplateCIandGOA</v>
      </c>
      <c r="B248">
        <v>10</v>
      </c>
      <c r="C248">
        <v>13</v>
      </c>
      <c r="D248" s="649">
        <f ca="1">IF(E248=4,INDEX(crude_exp_dist,MATCH(B248,'Crude Exp Dist'!$B$6:$B$78,0),MATCH(C248,'Crude Exp Dist'!$AD$2:$BC$2,0))*INDEX(crude_exp_by_year,MATCH(B248,'Data Export'!$B$6:$B$78,0),1),IF(E248=5,INDEX(ref_exp_dist,MATCH(B248,'Refined Petro Exp Dist'!$B$6:$B$78,0),MATCH(C248,'Refined Petro Exp Dist'!$AD$2:$BC$2,0))*INDEX(ref_exp_by_year,MATCH(B248,'Data Export'!$B$6:$B$78,0),1)))</f>
        <v>2.1497466036705711E-3</v>
      </c>
      <c r="E248">
        <v>4</v>
      </c>
      <c r="F248" t="s">
        <v>211</v>
      </c>
    </row>
    <row r="249" spans="1:6">
      <c r="A249" t="str">
        <f t="shared" si="3"/>
        <v>GenericE&amp;DtemplateCIandGOA</v>
      </c>
      <c r="B249">
        <v>10</v>
      </c>
      <c r="C249">
        <v>14</v>
      </c>
      <c r="D249" s="649">
        <f ca="1">IF(E249=4,INDEX(crude_exp_dist,MATCH(B249,'Crude Exp Dist'!$B$6:$B$78,0),MATCH(C249,'Crude Exp Dist'!$AD$2:$BC$2,0))*INDEX(crude_exp_by_year,MATCH(B249,'Data Export'!$B$6:$B$78,0),1),IF(E249=5,INDEX(ref_exp_dist,MATCH(B249,'Refined Petro Exp Dist'!$B$6:$B$78,0),MATCH(C249,'Refined Petro Exp Dist'!$AD$2:$BC$2,0))*INDEX(ref_exp_by_year,MATCH(B249,'Data Export'!$B$6:$B$78,0),1)))</f>
        <v>0</v>
      </c>
      <c r="E249">
        <v>4</v>
      </c>
      <c r="F249" t="s">
        <v>213</v>
      </c>
    </row>
    <row r="250" spans="1:6">
      <c r="A250" t="str">
        <f t="shared" si="3"/>
        <v>GenericE&amp;DtemplateCIandGOA</v>
      </c>
      <c r="B250">
        <v>10</v>
      </c>
      <c r="C250">
        <v>15</v>
      </c>
      <c r="D250" s="649">
        <f ca="1">IF(E250=4,INDEX(crude_exp_dist,MATCH(B250,'Crude Exp Dist'!$B$6:$B$78,0),MATCH(C250,'Crude Exp Dist'!$AD$2:$BC$2,0))*INDEX(crude_exp_by_year,MATCH(B250,'Data Export'!$B$6:$B$78,0),1),IF(E250=5,INDEX(ref_exp_dist,MATCH(B250,'Refined Petro Exp Dist'!$B$6:$B$78,0),MATCH(C250,'Refined Petro Exp Dist'!$AD$2:$BC$2,0))*INDEX(ref_exp_by_year,MATCH(B250,'Data Export'!$B$6:$B$78,0),1)))</f>
        <v>0</v>
      </c>
      <c r="E250">
        <v>4</v>
      </c>
      <c r="F250" t="s">
        <v>215</v>
      </c>
    </row>
    <row r="251" spans="1:6">
      <c r="A251" t="str">
        <f t="shared" si="3"/>
        <v>GenericE&amp;DtemplateCIandGOA</v>
      </c>
      <c r="B251">
        <v>10</v>
      </c>
      <c r="C251">
        <v>16</v>
      </c>
      <c r="D251" s="649">
        <f ca="1">IF(E251=4,INDEX(crude_exp_dist,MATCH(B251,'Crude Exp Dist'!$B$6:$B$78,0),MATCH(C251,'Crude Exp Dist'!$AD$2:$BC$2,0))*INDEX(crude_exp_by_year,MATCH(B251,'Data Export'!$B$6:$B$78,0),1),IF(E251=5,INDEX(ref_exp_dist,MATCH(B251,'Refined Petro Exp Dist'!$B$6:$B$78,0),MATCH(C251,'Refined Petro Exp Dist'!$AD$2:$BC$2,0))*INDEX(ref_exp_by_year,MATCH(B251,'Data Export'!$B$6:$B$78,0),1)))</f>
        <v>0</v>
      </c>
      <c r="E251">
        <v>4</v>
      </c>
      <c r="F251" t="s">
        <v>219</v>
      </c>
    </row>
    <row r="252" spans="1:6">
      <c r="A252" t="str">
        <f t="shared" si="3"/>
        <v>GenericE&amp;DtemplateCIandGOA</v>
      </c>
      <c r="B252">
        <v>10</v>
      </c>
      <c r="C252">
        <v>17</v>
      </c>
      <c r="D252" s="649">
        <f ca="1">IF(E252=4,INDEX(crude_exp_dist,MATCH(B252,'Crude Exp Dist'!$B$6:$B$78,0),MATCH(C252,'Crude Exp Dist'!$AD$2:$BC$2,0))*INDEX(crude_exp_by_year,MATCH(B252,'Data Export'!$B$6:$B$78,0),1),IF(E252=5,INDEX(ref_exp_dist,MATCH(B252,'Refined Petro Exp Dist'!$B$6:$B$78,0),MATCH(C252,'Refined Petro Exp Dist'!$AD$2:$BC$2,0))*INDEX(ref_exp_by_year,MATCH(B252,'Data Export'!$B$6:$B$78,0),1)))</f>
        <v>0</v>
      </c>
      <c r="E252">
        <v>4</v>
      </c>
      <c r="F252" t="s">
        <v>222</v>
      </c>
    </row>
    <row r="253" spans="1:6">
      <c r="A253" t="str">
        <f t="shared" si="3"/>
        <v>GenericE&amp;DtemplateCIandGOA</v>
      </c>
      <c r="B253">
        <v>10</v>
      </c>
      <c r="C253">
        <v>18</v>
      </c>
      <c r="D253" s="649">
        <f ca="1">IF(E253=4,INDEX(crude_exp_dist,MATCH(B253,'Crude Exp Dist'!$B$6:$B$78,0),MATCH(C253,'Crude Exp Dist'!$AD$2:$BC$2,0))*INDEX(crude_exp_by_year,MATCH(B253,'Data Export'!$B$6:$B$78,0),1),IF(E253=5,INDEX(ref_exp_dist,MATCH(B253,'Refined Petro Exp Dist'!$B$6:$B$78,0),MATCH(C253,'Refined Petro Exp Dist'!$AD$2:$BC$2,0))*INDEX(ref_exp_by_year,MATCH(B253,'Data Export'!$B$6:$B$78,0),1)))</f>
        <v>0</v>
      </c>
      <c r="E253">
        <v>4</v>
      </c>
      <c r="F253" t="s">
        <v>224</v>
      </c>
    </row>
    <row r="254" spans="1:6">
      <c r="A254" t="str">
        <f t="shared" si="3"/>
        <v>GenericE&amp;DtemplateCIandGOA</v>
      </c>
      <c r="B254">
        <v>10</v>
      </c>
      <c r="C254">
        <v>19</v>
      </c>
      <c r="D254" s="649">
        <f ca="1">IF(E254=4,INDEX(crude_exp_dist,MATCH(B254,'Crude Exp Dist'!$B$6:$B$78,0),MATCH(C254,'Crude Exp Dist'!$AD$2:$BC$2,0))*INDEX(crude_exp_by_year,MATCH(B254,'Data Export'!$B$6:$B$78,0),1),IF(E254=5,INDEX(ref_exp_dist,MATCH(B254,'Refined Petro Exp Dist'!$B$6:$B$78,0),MATCH(C254,'Refined Petro Exp Dist'!$AD$2:$BC$2,0))*INDEX(ref_exp_by_year,MATCH(B254,'Data Export'!$B$6:$B$78,0),1)))</f>
        <v>0</v>
      </c>
      <c r="E254">
        <v>4</v>
      </c>
      <c r="F254" t="s">
        <v>228</v>
      </c>
    </row>
    <row r="255" spans="1:6">
      <c r="A255" t="str">
        <f t="shared" si="3"/>
        <v>GenericE&amp;DtemplateCIandGOA</v>
      </c>
      <c r="B255">
        <v>10</v>
      </c>
      <c r="C255">
        <v>20</v>
      </c>
      <c r="D255" s="649">
        <f ca="1">IF(E255=4,INDEX(crude_exp_dist,MATCH(B255,'Crude Exp Dist'!$B$6:$B$78,0),MATCH(C255,'Crude Exp Dist'!$AD$2:$BC$2,0))*INDEX(crude_exp_by_year,MATCH(B255,'Data Export'!$B$6:$B$78,0),1),IF(E255=5,INDEX(ref_exp_dist,MATCH(B255,'Refined Petro Exp Dist'!$B$6:$B$78,0),MATCH(C255,'Refined Petro Exp Dist'!$AD$2:$BC$2,0))*INDEX(ref_exp_by_year,MATCH(B255,'Data Export'!$B$6:$B$78,0),1)))</f>
        <v>0</v>
      </c>
      <c r="E255">
        <v>4</v>
      </c>
      <c r="F255" t="s">
        <v>231</v>
      </c>
    </row>
    <row r="256" spans="1:6">
      <c r="A256" t="str">
        <f t="shared" si="3"/>
        <v>GenericE&amp;DtemplateCIandGOA</v>
      </c>
      <c r="B256">
        <v>10</v>
      </c>
      <c r="C256">
        <v>21</v>
      </c>
      <c r="D256" s="649">
        <f ca="1">IF(E256=4,INDEX(crude_exp_dist,MATCH(B256,'Crude Exp Dist'!$B$6:$B$78,0),MATCH(C256,'Crude Exp Dist'!$AD$2:$BC$2,0))*INDEX(crude_exp_by_year,MATCH(B256,'Data Export'!$B$6:$B$78,0),1),IF(E256=5,INDEX(ref_exp_dist,MATCH(B256,'Refined Petro Exp Dist'!$B$6:$B$78,0),MATCH(C256,'Refined Petro Exp Dist'!$AD$2:$BC$2,0))*INDEX(ref_exp_by_year,MATCH(B256,'Data Export'!$B$6:$B$78,0),1)))</f>
        <v>0</v>
      </c>
      <c r="E256">
        <v>4</v>
      </c>
      <c r="F256" t="s">
        <v>232</v>
      </c>
    </row>
    <row r="257" spans="1:6">
      <c r="A257" t="str">
        <f t="shared" si="3"/>
        <v>GenericE&amp;DtemplateCIandGOA</v>
      </c>
      <c r="B257">
        <v>10</v>
      </c>
      <c r="C257">
        <v>22</v>
      </c>
      <c r="D257" s="649">
        <f ca="1">IF(E257=4,INDEX(crude_exp_dist,MATCH(B257,'Crude Exp Dist'!$B$6:$B$78,0),MATCH(C257,'Crude Exp Dist'!$AD$2:$BC$2,0))*INDEX(crude_exp_by_year,MATCH(B257,'Data Export'!$B$6:$B$78,0),1),IF(E257=5,INDEX(ref_exp_dist,MATCH(B257,'Refined Petro Exp Dist'!$B$6:$B$78,0),MATCH(C257,'Refined Petro Exp Dist'!$AD$2:$BC$2,0))*INDEX(ref_exp_by_year,MATCH(B257,'Data Export'!$B$6:$B$78,0),1)))</f>
        <v>0</v>
      </c>
      <c r="E257">
        <v>4</v>
      </c>
      <c r="F257" t="s">
        <v>235</v>
      </c>
    </row>
    <row r="258" spans="1:6">
      <c r="A258" t="str">
        <f t="shared" ref="A258:A321" si="4">scenario_name</f>
        <v>GenericE&amp;DtemplateCIandGOA</v>
      </c>
      <c r="B258">
        <v>10</v>
      </c>
      <c r="C258">
        <v>23</v>
      </c>
      <c r="D258" s="649">
        <f ca="1">IF(E258=4,INDEX(crude_exp_dist,MATCH(B258,'Crude Exp Dist'!$B$6:$B$78,0),MATCH(C258,'Crude Exp Dist'!$AD$2:$BC$2,0))*INDEX(crude_exp_by_year,MATCH(B258,'Data Export'!$B$6:$B$78,0),1),IF(E258=5,INDEX(ref_exp_dist,MATCH(B258,'Refined Petro Exp Dist'!$B$6:$B$78,0),MATCH(C258,'Refined Petro Exp Dist'!$AD$2:$BC$2,0))*INDEX(ref_exp_by_year,MATCH(B258,'Data Export'!$B$6:$B$78,0),1)))</f>
        <v>0</v>
      </c>
      <c r="E258">
        <v>4</v>
      </c>
      <c r="F258" t="s">
        <v>237</v>
      </c>
    </row>
    <row r="259" spans="1:6">
      <c r="A259" t="str">
        <f t="shared" si="4"/>
        <v>GenericE&amp;DtemplateCIandGOA</v>
      </c>
      <c r="B259">
        <v>10</v>
      </c>
      <c r="C259">
        <v>24</v>
      </c>
      <c r="D259" s="649">
        <f ca="1">IF(E259=4,INDEX(crude_exp_dist,MATCH(B259,'Crude Exp Dist'!$B$6:$B$78,0),MATCH(C259,'Crude Exp Dist'!$AD$2:$BC$2,0))*INDEX(crude_exp_by_year,MATCH(B259,'Data Export'!$B$6:$B$78,0),1),IF(E259=5,INDEX(ref_exp_dist,MATCH(B259,'Refined Petro Exp Dist'!$B$6:$B$78,0),MATCH(C259,'Refined Petro Exp Dist'!$AD$2:$BC$2,0))*INDEX(ref_exp_by_year,MATCH(B259,'Data Export'!$B$6:$B$78,0),1)))</f>
        <v>0</v>
      </c>
      <c r="E259">
        <v>4</v>
      </c>
      <c r="F259" t="s">
        <v>239</v>
      </c>
    </row>
    <row r="260" spans="1:6">
      <c r="A260" t="str">
        <f t="shared" si="4"/>
        <v>GenericE&amp;DtemplateCIandGOA</v>
      </c>
      <c r="B260">
        <v>10</v>
      </c>
      <c r="C260">
        <v>25</v>
      </c>
      <c r="D260" s="649">
        <f ca="1">IF(E260=4,INDEX(crude_exp_dist,MATCH(B260,'Crude Exp Dist'!$B$6:$B$78,0),MATCH(C260,'Crude Exp Dist'!$AD$2:$BC$2,0))*INDEX(crude_exp_by_year,MATCH(B260,'Data Export'!$B$6:$B$78,0),1),IF(E260=5,INDEX(ref_exp_dist,MATCH(B260,'Refined Petro Exp Dist'!$B$6:$B$78,0),MATCH(C260,'Refined Petro Exp Dist'!$AD$2:$BC$2,0))*INDEX(ref_exp_by_year,MATCH(B260,'Data Export'!$B$6:$B$78,0),1)))</f>
        <v>0</v>
      </c>
      <c r="E260">
        <v>4</v>
      </c>
      <c r="F260" t="s">
        <v>242</v>
      </c>
    </row>
    <row r="261" spans="1:6">
      <c r="A261" t="str">
        <f t="shared" si="4"/>
        <v>GenericE&amp;DtemplateCIandGOA</v>
      </c>
      <c r="B261">
        <v>10</v>
      </c>
      <c r="C261">
        <v>26</v>
      </c>
      <c r="D261" s="649">
        <f ca="1">IF(E261=4,INDEX(crude_exp_dist,MATCH(B261,'Crude Exp Dist'!$B$6:$B$78,0),MATCH(C261,'Crude Exp Dist'!$AD$2:$BC$2,0))*INDEX(crude_exp_by_year,MATCH(B261,'Data Export'!$B$6:$B$78,0),1),IF(E261=5,INDEX(ref_exp_dist,MATCH(B261,'Refined Petro Exp Dist'!$B$6:$B$78,0),MATCH(C261,'Refined Petro Exp Dist'!$AD$2:$BC$2,0))*INDEX(ref_exp_by_year,MATCH(B261,'Data Export'!$B$6:$B$78,0),1)))</f>
        <v>0</v>
      </c>
      <c r="E261">
        <v>4</v>
      </c>
      <c r="F261" t="s">
        <v>245</v>
      </c>
    </row>
    <row r="262" spans="1:6">
      <c r="A262" t="str">
        <f t="shared" si="4"/>
        <v>GenericE&amp;DtemplateCIandGOA</v>
      </c>
      <c r="B262">
        <v>11</v>
      </c>
      <c r="C262">
        <v>1</v>
      </c>
      <c r="D262" s="649">
        <f ca="1">IF(E262=4,INDEX(crude_exp_dist,MATCH(B262,'Crude Exp Dist'!$B$6:$B$78,0),MATCH(C262,'Crude Exp Dist'!$AD$2:$BC$2,0))*INDEX(crude_exp_by_year,MATCH(B262,'Data Export'!$B$6:$B$78,0),1),IF(E262=5,INDEX(ref_exp_dist,MATCH(B262,'Refined Petro Exp Dist'!$B$6:$B$78,0),MATCH(C262,'Refined Petro Exp Dist'!$AD$2:$BC$2,0))*INDEX(ref_exp_by_year,MATCH(B262,'Data Export'!$B$6:$B$78,0),1)))</f>
        <v>0</v>
      </c>
      <c r="E262">
        <v>4</v>
      </c>
      <c r="F262" t="s">
        <v>158</v>
      </c>
    </row>
    <row r="263" spans="1:6">
      <c r="A263" t="str">
        <f t="shared" si="4"/>
        <v>GenericE&amp;DtemplateCIandGOA</v>
      </c>
      <c r="B263">
        <v>11</v>
      </c>
      <c r="C263">
        <v>2</v>
      </c>
      <c r="D263" s="649">
        <f ca="1">IF(E263=4,INDEX(crude_exp_dist,MATCH(B263,'Crude Exp Dist'!$B$6:$B$78,0),MATCH(C263,'Crude Exp Dist'!$AD$2:$BC$2,0))*INDEX(crude_exp_by_year,MATCH(B263,'Data Export'!$B$6:$B$78,0),1),IF(E263=5,INDEX(ref_exp_dist,MATCH(B263,'Refined Petro Exp Dist'!$B$6:$B$78,0),MATCH(C263,'Refined Petro Exp Dist'!$AD$2:$BC$2,0))*INDEX(ref_exp_by_year,MATCH(B263,'Data Export'!$B$6:$B$78,0),1)))</f>
        <v>0</v>
      </c>
      <c r="E263">
        <v>4</v>
      </c>
      <c r="F263" t="s">
        <v>166</v>
      </c>
    </row>
    <row r="264" spans="1:6">
      <c r="A264" t="str">
        <f t="shared" si="4"/>
        <v>GenericE&amp;DtemplateCIandGOA</v>
      </c>
      <c r="B264">
        <v>11</v>
      </c>
      <c r="C264">
        <v>3</v>
      </c>
      <c r="D264" s="649">
        <f ca="1">IF(E264=4,INDEX(crude_exp_dist,MATCH(B264,'Crude Exp Dist'!$B$6:$B$78,0),MATCH(C264,'Crude Exp Dist'!$AD$2:$BC$2,0))*INDEX(crude_exp_by_year,MATCH(B264,'Data Export'!$B$6:$B$78,0),1),IF(E264=5,INDEX(ref_exp_dist,MATCH(B264,'Refined Petro Exp Dist'!$B$6:$B$78,0),MATCH(C264,'Refined Petro Exp Dist'!$AD$2:$BC$2,0))*INDEX(ref_exp_by_year,MATCH(B264,'Data Export'!$B$6:$B$78,0),1)))</f>
        <v>0</v>
      </c>
      <c r="E264">
        <v>4</v>
      </c>
      <c r="F264" t="s">
        <v>171</v>
      </c>
    </row>
    <row r="265" spans="1:6">
      <c r="A265" t="str">
        <f t="shared" si="4"/>
        <v>GenericE&amp;DtemplateCIandGOA</v>
      </c>
      <c r="B265">
        <v>11</v>
      </c>
      <c r="C265">
        <v>4</v>
      </c>
      <c r="D265" s="649">
        <f ca="1">IF(E265=4,INDEX(crude_exp_dist,MATCH(B265,'Crude Exp Dist'!$B$6:$B$78,0),MATCH(C265,'Crude Exp Dist'!$AD$2:$BC$2,0))*INDEX(crude_exp_by_year,MATCH(B265,'Data Export'!$B$6:$B$78,0),1),IF(E265=5,INDEX(ref_exp_dist,MATCH(B265,'Refined Petro Exp Dist'!$B$6:$B$78,0),MATCH(C265,'Refined Petro Exp Dist'!$AD$2:$BC$2,0))*INDEX(ref_exp_by_year,MATCH(B265,'Data Export'!$B$6:$B$78,0),1)))</f>
        <v>0</v>
      </c>
      <c r="E265">
        <v>4</v>
      </c>
      <c r="F265" t="s">
        <v>173</v>
      </c>
    </row>
    <row r="266" spans="1:6">
      <c r="A266" t="str">
        <f t="shared" si="4"/>
        <v>GenericE&amp;DtemplateCIandGOA</v>
      </c>
      <c r="B266">
        <v>11</v>
      </c>
      <c r="C266">
        <v>5</v>
      </c>
      <c r="D266" s="649">
        <f ca="1">IF(E266=4,INDEX(crude_exp_dist,MATCH(B266,'Crude Exp Dist'!$B$6:$B$78,0),MATCH(C266,'Crude Exp Dist'!$AD$2:$BC$2,0))*INDEX(crude_exp_by_year,MATCH(B266,'Data Export'!$B$6:$B$78,0),1),IF(E266=5,INDEX(ref_exp_dist,MATCH(B266,'Refined Petro Exp Dist'!$B$6:$B$78,0),MATCH(C266,'Refined Petro Exp Dist'!$AD$2:$BC$2,0))*INDEX(ref_exp_by_year,MATCH(B266,'Data Export'!$B$6:$B$78,0),1)))</f>
        <v>0</v>
      </c>
      <c r="E266">
        <v>4</v>
      </c>
      <c r="F266" t="s">
        <v>180</v>
      </c>
    </row>
    <row r="267" spans="1:6">
      <c r="A267" t="str">
        <f t="shared" si="4"/>
        <v>GenericE&amp;DtemplateCIandGOA</v>
      </c>
      <c r="B267">
        <v>11</v>
      </c>
      <c r="C267">
        <v>6</v>
      </c>
      <c r="D267" s="649">
        <f ca="1">IF(E267=4,INDEX(crude_exp_dist,MATCH(B267,'Crude Exp Dist'!$B$6:$B$78,0),MATCH(C267,'Crude Exp Dist'!$AD$2:$BC$2,0))*INDEX(crude_exp_by_year,MATCH(B267,'Data Export'!$B$6:$B$78,0),1),IF(E267=5,INDEX(ref_exp_dist,MATCH(B267,'Refined Petro Exp Dist'!$B$6:$B$78,0),MATCH(C267,'Refined Petro Exp Dist'!$AD$2:$BC$2,0))*INDEX(ref_exp_by_year,MATCH(B267,'Data Export'!$B$6:$B$78,0),1)))</f>
        <v>4.5101863742268954E-2</v>
      </c>
      <c r="E267">
        <v>4</v>
      </c>
      <c r="F267" t="s">
        <v>186</v>
      </c>
    </row>
    <row r="268" spans="1:6">
      <c r="A268" t="str">
        <f t="shared" si="4"/>
        <v>GenericE&amp;DtemplateCIandGOA</v>
      </c>
      <c r="B268">
        <v>11</v>
      </c>
      <c r="C268">
        <v>7</v>
      </c>
      <c r="D268" s="649">
        <f ca="1">IF(E268=4,INDEX(crude_exp_dist,MATCH(B268,'Crude Exp Dist'!$B$6:$B$78,0),MATCH(C268,'Crude Exp Dist'!$AD$2:$BC$2,0))*INDEX(crude_exp_by_year,MATCH(B268,'Data Export'!$B$6:$B$78,0),1),IF(E268=5,INDEX(ref_exp_dist,MATCH(B268,'Refined Petro Exp Dist'!$B$6:$B$78,0),MATCH(C268,'Refined Petro Exp Dist'!$AD$2:$BC$2,0))*INDEX(ref_exp_by_year,MATCH(B268,'Data Export'!$B$6:$B$78,0),1)))</f>
        <v>0</v>
      </c>
      <c r="E268">
        <v>4</v>
      </c>
      <c r="F268" t="s">
        <v>191</v>
      </c>
    </row>
    <row r="269" spans="1:6">
      <c r="A269" t="str">
        <f t="shared" si="4"/>
        <v>GenericE&amp;DtemplateCIandGOA</v>
      </c>
      <c r="B269">
        <v>11</v>
      </c>
      <c r="C269">
        <v>8</v>
      </c>
      <c r="D269" s="649">
        <f ca="1">IF(E269=4,INDEX(crude_exp_dist,MATCH(B269,'Crude Exp Dist'!$B$6:$B$78,0),MATCH(C269,'Crude Exp Dist'!$AD$2:$BC$2,0))*INDEX(crude_exp_by_year,MATCH(B269,'Data Export'!$B$6:$B$78,0),1),IF(E269=5,INDEX(ref_exp_dist,MATCH(B269,'Refined Petro Exp Dist'!$B$6:$B$78,0),MATCH(C269,'Refined Petro Exp Dist'!$AD$2:$BC$2,0))*INDEX(ref_exp_by_year,MATCH(B269,'Data Export'!$B$6:$B$78,0),1)))</f>
        <v>0</v>
      </c>
      <c r="E269">
        <v>4</v>
      </c>
      <c r="F269" t="s">
        <v>197</v>
      </c>
    </row>
    <row r="270" spans="1:6">
      <c r="A270" t="str">
        <f t="shared" si="4"/>
        <v>GenericE&amp;DtemplateCIandGOA</v>
      </c>
      <c r="B270">
        <v>11</v>
      </c>
      <c r="C270">
        <v>9</v>
      </c>
      <c r="D270" s="649">
        <f ca="1">IF(E270=4,INDEX(crude_exp_dist,MATCH(B270,'Crude Exp Dist'!$B$6:$B$78,0),MATCH(C270,'Crude Exp Dist'!$AD$2:$BC$2,0))*INDEX(crude_exp_by_year,MATCH(B270,'Data Export'!$B$6:$B$78,0),1),IF(E270=5,INDEX(ref_exp_dist,MATCH(B270,'Refined Petro Exp Dist'!$B$6:$B$78,0),MATCH(C270,'Refined Petro Exp Dist'!$AD$2:$BC$2,0))*INDEX(ref_exp_by_year,MATCH(B270,'Data Export'!$B$6:$B$78,0),1)))</f>
        <v>0</v>
      </c>
      <c r="E270">
        <v>4</v>
      </c>
      <c r="F270" t="s">
        <v>199</v>
      </c>
    </row>
    <row r="271" spans="1:6">
      <c r="A271" t="str">
        <f t="shared" si="4"/>
        <v>GenericE&amp;DtemplateCIandGOA</v>
      </c>
      <c r="B271">
        <v>11</v>
      </c>
      <c r="C271">
        <v>10</v>
      </c>
      <c r="D271" s="649">
        <f ca="1">IF(E271=4,INDEX(crude_exp_dist,MATCH(B271,'Crude Exp Dist'!$B$6:$B$78,0),MATCH(C271,'Crude Exp Dist'!$AD$2:$BC$2,0))*INDEX(crude_exp_by_year,MATCH(B271,'Data Export'!$B$6:$B$78,0),1),IF(E271=5,INDEX(ref_exp_dist,MATCH(B271,'Refined Petro Exp Dist'!$B$6:$B$78,0),MATCH(C271,'Refined Petro Exp Dist'!$AD$2:$BC$2,0))*INDEX(ref_exp_by_year,MATCH(B271,'Data Export'!$B$6:$B$78,0),1)))</f>
        <v>0</v>
      </c>
      <c r="E271">
        <v>4</v>
      </c>
      <c r="F271" t="s">
        <v>201</v>
      </c>
    </row>
    <row r="272" spans="1:6">
      <c r="A272" t="str">
        <f t="shared" si="4"/>
        <v>GenericE&amp;DtemplateCIandGOA</v>
      </c>
      <c r="B272">
        <v>11</v>
      </c>
      <c r="C272">
        <v>11</v>
      </c>
      <c r="D272" s="649">
        <f ca="1">IF(E272=4,INDEX(crude_exp_dist,MATCH(B272,'Crude Exp Dist'!$B$6:$B$78,0),MATCH(C272,'Crude Exp Dist'!$AD$2:$BC$2,0))*INDEX(crude_exp_by_year,MATCH(B272,'Data Export'!$B$6:$B$78,0),1),IF(E272=5,INDEX(ref_exp_dist,MATCH(B272,'Refined Petro Exp Dist'!$B$6:$B$78,0),MATCH(C272,'Refined Petro Exp Dist'!$AD$2:$BC$2,0))*INDEX(ref_exp_by_year,MATCH(B272,'Data Export'!$B$6:$B$78,0),1)))</f>
        <v>0</v>
      </c>
      <c r="E272">
        <v>4</v>
      </c>
      <c r="F272" t="s">
        <v>921</v>
      </c>
    </row>
    <row r="273" spans="1:6">
      <c r="A273" t="str">
        <f t="shared" si="4"/>
        <v>GenericE&amp;DtemplateCIandGOA</v>
      </c>
      <c r="B273">
        <v>11</v>
      </c>
      <c r="C273">
        <v>12</v>
      </c>
      <c r="D273" s="649">
        <f ca="1">IF(E273=4,INDEX(crude_exp_dist,MATCH(B273,'Crude Exp Dist'!$B$6:$B$78,0),MATCH(C273,'Crude Exp Dist'!$AD$2:$BC$2,0))*INDEX(crude_exp_by_year,MATCH(B273,'Data Export'!$B$6:$B$78,0),1),IF(E273=5,INDEX(ref_exp_dist,MATCH(B273,'Refined Petro Exp Dist'!$B$6:$B$78,0),MATCH(C273,'Refined Petro Exp Dist'!$AD$2:$BC$2,0))*INDEX(ref_exp_by_year,MATCH(B273,'Data Export'!$B$6:$B$78,0),1)))</f>
        <v>2.1766569572948197E-3</v>
      </c>
      <c r="E273">
        <v>4</v>
      </c>
      <c r="F273" t="s">
        <v>208</v>
      </c>
    </row>
    <row r="274" spans="1:6">
      <c r="A274" t="str">
        <f t="shared" si="4"/>
        <v>GenericE&amp;DtemplateCIandGOA</v>
      </c>
      <c r="B274">
        <v>11</v>
      </c>
      <c r="C274">
        <v>13</v>
      </c>
      <c r="D274" s="649">
        <f ca="1">IF(E274=4,INDEX(crude_exp_dist,MATCH(B274,'Crude Exp Dist'!$B$6:$B$78,0),MATCH(C274,'Crude Exp Dist'!$AD$2:$BC$2,0))*INDEX(crude_exp_by_year,MATCH(B274,'Data Export'!$B$6:$B$78,0),1),IF(E274=5,INDEX(ref_exp_dist,MATCH(B274,'Refined Petro Exp Dist'!$B$6:$B$78,0),MATCH(C274,'Refined Petro Exp Dist'!$AD$2:$BC$2,0))*INDEX(ref_exp_by_year,MATCH(B274,'Data Export'!$B$6:$B$78,0),1)))</f>
        <v>2.1766569572948197E-3</v>
      </c>
      <c r="E274">
        <v>4</v>
      </c>
      <c r="F274" t="s">
        <v>211</v>
      </c>
    </row>
    <row r="275" spans="1:6">
      <c r="A275" t="str">
        <f t="shared" si="4"/>
        <v>GenericE&amp;DtemplateCIandGOA</v>
      </c>
      <c r="B275">
        <v>11</v>
      </c>
      <c r="C275">
        <v>14</v>
      </c>
      <c r="D275" s="649">
        <f ca="1">IF(E275=4,INDEX(crude_exp_dist,MATCH(B275,'Crude Exp Dist'!$B$6:$B$78,0),MATCH(C275,'Crude Exp Dist'!$AD$2:$BC$2,0))*INDEX(crude_exp_by_year,MATCH(B275,'Data Export'!$B$6:$B$78,0),1),IF(E275=5,INDEX(ref_exp_dist,MATCH(B275,'Refined Petro Exp Dist'!$B$6:$B$78,0),MATCH(C275,'Refined Petro Exp Dist'!$AD$2:$BC$2,0))*INDEX(ref_exp_by_year,MATCH(B275,'Data Export'!$B$6:$B$78,0),1)))</f>
        <v>0</v>
      </c>
      <c r="E275">
        <v>4</v>
      </c>
      <c r="F275" t="s">
        <v>213</v>
      </c>
    </row>
    <row r="276" spans="1:6">
      <c r="A276" t="str">
        <f t="shared" si="4"/>
        <v>GenericE&amp;DtemplateCIandGOA</v>
      </c>
      <c r="B276">
        <v>11</v>
      </c>
      <c r="C276">
        <v>15</v>
      </c>
      <c r="D276" s="649">
        <f ca="1">IF(E276=4,INDEX(crude_exp_dist,MATCH(B276,'Crude Exp Dist'!$B$6:$B$78,0),MATCH(C276,'Crude Exp Dist'!$AD$2:$BC$2,0))*INDEX(crude_exp_by_year,MATCH(B276,'Data Export'!$B$6:$B$78,0),1),IF(E276=5,INDEX(ref_exp_dist,MATCH(B276,'Refined Petro Exp Dist'!$B$6:$B$78,0),MATCH(C276,'Refined Petro Exp Dist'!$AD$2:$BC$2,0))*INDEX(ref_exp_by_year,MATCH(B276,'Data Export'!$B$6:$B$78,0),1)))</f>
        <v>0</v>
      </c>
      <c r="E276">
        <v>4</v>
      </c>
      <c r="F276" t="s">
        <v>215</v>
      </c>
    </row>
    <row r="277" spans="1:6">
      <c r="A277" t="str">
        <f t="shared" si="4"/>
        <v>GenericE&amp;DtemplateCIandGOA</v>
      </c>
      <c r="B277">
        <v>11</v>
      </c>
      <c r="C277">
        <v>16</v>
      </c>
      <c r="D277" s="649">
        <f ca="1">IF(E277=4,INDEX(crude_exp_dist,MATCH(B277,'Crude Exp Dist'!$B$6:$B$78,0),MATCH(C277,'Crude Exp Dist'!$AD$2:$BC$2,0))*INDEX(crude_exp_by_year,MATCH(B277,'Data Export'!$B$6:$B$78,0),1),IF(E277=5,INDEX(ref_exp_dist,MATCH(B277,'Refined Petro Exp Dist'!$B$6:$B$78,0),MATCH(C277,'Refined Petro Exp Dist'!$AD$2:$BC$2,0))*INDEX(ref_exp_by_year,MATCH(B277,'Data Export'!$B$6:$B$78,0),1)))</f>
        <v>0</v>
      </c>
      <c r="E277">
        <v>4</v>
      </c>
      <c r="F277" t="s">
        <v>219</v>
      </c>
    </row>
    <row r="278" spans="1:6">
      <c r="A278" t="str">
        <f t="shared" si="4"/>
        <v>GenericE&amp;DtemplateCIandGOA</v>
      </c>
      <c r="B278">
        <v>11</v>
      </c>
      <c r="C278">
        <v>17</v>
      </c>
      <c r="D278" s="649">
        <f ca="1">IF(E278=4,INDEX(crude_exp_dist,MATCH(B278,'Crude Exp Dist'!$B$6:$B$78,0),MATCH(C278,'Crude Exp Dist'!$AD$2:$BC$2,0))*INDEX(crude_exp_by_year,MATCH(B278,'Data Export'!$B$6:$B$78,0),1),IF(E278=5,INDEX(ref_exp_dist,MATCH(B278,'Refined Petro Exp Dist'!$B$6:$B$78,0),MATCH(C278,'Refined Petro Exp Dist'!$AD$2:$BC$2,0))*INDEX(ref_exp_by_year,MATCH(B278,'Data Export'!$B$6:$B$78,0),1)))</f>
        <v>0</v>
      </c>
      <c r="E278">
        <v>4</v>
      </c>
      <c r="F278" t="s">
        <v>222</v>
      </c>
    </row>
    <row r="279" spans="1:6">
      <c r="A279" t="str">
        <f t="shared" si="4"/>
        <v>GenericE&amp;DtemplateCIandGOA</v>
      </c>
      <c r="B279">
        <v>11</v>
      </c>
      <c r="C279">
        <v>18</v>
      </c>
      <c r="D279" s="649">
        <f ca="1">IF(E279=4,INDEX(crude_exp_dist,MATCH(B279,'Crude Exp Dist'!$B$6:$B$78,0),MATCH(C279,'Crude Exp Dist'!$AD$2:$BC$2,0))*INDEX(crude_exp_by_year,MATCH(B279,'Data Export'!$B$6:$B$78,0),1),IF(E279=5,INDEX(ref_exp_dist,MATCH(B279,'Refined Petro Exp Dist'!$B$6:$B$78,0),MATCH(C279,'Refined Petro Exp Dist'!$AD$2:$BC$2,0))*INDEX(ref_exp_by_year,MATCH(B279,'Data Export'!$B$6:$B$78,0),1)))</f>
        <v>0</v>
      </c>
      <c r="E279">
        <v>4</v>
      </c>
      <c r="F279" t="s">
        <v>224</v>
      </c>
    </row>
    <row r="280" spans="1:6">
      <c r="A280" t="str">
        <f t="shared" si="4"/>
        <v>GenericE&amp;DtemplateCIandGOA</v>
      </c>
      <c r="B280">
        <v>11</v>
      </c>
      <c r="C280">
        <v>19</v>
      </c>
      <c r="D280" s="649">
        <f ca="1">IF(E280=4,INDEX(crude_exp_dist,MATCH(B280,'Crude Exp Dist'!$B$6:$B$78,0),MATCH(C280,'Crude Exp Dist'!$AD$2:$BC$2,0))*INDEX(crude_exp_by_year,MATCH(B280,'Data Export'!$B$6:$B$78,0),1),IF(E280=5,INDEX(ref_exp_dist,MATCH(B280,'Refined Petro Exp Dist'!$B$6:$B$78,0),MATCH(C280,'Refined Petro Exp Dist'!$AD$2:$BC$2,0))*INDEX(ref_exp_by_year,MATCH(B280,'Data Export'!$B$6:$B$78,0),1)))</f>
        <v>0</v>
      </c>
      <c r="E280">
        <v>4</v>
      </c>
      <c r="F280" t="s">
        <v>228</v>
      </c>
    </row>
    <row r="281" spans="1:6">
      <c r="A281" t="str">
        <f t="shared" si="4"/>
        <v>GenericE&amp;DtemplateCIandGOA</v>
      </c>
      <c r="B281">
        <v>11</v>
      </c>
      <c r="C281">
        <v>20</v>
      </c>
      <c r="D281" s="649">
        <f ca="1">IF(E281=4,INDEX(crude_exp_dist,MATCH(B281,'Crude Exp Dist'!$B$6:$B$78,0),MATCH(C281,'Crude Exp Dist'!$AD$2:$BC$2,0))*INDEX(crude_exp_by_year,MATCH(B281,'Data Export'!$B$6:$B$78,0),1),IF(E281=5,INDEX(ref_exp_dist,MATCH(B281,'Refined Petro Exp Dist'!$B$6:$B$78,0),MATCH(C281,'Refined Petro Exp Dist'!$AD$2:$BC$2,0))*INDEX(ref_exp_by_year,MATCH(B281,'Data Export'!$B$6:$B$78,0),1)))</f>
        <v>0</v>
      </c>
      <c r="E281">
        <v>4</v>
      </c>
      <c r="F281" t="s">
        <v>231</v>
      </c>
    </row>
    <row r="282" spans="1:6">
      <c r="A282" t="str">
        <f t="shared" si="4"/>
        <v>GenericE&amp;DtemplateCIandGOA</v>
      </c>
      <c r="B282">
        <v>11</v>
      </c>
      <c r="C282">
        <v>21</v>
      </c>
      <c r="D282" s="649">
        <f ca="1">IF(E282=4,INDEX(crude_exp_dist,MATCH(B282,'Crude Exp Dist'!$B$6:$B$78,0),MATCH(C282,'Crude Exp Dist'!$AD$2:$BC$2,0))*INDEX(crude_exp_by_year,MATCH(B282,'Data Export'!$B$6:$B$78,0),1),IF(E282=5,INDEX(ref_exp_dist,MATCH(B282,'Refined Petro Exp Dist'!$B$6:$B$78,0),MATCH(C282,'Refined Petro Exp Dist'!$AD$2:$BC$2,0))*INDEX(ref_exp_by_year,MATCH(B282,'Data Export'!$B$6:$B$78,0),1)))</f>
        <v>0</v>
      </c>
      <c r="E282">
        <v>4</v>
      </c>
      <c r="F282" t="s">
        <v>232</v>
      </c>
    </row>
    <row r="283" spans="1:6">
      <c r="A283" t="str">
        <f t="shared" si="4"/>
        <v>GenericE&amp;DtemplateCIandGOA</v>
      </c>
      <c r="B283">
        <v>11</v>
      </c>
      <c r="C283">
        <v>22</v>
      </c>
      <c r="D283" s="649">
        <f ca="1">IF(E283=4,INDEX(crude_exp_dist,MATCH(B283,'Crude Exp Dist'!$B$6:$B$78,0),MATCH(C283,'Crude Exp Dist'!$AD$2:$BC$2,0))*INDEX(crude_exp_by_year,MATCH(B283,'Data Export'!$B$6:$B$78,0),1),IF(E283=5,INDEX(ref_exp_dist,MATCH(B283,'Refined Petro Exp Dist'!$B$6:$B$78,0),MATCH(C283,'Refined Petro Exp Dist'!$AD$2:$BC$2,0))*INDEX(ref_exp_by_year,MATCH(B283,'Data Export'!$B$6:$B$78,0),1)))</f>
        <v>0</v>
      </c>
      <c r="E283">
        <v>4</v>
      </c>
      <c r="F283" t="s">
        <v>235</v>
      </c>
    </row>
    <row r="284" spans="1:6">
      <c r="A284" t="str">
        <f t="shared" si="4"/>
        <v>GenericE&amp;DtemplateCIandGOA</v>
      </c>
      <c r="B284">
        <v>11</v>
      </c>
      <c r="C284">
        <v>23</v>
      </c>
      <c r="D284" s="649">
        <f ca="1">IF(E284=4,INDEX(crude_exp_dist,MATCH(B284,'Crude Exp Dist'!$B$6:$B$78,0),MATCH(C284,'Crude Exp Dist'!$AD$2:$BC$2,0))*INDEX(crude_exp_by_year,MATCH(B284,'Data Export'!$B$6:$B$78,0),1),IF(E284=5,INDEX(ref_exp_dist,MATCH(B284,'Refined Petro Exp Dist'!$B$6:$B$78,0),MATCH(C284,'Refined Petro Exp Dist'!$AD$2:$BC$2,0))*INDEX(ref_exp_by_year,MATCH(B284,'Data Export'!$B$6:$B$78,0),1)))</f>
        <v>0</v>
      </c>
      <c r="E284">
        <v>4</v>
      </c>
      <c r="F284" t="s">
        <v>237</v>
      </c>
    </row>
    <row r="285" spans="1:6">
      <c r="A285" t="str">
        <f t="shared" si="4"/>
        <v>GenericE&amp;DtemplateCIandGOA</v>
      </c>
      <c r="B285">
        <v>11</v>
      </c>
      <c r="C285">
        <v>24</v>
      </c>
      <c r="D285" s="649">
        <f ca="1">IF(E285=4,INDEX(crude_exp_dist,MATCH(B285,'Crude Exp Dist'!$B$6:$B$78,0),MATCH(C285,'Crude Exp Dist'!$AD$2:$BC$2,0))*INDEX(crude_exp_by_year,MATCH(B285,'Data Export'!$B$6:$B$78,0),1),IF(E285=5,INDEX(ref_exp_dist,MATCH(B285,'Refined Petro Exp Dist'!$B$6:$B$78,0),MATCH(C285,'Refined Petro Exp Dist'!$AD$2:$BC$2,0))*INDEX(ref_exp_by_year,MATCH(B285,'Data Export'!$B$6:$B$78,0),1)))</f>
        <v>0</v>
      </c>
      <c r="E285">
        <v>4</v>
      </c>
      <c r="F285" t="s">
        <v>239</v>
      </c>
    </row>
    <row r="286" spans="1:6">
      <c r="A286" t="str">
        <f t="shared" si="4"/>
        <v>GenericE&amp;DtemplateCIandGOA</v>
      </c>
      <c r="B286">
        <v>11</v>
      </c>
      <c r="C286">
        <v>25</v>
      </c>
      <c r="D286" s="649">
        <f ca="1">IF(E286=4,INDEX(crude_exp_dist,MATCH(B286,'Crude Exp Dist'!$B$6:$B$78,0),MATCH(C286,'Crude Exp Dist'!$AD$2:$BC$2,0))*INDEX(crude_exp_by_year,MATCH(B286,'Data Export'!$B$6:$B$78,0),1),IF(E286=5,INDEX(ref_exp_dist,MATCH(B286,'Refined Petro Exp Dist'!$B$6:$B$78,0),MATCH(C286,'Refined Petro Exp Dist'!$AD$2:$BC$2,0))*INDEX(ref_exp_by_year,MATCH(B286,'Data Export'!$B$6:$B$78,0),1)))</f>
        <v>0</v>
      </c>
      <c r="E286">
        <v>4</v>
      </c>
      <c r="F286" t="s">
        <v>242</v>
      </c>
    </row>
    <row r="287" spans="1:6">
      <c r="A287" t="str">
        <f t="shared" si="4"/>
        <v>GenericE&amp;DtemplateCIandGOA</v>
      </c>
      <c r="B287">
        <v>11</v>
      </c>
      <c r="C287">
        <v>26</v>
      </c>
      <c r="D287" s="649">
        <f ca="1">IF(E287=4,INDEX(crude_exp_dist,MATCH(B287,'Crude Exp Dist'!$B$6:$B$78,0),MATCH(C287,'Crude Exp Dist'!$AD$2:$BC$2,0))*INDEX(crude_exp_by_year,MATCH(B287,'Data Export'!$B$6:$B$78,0),1),IF(E287=5,INDEX(ref_exp_dist,MATCH(B287,'Refined Petro Exp Dist'!$B$6:$B$78,0),MATCH(C287,'Refined Petro Exp Dist'!$AD$2:$BC$2,0))*INDEX(ref_exp_by_year,MATCH(B287,'Data Export'!$B$6:$B$78,0),1)))</f>
        <v>0</v>
      </c>
      <c r="E287">
        <v>4</v>
      </c>
      <c r="F287" t="s">
        <v>245</v>
      </c>
    </row>
    <row r="288" spans="1:6">
      <c r="A288" t="str">
        <f t="shared" si="4"/>
        <v>GenericE&amp;DtemplateCIandGOA</v>
      </c>
      <c r="B288">
        <v>12</v>
      </c>
      <c r="C288">
        <v>1</v>
      </c>
      <c r="D288" s="649">
        <f ca="1">IF(E288=4,INDEX(crude_exp_dist,MATCH(B288,'Crude Exp Dist'!$B$6:$B$78,0),MATCH(C288,'Crude Exp Dist'!$AD$2:$BC$2,0))*INDEX(crude_exp_by_year,MATCH(B288,'Data Export'!$B$6:$B$78,0),1),IF(E288=5,INDEX(ref_exp_dist,MATCH(B288,'Refined Petro Exp Dist'!$B$6:$B$78,0),MATCH(C288,'Refined Petro Exp Dist'!$AD$2:$BC$2,0))*INDEX(ref_exp_by_year,MATCH(B288,'Data Export'!$B$6:$B$78,0),1)))</f>
        <v>0</v>
      </c>
      <c r="E288">
        <v>4</v>
      </c>
      <c r="F288" t="s">
        <v>158</v>
      </c>
    </row>
    <row r="289" spans="1:6">
      <c r="A289" t="str">
        <f t="shared" si="4"/>
        <v>GenericE&amp;DtemplateCIandGOA</v>
      </c>
      <c r="B289">
        <v>12</v>
      </c>
      <c r="C289">
        <v>2</v>
      </c>
      <c r="D289" s="649">
        <f ca="1">IF(E289=4,INDEX(crude_exp_dist,MATCH(B289,'Crude Exp Dist'!$B$6:$B$78,0),MATCH(C289,'Crude Exp Dist'!$AD$2:$BC$2,0))*INDEX(crude_exp_by_year,MATCH(B289,'Data Export'!$B$6:$B$78,0),1),IF(E289=5,INDEX(ref_exp_dist,MATCH(B289,'Refined Petro Exp Dist'!$B$6:$B$78,0),MATCH(C289,'Refined Petro Exp Dist'!$AD$2:$BC$2,0))*INDEX(ref_exp_by_year,MATCH(B289,'Data Export'!$B$6:$B$78,0),1)))</f>
        <v>0</v>
      </c>
      <c r="E289">
        <v>4</v>
      </c>
      <c r="F289" t="s">
        <v>166</v>
      </c>
    </row>
    <row r="290" spans="1:6">
      <c r="A290" t="str">
        <f t="shared" si="4"/>
        <v>GenericE&amp;DtemplateCIandGOA</v>
      </c>
      <c r="B290">
        <v>12</v>
      </c>
      <c r="C290">
        <v>3</v>
      </c>
      <c r="D290" s="649">
        <f ca="1">IF(E290=4,INDEX(crude_exp_dist,MATCH(B290,'Crude Exp Dist'!$B$6:$B$78,0),MATCH(C290,'Crude Exp Dist'!$AD$2:$BC$2,0))*INDEX(crude_exp_by_year,MATCH(B290,'Data Export'!$B$6:$B$78,0),1),IF(E290=5,INDEX(ref_exp_dist,MATCH(B290,'Refined Petro Exp Dist'!$B$6:$B$78,0),MATCH(C290,'Refined Petro Exp Dist'!$AD$2:$BC$2,0))*INDEX(ref_exp_by_year,MATCH(B290,'Data Export'!$B$6:$B$78,0),1)))</f>
        <v>0</v>
      </c>
      <c r="E290">
        <v>4</v>
      </c>
      <c r="F290" t="s">
        <v>171</v>
      </c>
    </row>
    <row r="291" spans="1:6">
      <c r="A291" t="str">
        <f t="shared" si="4"/>
        <v>GenericE&amp;DtemplateCIandGOA</v>
      </c>
      <c r="B291">
        <v>12</v>
      </c>
      <c r="C291">
        <v>4</v>
      </c>
      <c r="D291" s="649">
        <f ca="1">IF(E291=4,INDEX(crude_exp_dist,MATCH(B291,'Crude Exp Dist'!$B$6:$B$78,0),MATCH(C291,'Crude Exp Dist'!$AD$2:$BC$2,0))*INDEX(crude_exp_by_year,MATCH(B291,'Data Export'!$B$6:$B$78,0),1),IF(E291=5,INDEX(ref_exp_dist,MATCH(B291,'Refined Petro Exp Dist'!$B$6:$B$78,0),MATCH(C291,'Refined Petro Exp Dist'!$AD$2:$BC$2,0))*INDEX(ref_exp_by_year,MATCH(B291,'Data Export'!$B$6:$B$78,0),1)))</f>
        <v>0</v>
      </c>
      <c r="E291">
        <v>4</v>
      </c>
      <c r="F291" t="s">
        <v>173</v>
      </c>
    </row>
    <row r="292" spans="1:6">
      <c r="A292" t="str">
        <f t="shared" si="4"/>
        <v>GenericE&amp;DtemplateCIandGOA</v>
      </c>
      <c r="B292">
        <v>12</v>
      </c>
      <c r="C292">
        <v>5</v>
      </c>
      <c r="D292" s="649">
        <f ca="1">IF(E292=4,INDEX(crude_exp_dist,MATCH(B292,'Crude Exp Dist'!$B$6:$B$78,0),MATCH(C292,'Crude Exp Dist'!$AD$2:$BC$2,0))*INDEX(crude_exp_by_year,MATCH(B292,'Data Export'!$B$6:$B$78,0),1),IF(E292=5,INDEX(ref_exp_dist,MATCH(B292,'Refined Petro Exp Dist'!$B$6:$B$78,0),MATCH(C292,'Refined Petro Exp Dist'!$AD$2:$BC$2,0))*INDEX(ref_exp_by_year,MATCH(B292,'Data Export'!$B$6:$B$78,0),1)))</f>
        <v>0</v>
      </c>
      <c r="E292">
        <v>4</v>
      </c>
      <c r="F292" t="s">
        <v>180</v>
      </c>
    </row>
    <row r="293" spans="1:6">
      <c r="A293" t="str">
        <f t="shared" si="4"/>
        <v>GenericE&amp;DtemplateCIandGOA</v>
      </c>
      <c r="B293">
        <v>12</v>
      </c>
      <c r="C293">
        <v>6</v>
      </c>
      <c r="D293" s="649">
        <f ca="1">IF(E293=4,INDEX(crude_exp_dist,MATCH(B293,'Crude Exp Dist'!$B$6:$B$78,0),MATCH(C293,'Crude Exp Dist'!$AD$2:$BC$2,0))*INDEX(crude_exp_by_year,MATCH(B293,'Data Export'!$B$6:$B$78,0),1),IF(E293=5,INDEX(ref_exp_dist,MATCH(B293,'Refined Petro Exp Dist'!$B$6:$B$78,0),MATCH(C293,'Refined Petro Exp Dist'!$AD$2:$BC$2,0))*INDEX(ref_exp_by_year,MATCH(B293,'Data Export'!$B$6:$B$78,0),1)))</f>
        <v>4.5964262464358883E-2</v>
      </c>
      <c r="E293">
        <v>4</v>
      </c>
      <c r="F293" t="s">
        <v>186</v>
      </c>
    </row>
    <row r="294" spans="1:6">
      <c r="A294" t="str">
        <f t="shared" si="4"/>
        <v>GenericE&amp;DtemplateCIandGOA</v>
      </c>
      <c r="B294">
        <v>12</v>
      </c>
      <c r="C294">
        <v>7</v>
      </c>
      <c r="D294" s="649">
        <f ca="1">IF(E294=4,INDEX(crude_exp_dist,MATCH(B294,'Crude Exp Dist'!$B$6:$B$78,0),MATCH(C294,'Crude Exp Dist'!$AD$2:$BC$2,0))*INDEX(crude_exp_by_year,MATCH(B294,'Data Export'!$B$6:$B$78,0),1),IF(E294=5,INDEX(ref_exp_dist,MATCH(B294,'Refined Petro Exp Dist'!$B$6:$B$78,0),MATCH(C294,'Refined Petro Exp Dist'!$AD$2:$BC$2,0))*INDEX(ref_exp_by_year,MATCH(B294,'Data Export'!$B$6:$B$78,0),1)))</f>
        <v>0</v>
      </c>
      <c r="E294">
        <v>4</v>
      </c>
      <c r="F294" t="s">
        <v>191</v>
      </c>
    </row>
    <row r="295" spans="1:6">
      <c r="A295" t="str">
        <f t="shared" si="4"/>
        <v>GenericE&amp;DtemplateCIandGOA</v>
      </c>
      <c r="B295">
        <v>12</v>
      </c>
      <c r="C295">
        <v>8</v>
      </c>
      <c r="D295" s="649">
        <f ca="1">IF(E295=4,INDEX(crude_exp_dist,MATCH(B295,'Crude Exp Dist'!$B$6:$B$78,0),MATCH(C295,'Crude Exp Dist'!$AD$2:$BC$2,0))*INDEX(crude_exp_by_year,MATCH(B295,'Data Export'!$B$6:$B$78,0),1),IF(E295=5,INDEX(ref_exp_dist,MATCH(B295,'Refined Petro Exp Dist'!$B$6:$B$78,0),MATCH(C295,'Refined Petro Exp Dist'!$AD$2:$BC$2,0))*INDEX(ref_exp_by_year,MATCH(B295,'Data Export'!$B$6:$B$78,0),1)))</f>
        <v>0</v>
      </c>
      <c r="E295">
        <v>4</v>
      </c>
      <c r="F295" t="s">
        <v>197</v>
      </c>
    </row>
    <row r="296" spans="1:6">
      <c r="A296" t="str">
        <f t="shared" si="4"/>
        <v>GenericE&amp;DtemplateCIandGOA</v>
      </c>
      <c r="B296">
        <v>12</v>
      </c>
      <c r="C296">
        <v>9</v>
      </c>
      <c r="D296" s="649">
        <f ca="1">IF(E296=4,INDEX(crude_exp_dist,MATCH(B296,'Crude Exp Dist'!$B$6:$B$78,0),MATCH(C296,'Crude Exp Dist'!$AD$2:$BC$2,0))*INDEX(crude_exp_by_year,MATCH(B296,'Data Export'!$B$6:$B$78,0),1),IF(E296=5,INDEX(ref_exp_dist,MATCH(B296,'Refined Petro Exp Dist'!$B$6:$B$78,0),MATCH(C296,'Refined Petro Exp Dist'!$AD$2:$BC$2,0))*INDEX(ref_exp_by_year,MATCH(B296,'Data Export'!$B$6:$B$78,0),1)))</f>
        <v>0</v>
      </c>
      <c r="E296">
        <v>4</v>
      </c>
      <c r="F296" t="s">
        <v>199</v>
      </c>
    </row>
    <row r="297" spans="1:6">
      <c r="A297" t="str">
        <f t="shared" si="4"/>
        <v>GenericE&amp;DtemplateCIandGOA</v>
      </c>
      <c r="B297">
        <v>12</v>
      </c>
      <c r="C297">
        <v>10</v>
      </c>
      <c r="D297" s="649">
        <f ca="1">IF(E297=4,INDEX(crude_exp_dist,MATCH(B297,'Crude Exp Dist'!$B$6:$B$78,0),MATCH(C297,'Crude Exp Dist'!$AD$2:$BC$2,0))*INDEX(crude_exp_by_year,MATCH(B297,'Data Export'!$B$6:$B$78,0),1),IF(E297=5,INDEX(ref_exp_dist,MATCH(B297,'Refined Petro Exp Dist'!$B$6:$B$78,0),MATCH(C297,'Refined Petro Exp Dist'!$AD$2:$BC$2,0))*INDEX(ref_exp_by_year,MATCH(B297,'Data Export'!$B$6:$B$78,0),1)))</f>
        <v>0</v>
      </c>
      <c r="E297">
        <v>4</v>
      </c>
      <c r="F297" t="s">
        <v>201</v>
      </c>
    </row>
    <row r="298" spans="1:6">
      <c r="A298" t="str">
        <f t="shared" si="4"/>
        <v>GenericE&amp;DtemplateCIandGOA</v>
      </c>
      <c r="B298">
        <v>12</v>
      </c>
      <c r="C298">
        <v>11</v>
      </c>
      <c r="D298" s="649">
        <f ca="1">IF(E298=4,INDEX(crude_exp_dist,MATCH(B298,'Crude Exp Dist'!$B$6:$B$78,0),MATCH(C298,'Crude Exp Dist'!$AD$2:$BC$2,0))*INDEX(crude_exp_by_year,MATCH(B298,'Data Export'!$B$6:$B$78,0),1),IF(E298=5,INDEX(ref_exp_dist,MATCH(B298,'Refined Petro Exp Dist'!$B$6:$B$78,0),MATCH(C298,'Refined Petro Exp Dist'!$AD$2:$BC$2,0))*INDEX(ref_exp_by_year,MATCH(B298,'Data Export'!$B$6:$B$78,0),1)))</f>
        <v>0</v>
      </c>
      <c r="E298">
        <v>4</v>
      </c>
      <c r="F298" t="s">
        <v>921</v>
      </c>
    </row>
    <row r="299" spans="1:6">
      <c r="A299" t="str">
        <f t="shared" si="4"/>
        <v>GenericE&amp;DtemplateCIandGOA</v>
      </c>
      <c r="B299">
        <v>12</v>
      </c>
      <c r="C299">
        <v>12</v>
      </c>
      <c r="D299" s="649">
        <f ca="1">IF(E299=4,INDEX(crude_exp_dist,MATCH(B299,'Crude Exp Dist'!$B$6:$B$78,0),MATCH(C299,'Crude Exp Dist'!$AD$2:$BC$2,0))*INDEX(crude_exp_by_year,MATCH(B299,'Data Export'!$B$6:$B$78,0),1),IF(E299=5,INDEX(ref_exp_dist,MATCH(B299,'Refined Petro Exp Dist'!$B$6:$B$78,0),MATCH(C299,'Refined Petro Exp Dist'!$AD$2:$BC$2,0))*INDEX(ref_exp_by_year,MATCH(B299,'Data Export'!$B$6:$B$78,0),1)))</f>
        <v>2.2182771038396724E-3</v>
      </c>
      <c r="E299">
        <v>4</v>
      </c>
      <c r="F299" t="s">
        <v>208</v>
      </c>
    </row>
    <row r="300" spans="1:6">
      <c r="A300" t="str">
        <f t="shared" si="4"/>
        <v>GenericE&amp;DtemplateCIandGOA</v>
      </c>
      <c r="B300">
        <v>12</v>
      </c>
      <c r="C300">
        <v>13</v>
      </c>
      <c r="D300" s="649">
        <f ca="1">IF(E300=4,INDEX(crude_exp_dist,MATCH(B300,'Crude Exp Dist'!$B$6:$B$78,0),MATCH(C300,'Crude Exp Dist'!$AD$2:$BC$2,0))*INDEX(crude_exp_by_year,MATCH(B300,'Data Export'!$B$6:$B$78,0),1),IF(E300=5,INDEX(ref_exp_dist,MATCH(B300,'Refined Petro Exp Dist'!$B$6:$B$78,0),MATCH(C300,'Refined Petro Exp Dist'!$AD$2:$BC$2,0))*INDEX(ref_exp_by_year,MATCH(B300,'Data Export'!$B$6:$B$78,0),1)))</f>
        <v>2.2182771038396724E-3</v>
      </c>
      <c r="E300">
        <v>4</v>
      </c>
      <c r="F300" t="s">
        <v>211</v>
      </c>
    </row>
    <row r="301" spans="1:6">
      <c r="A301" t="str">
        <f t="shared" si="4"/>
        <v>GenericE&amp;DtemplateCIandGOA</v>
      </c>
      <c r="B301">
        <v>12</v>
      </c>
      <c r="C301">
        <v>14</v>
      </c>
      <c r="D301" s="649">
        <f ca="1">IF(E301=4,INDEX(crude_exp_dist,MATCH(B301,'Crude Exp Dist'!$B$6:$B$78,0),MATCH(C301,'Crude Exp Dist'!$AD$2:$BC$2,0))*INDEX(crude_exp_by_year,MATCH(B301,'Data Export'!$B$6:$B$78,0),1),IF(E301=5,INDEX(ref_exp_dist,MATCH(B301,'Refined Petro Exp Dist'!$B$6:$B$78,0),MATCH(C301,'Refined Petro Exp Dist'!$AD$2:$BC$2,0))*INDEX(ref_exp_by_year,MATCH(B301,'Data Export'!$B$6:$B$78,0),1)))</f>
        <v>0</v>
      </c>
      <c r="E301">
        <v>4</v>
      </c>
      <c r="F301" t="s">
        <v>213</v>
      </c>
    </row>
    <row r="302" spans="1:6">
      <c r="A302" t="str">
        <f t="shared" si="4"/>
        <v>GenericE&amp;DtemplateCIandGOA</v>
      </c>
      <c r="B302">
        <v>12</v>
      </c>
      <c r="C302">
        <v>15</v>
      </c>
      <c r="D302" s="649">
        <f ca="1">IF(E302=4,INDEX(crude_exp_dist,MATCH(B302,'Crude Exp Dist'!$B$6:$B$78,0),MATCH(C302,'Crude Exp Dist'!$AD$2:$BC$2,0))*INDEX(crude_exp_by_year,MATCH(B302,'Data Export'!$B$6:$B$78,0),1),IF(E302=5,INDEX(ref_exp_dist,MATCH(B302,'Refined Petro Exp Dist'!$B$6:$B$78,0),MATCH(C302,'Refined Petro Exp Dist'!$AD$2:$BC$2,0))*INDEX(ref_exp_by_year,MATCH(B302,'Data Export'!$B$6:$B$78,0),1)))</f>
        <v>0</v>
      </c>
      <c r="E302">
        <v>4</v>
      </c>
      <c r="F302" t="s">
        <v>215</v>
      </c>
    </row>
    <row r="303" spans="1:6">
      <c r="A303" t="str">
        <f t="shared" si="4"/>
        <v>GenericE&amp;DtemplateCIandGOA</v>
      </c>
      <c r="B303">
        <v>12</v>
      </c>
      <c r="C303">
        <v>16</v>
      </c>
      <c r="D303" s="649">
        <f ca="1">IF(E303=4,INDEX(crude_exp_dist,MATCH(B303,'Crude Exp Dist'!$B$6:$B$78,0),MATCH(C303,'Crude Exp Dist'!$AD$2:$BC$2,0))*INDEX(crude_exp_by_year,MATCH(B303,'Data Export'!$B$6:$B$78,0),1),IF(E303=5,INDEX(ref_exp_dist,MATCH(B303,'Refined Petro Exp Dist'!$B$6:$B$78,0),MATCH(C303,'Refined Petro Exp Dist'!$AD$2:$BC$2,0))*INDEX(ref_exp_by_year,MATCH(B303,'Data Export'!$B$6:$B$78,0),1)))</f>
        <v>0</v>
      </c>
      <c r="E303">
        <v>4</v>
      </c>
      <c r="F303" t="s">
        <v>219</v>
      </c>
    </row>
    <row r="304" spans="1:6">
      <c r="A304" t="str">
        <f t="shared" si="4"/>
        <v>GenericE&amp;DtemplateCIandGOA</v>
      </c>
      <c r="B304">
        <v>12</v>
      </c>
      <c r="C304">
        <v>17</v>
      </c>
      <c r="D304" s="649">
        <f ca="1">IF(E304=4,INDEX(crude_exp_dist,MATCH(B304,'Crude Exp Dist'!$B$6:$B$78,0),MATCH(C304,'Crude Exp Dist'!$AD$2:$BC$2,0))*INDEX(crude_exp_by_year,MATCH(B304,'Data Export'!$B$6:$B$78,0),1),IF(E304=5,INDEX(ref_exp_dist,MATCH(B304,'Refined Petro Exp Dist'!$B$6:$B$78,0),MATCH(C304,'Refined Petro Exp Dist'!$AD$2:$BC$2,0))*INDEX(ref_exp_by_year,MATCH(B304,'Data Export'!$B$6:$B$78,0),1)))</f>
        <v>0</v>
      </c>
      <c r="E304">
        <v>4</v>
      </c>
      <c r="F304" t="s">
        <v>222</v>
      </c>
    </row>
    <row r="305" spans="1:6">
      <c r="A305" t="str">
        <f t="shared" si="4"/>
        <v>GenericE&amp;DtemplateCIandGOA</v>
      </c>
      <c r="B305">
        <v>12</v>
      </c>
      <c r="C305">
        <v>18</v>
      </c>
      <c r="D305" s="649">
        <f ca="1">IF(E305=4,INDEX(crude_exp_dist,MATCH(B305,'Crude Exp Dist'!$B$6:$B$78,0),MATCH(C305,'Crude Exp Dist'!$AD$2:$BC$2,0))*INDEX(crude_exp_by_year,MATCH(B305,'Data Export'!$B$6:$B$78,0),1),IF(E305=5,INDEX(ref_exp_dist,MATCH(B305,'Refined Petro Exp Dist'!$B$6:$B$78,0),MATCH(C305,'Refined Petro Exp Dist'!$AD$2:$BC$2,0))*INDEX(ref_exp_by_year,MATCH(B305,'Data Export'!$B$6:$B$78,0),1)))</f>
        <v>0</v>
      </c>
      <c r="E305">
        <v>4</v>
      </c>
      <c r="F305" t="s">
        <v>224</v>
      </c>
    </row>
    <row r="306" spans="1:6">
      <c r="A306" t="str">
        <f t="shared" si="4"/>
        <v>GenericE&amp;DtemplateCIandGOA</v>
      </c>
      <c r="B306">
        <v>12</v>
      </c>
      <c r="C306">
        <v>19</v>
      </c>
      <c r="D306" s="649">
        <f ca="1">IF(E306=4,INDEX(crude_exp_dist,MATCH(B306,'Crude Exp Dist'!$B$6:$B$78,0),MATCH(C306,'Crude Exp Dist'!$AD$2:$BC$2,0))*INDEX(crude_exp_by_year,MATCH(B306,'Data Export'!$B$6:$B$78,0),1),IF(E306=5,INDEX(ref_exp_dist,MATCH(B306,'Refined Petro Exp Dist'!$B$6:$B$78,0),MATCH(C306,'Refined Petro Exp Dist'!$AD$2:$BC$2,0))*INDEX(ref_exp_by_year,MATCH(B306,'Data Export'!$B$6:$B$78,0),1)))</f>
        <v>0</v>
      </c>
      <c r="E306">
        <v>4</v>
      </c>
      <c r="F306" t="s">
        <v>228</v>
      </c>
    </row>
    <row r="307" spans="1:6">
      <c r="A307" t="str">
        <f t="shared" si="4"/>
        <v>GenericE&amp;DtemplateCIandGOA</v>
      </c>
      <c r="B307">
        <v>12</v>
      </c>
      <c r="C307">
        <v>20</v>
      </c>
      <c r="D307" s="649">
        <f ca="1">IF(E307=4,INDEX(crude_exp_dist,MATCH(B307,'Crude Exp Dist'!$B$6:$B$78,0),MATCH(C307,'Crude Exp Dist'!$AD$2:$BC$2,0))*INDEX(crude_exp_by_year,MATCH(B307,'Data Export'!$B$6:$B$78,0),1),IF(E307=5,INDEX(ref_exp_dist,MATCH(B307,'Refined Petro Exp Dist'!$B$6:$B$78,0),MATCH(C307,'Refined Petro Exp Dist'!$AD$2:$BC$2,0))*INDEX(ref_exp_by_year,MATCH(B307,'Data Export'!$B$6:$B$78,0),1)))</f>
        <v>0</v>
      </c>
      <c r="E307">
        <v>4</v>
      </c>
      <c r="F307" t="s">
        <v>231</v>
      </c>
    </row>
    <row r="308" spans="1:6">
      <c r="A308" t="str">
        <f t="shared" si="4"/>
        <v>GenericE&amp;DtemplateCIandGOA</v>
      </c>
      <c r="B308">
        <v>12</v>
      </c>
      <c r="C308">
        <v>21</v>
      </c>
      <c r="D308" s="649">
        <f ca="1">IF(E308=4,INDEX(crude_exp_dist,MATCH(B308,'Crude Exp Dist'!$B$6:$B$78,0),MATCH(C308,'Crude Exp Dist'!$AD$2:$BC$2,0))*INDEX(crude_exp_by_year,MATCH(B308,'Data Export'!$B$6:$B$78,0),1),IF(E308=5,INDEX(ref_exp_dist,MATCH(B308,'Refined Petro Exp Dist'!$B$6:$B$78,0),MATCH(C308,'Refined Petro Exp Dist'!$AD$2:$BC$2,0))*INDEX(ref_exp_by_year,MATCH(B308,'Data Export'!$B$6:$B$78,0),1)))</f>
        <v>0</v>
      </c>
      <c r="E308">
        <v>4</v>
      </c>
      <c r="F308" t="s">
        <v>232</v>
      </c>
    </row>
    <row r="309" spans="1:6">
      <c r="A309" t="str">
        <f t="shared" si="4"/>
        <v>GenericE&amp;DtemplateCIandGOA</v>
      </c>
      <c r="B309">
        <v>12</v>
      </c>
      <c r="C309">
        <v>22</v>
      </c>
      <c r="D309" s="649">
        <f ca="1">IF(E309=4,INDEX(crude_exp_dist,MATCH(B309,'Crude Exp Dist'!$B$6:$B$78,0),MATCH(C309,'Crude Exp Dist'!$AD$2:$BC$2,0))*INDEX(crude_exp_by_year,MATCH(B309,'Data Export'!$B$6:$B$78,0),1),IF(E309=5,INDEX(ref_exp_dist,MATCH(B309,'Refined Petro Exp Dist'!$B$6:$B$78,0),MATCH(C309,'Refined Petro Exp Dist'!$AD$2:$BC$2,0))*INDEX(ref_exp_by_year,MATCH(B309,'Data Export'!$B$6:$B$78,0),1)))</f>
        <v>0</v>
      </c>
      <c r="E309">
        <v>4</v>
      </c>
      <c r="F309" t="s">
        <v>235</v>
      </c>
    </row>
    <row r="310" spans="1:6">
      <c r="A310" t="str">
        <f t="shared" si="4"/>
        <v>GenericE&amp;DtemplateCIandGOA</v>
      </c>
      <c r="B310">
        <v>12</v>
      </c>
      <c r="C310">
        <v>23</v>
      </c>
      <c r="D310" s="649">
        <f ca="1">IF(E310=4,INDEX(crude_exp_dist,MATCH(B310,'Crude Exp Dist'!$B$6:$B$78,0),MATCH(C310,'Crude Exp Dist'!$AD$2:$BC$2,0))*INDEX(crude_exp_by_year,MATCH(B310,'Data Export'!$B$6:$B$78,0),1),IF(E310=5,INDEX(ref_exp_dist,MATCH(B310,'Refined Petro Exp Dist'!$B$6:$B$78,0),MATCH(C310,'Refined Petro Exp Dist'!$AD$2:$BC$2,0))*INDEX(ref_exp_by_year,MATCH(B310,'Data Export'!$B$6:$B$78,0),1)))</f>
        <v>0</v>
      </c>
      <c r="E310">
        <v>4</v>
      </c>
      <c r="F310" t="s">
        <v>237</v>
      </c>
    </row>
    <row r="311" spans="1:6">
      <c r="A311" t="str">
        <f t="shared" si="4"/>
        <v>GenericE&amp;DtemplateCIandGOA</v>
      </c>
      <c r="B311">
        <v>12</v>
      </c>
      <c r="C311">
        <v>24</v>
      </c>
      <c r="D311" s="649">
        <f ca="1">IF(E311=4,INDEX(crude_exp_dist,MATCH(B311,'Crude Exp Dist'!$B$6:$B$78,0),MATCH(C311,'Crude Exp Dist'!$AD$2:$BC$2,0))*INDEX(crude_exp_by_year,MATCH(B311,'Data Export'!$B$6:$B$78,0),1),IF(E311=5,INDEX(ref_exp_dist,MATCH(B311,'Refined Petro Exp Dist'!$B$6:$B$78,0),MATCH(C311,'Refined Petro Exp Dist'!$AD$2:$BC$2,0))*INDEX(ref_exp_by_year,MATCH(B311,'Data Export'!$B$6:$B$78,0),1)))</f>
        <v>0</v>
      </c>
      <c r="E311">
        <v>4</v>
      </c>
      <c r="F311" t="s">
        <v>239</v>
      </c>
    </row>
    <row r="312" spans="1:6">
      <c r="A312" t="str">
        <f t="shared" si="4"/>
        <v>GenericE&amp;DtemplateCIandGOA</v>
      </c>
      <c r="B312">
        <v>12</v>
      </c>
      <c r="C312">
        <v>25</v>
      </c>
      <c r="D312" s="649">
        <f ca="1">IF(E312=4,INDEX(crude_exp_dist,MATCH(B312,'Crude Exp Dist'!$B$6:$B$78,0),MATCH(C312,'Crude Exp Dist'!$AD$2:$BC$2,0))*INDEX(crude_exp_by_year,MATCH(B312,'Data Export'!$B$6:$B$78,0),1),IF(E312=5,INDEX(ref_exp_dist,MATCH(B312,'Refined Petro Exp Dist'!$B$6:$B$78,0),MATCH(C312,'Refined Petro Exp Dist'!$AD$2:$BC$2,0))*INDEX(ref_exp_by_year,MATCH(B312,'Data Export'!$B$6:$B$78,0),1)))</f>
        <v>0</v>
      </c>
      <c r="E312">
        <v>4</v>
      </c>
      <c r="F312" t="s">
        <v>242</v>
      </c>
    </row>
    <row r="313" spans="1:6">
      <c r="A313" t="str">
        <f t="shared" si="4"/>
        <v>GenericE&amp;DtemplateCIandGOA</v>
      </c>
      <c r="B313">
        <v>12</v>
      </c>
      <c r="C313">
        <v>26</v>
      </c>
      <c r="D313" s="649">
        <f ca="1">IF(E313=4,INDEX(crude_exp_dist,MATCH(B313,'Crude Exp Dist'!$B$6:$B$78,0),MATCH(C313,'Crude Exp Dist'!$AD$2:$BC$2,0))*INDEX(crude_exp_by_year,MATCH(B313,'Data Export'!$B$6:$B$78,0),1),IF(E313=5,INDEX(ref_exp_dist,MATCH(B313,'Refined Petro Exp Dist'!$B$6:$B$78,0),MATCH(C313,'Refined Petro Exp Dist'!$AD$2:$BC$2,0))*INDEX(ref_exp_by_year,MATCH(B313,'Data Export'!$B$6:$B$78,0),1)))</f>
        <v>0</v>
      </c>
      <c r="E313">
        <v>4</v>
      </c>
      <c r="F313" t="s">
        <v>245</v>
      </c>
    </row>
    <row r="314" spans="1:6">
      <c r="A314" t="str">
        <f t="shared" si="4"/>
        <v>GenericE&amp;DtemplateCIandGOA</v>
      </c>
      <c r="B314">
        <v>13</v>
      </c>
      <c r="C314">
        <v>1</v>
      </c>
      <c r="D314" s="649">
        <f ca="1">IF(E314=4,INDEX(crude_exp_dist,MATCH(B314,'Crude Exp Dist'!$B$6:$B$78,0),MATCH(C314,'Crude Exp Dist'!$AD$2:$BC$2,0))*INDEX(crude_exp_by_year,MATCH(B314,'Data Export'!$B$6:$B$78,0),1),IF(E314=5,INDEX(ref_exp_dist,MATCH(B314,'Refined Petro Exp Dist'!$B$6:$B$78,0),MATCH(C314,'Refined Petro Exp Dist'!$AD$2:$BC$2,0))*INDEX(ref_exp_by_year,MATCH(B314,'Data Export'!$B$6:$B$78,0),1)))</f>
        <v>0</v>
      </c>
      <c r="E314">
        <v>4</v>
      </c>
      <c r="F314" t="s">
        <v>158</v>
      </c>
    </row>
    <row r="315" spans="1:6">
      <c r="A315" t="str">
        <f t="shared" si="4"/>
        <v>GenericE&amp;DtemplateCIandGOA</v>
      </c>
      <c r="B315">
        <v>13</v>
      </c>
      <c r="C315">
        <v>2</v>
      </c>
      <c r="D315" s="649">
        <f ca="1">IF(E315=4,INDEX(crude_exp_dist,MATCH(B315,'Crude Exp Dist'!$B$6:$B$78,0),MATCH(C315,'Crude Exp Dist'!$AD$2:$BC$2,0))*INDEX(crude_exp_by_year,MATCH(B315,'Data Export'!$B$6:$B$78,0),1),IF(E315=5,INDEX(ref_exp_dist,MATCH(B315,'Refined Petro Exp Dist'!$B$6:$B$78,0),MATCH(C315,'Refined Petro Exp Dist'!$AD$2:$BC$2,0))*INDEX(ref_exp_by_year,MATCH(B315,'Data Export'!$B$6:$B$78,0),1)))</f>
        <v>0</v>
      </c>
      <c r="E315">
        <v>4</v>
      </c>
      <c r="F315" t="s">
        <v>166</v>
      </c>
    </row>
    <row r="316" spans="1:6">
      <c r="A316" t="str">
        <f t="shared" si="4"/>
        <v>GenericE&amp;DtemplateCIandGOA</v>
      </c>
      <c r="B316">
        <v>13</v>
      </c>
      <c r="C316">
        <v>3</v>
      </c>
      <c r="D316" s="649">
        <f ca="1">IF(E316=4,INDEX(crude_exp_dist,MATCH(B316,'Crude Exp Dist'!$B$6:$B$78,0),MATCH(C316,'Crude Exp Dist'!$AD$2:$BC$2,0))*INDEX(crude_exp_by_year,MATCH(B316,'Data Export'!$B$6:$B$78,0),1),IF(E316=5,INDEX(ref_exp_dist,MATCH(B316,'Refined Petro Exp Dist'!$B$6:$B$78,0),MATCH(C316,'Refined Petro Exp Dist'!$AD$2:$BC$2,0))*INDEX(ref_exp_by_year,MATCH(B316,'Data Export'!$B$6:$B$78,0),1)))</f>
        <v>0</v>
      </c>
      <c r="E316">
        <v>4</v>
      </c>
      <c r="F316" t="s">
        <v>171</v>
      </c>
    </row>
    <row r="317" spans="1:6">
      <c r="A317" t="str">
        <f t="shared" si="4"/>
        <v>GenericE&amp;DtemplateCIandGOA</v>
      </c>
      <c r="B317">
        <v>13</v>
      </c>
      <c r="C317">
        <v>4</v>
      </c>
      <c r="D317" s="649">
        <f ca="1">IF(E317=4,INDEX(crude_exp_dist,MATCH(B317,'Crude Exp Dist'!$B$6:$B$78,0),MATCH(C317,'Crude Exp Dist'!$AD$2:$BC$2,0))*INDEX(crude_exp_by_year,MATCH(B317,'Data Export'!$B$6:$B$78,0),1),IF(E317=5,INDEX(ref_exp_dist,MATCH(B317,'Refined Petro Exp Dist'!$B$6:$B$78,0),MATCH(C317,'Refined Petro Exp Dist'!$AD$2:$BC$2,0))*INDEX(ref_exp_by_year,MATCH(B317,'Data Export'!$B$6:$B$78,0),1)))</f>
        <v>0</v>
      </c>
      <c r="E317">
        <v>4</v>
      </c>
      <c r="F317" t="s">
        <v>173</v>
      </c>
    </row>
    <row r="318" spans="1:6">
      <c r="A318" t="str">
        <f t="shared" si="4"/>
        <v>GenericE&amp;DtemplateCIandGOA</v>
      </c>
      <c r="B318">
        <v>13</v>
      </c>
      <c r="C318">
        <v>5</v>
      </c>
      <c r="D318" s="649">
        <f ca="1">IF(E318=4,INDEX(crude_exp_dist,MATCH(B318,'Crude Exp Dist'!$B$6:$B$78,0),MATCH(C318,'Crude Exp Dist'!$AD$2:$BC$2,0))*INDEX(crude_exp_by_year,MATCH(B318,'Data Export'!$B$6:$B$78,0),1),IF(E318=5,INDEX(ref_exp_dist,MATCH(B318,'Refined Petro Exp Dist'!$B$6:$B$78,0),MATCH(C318,'Refined Petro Exp Dist'!$AD$2:$BC$2,0))*INDEX(ref_exp_by_year,MATCH(B318,'Data Export'!$B$6:$B$78,0),1)))</f>
        <v>0</v>
      </c>
      <c r="E318">
        <v>4</v>
      </c>
      <c r="F318" t="s">
        <v>180</v>
      </c>
    </row>
    <row r="319" spans="1:6">
      <c r="A319" t="str">
        <f t="shared" si="4"/>
        <v>GenericE&amp;DtemplateCIandGOA</v>
      </c>
      <c r="B319">
        <v>13</v>
      </c>
      <c r="C319">
        <v>6</v>
      </c>
      <c r="D319" s="649">
        <f ca="1">IF(E319=4,INDEX(crude_exp_dist,MATCH(B319,'Crude Exp Dist'!$B$6:$B$78,0),MATCH(C319,'Crude Exp Dist'!$AD$2:$BC$2,0))*INDEX(crude_exp_by_year,MATCH(B319,'Data Export'!$B$6:$B$78,0),1),IF(E319=5,INDEX(ref_exp_dist,MATCH(B319,'Refined Petro Exp Dist'!$B$6:$B$78,0),MATCH(C319,'Refined Petro Exp Dist'!$AD$2:$BC$2,0))*INDEX(ref_exp_by_year,MATCH(B319,'Data Export'!$B$6:$B$78,0),1)))</f>
        <v>4.6307758755209663E-2</v>
      </c>
      <c r="E319">
        <v>4</v>
      </c>
      <c r="F319" t="s">
        <v>186</v>
      </c>
    </row>
    <row r="320" spans="1:6">
      <c r="A320" t="str">
        <f t="shared" si="4"/>
        <v>GenericE&amp;DtemplateCIandGOA</v>
      </c>
      <c r="B320">
        <v>13</v>
      </c>
      <c r="C320">
        <v>7</v>
      </c>
      <c r="D320" s="649">
        <f ca="1">IF(E320=4,INDEX(crude_exp_dist,MATCH(B320,'Crude Exp Dist'!$B$6:$B$78,0),MATCH(C320,'Crude Exp Dist'!$AD$2:$BC$2,0))*INDEX(crude_exp_by_year,MATCH(B320,'Data Export'!$B$6:$B$78,0),1),IF(E320=5,INDEX(ref_exp_dist,MATCH(B320,'Refined Petro Exp Dist'!$B$6:$B$78,0),MATCH(C320,'Refined Petro Exp Dist'!$AD$2:$BC$2,0))*INDEX(ref_exp_by_year,MATCH(B320,'Data Export'!$B$6:$B$78,0),1)))</f>
        <v>0</v>
      </c>
      <c r="E320">
        <v>4</v>
      </c>
      <c r="F320" t="s">
        <v>191</v>
      </c>
    </row>
    <row r="321" spans="1:6">
      <c r="A321" t="str">
        <f t="shared" si="4"/>
        <v>GenericE&amp;DtemplateCIandGOA</v>
      </c>
      <c r="B321">
        <v>13</v>
      </c>
      <c r="C321">
        <v>8</v>
      </c>
      <c r="D321" s="649">
        <f ca="1">IF(E321=4,INDEX(crude_exp_dist,MATCH(B321,'Crude Exp Dist'!$B$6:$B$78,0),MATCH(C321,'Crude Exp Dist'!$AD$2:$BC$2,0))*INDEX(crude_exp_by_year,MATCH(B321,'Data Export'!$B$6:$B$78,0),1),IF(E321=5,INDEX(ref_exp_dist,MATCH(B321,'Refined Petro Exp Dist'!$B$6:$B$78,0),MATCH(C321,'Refined Petro Exp Dist'!$AD$2:$BC$2,0))*INDEX(ref_exp_by_year,MATCH(B321,'Data Export'!$B$6:$B$78,0),1)))</f>
        <v>0</v>
      </c>
      <c r="E321">
        <v>4</v>
      </c>
      <c r="F321" t="s">
        <v>197</v>
      </c>
    </row>
    <row r="322" spans="1:6">
      <c r="A322" t="str">
        <f t="shared" ref="A322:A385" si="5">scenario_name</f>
        <v>GenericE&amp;DtemplateCIandGOA</v>
      </c>
      <c r="B322">
        <v>13</v>
      </c>
      <c r="C322">
        <v>9</v>
      </c>
      <c r="D322" s="649">
        <f ca="1">IF(E322=4,INDEX(crude_exp_dist,MATCH(B322,'Crude Exp Dist'!$B$6:$B$78,0),MATCH(C322,'Crude Exp Dist'!$AD$2:$BC$2,0))*INDEX(crude_exp_by_year,MATCH(B322,'Data Export'!$B$6:$B$78,0),1),IF(E322=5,INDEX(ref_exp_dist,MATCH(B322,'Refined Petro Exp Dist'!$B$6:$B$78,0),MATCH(C322,'Refined Petro Exp Dist'!$AD$2:$BC$2,0))*INDEX(ref_exp_by_year,MATCH(B322,'Data Export'!$B$6:$B$78,0),1)))</f>
        <v>0</v>
      </c>
      <c r="E322">
        <v>4</v>
      </c>
      <c r="F322" t="s">
        <v>199</v>
      </c>
    </row>
    <row r="323" spans="1:6">
      <c r="A323" t="str">
        <f t="shared" si="5"/>
        <v>GenericE&amp;DtemplateCIandGOA</v>
      </c>
      <c r="B323">
        <v>13</v>
      </c>
      <c r="C323">
        <v>10</v>
      </c>
      <c r="D323" s="649">
        <f ca="1">IF(E323=4,INDEX(crude_exp_dist,MATCH(B323,'Crude Exp Dist'!$B$6:$B$78,0),MATCH(C323,'Crude Exp Dist'!$AD$2:$BC$2,0))*INDEX(crude_exp_by_year,MATCH(B323,'Data Export'!$B$6:$B$78,0),1),IF(E323=5,INDEX(ref_exp_dist,MATCH(B323,'Refined Petro Exp Dist'!$B$6:$B$78,0),MATCH(C323,'Refined Petro Exp Dist'!$AD$2:$BC$2,0))*INDEX(ref_exp_by_year,MATCH(B323,'Data Export'!$B$6:$B$78,0),1)))</f>
        <v>0</v>
      </c>
      <c r="E323">
        <v>4</v>
      </c>
      <c r="F323" t="s">
        <v>201</v>
      </c>
    </row>
    <row r="324" spans="1:6">
      <c r="A324" t="str">
        <f t="shared" si="5"/>
        <v>GenericE&amp;DtemplateCIandGOA</v>
      </c>
      <c r="B324">
        <v>13</v>
      </c>
      <c r="C324">
        <v>11</v>
      </c>
      <c r="D324" s="649">
        <f ca="1">IF(E324=4,INDEX(crude_exp_dist,MATCH(B324,'Crude Exp Dist'!$B$6:$B$78,0),MATCH(C324,'Crude Exp Dist'!$AD$2:$BC$2,0))*INDEX(crude_exp_by_year,MATCH(B324,'Data Export'!$B$6:$B$78,0),1),IF(E324=5,INDEX(ref_exp_dist,MATCH(B324,'Refined Petro Exp Dist'!$B$6:$B$78,0),MATCH(C324,'Refined Petro Exp Dist'!$AD$2:$BC$2,0))*INDEX(ref_exp_by_year,MATCH(B324,'Data Export'!$B$6:$B$78,0),1)))</f>
        <v>0</v>
      </c>
      <c r="E324">
        <v>4</v>
      </c>
      <c r="F324" t="s">
        <v>921</v>
      </c>
    </row>
    <row r="325" spans="1:6">
      <c r="A325" t="str">
        <f t="shared" si="5"/>
        <v>GenericE&amp;DtemplateCIandGOA</v>
      </c>
      <c r="B325">
        <v>13</v>
      </c>
      <c r="C325">
        <v>12</v>
      </c>
      <c r="D325" s="649">
        <f ca="1">IF(E325=4,INDEX(crude_exp_dist,MATCH(B325,'Crude Exp Dist'!$B$6:$B$78,0),MATCH(C325,'Crude Exp Dist'!$AD$2:$BC$2,0))*INDEX(crude_exp_by_year,MATCH(B325,'Data Export'!$B$6:$B$78,0),1),IF(E325=5,INDEX(ref_exp_dist,MATCH(B325,'Refined Petro Exp Dist'!$B$6:$B$78,0),MATCH(C325,'Refined Petro Exp Dist'!$AD$2:$BC$2,0))*INDEX(ref_exp_by_year,MATCH(B325,'Data Export'!$B$6:$B$78,0),1)))</f>
        <v>2.2348545471922981E-3</v>
      </c>
      <c r="E325">
        <v>4</v>
      </c>
      <c r="F325" t="s">
        <v>208</v>
      </c>
    </row>
    <row r="326" spans="1:6">
      <c r="A326" t="str">
        <f t="shared" si="5"/>
        <v>GenericE&amp;DtemplateCIandGOA</v>
      </c>
      <c r="B326">
        <v>13</v>
      </c>
      <c r="C326">
        <v>13</v>
      </c>
      <c r="D326" s="649">
        <f ca="1">IF(E326=4,INDEX(crude_exp_dist,MATCH(B326,'Crude Exp Dist'!$B$6:$B$78,0),MATCH(C326,'Crude Exp Dist'!$AD$2:$BC$2,0))*INDEX(crude_exp_by_year,MATCH(B326,'Data Export'!$B$6:$B$78,0),1),IF(E326=5,INDEX(ref_exp_dist,MATCH(B326,'Refined Petro Exp Dist'!$B$6:$B$78,0),MATCH(C326,'Refined Petro Exp Dist'!$AD$2:$BC$2,0))*INDEX(ref_exp_by_year,MATCH(B326,'Data Export'!$B$6:$B$78,0),1)))</f>
        <v>2.2348545471922981E-3</v>
      </c>
      <c r="E326">
        <v>4</v>
      </c>
      <c r="F326" t="s">
        <v>211</v>
      </c>
    </row>
    <row r="327" spans="1:6">
      <c r="A327" t="str">
        <f t="shared" si="5"/>
        <v>GenericE&amp;DtemplateCIandGOA</v>
      </c>
      <c r="B327">
        <v>13</v>
      </c>
      <c r="C327">
        <v>14</v>
      </c>
      <c r="D327" s="649">
        <f ca="1">IF(E327=4,INDEX(crude_exp_dist,MATCH(B327,'Crude Exp Dist'!$B$6:$B$78,0),MATCH(C327,'Crude Exp Dist'!$AD$2:$BC$2,0))*INDEX(crude_exp_by_year,MATCH(B327,'Data Export'!$B$6:$B$78,0),1),IF(E327=5,INDEX(ref_exp_dist,MATCH(B327,'Refined Petro Exp Dist'!$B$6:$B$78,0),MATCH(C327,'Refined Petro Exp Dist'!$AD$2:$BC$2,0))*INDEX(ref_exp_by_year,MATCH(B327,'Data Export'!$B$6:$B$78,0),1)))</f>
        <v>0</v>
      </c>
      <c r="E327">
        <v>4</v>
      </c>
      <c r="F327" t="s">
        <v>213</v>
      </c>
    </row>
    <row r="328" spans="1:6">
      <c r="A328" t="str">
        <f t="shared" si="5"/>
        <v>GenericE&amp;DtemplateCIandGOA</v>
      </c>
      <c r="B328">
        <v>13</v>
      </c>
      <c r="C328">
        <v>15</v>
      </c>
      <c r="D328" s="649">
        <f ca="1">IF(E328=4,INDEX(crude_exp_dist,MATCH(B328,'Crude Exp Dist'!$B$6:$B$78,0),MATCH(C328,'Crude Exp Dist'!$AD$2:$BC$2,0))*INDEX(crude_exp_by_year,MATCH(B328,'Data Export'!$B$6:$B$78,0),1),IF(E328=5,INDEX(ref_exp_dist,MATCH(B328,'Refined Petro Exp Dist'!$B$6:$B$78,0),MATCH(C328,'Refined Petro Exp Dist'!$AD$2:$BC$2,0))*INDEX(ref_exp_by_year,MATCH(B328,'Data Export'!$B$6:$B$78,0),1)))</f>
        <v>0</v>
      </c>
      <c r="E328">
        <v>4</v>
      </c>
      <c r="F328" t="s">
        <v>215</v>
      </c>
    </row>
    <row r="329" spans="1:6">
      <c r="A329" t="str">
        <f t="shared" si="5"/>
        <v>GenericE&amp;DtemplateCIandGOA</v>
      </c>
      <c r="B329">
        <v>13</v>
      </c>
      <c r="C329">
        <v>16</v>
      </c>
      <c r="D329" s="649">
        <f ca="1">IF(E329=4,INDEX(crude_exp_dist,MATCH(B329,'Crude Exp Dist'!$B$6:$B$78,0),MATCH(C329,'Crude Exp Dist'!$AD$2:$BC$2,0))*INDEX(crude_exp_by_year,MATCH(B329,'Data Export'!$B$6:$B$78,0),1),IF(E329=5,INDEX(ref_exp_dist,MATCH(B329,'Refined Petro Exp Dist'!$B$6:$B$78,0),MATCH(C329,'Refined Petro Exp Dist'!$AD$2:$BC$2,0))*INDEX(ref_exp_by_year,MATCH(B329,'Data Export'!$B$6:$B$78,0),1)))</f>
        <v>0</v>
      </c>
      <c r="E329">
        <v>4</v>
      </c>
      <c r="F329" t="s">
        <v>219</v>
      </c>
    </row>
    <row r="330" spans="1:6">
      <c r="A330" t="str">
        <f t="shared" si="5"/>
        <v>GenericE&amp;DtemplateCIandGOA</v>
      </c>
      <c r="B330">
        <v>13</v>
      </c>
      <c r="C330">
        <v>17</v>
      </c>
      <c r="D330" s="649">
        <f ca="1">IF(E330=4,INDEX(crude_exp_dist,MATCH(B330,'Crude Exp Dist'!$B$6:$B$78,0),MATCH(C330,'Crude Exp Dist'!$AD$2:$BC$2,0))*INDEX(crude_exp_by_year,MATCH(B330,'Data Export'!$B$6:$B$78,0),1),IF(E330=5,INDEX(ref_exp_dist,MATCH(B330,'Refined Petro Exp Dist'!$B$6:$B$78,0),MATCH(C330,'Refined Petro Exp Dist'!$AD$2:$BC$2,0))*INDEX(ref_exp_by_year,MATCH(B330,'Data Export'!$B$6:$B$78,0),1)))</f>
        <v>0</v>
      </c>
      <c r="E330">
        <v>4</v>
      </c>
      <c r="F330" t="s">
        <v>222</v>
      </c>
    </row>
    <row r="331" spans="1:6">
      <c r="A331" t="str">
        <f t="shared" si="5"/>
        <v>GenericE&amp;DtemplateCIandGOA</v>
      </c>
      <c r="B331">
        <v>13</v>
      </c>
      <c r="C331">
        <v>18</v>
      </c>
      <c r="D331" s="649">
        <f ca="1">IF(E331=4,INDEX(crude_exp_dist,MATCH(B331,'Crude Exp Dist'!$B$6:$B$78,0),MATCH(C331,'Crude Exp Dist'!$AD$2:$BC$2,0))*INDEX(crude_exp_by_year,MATCH(B331,'Data Export'!$B$6:$B$78,0),1),IF(E331=5,INDEX(ref_exp_dist,MATCH(B331,'Refined Petro Exp Dist'!$B$6:$B$78,0),MATCH(C331,'Refined Petro Exp Dist'!$AD$2:$BC$2,0))*INDEX(ref_exp_by_year,MATCH(B331,'Data Export'!$B$6:$B$78,0),1)))</f>
        <v>0</v>
      </c>
      <c r="E331">
        <v>4</v>
      </c>
      <c r="F331" t="s">
        <v>224</v>
      </c>
    </row>
    <row r="332" spans="1:6">
      <c r="A332" t="str">
        <f t="shared" si="5"/>
        <v>GenericE&amp;DtemplateCIandGOA</v>
      </c>
      <c r="B332">
        <v>13</v>
      </c>
      <c r="C332">
        <v>19</v>
      </c>
      <c r="D332" s="649">
        <f ca="1">IF(E332=4,INDEX(crude_exp_dist,MATCH(B332,'Crude Exp Dist'!$B$6:$B$78,0),MATCH(C332,'Crude Exp Dist'!$AD$2:$BC$2,0))*INDEX(crude_exp_by_year,MATCH(B332,'Data Export'!$B$6:$B$78,0),1),IF(E332=5,INDEX(ref_exp_dist,MATCH(B332,'Refined Petro Exp Dist'!$B$6:$B$78,0),MATCH(C332,'Refined Petro Exp Dist'!$AD$2:$BC$2,0))*INDEX(ref_exp_by_year,MATCH(B332,'Data Export'!$B$6:$B$78,0),1)))</f>
        <v>0</v>
      </c>
      <c r="E332">
        <v>4</v>
      </c>
      <c r="F332" t="s">
        <v>228</v>
      </c>
    </row>
    <row r="333" spans="1:6">
      <c r="A333" t="str">
        <f t="shared" si="5"/>
        <v>GenericE&amp;DtemplateCIandGOA</v>
      </c>
      <c r="B333">
        <v>13</v>
      </c>
      <c r="C333">
        <v>20</v>
      </c>
      <c r="D333" s="649">
        <f ca="1">IF(E333=4,INDEX(crude_exp_dist,MATCH(B333,'Crude Exp Dist'!$B$6:$B$78,0),MATCH(C333,'Crude Exp Dist'!$AD$2:$BC$2,0))*INDEX(crude_exp_by_year,MATCH(B333,'Data Export'!$B$6:$B$78,0),1),IF(E333=5,INDEX(ref_exp_dist,MATCH(B333,'Refined Petro Exp Dist'!$B$6:$B$78,0),MATCH(C333,'Refined Petro Exp Dist'!$AD$2:$BC$2,0))*INDEX(ref_exp_by_year,MATCH(B333,'Data Export'!$B$6:$B$78,0),1)))</f>
        <v>0</v>
      </c>
      <c r="E333">
        <v>4</v>
      </c>
      <c r="F333" t="s">
        <v>231</v>
      </c>
    </row>
    <row r="334" spans="1:6">
      <c r="A334" t="str">
        <f t="shared" si="5"/>
        <v>GenericE&amp;DtemplateCIandGOA</v>
      </c>
      <c r="B334">
        <v>13</v>
      </c>
      <c r="C334">
        <v>21</v>
      </c>
      <c r="D334" s="649">
        <f ca="1">IF(E334=4,INDEX(crude_exp_dist,MATCH(B334,'Crude Exp Dist'!$B$6:$B$78,0),MATCH(C334,'Crude Exp Dist'!$AD$2:$BC$2,0))*INDEX(crude_exp_by_year,MATCH(B334,'Data Export'!$B$6:$B$78,0),1),IF(E334=5,INDEX(ref_exp_dist,MATCH(B334,'Refined Petro Exp Dist'!$B$6:$B$78,0),MATCH(C334,'Refined Petro Exp Dist'!$AD$2:$BC$2,0))*INDEX(ref_exp_by_year,MATCH(B334,'Data Export'!$B$6:$B$78,0),1)))</f>
        <v>0</v>
      </c>
      <c r="E334">
        <v>4</v>
      </c>
      <c r="F334" t="s">
        <v>232</v>
      </c>
    </row>
    <row r="335" spans="1:6">
      <c r="A335" t="str">
        <f t="shared" si="5"/>
        <v>GenericE&amp;DtemplateCIandGOA</v>
      </c>
      <c r="B335">
        <v>13</v>
      </c>
      <c r="C335">
        <v>22</v>
      </c>
      <c r="D335" s="649">
        <f ca="1">IF(E335=4,INDEX(crude_exp_dist,MATCH(B335,'Crude Exp Dist'!$B$6:$B$78,0),MATCH(C335,'Crude Exp Dist'!$AD$2:$BC$2,0))*INDEX(crude_exp_by_year,MATCH(B335,'Data Export'!$B$6:$B$78,0),1),IF(E335=5,INDEX(ref_exp_dist,MATCH(B335,'Refined Petro Exp Dist'!$B$6:$B$78,0),MATCH(C335,'Refined Petro Exp Dist'!$AD$2:$BC$2,0))*INDEX(ref_exp_by_year,MATCH(B335,'Data Export'!$B$6:$B$78,0),1)))</f>
        <v>0</v>
      </c>
      <c r="E335">
        <v>4</v>
      </c>
      <c r="F335" t="s">
        <v>235</v>
      </c>
    </row>
    <row r="336" spans="1:6">
      <c r="A336" t="str">
        <f t="shared" si="5"/>
        <v>GenericE&amp;DtemplateCIandGOA</v>
      </c>
      <c r="B336">
        <v>13</v>
      </c>
      <c r="C336">
        <v>23</v>
      </c>
      <c r="D336" s="649">
        <f ca="1">IF(E336=4,INDEX(crude_exp_dist,MATCH(B336,'Crude Exp Dist'!$B$6:$B$78,0),MATCH(C336,'Crude Exp Dist'!$AD$2:$BC$2,0))*INDEX(crude_exp_by_year,MATCH(B336,'Data Export'!$B$6:$B$78,0),1),IF(E336=5,INDEX(ref_exp_dist,MATCH(B336,'Refined Petro Exp Dist'!$B$6:$B$78,0),MATCH(C336,'Refined Petro Exp Dist'!$AD$2:$BC$2,0))*INDEX(ref_exp_by_year,MATCH(B336,'Data Export'!$B$6:$B$78,0),1)))</f>
        <v>0</v>
      </c>
      <c r="E336">
        <v>4</v>
      </c>
      <c r="F336" t="s">
        <v>237</v>
      </c>
    </row>
    <row r="337" spans="1:6">
      <c r="A337" t="str">
        <f t="shared" si="5"/>
        <v>GenericE&amp;DtemplateCIandGOA</v>
      </c>
      <c r="B337">
        <v>13</v>
      </c>
      <c r="C337">
        <v>24</v>
      </c>
      <c r="D337" s="649">
        <f ca="1">IF(E337=4,INDEX(crude_exp_dist,MATCH(B337,'Crude Exp Dist'!$B$6:$B$78,0),MATCH(C337,'Crude Exp Dist'!$AD$2:$BC$2,0))*INDEX(crude_exp_by_year,MATCH(B337,'Data Export'!$B$6:$B$78,0),1),IF(E337=5,INDEX(ref_exp_dist,MATCH(B337,'Refined Petro Exp Dist'!$B$6:$B$78,0),MATCH(C337,'Refined Petro Exp Dist'!$AD$2:$BC$2,0))*INDEX(ref_exp_by_year,MATCH(B337,'Data Export'!$B$6:$B$78,0),1)))</f>
        <v>0</v>
      </c>
      <c r="E337">
        <v>4</v>
      </c>
      <c r="F337" t="s">
        <v>239</v>
      </c>
    </row>
    <row r="338" spans="1:6">
      <c r="A338" t="str">
        <f t="shared" si="5"/>
        <v>GenericE&amp;DtemplateCIandGOA</v>
      </c>
      <c r="B338">
        <v>13</v>
      </c>
      <c r="C338">
        <v>25</v>
      </c>
      <c r="D338" s="649">
        <f ca="1">IF(E338=4,INDEX(crude_exp_dist,MATCH(B338,'Crude Exp Dist'!$B$6:$B$78,0),MATCH(C338,'Crude Exp Dist'!$AD$2:$BC$2,0))*INDEX(crude_exp_by_year,MATCH(B338,'Data Export'!$B$6:$B$78,0),1),IF(E338=5,INDEX(ref_exp_dist,MATCH(B338,'Refined Petro Exp Dist'!$B$6:$B$78,0),MATCH(C338,'Refined Petro Exp Dist'!$AD$2:$BC$2,0))*INDEX(ref_exp_by_year,MATCH(B338,'Data Export'!$B$6:$B$78,0),1)))</f>
        <v>0</v>
      </c>
      <c r="E338">
        <v>4</v>
      </c>
      <c r="F338" t="s">
        <v>242</v>
      </c>
    </row>
    <row r="339" spans="1:6">
      <c r="A339" t="str">
        <f t="shared" si="5"/>
        <v>GenericE&amp;DtemplateCIandGOA</v>
      </c>
      <c r="B339">
        <v>13</v>
      </c>
      <c r="C339">
        <v>26</v>
      </c>
      <c r="D339" s="649">
        <f ca="1">IF(E339=4,INDEX(crude_exp_dist,MATCH(B339,'Crude Exp Dist'!$B$6:$B$78,0),MATCH(C339,'Crude Exp Dist'!$AD$2:$BC$2,0))*INDEX(crude_exp_by_year,MATCH(B339,'Data Export'!$B$6:$B$78,0),1),IF(E339=5,INDEX(ref_exp_dist,MATCH(B339,'Refined Petro Exp Dist'!$B$6:$B$78,0),MATCH(C339,'Refined Petro Exp Dist'!$AD$2:$BC$2,0))*INDEX(ref_exp_by_year,MATCH(B339,'Data Export'!$B$6:$B$78,0),1)))</f>
        <v>0</v>
      </c>
      <c r="E339">
        <v>4</v>
      </c>
      <c r="F339" t="s">
        <v>245</v>
      </c>
    </row>
    <row r="340" spans="1:6">
      <c r="A340" t="str">
        <f t="shared" si="5"/>
        <v>GenericE&amp;DtemplateCIandGOA</v>
      </c>
      <c r="B340">
        <v>14</v>
      </c>
      <c r="C340">
        <v>1</v>
      </c>
      <c r="D340" s="649">
        <f ca="1">IF(E340=4,INDEX(crude_exp_dist,MATCH(B340,'Crude Exp Dist'!$B$6:$B$78,0),MATCH(C340,'Crude Exp Dist'!$AD$2:$BC$2,0))*INDEX(crude_exp_by_year,MATCH(B340,'Data Export'!$B$6:$B$78,0),1),IF(E340=5,INDEX(ref_exp_dist,MATCH(B340,'Refined Petro Exp Dist'!$B$6:$B$78,0),MATCH(C340,'Refined Petro Exp Dist'!$AD$2:$BC$2,0))*INDEX(ref_exp_by_year,MATCH(B340,'Data Export'!$B$6:$B$78,0),1)))</f>
        <v>0</v>
      </c>
      <c r="E340">
        <v>4</v>
      </c>
      <c r="F340" t="s">
        <v>158</v>
      </c>
    </row>
    <row r="341" spans="1:6">
      <c r="A341" t="str">
        <f t="shared" si="5"/>
        <v>GenericE&amp;DtemplateCIandGOA</v>
      </c>
      <c r="B341">
        <v>14</v>
      </c>
      <c r="C341">
        <v>2</v>
      </c>
      <c r="D341" s="649">
        <f ca="1">IF(E341=4,INDEX(crude_exp_dist,MATCH(B341,'Crude Exp Dist'!$B$6:$B$78,0),MATCH(C341,'Crude Exp Dist'!$AD$2:$BC$2,0))*INDEX(crude_exp_by_year,MATCH(B341,'Data Export'!$B$6:$B$78,0),1),IF(E341=5,INDEX(ref_exp_dist,MATCH(B341,'Refined Petro Exp Dist'!$B$6:$B$78,0),MATCH(C341,'Refined Petro Exp Dist'!$AD$2:$BC$2,0))*INDEX(ref_exp_by_year,MATCH(B341,'Data Export'!$B$6:$B$78,0),1)))</f>
        <v>0</v>
      </c>
      <c r="E341">
        <v>4</v>
      </c>
      <c r="F341" t="s">
        <v>166</v>
      </c>
    </row>
    <row r="342" spans="1:6">
      <c r="A342" t="str">
        <f t="shared" si="5"/>
        <v>GenericE&amp;DtemplateCIandGOA</v>
      </c>
      <c r="B342">
        <v>14</v>
      </c>
      <c r="C342">
        <v>3</v>
      </c>
      <c r="D342" s="649">
        <f ca="1">IF(E342=4,INDEX(crude_exp_dist,MATCH(B342,'Crude Exp Dist'!$B$6:$B$78,0),MATCH(C342,'Crude Exp Dist'!$AD$2:$BC$2,0))*INDEX(crude_exp_by_year,MATCH(B342,'Data Export'!$B$6:$B$78,0),1),IF(E342=5,INDEX(ref_exp_dist,MATCH(B342,'Refined Petro Exp Dist'!$B$6:$B$78,0),MATCH(C342,'Refined Petro Exp Dist'!$AD$2:$BC$2,0))*INDEX(ref_exp_by_year,MATCH(B342,'Data Export'!$B$6:$B$78,0),1)))</f>
        <v>0</v>
      </c>
      <c r="E342">
        <v>4</v>
      </c>
      <c r="F342" t="s">
        <v>171</v>
      </c>
    </row>
    <row r="343" spans="1:6">
      <c r="A343" t="str">
        <f t="shared" si="5"/>
        <v>GenericE&amp;DtemplateCIandGOA</v>
      </c>
      <c r="B343">
        <v>14</v>
      </c>
      <c r="C343">
        <v>4</v>
      </c>
      <c r="D343" s="649">
        <f ca="1">IF(E343=4,INDEX(crude_exp_dist,MATCH(B343,'Crude Exp Dist'!$B$6:$B$78,0),MATCH(C343,'Crude Exp Dist'!$AD$2:$BC$2,0))*INDEX(crude_exp_by_year,MATCH(B343,'Data Export'!$B$6:$B$78,0),1),IF(E343=5,INDEX(ref_exp_dist,MATCH(B343,'Refined Petro Exp Dist'!$B$6:$B$78,0),MATCH(C343,'Refined Petro Exp Dist'!$AD$2:$BC$2,0))*INDEX(ref_exp_by_year,MATCH(B343,'Data Export'!$B$6:$B$78,0),1)))</f>
        <v>0</v>
      </c>
      <c r="E343">
        <v>4</v>
      </c>
      <c r="F343" t="s">
        <v>173</v>
      </c>
    </row>
    <row r="344" spans="1:6">
      <c r="A344" t="str">
        <f t="shared" si="5"/>
        <v>GenericE&amp;DtemplateCIandGOA</v>
      </c>
      <c r="B344">
        <v>14</v>
      </c>
      <c r="C344">
        <v>5</v>
      </c>
      <c r="D344" s="649">
        <f ca="1">IF(E344=4,INDEX(crude_exp_dist,MATCH(B344,'Crude Exp Dist'!$B$6:$B$78,0),MATCH(C344,'Crude Exp Dist'!$AD$2:$BC$2,0))*INDEX(crude_exp_by_year,MATCH(B344,'Data Export'!$B$6:$B$78,0),1),IF(E344=5,INDEX(ref_exp_dist,MATCH(B344,'Refined Petro Exp Dist'!$B$6:$B$78,0),MATCH(C344,'Refined Petro Exp Dist'!$AD$2:$BC$2,0))*INDEX(ref_exp_by_year,MATCH(B344,'Data Export'!$B$6:$B$78,0),1)))</f>
        <v>0</v>
      </c>
      <c r="E344">
        <v>4</v>
      </c>
      <c r="F344" t="s">
        <v>180</v>
      </c>
    </row>
    <row r="345" spans="1:6">
      <c r="A345" t="str">
        <f t="shared" si="5"/>
        <v>GenericE&amp;DtemplateCIandGOA</v>
      </c>
      <c r="B345">
        <v>14</v>
      </c>
      <c r="C345">
        <v>6</v>
      </c>
      <c r="D345" s="649">
        <f ca="1">IF(E345=4,INDEX(crude_exp_dist,MATCH(B345,'Crude Exp Dist'!$B$6:$B$78,0),MATCH(C345,'Crude Exp Dist'!$AD$2:$BC$2,0))*INDEX(crude_exp_by_year,MATCH(B345,'Data Export'!$B$6:$B$78,0),1),IF(E345=5,INDEX(ref_exp_dist,MATCH(B345,'Refined Petro Exp Dist'!$B$6:$B$78,0),MATCH(C345,'Refined Petro Exp Dist'!$AD$2:$BC$2,0))*INDEX(ref_exp_by_year,MATCH(B345,'Data Export'!$B$6:$B$78,0),1)))</f>
        <v>4.7081508105095378E-2</v>
      </c>
      <c r="E345">
        <v>4</v>
      </c>
      <c r="F345" t="s">
        <v>186</v>
      </c>
    </row>
    <row r="346" spans="1:6">
      <c r="A346" t="str">
        <f t="shared" si="5"/>
        <v>GenericE&amp;DtemplateCIandGOA</v>
      </c>
      <c r="B346">
        <v>14</v>
      </c>
      <c r="C346">
        <v>7</v>
      </c>
      <c r="D346" s="649">
        <f ca="1">IF(E346=4,INDEX(crude_exp_dist,MATCH(B346,'Crude Exp Dist'!$B$6:$B$78,0),MATCH(C346,'Crude Exp Dist'!$AD$2:$BC$2,0))*INDEX(crude_exp_by_year,MATCH(B346,'Data Export'!$B$6:$B$78,0),1),IF(E346=5,INDEX(ref_exp_dist,MATCH(B346,'Refined Petro Exp Dist'!$B$6:$B$78,0),MATCH(C346,'Refined Petro Exp Dist'!$AD$2:$BC$2,0))*INDEX(ref_exp_by_year,MATCH(B346,'Data Export'!$B$6:$B$78,0),1)))</f>
        <v>0</v>
      </c>
      <c r="E346">
        <v>4</v>
      </c>
      <c r="F346" t="s">
        <v>191</v>
      </c>
    </row>
    <row r="347" spans="1:6">
      <c r="A347" t="str">
        <f t="shared" si="5"/>
        <v>GenericE&amp;DtemplateCIandGOA</v>
      </c>
      <c r="B347">
        <v>14</v>
      </c>
      <c r="C347">
        <v>8</v>
      </c>
      <c r="D347" s="649">
        <f ca="1">IF(E347=4,INDEX(crude_exp_dist,MATCH(B347,'Crude Exp Dist'!$B$6:$B$78,0),MATCH(C347,'Crude Exp Dist'!$AD$2:$BC$2,0))*INDEX(crude_exp_by_year,MATCH(B347,'Data Export'!$B$6:$B$78,0),1),IF(E347=5,INDEX(ref_exp_dist,MATCH(B347,'Refined Petro Exp Dist'!$B$6:$B$78,0),MATCH(C347,'Refined Petro Exp Dist'!$AD$2:$BC$2,0))*INDEX(ref_exp_by_year,MATCH(B347,'Data Export'!$B$6:$B$78,0),1)))</f>
        <v>0</v>
      </c>
      <c r="E347">
        <v>4</v>
      </c>
      <c r="F347" t="s">
        <v>197</v>
      </c>
    </row>
    <row r="348" spans="1:6">
      <c r="A348" t="str">
        <f t="shared" si="5"/>
        <v>GenericE&amp;DtemplateCIandGOA</v>
      </c>
      <c r="B348">
        <v>14</v>
      </c>
      <c r="C348">
        <v>9</v>
      </c>
      <c r="D348" s="649">
        <f ca="1">IF(E348=4,INDEX(crude_exp_dist,MATCH(B348,'Crude Exp Dist'!$B$6:$B$78,0),MATCH(C348,'Crude Exp Dist'!$AD$2:$BC$2,0))*INDEX(crude_exp_by_year,MATCH(B348,'Data Export'!$B$6:$B$78,0),1),IF(E348=5,INDEX(ref_exp_dist,MATCH(B348,'Refined Petro Exp Dist'!$B$6:$B$78,0),MATCH(C348,'Refined Petro Exp Dist'!$AD$2:$BC$2,0))*INDEX(ref_exp_by_year,MATCH(B348,'Data Export'!$B$6:$B$78,0),1)))</f>
        <v>0</v>
      </c>
      <c r="E348">
        <v>4</v>
      </c>
      <c r="F348" t="s">
        <v>199</v>
      </c>
    </row>
    <row r="349" spans="1:6">
      <c r="A349" t="str">
        <f t="shared" si="5"/>
        <v>GenericE&amp;DtemplateCIandGOA</v>
      </c>
      <c r="B349">
        <v>14</v>
      </c>
      <c r="C349">
        <v>10</v>
      </c>
      <c r="D349" s="649">
        <f ca="1">IF(E349=4,INDEX(crude_exp_dist,MATCH(B349,'Crude Exp Dist'!$B$6:$B$78,0),MATCH(C349,'Crude Exp Dist'!$AD$2:$BC$2,0))*INDEX(crude_exp_by_year,MATCH(B349,'Data Export'!$B$6:$B$78,0),1),IF(E349=5,INDEX(ref_exp_dist,MATCH(B349,'Refined Petro Exp Dist'!$B$6:$B$78,0),MATCH(C349,'Refined Petro Exp Dist'!$AD$2:$BC$2,0))*INDEX(ref_exp_by_year,MATCH(B349,'Data Export'!$B$6:$B$78,0),1)))</f>
        <v>0</v>
      </c>
      <c r="E349">
        <v>4</v>
      </c>
      <c r="F349" t="s">
        <v>201</v>
      </c>
    </row>
    <row r="350" spans="1:6">
      <c r="A350" t="str">
        <f t="shared" si="5"/>
        <v>GenericE&amp;DtemplateCIandGOA</v>
      </c>
      <c r="B350">
        <v>14</v>
      </c>
      <c r="C350">
        <v>11</v>
      </c>
      <c r="D350" s="649">
        <f ca="1">IF(E350=4,INDEX(crude_exp_dist,MATCH(B350,'Crude Exp Dist'!$B$6:$B$78,0),MATCH(C350,'Crude Exp Dist'!$AD$2:$BC$2,0))*INDEX(crude_exp_by_year,MATCH(B350,'Data Export'!$B$6:$B$78,0),1),IF(E350=5,INDEX(ref_exp_dist,MATCH(B350,'Refined Petro Exp Dist'!$B$6:$B$78,0),MATCH(C350,'Refined Petro Exp Dist'!$AD$2:$BC$2,0))*INDEX(ref_exp_by_year,MATCH(B350,'Data Export'!$B$6:$B$78,0),1)))</f>
        <v>0</v>
      </c>
      <c r="E350">
        <v>4</v>
      </c>
      <c r="F350" t="s">
        <v>921</v>
      </c>
    </row>
    <row r="351" spans="1:6">
      <c r="A351" t="str">
        <f t="shared" si="5"/>
        <v>GenericE&amp;DtemplateCIandGOA</v>
      </c>
      <c r="B351">
        <v>14</v>
      </c>
      <c r="C351">
        <v>12</v>
      </c>
      <c r="D351" s="649">
        <f ca="1">IF(E351=4,INDEX(crude_exp_dist,MATCH(B351,'Crude Exp Dist'!$B$6:$B$78,0),MATCH(C351,'Crude Exp Dist'!$AD$2:$BC$2,0))*INDEX(crude_exp_by_year,MATCH(B351,'Data Export'!$B$6:$B$78,0),1),IF(E351=5,INDEX(ref_exp_dist,MATCH(B351,'Refined Petro Exp Dist'!$B$6:$B$78,0),MATCH(C351,'Refined Petro Exp Dist'!$AD$2:$BC$2,0))*INDEX(ref_exp_by_year,MATCH(B351,'Data Export'!$B$6:$B$78,0),1)))</f>
        <v>2.2721963944218326E-3</v>
      </c>
      <c r="E351">
        <v>4</v>
      </c>
      <c r="F351" t="s">
        <v>208</v>
      </c>
    </row>
    <row r="352" spans="1:6">
      <c r="A352" t="str">
        <f t="shared" si="5"/>
        <v>GenericE&amp;DtemplateCIandGOA</v>
      </c>
      <c r="B352">
        <v>14</v>
      </c>
      <c r="C352">
        <v>13</v>
      </c>
      <c r="D352" s="649">
        <f ca="1">IF(E352=4,INDEX(crude_exp_dist,MATCH(B352,'Crude Exp Dist'!$B$6:$B$78,0),MATCH(C352,'Crude Exp Dist'!$AD$2:$BC$2,0))*INDEX(crude_exp_by_year,MATCH(B352,'Data Export'!$B$6:$B$78,0),1),IF(E352=5,INDEX(ref_exp_dist,MATCH(B352,'Refined Petro Exp Dist'!$B$6:$B$78,0),MATCH(C352,'Refined Petro Exp Dist'!$AD$2:$BC$2,0))*INDEX(ref_exp_by_year,MATCH(B352,'Data Export'!$B$6:$B$78,0),1)))</f>
        <v>2.2721963944218326E-3</v>
      </c>
      <c r="E352">
        <v>4</v>
      </c>
      <c r="F352" t="s">
        <v>211</v>
      </c>
    </row>
    <row r="353" spans="1:6">
      <c r="A353" t="str">
        <f t="shared" si="5"/>
        <v>GenericE&amp;DtemplateCIandGOA</v>
      </c>
      <c r="B353">
        <v>14</v>
      </c>
      <c r="C353">
        <v>14</v>
      </c>
      <c r="D353" s="649">
        <f ca="1">IF(E353=4,INDEX(crude_exp_dist,MATCH(B353,'Crude Exp Dist'!$B$6:$B$78,0),MATCH(C353,'Crude Exp Dist'!$AD$2:$BC$2,0))*INDEX(crude_exp_by_year,MATCH(B353,'Data Export'!$B$6:$B$78,0),1),IF(E353=5,INDEX(ref_exp_dist,MATCH(B353,'Refined Petro Exp Dist'!$B$6:$B$78,0),MATCH(C353,'Refined Petro Exp Dist'!$AD$2:$BC$2,0))*INDEX(ref_exp_by_year,MATCH(B353,'Data Export'!$B$6:$B$78,0),1)))</f>
        <v>0</v>
      </c>
      <c r="E353">
        <v>4</v>
      </c>
      <c r="F353" t="s">
        <v>213</v>
      </c>
    </row>
    <row r="354" spans="1:6">
      <c r="A354" t="str">
        <f t="shared" si="5"/>
        <v>GenericE&amp;DtemplateCIandGOA</v>
      </c>
      <c r="B354">
        <v>14</v>
      </c>
      <c r="C354">
        <v>15</v>
      </c>
      <c r="D354" s="649">
        <f ca="1">IF(E354=4,INDEX(crude_exp_dist,MATCH(B354,'Crude Exp Dist'!$B$6:$B$78,0),MATCH(C354,'Crude Exp Dist'!$AD$2:$BC$2,0))*INDEX(crude_exp_by_year,MATCH(B354,'Data Export'!$B$6:$B$78,0),1),IF(E354=5,INDEX(ref_exp_dist,MATCH(B354,'Refined Petro Exp Dist'!$B$6:$B$78,0),MATCH(C354,'Refined Petro Exp Dist'!$AD$2:$BC$2,0))*INDEX(ref_exp_by_year,MATCH(B354,'Data Export'!$B$6:$B$78,0),1)))</f>
        <v>0</v>
      </c>
      <c r="E354">
        <v>4</v>
      </c>
      <c r="F354" t="s">
        <v>215</v>
      </c>
    </row>
    <row r="355" spans="1:6">
      <c r="A355" t="str">
        <f t="shared" si="5"/>
        <v>GenericE&amp;DtemplateCIandGOA</v>
      </c>
      <c r="B355">
        <v>14</v>
      </c>
      <c r="C355">
        <v>16</v>
      </c>
      <c r="D355" s="649">
        <f ca="1">IF(E355=4,INDEX(crude_exp_dist,MATCH(B355,'Crude Exp Dist'!$B$6:$B$78,0),MATCH(C355,'Crude Exp Dist'!$AD$2:$BC$2,0))*INDEX(crude_exp_by_year,MATCH(B355,'Data Export'!$B$6:$B$78,0),1),IF(E355=5,INDEX(ref_exp_dist,MATCH(B355,'Refined Petro Exp Dist'!$B$6:$B$78,0),MATCH(C355,'Refined Petro Exp Dist'!$AD$2:$BC$2,0))*INDEX(ref_exp_by_year,MATCH(B355,'Data Export'!$B$6:$B$78,0),1)))</f>
        <v>0</v>
      </c>
      <c r="E355">
        <v>4</v>
      </c>
      <c r="F355" t="s">
        <v>219</v>
      </c>
    </row>
    <row r="356" spans="1:6">
      <c r="A356" t="str">
        <f t="shared" si="5"/>
        <v>GenericE&amp;DtemplateCIandGOA</v>
      </c>
      <c r="B356">
        <v>14</v>
      </c>
      <c r="C356">
        <v>17</v>
      </c>
      <c r="D356" s="649">
        <f ca="1">IF(E356=4,INDEX(crude_exp_dist,MATCH(B356,'Crude Exp Dist'!$B$6:$B$78,0),MATCH(C356,'Crude Exp Dist'!$AD$2:$BC$2,0))*INDEX(crude_exp_by_year,MATCH(B356,'Data Export'!$B$6:$B$78,0),1),IF(E356=5,INDEX(ref_exp_dist,MATCH(B356,'Refined Petro Exp Dist'!$B$6:$B$78,0),MATCH(C356,'Refined Petro Exp Dist'!$AD$2:$BC$2,0))*INDEX(ref_exp_by_year,MATCH(B356,'Data Export'!$B$6:$B$78,0),1)))</f>
        <v>0</v>
      </c>
      <c r="E356">
        <v>4</v>
      </c>
      <c r="F356" t="s">
        <v>222</v>
      </c>
    </row>
    <row r="357" spans="1:6">
      <c r="A357" t="str">
        <f t="shared" si="5"/>
        <v>GenericE&amp;DtemplateCIandGOA</v>
      </c>
      <c r="B357">
        <v>14</v>
      </c>
      <c r="C357">
        <v>18</v>
      </c>
      <c r="D357" s="649">
        <f ca="1">IF(E357=4,INDEX(crude_exp_dist,MATCH(B357,'Crude Exp Dist'!$B$6:$B$78,0),MATCH(C357,'Crude Exp Dist'!$AD$2:$BC$2,0))*INDEX(crude_exp_by_year,MATCH(B357,'Data Export'!$B$6:$B$78,0),1),IF(E357=5,INDEX(ref_exp_dist,MATCH(B357,'Refined Petro Exp Dist'!$B$6:$B$78,0),MATCH(C357,'Refined Petro Exp Dist'!$AD$2:$BC$2,0))*INDEX(ref_exp_by_year,MATCH(B357,'Data Export'!$B$6:$B$78,0),1)))</f>
        <v>0</v>
      </c>
      <c r="E357">
        <v>4</v>
      </c>
      <c r="F357" t="s">
        <v>224</v>
      </c>
    </row>
    <row r="358" spans="1:6">
      <c r="A358" t="str">
        <f t="shared" si="5"/>
        <v>GenericE&amp;DtemplateCIandGOA</v>
      </c>
      <c r="B358">
        <v>14</v>
      </c>
      <c r="C358">
        <v>19</v>
      </c>
      <c r="D358" s="649">
        <f ca="1">IF(E358=4,INDEX(crude_exp_dist,MATCH(B358,'Crude Exp Dist'!$B$6:$B$78,0),MATCH(C358,'Crude Exp Dist'!$AD$2:$BC$2,0))*INDEX(crude_exp_by_year,MATCH(B358,'Data Export'!$B$6:$B$78,0),1),IF(E358=5,INDEX(ref_exp_dist,MATCH(B358,'Refined Petro Exp Dist'!$B$6:$B$78,0),MATCH(C358,'Refined Petro Exp Dist'!$AD$2:$BC$2,0))*INDEX(ref_exp_by_year,MATCH(B358,'Data Export'!$B$6:$B$78,0),1)))</f>
        <v>0</v>
      </c>
      <c r="E358">
        <v>4</v>
      </c>
      <c r="F358" t="s">
        <v>228</v>
      </c>
    </row>
    <row r="359" spans="1:6">
      <c r="A359" t="str">
        <f t="shared" si="5"/>
        <v>GenericE&amp;DtemplateCIandGOA</v>
      </c>
      <c r="B359">
        <v>14</v>
      </c>
      <c r="C359">
        <v>20</v>
      </c>
      <c r="D359" s="649">
        <f ca="1">IF(E359=4,INDEX(crude_exp_dist,MATCH(B359,'Crude Exp Dist'!$B$6:$B$78,0),MATCH(C359,'Crude Exp Dist'!$AD$2:$BC$2,0))*INDEX(crude_exp_by_year,MATCH(B359,'Data Export'!$B$6:$B$78,0),1),IF(E359=5,INDEX(ref_exp_dist,MATCH(B359,'Refined Petro Exp Dist'!$B$6:$B$78,0),MATCH(C359,'Refined Petro Exp Dist'!$AD$2:$BC$2,0))*INDEX(ref_exp_by_year,MATCH(B359,'Data Export'!$B$6:$B$78,0),1)))</f>
        <v>0</v>
      </c>
      <c r="E359">
        <v>4</v>
      </c>
      <c r="F359" t="s">
        <v>231</v>
      </c>
    </row>
    <row r="360" spans="1:6">
      <c r="A360" t="str">
        <f t="shared" si="5"/>
        <v>GenericE&amp;DtemplateCIandGOA</v>
      </c>
      <c r="B360">
        <v>14</v>
      </c>
      <c r="C360">
        <v>21</v>
      </c>
      <c r="D360" s="649">
        <f ca="1">IF(E360=4,INDEX(crude_exp_dist,MATCH(B360,'Crude Exp Dist'!$B$6:$B$78,0),MATCH(C360,'Crude Exp Dist'!$AD$2:$BC$2,0))*INDEX(crude_exp_by_year,MATCH(B360,'Data Export'!$B$6:$B$78,0),1),IF(E360=5,INDEX(ref_exp_dist,MATCH(B360,'Refined Petro Exp Dist'!$B$6:$B$78,0),MATCH(C360,'Refined Petro Exp Dist'!$AD$2:$BC$2,0))*INDEX(ref_exp_by_year,MATCH(B360,'Data Export'!$B$6:$B$78,0),1)))</f>
        <v>0</v>
      </c>
      <c r="E360">
        <v>4</v>
      </c>
      <c r="F360" t="s">
        <v>232</v>
      </c>
    </row>
    <row r="361" spans="1:6">
      <c r="A361" t="str">
        <f t="shared" si="5"/>
        <v>GenericE&amp;DtemplateCIandGOA</v>
      </c>
      <c r="B361">
        <v>14</v>
      </c>
      <c r="C361">
        <v>22</v>
      </c>
      <c r="D361" s="649">
        <f ca="1">IF(E361=4,INDEX(crude_exp_dist,MATCH(B361,'Crude Exp Dist'!$B$6:$B$78,0),MATCH(C361,'Crude Exp Dist'!$AD$2:$BC$2,0))*INDEX(crude_exp_by_year,MATCH(B361,'Data Export'!$B$6:$B$78,0),1),IF(E361=5,INDEX(ref_exp_dist,MATCH(B361,'Refined Petro Exp Dist'!$B$6:$B$78,0),MATCH(C361,'Refined Petro Exp Dist'!$AD$2:$BC$2,0))*INDEX(ref_exp_by_year,MATCH(B361,'Data Export'!$B$6:$B$78,0),1)))</f>
        <v>0</v>
      </c>
      <c r="E361">
        <v>4</v>
      </c>
      <c r="F361" t="s">
        <v>235</v>
      </c>
    </row>
    <row r="362" spans="1:6">
      <c r="A362" t="str">
        <f t="shared" si="5"/>
        <v>GenericE&amp;DtemplateCIandGOA</v>
      </c>
      <c r="B362">
        <v>14</v>
      </c>
      <c r="C362">
        <v>23</v>
      </c>
      <c r="D362" s="649">
        <f ca="1">IF(E362=4,INDEX(crude_exp_dist,MATCH(B362,'Crude Exp Dist'!$B$6:$B$78,0),MATCH(C362,'Crude Exp Dist'!$AD$2:$BC$2,0))*INDEX(crude_exp_by_year,MATCH(B362,'Data Export'!$B$6:$B$78,0),1),IF(E362=5,INDEX(ref_exp_dist,MATCH(B362,'Refined Petro Exp Dist'!$B$6:$B$78,0),MATCH(C362,'Refined Petro Exp Dist'!$AD$2:$BC$2,0))*INDEX(ref_exp_by_year,MATCH(B362,'Data Export'!$B$6:$B$78,0),1)))</f>
        <v>0</v>
      </c>
      <c r="E362">
        <v>4</v>
      </c>
      <c r="F362" t="s">
        <v>237</v>
      </c>
    </row>
    <row r="363" spans="1:6">
      <c r="A363" t="str">
        <f t="shared" si="5"/>
        <v>GenericE&amp;DtemplateCIandGOA</v>
      </c>
      <c r="B363">
        <v>14</v>
      </c>
      <c r="C363">
        <v>24</v>
      </c>
      <c r="D363" s="649">
        <f ca="1">IF(E363=4,INDEX(crude_exp_dist,MATCH(B363,'Crude Exp Dist'!$B$6:$B$78,0),MATCH(C363,'Crude Exp Dist'!$AD$2:$BC$2,0))*INDEX(crude_exp_by_year,MATCH(B363,'Data Export'!$B$6:$B$78,0),1),IF(E363=5,INDEX(ref_exp_dist,MATCH(B363,'Refined Petro Exp Dist'!$B$6:$B$78,0),MATCH(C363,'Refined Petro Exp Dist'!$AD$2:$BC$2,0))*INDEX(ref_exp_by_year,MATCH(B363,'Data Export'!$B$6:$B$78,0),1)))</f>
        <v>0</v>
      </c>
      <c r="E363">
        <v>4</v>
      </c>
      <c r="F363" t="s">
        <v>239</v>
      </c>
    </row>
    <row r="364" spans="1:6">
      <c r="A364" t="str">
        <f t="shared" si="5"/>
        <v>GenericE&amp;DtemplateCIandGOA</v>
      </c>
      <c r="B364">
        <v>14</v>
      </c>
      <c r="C364">
        <v>25</v>
      </c>
      <c r="D364" s="649">
        <f ca="1">IF(E364=4,INDEX(crude_exp_dist,MATCH(B364,'Crude Exp Dist'!$B$6:$B$78,0),MATCH(C364,'Crude Exp Dist'!$AD$2:$BC$2,0))*INDEX(crude_exp_by_year,MATCH(B364,'Data Export'!$B$6:$B$78,0),1),IF(E364=5,INDEX(ref_exp_dist,MATCH(B364,'Refined Petro Exp Dist'!$B$6:$B$78,0),MATCH(C364,'Refined Petro Exp Dist'!$AD$2:$BC$2,0))*INDEX(ref_exp_by_year,MATCH(B364,'Data Export'!$B$6:$B$78,0),1)))</f>
        <v>0</v>
      </c>
      <c r="E364">
        <v>4</v>
      </c>
      <c r="F364" t="s">
        <v>242</v>
      </c>
    </row>
    <row r="365" spans="1:6">
      <c r="A365" t="str">
        <f t="shared" si="5"/>
        <v>GenericE&amp;DtemplateCIandGOA</v>
      </c>
      <c r="B365">
        <v>14</v>
      </c>
      <c r="C365">
        <v>26</v>
      </c>
      <c r="D365" s="649">
        <f ca="1">IF(E365=4,INDEX(crude_exp_dist,MATCH(B365,'Crude Exp Dist'!$B$6:$B$78,0),MATCH(C365,'Crude Exp Dist'!$AD$2:$BC$2,0))*INDEX(crude_exp_by_year,MATCH(B365,'Data Export'!$B$6:$B$78,0),1),IF(E365=5,INDEX(ref_exp_dist,MATCH(B365,'Refined Petro Exp Dist'!$B$6:$B$78,0),MATCH(C365,'Refined Petro Exp Dist'!$AD$2:$BC$2,0))*INDEX(ref_exp_by_year,MATCH(B365,'Data Export'!$B$6:$B$78,0),1)))</f>
        <v>0</v>
      </c>
      <c r="E365">
        <v>4</v>
      </c>
      <c r="F365" t="s">
        <v>245</v>
      </c>
    </row>
    <row r="366" spans="1:6">
      <c r="A366" t="str">
        <f t="shared" si="5"/>
        <v>GenericE&amp;DtemplateCIandGOA</v>
      </c>
      <c r="B366">
        <v>15</v>
      </c>
      <c r="C366">
        <v>1</v>
      </c>
      <c r="D366" s="649">
        <f ca="1">IF(E366=4,INDEX(crude_exp_dist,MATCH(B366,'Crude Exp Dist'!$B$6:$B$78,0),MATCH(C366,'Crude Exp Dist'!$AD$2:$BC$2,0))*INDEX(crude_exp_by_year,MATCH(B366,'Data Export'!$B$6:$B$78,0),1),IF(E366=5,INDEX(ref_exp_dist,MATCH(B366,'Refined Petro Exp Dist'!$B$6:$B$78,0),MATCH(C366,'Refined Petro Exp Dist'!$AD$2:$BC$2,0))*INDEX(ref_exp_by_year,MATCH(B366,'Data Export'!$B$6:$B$78,0),1)))</f>
        <v>0</v>
      </c>
      <c r="E366">
        <v>4</v>
      </c>
      <c r="F366" t="s">
        <v>158</v>
      </c>
    </row>
    <row r="367" spans="1:6">
      <c r="A367" t="str">
        <f t="shared" si="5"/>
        <v>GenericE&amp;DtemplateCIandGOA</v>
      </c>
      <c r="B367">
        <v>15</v>
      </c>
      <c r="C367">
        <v>2</v>
      </c>
      <c r="D367" s="649">
        <f ca="1">IF(E367=4,INDEX(crude_exp_dist,MATCH(B367,'Crude Exp Dist'!$B$6:$B$78,0),MATCH(C367,'Crude Exp Dist'!$AD$2:$BC$2,0))*INDEX(crude_exp_by_year,MATCH(B367,'Data Export'!$B$6:$B$78,0),1),IF(E367=5,INDEX(ref_exp_dist,MATCH(B367,'Refined Petro Exp Dist'!$B$6:$B$78,0),MATCH(C367,'Refined Petro Exp Dist'!$AD$2:$BC$2,0))*INDEX(ref_exp_by_year,MATCH(B367,'Data Export'!$B$6:$B$78,0),1)))</f>
        <v>0</v>
      </c>
      <c r="E367">
        <v>4</v>
      </c>
      <c r="F367" t="s">
        <v>166</v>
      </c>
    </row>
    <row r="368" spans="1:6">
      <c r="A368" t="str">
        <f t="shared" si="5"/>
        <v>GenericE&amp;DtemplateCIandGOA</v>
      </c>
      <c r="B368">
        <v>15</v>
      </c>
      <c r="C368">
        <v>3</v>
      </c>
      <c r="D368" s="649">
        <f ca="1">IF(E368=4,INDEX(crude_exp_dist,MATCH(B368,'Crude Exp Dist'!$B$6:$B$78,0),MATCH(C368,'Crude Exp Dist'!$AD$2:$BC$2,0))*INDEX(crude_exp_by_year,MATCH(B368,'Data Export'!$B$6:$B$78,0),1),IF(E368=5,INDEX(ref_exp_dist,MATCH(B368,'Refined Petro Exp Dist'!$B$6:$B$78,0),MATCH(C368,'Refined Petro Exp Dist'!$AD$2:$BC$2,0))*INDEX(ref_exp_by_year,MATCH(B368,'Data Export'!$B$6:$B$78,0),1)))</f>
        <v>0</v>
      </c>
      <c r="E368">
        <v>4</v>
      </c>
      <c r="F368" t="s">
        <v>171</v>
      </c>
    </row>
    <row r="369" spans="1:6">
      <c r="A369" t="str">
        <f t="shared" si="5"/>
        <v>GenericE&amp;DtemplateCIandGOA</v>
      </c>
      <c r="B369">
        <v>15</v>
      </c>
      <c r="C369">
        <v>4</v>
      </c>
      <c r="D369" s="649">
        <f ca="1">IF(E369=4,INDEX(crude_exp_dist,MATCH(B369,'Crude Exp Dist'!$B$6:$B$78,0),MATCH(C369,'Crude Exp Dist'!$AD$2:$BC$2,0))*INDEX(crude_exp_by_year,MATCH(B369,'Data Export'!$B$6:$B$78,0),1),IF(E369=5,INDEX(ref_exp_dist,MATCH(B369,'Refined Petro Exp Dist'!$B$6:$B$78,0),MATCH(C369,'Refined Petro Exp Dist'!$AD$2:$BC$2,0))*INDEX(ref_exp_by_year,MATCH(B369,'Data Export'!$B$6:$B$78,0),1)))</f>
        <v>0</v>
      </c>
      <c r="E369">
        <v>4</v>
      </c>
      <c r="F369" t="s">
        <v>173</v>
      </c>
    </row>
    <row r="370" spans="1:6">
      <c r="A370" t="str">
        <f t="shared" si="5"/>
        <v>GenericE&amp;DtemplateCIandGOA</v>
      </c>
      <c r="B370">
        <v>15</v>
      </c>
      <c r="C370">
        <v>5</v>
      </c>
      <c r="D370" s="649">
        <f ca="1">IF(E370=4,INDEX(crude_exp_dist,MATCH(B370,'Crude Exp Dist'!$B$6:$B$78,0),MATCH(C370,'Crude Exp Dist'!$AD$2:$BC$2,0))*INDEX(crude_exp_by_year,MATCH(B370,'Data Export'!$B$6:$B$78,0),1),IF(E370=5,INDEX(ref_exp_dist,MATCH(B370,'Refined Petro Exp Dist'!$B$6:$B$78,0),MATCH(C370,'Refined Petro Exp Dist'!$AD$2:$BC$2,0))*INDEX(ref_exp_by_year,MATCH(B370,'Data Export'!$B$6:$B$78,0),1)))</f>
        <v>0</v>
      </c>
      <c r="E370">
        <v>4</v>
      </c>
      <c r="F370" t="s">
        <v>180</v>
      </c>
    </row>
    <row r="371" spans="1:6">
      <c r="A371" t="str">
        <f t="shared" si="5"/>
        <v>GenericE&amp;DtemplateCIandGOA</v>
      </c>
      <c r="B371">
        <v>15</v>
      </c>
      <c r="C371">
        <v>6</v>
      </c>
      <c r="D371" s="649">
        <f ca="1">IF(E371=4,INDEX(crude_exp_dist,MATCH(B371,'Crude Exp Dist'!$B$6:$B$78,0),MATCH(C371,'Crude Exp Dist'!$AD$2:$BC$2,0))*INDEX(crude_exp_by_year,MATCH(B371,'Data Export'!$B$6:$B$78,0),1),IF(E371=5,INDEX(ref_exp_dist,MATCH(B371,'Refined Petro Exp Dist'!$B$6:$B$78,0),MATCH(C371,'Refined Petro Exp Dist'!$AD$2:$BC$2,0))*INDEX(ref_exp_by_year,MATCH(B371,'Data Export'!$B$6:$B$78,0),1)))</f>
        <v>4.6538530880597839E-2</v>
      </c>
      <c r="E371">
        <v>4</v>
      </c>
      <c r="F371" t="s">
        <v>186</v>
      </c>
    </row>
    <row r="372" spans="1:6">
      <c r="A372" t="str">
        <f t="shared" si="5"/>
        <v>GenericE&amp;DtemplateCIandGOA</v>
      </c>
      <c r="B372">
        <v>15</v>
      </c>
      <c r="C372">
        <v>7</v>
      </c>
      <c r="D372" s="649">
        <f ca="1">IF(E372=4,INDEX(crude_exp_dist,MATCH(B372,'Crude Exp Dist'!$B$6:$B$78,0),MATCH(C372,'Crude Exp Dist'!$AD$2:$BC$2,0))*INDEX(crude_exp_by_year,MATCH(B372,'Data Export'!$B$6:$B$78,0),1),IF(E372=5,INDEX(ref_exp_dist,MATCH(B372,'Refined Petro Exp Dist'!$B$6:$B$78,0),MATCH(C372,'Refined Petro Exp Dist'!$AD$2:$BC$2,0))*INDEX(ref_exp_by_year,MATCH(B372,'Data Export'!$B$6:$B$78,0),1)))</f>
        <v>0</v>
      </c>
      <c r="E372">
        <v>4</v>
      </c>
      <c r="F372" t="s">
        <v>191</v>
      </c>
    </row>
    <row r="373" spans="1:6">
      <c r="A373" t="str">
        <f t="shared" si="5"/>
        <v>GenericE&amp;DtemplateCIandGOA</v>
      </c>
      <c r="B373">
        <v>15</v>
      </c>
      <c r="C373">
        <v>8</v>
      </c>
      <c r="D373" s="649">
        <f ca="1">IF(E373=4,INDEX(crude_exp_dist,MATCH(B373,'Crude Exp Dist'!$B$6:$B$78,0),MATCH(C373,'Crude Exp Dist'!$AD$2:$BC$2,0))*INDEX(crude_exp_by_year,MATCH(B373,'Data Export'!$B$6:$B$78,0),1),IF(E373=5,INDEX(ref_exp_dist,MATCH(B373,'Refined Petro Exp Dist'!$B$6:$B$78,0),MATCH(C373,'Refined Petro Exp Dist'!$AD$2:$BC$2,0))*INDEX(ref_exp_by_year,MATCH(B373,'Data Export'!$B$6:$B$78,0),1)))</f>
        <v>0</v>
      </c>
      <c r="E373">
        <v>4</v>
      </c>
      <c r="F373" t="s">
        <v>197</v>
      </c>
    </row>
    <row r="374" spans="1:6">
      <c r="A374" t="str">
        <f t="shared" si="5"/>
        <v>GenericE&amp;DtemplateCIandGOA</v>
      </c>
      <c r="B374">
        <v>15</v>
      </c>
      <c r="C374">
        <v>9</v>
      </c>
      <c r="D374" s="649">
        <f ca="1">IF(E374=4,INDEX(crude_exp_dist,MATCH(B374,'Crude Exp Dist'!$B$6:$B$78,0),MATCH(C374,'Crude Exp Dist'!$AD$2:$BC$2,0))*INDEX(crude_exp_by_year,MATCH(B374,'Data Export'!$B$6:$B$78,0),1),IF(E374=5,INDEX(ref_exp_dist,MATCH(B374,'Refined Petro Exp Dist'!$B$6:$B$78,0),MATCH(C374,'Refined Petro Exp Dist'!$AD$2:$BC$2,0))*INDEX(ref_exp_by_year,MATCH(B374,'Data Export'!$B$6:$B$78,0),1)))</f>
        <v>0</v>
      </c>
      <c r="E374">
        <v>4</v>
      </c>
      <c r="F374" t="s">
        <v>199</v>
      </c>
    </row>
    <row r="375" spans="1:6">
      <c r="A375" t="str">
        <f t="shared" si="5"/>
        <v>GenericE&amp;DtemplateCIandGOA</v>
      </c>
      <c r="B375">
        <v>15</v>
      </c>
      <c r="C375">
        <v>10</v>
      </c>
      <c r="D375" s="649">
        <f ca="1">IF(E375=4,INDEX(crude_exp_dist,MATCH(B375,'Crude Exp Dist'!$B$6:$B$78,0),MATCH(C375,'Crude Exp Dist'!$AD$2:$BC$2,0))*INDEX(crude_exp_by_year,MATCH(B375,'Data Export'!$B$6:$B$78,0),1),IF(E375=5,INDEX(ref_exp_dist,MATCH(B375,'Refined Petro Exp Dist'!$B$6:$B$78,0),MATCH(C375,'Refined Petro Exp Dist'!$AD$2:$BC$2,0))*INDEX(ref_exp_by_year,MATCH(B375,'Data Export'!$B$6:$B$78,0),1)))</f>
        <v>0</v>
      </c>
      <c r="E375">
        <v>4</v>
      </c>
      <c r="F375" t="s">
        <v>201</v>
      </c>
    </row>
    <row r="376" spans="1:6">
      <c r="A376" t="str">
        <f t="shared" si="5"/>
        <v>GenericE&amp;DtemplateCIandGOA</v>
      </c>
      <c r="B376">
        <v>15</v>
      </c>
      <c r="C376">
        <v>11</v>
      </c>
      <c r="D376" s="649">
        <f ca="1">IF(E376=4,INDEX(crude_exp_dist,MATCH(B376,'Crude Exp Dist'!$B$6:$B$78,0),MATCH(C376,'Crude Exp Dist'!$AD$2:$BC$2,0))*INDEX(crude_exp_by_year,MATCH(B376,'Data Export'!$B$6:$B$78,0),1),IF(E376=5,INDEX(ref_exp_dist,MATCH(B376,'Refined Petro Exp Dist'!$B$6:$B$78,0),MATCH(C376,'Refined Petro Exp Dist'!$AD$2:$BC$2,0))*INDEX(ref_exp_by_year,MATCH(B376,'Data Export'!$B$6:$B$78,0),1)))</f>
        <v>0</v>
      </c>
      <c r="E376">
        <v>4</v>
      </c>
      <c r="F376" t="s">
        <v>921</v>
      </c>
    </row>
    <row r="377" spans="1:6">
      <c r="A377" t="str">
        <f t="shared" si="5"/>
        <v>GenericE&amp;DtemplateCIandGOA</v>
      </c>
      <c r="B377">
        <v>15</v>
      </c>
      <c r="C377">
        <v>12</v>
      </c>
      <c r="D377" s="649">
        <f ca="1">IF(E377=4,INDEX(crude_exp_dist,MATCH(B377,'Crude Exp Dist'!$B$6:$B$78,0),MATCH(C377,'Crude Exp Dist'!$AD$2:$BC$2,0))*INDEX(crude_exp_by_year,MATCH(B377,'Data Export'!$B$6:$B$78,0),1),IF(E377=5,INDEX(ref_exp_dist,MATCH(B377,'Refined Petro Exp Dist'!$B$6:$B$78,0),MATCH(C377,'Refined Petro Exp Dist'!$AD$2:$BC$2,0))*INDEX(ref_exp_by_year,MATCH(B377,'Data Export'!$B$6:$B$78,0),1)))</f>
        <v>2.2459918198146959E-3</v>
      </c>
      <c r="E377">
        <v>4</v>
      </c>
      <c r="F377" t="s">
        <v>208</v>
      </c>
    </row>
    <row r="378" spans="1:6">
      <c r="A378" t="str">
        <f t="shared" si="5"/>
        <v>GenericE&amp;DtemplateCIandGOA</v>
      </c>
      <c r="B378">
        <v>15</v>
      </c>
      <c r="C378">
        <v>13</v>
      </c>
      <c r="D378" s="649">
        <f ca="1">IF(E378=4,INDEX(crude_exp_dist,MATCH(B378,'Crude Exp Dist'!$B$6:$B$78,0),MATCH(C378,'Crude Exp Dist'!$AD$2:$BC$2,0))*INDEX(crude_exp_by_year,MATCH(B378,'Data Export'!$B$6:$B$78,0),1),IF(E378=5,INDEX(ref_exp_dist,MATCH(B378,'Refined Petro Exp Dist'!$B$6:$B$78,0),MATCH(C378,'Refined Petro Exp Dist'!$AD$2:$BC$2,0))*INDEX(ref_exp_by_year,MATCH(B378,'Data Export'!$B$6:$B$78,0),1)))</f>
        <v>2.2459918198146959E-3</v>
      </c>
      <c r="E378">
        <v>4</v>
      </c>
      <c r="F378" t="s">
        <v>211</v>
      </c>
    </row>
    <row r="379" spans="1:6">
      <c r="A379" t="str">
        <f t="shared" si="5"/>
        <v>GenericE&amp;DtemplateCIandGOA</v>
      </c>
      <c r="B379">
        <v>15</v>
      </c>
      <c r="C379">
        <v>14</v>
      </c>
      <c r="D379" s="649">
        <f ca="1">IF(E379=4,INDEX(crude_exp_dist,MATCH(B379,'Crude Exp Dist'!$B$6:$B$78,0),MATCH(C379,'Crude Exp Dist'!$AD$2:$BC$2,0))*INDEX(crude_exp_by_year,MATCH(B379,'Data Export'!$B$6:$B$78,0),1),IF(E379=5,INDEX(ref_exp_dist,MATCH(B379,'Refined Petro Exp Dist'!$B$6:$B$78,0),MATCH(C379,'Refined Petro Exp Dist'!$AD$2:$BC$2,0))*INDEX(ref_exp_by_year,MATCH(B379,'Data Export'!$B$6:$B$78,0),1)))</f>
        <v>0</v>
      </c>
      <c r="E379">
        <v>4</v>
      </c>
      <c r="F379" t="s">
        <v>213</v>
      </c>
    </row>
    <row r="380" spans="1:6">
      <c r="A380" t="str">
        <f t="shared" si="5"/>
        <v>GenericE&amp;DtemplateCIandGOA</v>
      </c>
      <c r="B380">
        <v>15</v>
      </c>
      <c r="C380">
        <v>15</v>
      </c>
      <c r="D380" s="649">
        <f ca="1">IF(E380=4,INDEX(crude_exp_dist,MATCH(B380,'Crude Exp Dist'!$B$6:$B$78,0),MATCH(C380,'Crude Exp Dist'!$AD$2:$BC$2,0))*INDEX(crude_exp_by_year,MATCH(B380,'Data Export'!$B$6:$B$78,0),1),IF(E380=5,INDEX(ref_exp_dist,MATCH(B380,'Refined Petro Exp Dist'!$B$6:$B$78,0),MATCH(C380,'Refined Petro Exp Dist'!$AD$2:$BC$2,0))*INDEX(ref_exp_by_year,MATCH(B380,'Data Export'!$B$6:$B$78,0),1)))</f>
        <v>0</v>
      </c>
      <c r="E380">
        <v>4</v>
      </c>
      <c r="F380" t="s">
        <v>215</v>
      </c>
    </row>
    <row r="381" spans="1:6">
      <c r="A381" t="str">
        <f t="shared" si="5"/>
        <v>GenericE&amp;DtemplateCIandGOA</v>
      </c>
      <c r="B381">
        <v>15</v>
      </c>
      <c r="C381">
        <v>16</v>
      </c>
      <c r="D381" s="649">
        <f ca="1">IF(E381=4,INDEX(crude_exp_dist,MATCH(B381,'Crude Exp Dist'!$B$6:$B$78,0),MATCH(C381,'Crude Exp Dist'!$AD$2:$BC$2,0))*INDEX(crude_exp_by_year,MATCH(B381,'Data Export'!$B$6:$B$78,0),1),IF(E381=5,INDEX(ref_exp_dist,MATCH(B381,'Refined Petro Exp Dist'!$B$6:$B$78,0),MATCH(C381,'Refined Petro Exp Dist'!$AD$2:$BC$2,0))*INDEX(ref_exp_by_year,MATCH(B381,'Data Export'!$B$6:$B$78,0),1)))</f>
        <v>0</v>
      </c>
      <c r="E381">
        <v>4</v>
      </c>
      <c r="F381" t="s">
        <v>219</v>
      </c>
    </row>
    <row r="382" spans="1:6">
      <c r="A382" t="str">
        <f t="shared" si="5"/>
        <v>GenericE&amp;DtemplateCIandGOA</v>
      </c>
      <c r="B382">
        <v>15</v>
      </c>
      <c r="C382">
        <v>17</v>
      </c>
      <c r="D382" s="649">
        <f ca="1">IF(E382=4,INDEX(crude_exp_dist,MATCH(B382,'Crude Exp Dist'!$B$6:$B$78,0),MATCH(C382,'Crude Exp Dist'!$AD$2:$BC$2,0))*INDEX(crude_exp_by_year,MATCH(B382,'Data Export'!$B$6:$B$78,0),1),IF(E382=5,INDEX(ref_exp_dist,MATCH(B382,'Refined Petro Exp Dist'!$B$6:$B$78,0),MATCH(C382,'Refined Petro Exp Dist'!$AD$2:$BC$2,0))*INDEX(ref_exp_by_year,MATCH(B382,'Data Export'!$B$6:$B$78,0),1)))</f>
        <v>0</v>
      </c>
      <c r="E382">
        <v>4</v>
      </c>
      <c r="F382" t="s">
        <v>222</v>
      </c>
    </row>
    <row r="383" spans="1:6">
      <c r="A383" t="str">
        <f t="shared" si="5"/>
        <v>GenericE&amp;DtemplateCIandGOA</v>
      </c>
      <c r="B383">
        <v>15</v>
      </c>
      <c r="C383">
        <v>18</v>
      </c>
      <c r="D383" s="649">
        <f ca="1">IF(E383=4,INDEX(crude_exp_dist,MATCH(B383,'Crude Exp Dist'!$B$6:$B$78,0),MATCH(C383,'Crude Exp Dist'!$AD$2:$BC$2,0))*INDEX(crude_exp_by_year,MATCH(B383,'Data Export'!$B$6:$B$78,0),1),IF(E383=5,INDEX(ref_exp_dist,MATCH(B383,'Refined Petro Exp Dist'!$B$6:$B$78,0),MATCH(C383,'Refined Petro Exp Dist'!$AD$2:$BC$2,0))*INDEX(ref_exp_by_year,MATCH(B383,'Data Export'!$B$6:$B$78,0),1)))</f>
        <v>0</v>
      </c>
      <c r="E383">
        <v>4</v>
      </c>
      <c r="F383" t="s">
        <v>224</v>
      </c>
    </row>
    <row r="384" spans="1:6">
      <c r="A384" t="str">
        <f t="shared" si="5"/>
        <v>GenericE&amp;DtemplateCIandGOA</v>
      </c>
      <c r="B384">
        <v>15</v>
      </c>
      <c r="C384">
        <v>19</v>
      </c>
      <c r="D384" s="649">
        <f ca="1">IF(E384=4,INDEX(crude_exp_dist,MATCH(B384,'Crude Exp Dist'!$B$6:$B$78,0),MATCH(C384,'Crude Exp Dist'!$AD$2:$BC$2,0))*INDEX(crude_exp_by_year,MATCH(B384,'Data Export'!$B$6:$B$78,0),1),IF(E384=5,INDEX(ref_exp_dist,MATCH(B384,'Refined Petro Exp Dist'!$B$6:$B$78,0),MATCH(C384,'Refined Petro Exp Dist'!$AD$2:$BC$2,0))*INDEX(ref_exp_by_year,MATCH(B384,'Data Export'!$B$6:$B$78,0),1)))</f>
        <v>0</v>
      </c>
      <c r="E384">
        <v>4</v>
      </c>
      <c r="F384" t="s">
        <v>228</v>
      </c>
    </row>
    <row r="385" spans="1:6">
      <c r="A385" t="str">
        <f t="shared" si="5"/>
        <v>GenericE&amp;DtemplateCIandGOA</v>
      </c>
      <c r="B385">
        <v>15</v>
      </c>
      <c r="C385">
        <v>20</v>
      </c>
      <c r="D385" s="649">
        <f ca="1">IF(E385=4,INDEX(crude_exp_dist,MATCH(B385,'Crude Exp Dist'!$B$6:$B$78,0),MATCH(C385,'Crude Exp Dist'!$AD$2:$BC$2,0))*INDEX(crude_exp_by_year,MATCH(B385,'Data Export'!$B$6:$B$78,0),1),IF(E385=5,INDEX(ref_exp_dist,MATCH(B385,'Refined Petro Exp Dist'!$B$6:$B$78,0),MATCH(C385,'Refined Petro Exp Dist'!$AD$2:$BC$2,0))*INDEX(ref_exp_by_year,MATCH(B385,'Data Export'!$B$6:$B$78,0),1)))</f>
        <v>0</v>
      </c>
      <c r="E385">
        <v>4</v>
      </c>
      <c r="F385" t="s">
        <v>231</v>
      </c>
    </row>
    <row r="386" spans="1:6">
      <c r="A386" t="str">
        <f t="shared" ref="A386:A449" si="6">scenario_name</f>
        <v>GenericE&amp;DtemplateCIandGOA</v>
      </c>
      <c r="B386">
        <v>15</v>
      </c>
      <c r="C386">
        <v>21</v>
      </c>
      <c r="D386" s="649">
        <f ca="1">IF(E386=4,INDEX(crude_exp_dist,MATCH(B386,'Crude Exp Dist'!$B$6:$B$78,0),MATCH(C386,'Crude Exp Dist'!$AD$2:$BC$2,0))*INDEX(crude_exp_by_year,MATCH(B386,'Data Export'!$B$6:$B$78,0),1),IF(E386=5,INDEX(ref_exp_dist,MATCH(B386,'Refined Petro Exp Dist'!$B$6:$B$78,0),MATCH(C386,'Refined Petro Exp Dist'!$AD$2:$BC$2,0))*INDEX(ref_exp_by_year,MATCH(B386,'Data Export'!$B$6:$B$78,0),1)))</f>
        <v>0</v>
      </c>
      <c r="E386">
        <v>4</v>
      </c>
      <c r="F386" t="s">
        <v>232</v>
      </c>
    </row>
    <row r="387" spans="1:6">
      <c r="A387" t="str">
        <f t="shared" si="6"/>
        <v>GenericE&amp;DtemplateCIandGOA</v>
      </c>
      <c r="B387">
        <v>15</v>
      </c>
      <c r="C387">
        <v>22</v>
      </c>
      <c r="D387" s="649">
        <f ca="1">IF(E387=4,INDEX(crude_exp_dist,MATCH(B387,'Crude Exp Dist'!$B$6:$B$78,0),MATCH(C387,'Crude Exp Dist'!$AD$2:$BC$2,0))*INDEX(crude_exp_by_year,MATCH(B387,'Data Export'!$B$6:$B$78,0),1),IF(E387=5,INDEX(ref_exp_dist,MATCH(B387,'Refined Petro Exp Dist'!$B$6:$B$78,0),MATCH(C387,'Refined Petro Exp Dist'!$AD$2:$BC$2,0))*INDEX(ref_exp_by_year,MATCH(B387,'Data Export'!$B$6:$B$78,0),1)))</f>
        <v>0</v>
      </c>
      <c r="E387">
        <v>4</v>
      </c>
      <c r="F387" t="s">
        <v>235</v>
      </c>
    </row>
    <row r="388" spans="1:6">
      <c r="A388" t="str">
        <f t="shared" si="6"/>
        <v>GenericE&amp;DtemplateCIandGOA</v>
      </c>
      <c r="B388">
        <v>15</v>
      </c>
      <c r="C388">
        <v>23</v>
      </c>
      <c r="D388" s="649">
        <f ca="1">IF(E388=4,INDEX(crude_exp_dist,MATCH(B388,'Crude Exp Dist'!$B$6:$B$78,0),MATCH(C388,'Crude Exp Dist'!$AD$2:$BC$2,0))*INDEX(crude_exp_by_year,MATCH(B388,'Data Export'!$B$6:$B$78,0),1),IF(E388=5,INDEX(ref_exp_dist,MATCH(B388,'Refined Petro Exp Dist'!$B$6:$B$78,0),MATCH(C388,'Refined Petro Exp Dist'!$AD$2:$BC$2,0))*INDEX(ref_exp_by_year,MATCH(B388,'Data Export'!$B$6:$B$78,0),1)))</f>
        <v>0</v>
      </c>
      <c r="E388">
        <v>4</v>
      </c>
      <c r="F388" t="s">
        <v>237</v>
      </c>
    </row>
    <row r="389" spans="1:6">
      <c r="A389" t="str">
        <f t="shared" si="6"/>
        <v>GenericE&amp;DtemplateCIandGOA</v>
      </c>
      <c r="B389">
        <v>15</v>
      </c>
      <c r="C389">
        <v>24</v>
      </c>
      <c r="D389" s="649">
        <f ca="1">IF(E389=4,INDEX(crude_exp_dist,MATCH(B389,'Crude Exp Dist'!$B$6:$B$78,0),MATCH(C389,'Crude Exp Dist'!$AD$2:$BC$2,0))*INDEX(crude_exp_by_year,MATCH(B389,'Data Export'!$B$6:$B$78,0),1),IF(E389=5,INDEX(ref_exp_dist,MATCH(B389,'Refined Petro Exp Dist'!$B$6:$B$78,0),MATCH(C389,'Refined Petro Exp Dist'!$AD$2:$BC$2,0))*INDEX(ref_exp_by_year,MATCH(B389,'Data Export'!$B$6:$B$78,0),1)))</f>
        <v>0</v>
      </c>
      <c r="E389">
        <v>4</v>
      </c>
      <c r="F389" t="s">
        <v>239</v>
      </c>
    </row>
    <row r="390" spans="1:6">
      <c r="A390" t="str">
        <f t="shared" si="6"/>
        <v>GenericE&amp;DtemplateCIandGOA</v>
      </c>
      <c r="B390">
        <v>15</v>
      </c>
      <c r="C390">
        <v>25</v>
      </c>
      <c r="D390" s="649">
        <f ca="1">IF(E390=4,INDEX(crude_exp_dist,MATCH(B390,'Crude Exp Dist'!$B$6:$B$78,0),MATCH(C390,'Crude Exp Dist'!$AD$2:$BC$2,0))*INDEX(crude_exp_by_year,MATCH(B390,'Data Export'!$B$6:$B$78,0),1),IF(E390=5,INDEX(ref_exp_dist,MATCH(B390,'Refined Petro Exp Dist'!$B$6:$B$78,0),MATCH(C390,'Refined Petro Exp Dist'!$AD$2:$BC$2,0))*INDEX(ref_exp_by_year,MATCH(B390,'Data Export'!$B$6:$B$78,0),1)))</f>
        <v>0</v>
      </c>
      <c r="E390">
        <v>4</v>
      </c>
      <c r="F390" t="s">
        <v>242</v>
      </c>
    </row>
    <row r="391" spans="1:6">
      <c r="A391" t="str">
        <f t="shared" si="6"/>
        <v>GenericE&amp;DtemplateCIandGOA</v>
      </c>
      <c r="B391">
        <v>15</v>
      </c>
      <c r="C391">
        <v>26</v>
      </c>
      <c r="D391" s="649">
        <f ca="1">IF(E391=4,INDEX(crude_exp_dist,MATCH(B391,'Crude Exp Dist'!$B$6:$B$78,0),MATCH(C391,'Crude Exp Dist'!$AD$2:$BC$2,0))*INDEX(crude_exp_by_year,MATCH(B391,'Data Export'!$B$6:$B$78,0),1),IF(E391=5,INDEX(ref_exp_dist,MATCH(B391,'Refined Petro Exp Dist'!$B$6:$B$78,0),MATCH(C391,'Refined Petro Exp Dist'!$AD$2:$BC$2,0))*INDEX(ref_exp_by_year,MATCH(B391,'Data Export'!$B$6:$B$78,0),1)))</f>
        <v>0</v>
      </c>
      <c r="E391">
        <v>4</v>
      </c>
      <c r="F391" t="s">
        <v>245</v>
      </c>
    </row>
    <row r="392" spans="1:6">
      <c r="A392" t="str">
        <f t="shared" si="6"/>
        <v>GenericE&amp;DtemplateCIandGOA</v>
      </c>
      <c r="B392">
        <v>16</v>
      </c>
      <c r="C392">
        <v>1</v>
      </c>
      <c r="D392" s="649">
        <f ca="1">IF(E392=4,INDEX(crude_exp_dist,MATCH(B392,'Crude Exp Dist'!$B$6:$B$78,0),MATCH(C392,'Crude Exp Dist'!$AD$2:$BC$2,0))*INDEX(crude_exp_by_year,MATCH(B392,'Data Export'!$B$6:$B$78,0),1),IF(E392=5,INDEX(ref_exp_dist,MATCH(B392,'Refined Petro Exp Dist'!$B$6:$B$78,0),MATCH(C392,'Refined Petro Exp Dist'!$AD$2:$BC$2,0))*INDEX(ref_exp_by_year,MATCH(B392,'Data Export'!$B$6:$B$78,0),1)))</f>
        <v>0</v>
      </c>
      <c r="E392">
        <v>4</v>
      </c>
      <c r="F392" t="s">
        <v>158</v>
      </c>
    </row>
    <row r="393" spans="1:6">
      <c r="A393" t="str">
        <f t="shared" si="6"/>
        <v>GenericE&amp;DtemplateCIandGOA</v>
      </c>
      <c r="B393">
        <v>16</v>
      </c>
      <c r="C393">
        <v>2</v>
      </c>
      <c r="D393" s="649">
        <f ca="1">IF(E393=4,INDEX(crude_exp_dist,MATCH(B393,'Crude Exp Dist'!$B$6:$B$78,0),MATCH(C393,'Crude Exp Dist'!$AD$2:$BC$2,0))*INDEX(crude_exp_by_year,MATCH(B393,'Data Export'!$B$6:$B$78,0),1),IF(E393=5,INDEX(ref_exp_dist,MATCH(B393,'Refined Petro Exp Dist'!$B$6:$B$78,0),MATCH(C393,'Refined Petro Exp Dist'!$AD$2:$BC$2,0))*INDEX(ref_exp_by_year,MATCH(B393,'Data Export'!$B$6:$B$78,0),1)))</f>
        <v>0</v>
      </c>
      <c r="E393">
        <v>4</v>
      </c>
      <c r="F393" t="s">
        <v>166</v>
      </c>
    </row>
    <row r="394" spans="1:6">
      <c r="A394" t="str">
        <f t="shared" si="6"/>
        <v>GenericE&amp;DtemplateCIandGOA</v>
      </c>
      <c r="B394">
        <v>16</v>
      </c>
      <c r="C394">
        <v>3</v>
      </c>
      <c r="D394" s="649">
        <f ca="1">IF(E394=4,INDEX(crude_exp_dist,MATCH(B394,'Crude Exp Dist'!$B$6:$B$78,0),MATCH(C394,'Crude Exp Dist'!$AD$2:$BC$2,0))*INDEX(crude_exp_by_year,MATCH(B394,'Data Export'!$B$6:$B$78,0),1),IF(E394=5,INDEX(ref_exp_dist,MATCH(B394,'Refined Petro Exp Dist'!$B$6:$B$78,0),MATCH(C394,'Refined Petro Exp Dist'!$AD$2:$BC$2,0))*INDEX(ref_exp_by_year,MATCH(B394,'Data Export'!$B$6:$B$78,0),1)))</f>
        <v>0</v>
      </c>
      <c r="E394">
        <v>4</v>
      </c>
      <c r="F394" t="s">
        <v>171</v>
      </c>
    </row>
    <row r="395" spans="1:6">
      <c r="A395" t="str">
        <f t="shared" si="6"/>
        <v>GenericE&amp;DtemplateCIandGOA</v>
      </c>
      <c r="B395">
        <v>16</v>
      </c>
      <c r="C395">
        <v>4</v>
      </c>
      <c r="D395" s="649">
        <f ca="1">IF(E395=4,INDEX(crude_exp_dist,MATCH(B395,'Crude Exp Dist'!$B$6:$B$78,0),MATCH(C395,'Crude Exp Dist'!$AD$2:$BC$2,0))*INDEX(crude_exp_by_year,MATCH(B395,'Data Export'!$B$6:$B$78,0),1),IF(E395=5,INDEX(ref_exp_dist,MATCH(B395,'Refined Petro Exp Dist'!$B$6:$B$78,0),MATCH(C395,'Refined Petro Exp Dist'!$AD$2:$BC$2,0))*INDEX(ref_exp_by_year,MATCH(B395,'Data Export'!$B$6:$B$78,0),1)))</f>
        <v>0</v>
      </c>
      <c r="E395">
        <v>4</v>
      </c>
      <c r="F395" t="s">
        <v>173</v>
      </c>
    </row>
    <row r="396" spans="1:6">
      <c r="A396" t="str">
        <f t="shared" si="6"/>
        <v>GenericE&amp;DtemplateCIandGOA</v>
      </c>
      <c r="B396">
        <v>16</v>
      </c>
      <c r="C396">
        <v>5</v>
      </c>
      <c r="D396" s="649">
        <f ca="1">IF(E396=4,INDEX(crude_exp_dist,MATCH(B396,'Crude Exp Dist'!$B$6:$B$78,0),MATCH(C396,'Crude Exp Dist'!$AD$2:$BC$2,0))*INDEX(crude_exp_by_year,MATCH(B396,'Data Export'!$B$6:$B$78,0),1),IF(E396=5,INDEX(ref_exp_dist,MATCH(B396,'Refined Petro Exp Dist'!$B$6:$B$78,0),MATCH(C396,'Refined Petro Exp Dist'!$AD$2:$BC$2,0))*INDEX(ref_exp_by_year,MATCH(B396,'Data Export'!$B$6:$B$78,0),1)))</f>
        <v>0</v>
      </c>
      <c r="E396">
        <v>4</v>
      </c>
      <c r="F396" t="s">
        <v>180</v>
      </c>
    </row>
    <row r="397" spans="1:6">
      <c r="A397" t="str">
        <f t="shared" si="6"/>
        <v>GenericE&amp;DtemplateCIandGOA</v>
      </c>
      <c r="B397">
        <v>16</v>
      </c>
      <c r="C397">
        <v>6</v>
      </c>
      <c r="D397" s="649">
        <f ca="1">IF(E397=4,INDEX(crude_exp_dist,MATCH(B397,'Crude Exp Dist'!$B$6:$B$78,0),MATCH(C397,'Crude Exp Dist'!$AD$2:$BC$2,0))*INDEX(crude_exp_by_year,MATCH(B397,'Data Export'!$B$6:$B$78,0),1),IF(E397=5,INDEX(ref_exp_dist,MATCH(B397,'Refined Petro Exp Dist'!$B$6:$B$78,0),MATCH(C397,'Refined Petro Exp Dist'!$AD$2:$BC$2,0))*INDEX(ref_exp_by_year,MATCH(B397,'Data Export'!$B$6:$B$78,0),1)))</f>
        <v>4.7508525121857041E-2</v>
      </c>
      <c r="E397">
        <v>4</v>
      </c>
      <c r="F397" t="s">
        <v>186</v>
      </c>
    </row>
    <row r="398" spans="1:6">
      <c r="A398" t="str">
        <f t="shared" si="6"/>
        <v>GenericE&amp;DtemplateCIandGOA</v>
      </c>
      <c r="B398">
        <v>16</v>
      </c>
      <c r="C398">
        <v>7</v>
      </c>
      <c r="D398" s="649">
        <f ca="1">IF(E398=4,INDEX(crude_exp_dist,MATCH(B398,'Crude Exp Dist'!$B$6:$B$78,0),MATCH(C398,'Crude Exp Dist'!$AD$2:$BC$2,0))*INDEX(crude_exp_by_year,MATCH(B398,'Data Export'!$B$6:$B$78,0),1),IF(E398=5,INDEX(ref_exp_dist,MATCH(B398,'Refined Petro Exp Dist'!$B$6:$B$78,0),MATCH(C398,'Refined Petro Exp Dist'!$AD$2:$BC$2,0))*INDEX(ref_exp_by_year,MATCH(B398,'Data Export'!$B$6:$B$78,0),1)))</f>
        <v>0</v>
      </c>
      <c r="E398">
        <v>4</v>
      </c>
      <c r="F398" t="s">
        <v>191</v>
      </c>
    </row>
    <row r="399" spans="1:6">
      <c r="A399" t="str">
        <f t="shared" si="6"/>
        <v>GenericE&amp;DtemplateCIandGOA</v>
      </c>
      <c r="B399">
        <v>16</v>
      </c>
      <c r="C399">
        <v>8</v>
      </c>
      <c r="D399" s="649">
        <f ca="1">IF(E399=4,INDEX(crude_exp_dist,MATCH(B399,'Crude Exp Dist'!$B$6:$B$78,0),MATCH(C399,'Crude Exp Dist'!$AD$2:$BC$2,0))*INDEX(crude_exp_by_year,MATCH(B399,'Data Export'!$B$6:$B$78,0),1),IF(E399=5,INDEX(ref_exp_dist,MATCH(B399,'Refined Petro Exp Dist'!$B$6:$B$78,0),MATCH(C399,'Refined Petro Exp Dist'!$AD$2:$BC$2,0))*INDEX(ref_exp_by_year,MATCH(B399,'Data Export'!$B$6:$B$78,0),1)))</f>
        <v>0</v>
      </c>
      <c r="E399">
        <v>4</v>
      </c>
      <c r="F399" t="s">
        <v>197</v>
      </c>
    </row>
    <row r="400" spans="1:6">
      <c r="A400" t="str">
        <f t="shared" si="6"/>
        <v>GenericE&amp;DtemplateCIandGOA</v>
      </c>
      <c r="B400">
        <v>16</v>
      </c>
      <c r="C400">
        <v>9</v>
      </c>
      <c r="D400" s="649">
        <f ca="1">IF(E400=4,INDEX(crude_exp_dist,MATCH(B400,'Crude Exp Dist'!$B$6:$B$78,0),MATCH(C400,'Crude Exp Dist'!$AD$2:$BC$2,0))*INDEX(crude_exp_by_year,MATCH(B400,'Data Export'!$B$6:$B$78,0),1),IF(E400=5,INDEX(ref_exp_dist,MATCH(B400,'Refined Petro Exp Dist'!$B$6:$B$78,0),MATCH(C400,'Refined Petro Exp Dist'!$AD$2:$BC$2,0))*INDEX(ref_exp_by_year,MATCH(B400,'Data Export'!$B$6:$B$78,0),1)))</f>
        <v>0</v>
      </c>
      <c r="E400">
        <v>4</v>
      </c>
      <c r="F400" t="s">
        <v>199</v>
      </c>
    </row>
    <row r="401" spans="1:6">
      <c r="A401" t="str">
        <f t="shared" si="6"/>
        <v>GenericE&amp;DtemplateCIandGOA</v>
      </c>
      <c r="B401">
        <v>16</v>
      </c>
      <c r="C401">
        <v>10</v>
      </c>
      <c r="D401" s="649">
        <f ca="1">IF(E401=4,INDEX(crude_exp_dist,MATCH(B401,'Crude Exp Dist'!$B$6:$B$78,0),MATCH(C401,'Crude Exp Dist'!$AD$2:$BC$2,0))*INDEX(crude_exp_by_year,MATCH(B401,'Data Export'!$B$6:$B$78,0),1),IF(E401=5,INDEX(ref_exp_dist,MATCH(B401,'Refined Petro Exp Dist'!$B$6:$B$78,0),MATCH(C401,'Refined Petro Exp Dist'!$AD$2:$BC$2,0))*INDEX(ref_exp_by_year,MATCH(B401,'Data Export'!$B$6:$B$78,0),1)))</f>
        <v>0</v>
      </c>
      <c r="E401">
        <v>4</v>
      </c>
      <c r="F401" t="s">
        <v>201</v>
      </c>
    </row>
    <row r="402" spans="1:6">
      <c r="A402" t="str">
        <f t="shared" si="6"/>
        <v>GenericE&amp;DtemplateCIandGOA</v>
      </c>
      <c r="B402">
        <v>16</v>
      </c>
      <c r="C402">
        <v>11</v>
      </c>
      <c r="D402" s="649">
        <f ca="1">IF(E402=4,INDEX(crude_exp_dist,MATCH(B402,'Crude Exp Dist'!$B$6:$B$78,0),MATCH(C402,'Crude Exp Dist'!$AD$2:$BC$2,0))*INDEX(crude_exp_by_year,MATCH(B402,'Data Export'!$B$6:$B$78,0),1),IF(E402=5,INDEX(ref_exp_dist,MATCH(B402,'Refined Petro Exp Dist'!$B$6:$B$78,0),MATCH(C402,'Refined Petro Exp Dist'!$AD$2:$BC$2,0))*INDEX(ref_exp_by_year,MATCH(B402,'Data Export'!$B$6:$B$78,0),1)))</f>
        <v>0</v>
      </c>
      <c r="E402">
        <v>4</v>
      </c>
      <c r="F402" t="s">
        <v>921</v>
      </c>
    </row>
    <row r="403" spans="1:6">
      <c r="A403" t="str">
        <f t="shared" si="6"/>
        <v>GenericE&amp;DtemplateCIandGOA</v>
      </c>
      <c r="B403">
        <v>16</v>
      </c>
      <c r="C403">
        <v>12</v>
      </c>
      <c r="D403" s="649">
        <f ca="1">IF(E403=4,INDEX(crude_exp_dist,MATCH(B403,'Crude Exp Dist'!$B$6:$B$78,0),MATCH(C403,'Crude Exp Dist'!$AD$2:$BC$2,0))*INDEX(crude_exp_by_year,MATCH(B403,'Data Export'!$B$6:$B$78,0),1),IF(E403=5,INDEX(ref_exp_dist,MATCH(B403,'Refined Petro Exp Dist'!$B$6:$B$78,0),MATCH(C403,'Refined Petro Exp Dist'!$AD$2:$BC$2,0))*INDEX(ref_exp_by_year,MATCH(B403,'Data Export'!$B$6:$B$78,0),1)))</f>
        <v>2.2928046239559588E-3</v>
      </c>
      <c r="E403">
        <v>4</v>
      </c>
      <c r="F403" t="s">
        <v>208</v>
      </c>
    </row>
    <row r="404" spans="1:6">
      <c r="A404" t="str">
        <f t="shared" si="6"/>
        <v>GenericE&amp;DtemplateCIandGOA</v>
      </c>
      <c r="B404">
        <v>16</v>
      </c>
      <c r="C404">
        <v>13</v>
      </c>
      <c r="D404" s="649">
        <f ca="1">IF(E404=4,INDEX(crude_exp_dist,MATCH(B404,'Crude Exp Dist'!$B$6:$B$78,0),MATCH(C404,'Crude Exp Dist'!$AD$2:$BC$2,0))*INDEX(crude_exp_by_year,MATCH(B404,'Data Export'!$B$6:$B$78,0),1),IF(E404=5,INDEX(ref_exp_dist,MATCH(B404,'Refined Petro Exp Dist'!$B$6:$B$78,0),MATCH(C404,'Refined Petro Exp Dist'!$AD$2:$BC$2,0))*INDEX(ref_exp_by_year,MATCH(B404,'Data Export'!$B$6:$B$78,0),1)))</f>
        <v>2.2928046239559588E-3</v>
      </c>
      <c r="E404">
        <v>4</v>
      </c>
      <c r="F404" t="s">
        <v>211</v>
      </c>
    </row>
    <row r="405" spans="1:6">
      <c r="A405" t="str">
        <f t="shared" si="6"/>
        <v>GenericE&amp;DtemplateCIandGOA</v>
      </c>
      <c r="B405">
        <v>16</v>
      </c>
      <c r="C405">
        <v>14</v>
      </c>
      <c r="D405" s="649">
        <f ca="1">IF(E405=4,INDEX(crude_exp_dist,MATCH(B405,'Crude Exp Dist'!$B$6:$B$78,0),MATCH(C405,'Crude Exp Dist'!$AD$2:$BC$2,0))*INDEX(crude_exp_by_year,MATCH(B405,'Data Export'!$B$6:$B$78,0),1),IF(E405=5,INDEX(ref_exp_dist,MATCH(B405,'Refined Petro Exp Dist'!$B$6:$B$78,0),MATCH(C405,'Refined Petro Exp Dist'!$AD$2:$BC$2,0))*INDEX(ref_exp_by_year,MATCH(B405,'Data Export'!$B$6:$B$78,0),1)))</f>
        <v>0</v>
      </c>
      <c r="E405">
        <v>4</v>
      </c>
      <c r="F405" t="s">
        <v>213</v>
      </c>
    </row>
    <row r="406" spans="1:6">
      <c r="A406" t="str">
        <f t="shared" si="6"/>
        <v>GenericE&amp;DtemplateCIandGOA</v>
      </c>
      <c r="B406">
        <v>16</v>
      </c>
      <c r="C406">
        <v>15</v>
      </c>
      <c r="D406" s="649">
        <f ca="1">IF(E406=4,INDEX(crude_exp_dist,MATCH(B406,'Crude Exp Dist'!$B$6:$B$78,0),MATCH(C406,'Crude Exp Dist'!$AD$2:$BC$2,0))*INDEX(crude_exp_by_year,MATCH(B406,'Data Export'!$B$6:$B$78,0),1),IF(E406=5,INDEX(ref_exp_dist,MATCH(B406,'Refined Petro Exp Dist'!$B$6:$B$78,0),MATCH(C406,'Refined Petro Exp Dist'!$AD$2:$BC$2,0))*INDEX(ref_exp_by_year,MATCH(B406,'Data Export'!$B$6:$B$78,0),1)))</f>
        <v>0</v>
      </c>
      <c r="E406">
        <v>4</v>
      </c>
      <c r="F406" t="s">
        <v>215</v>
      </c>
    </row>
    <row r="407" spans="1:6">
      <c r="A407" t="str">
        <f t="shared" si="6"/>
        <v>GenericE&amp;DtemplateCIandGOA</v>
      </c>
      <c r="B407">
        <v>16</v>
      </c>
      <c r="C407">
        <v>16</v>
      </c>
      <c r="D407" s="649">
        <f ca="1">IF(E407=4,INDEX(crude_exp_dist,MATCH(B407,'Crude Exp Dist'!$B$6:$B$78,0),MATCH(C407,'Crude Exp Dist'!$AD$2:$BC$2,0))*INDEX(crude_exp_by_year,MATCH(B407,'Data Export'!$B$6:$B$78,0),1),IF(E407=5,INDEX(ref_exp_dist,MATCH(B407,'Refined Petro Exp Dist'!$B$6:$B$78,0),MATCH(C407,'Refined Petro Exp Dist'!$AD$2:$BC$2,0))*INDEX(ref_exp_by_year,MATCH(B407,'Data Export'!$B$6:$B$78,0),1)))</f>
        <v>0</v>
      </c>
      <c r="E407">
        <v>4</v>
      </c>
      <c r="F407" t="s">
        <v>219</v>
      </c>
    </row>
    <row r="408" spans="1:6">
      <c r="A408" t="str">
        <f t="shared" si="6"/>
        <v>GenericE&amp;DtemplateCIandGOA</v>
      </c>
      <c r="B408">
        <v>16</v>
      </c>
      <c r="C408">
        <v>17</v>
      </c>
      <c r="D408" s="649">
        <f ca="1">IF(E408=4,INDEX(crude_exp_dist,MATCH(B408,'Crude Exp Dist'!$B$6:$B$78,0),MATCH(C408,'Crude Exp Dist'!$AD$2:$BC$2,0))*INDEX(crude_exp_by_year,MATCH(B408,'Data Export'!$B$6:$B$78,0),1),IF(E408=5,INDEX(ref_exp_dist,MATCH(B408,'Refined Petro Exp Dist'!$B$6:$B$78,0),MATCH(C408,'Refined Petro Exp Dist'!$AD$2:$BC$2,0))*INDEX(ref_exp_by_year,MATCH(B408,'Data Export'!$B$6:$B$78,0),1)))</f>
        <v>0</v>
      </c>
      <c r="E408">
        <v>4</v>
      </c>
      <c r="F408" t="s">
        <v>222</v>
      </c>
    </row>
    <row r="409" spans="1:6">
      <c r="A409" t="str">
        <f t="shared" si="6"/>
        <v>GenericE&amp;DtemplateCIandGOA</v>
      </c>
      <c r="B409">
        <v>16</v>
      </c>
      <c r="C409">
        <v>18</v>
      </c>
      <c r="D409" s="649">
        <f ca="1">IF(E409=4,INDEX(crude_exp_dist,MATCH(B409,'Crude Exp Dist'!$B$6:$B$78,0),MATCH(C409,'Crude Exp Dist'!$AD$2:$BC$2,0))*INDEX(crude_exp_by_year,MATCH(B409,'Data Export'!$B$6:$B$78,0),1),IF(E409=5,INDEX(ref_exp_dist,MATCH(B409,'Refined Petro Exp Dist'!$B$6:$B$78,0),MATCH(C409,'Refined Petro Exp Dist'!$AD$2:$BC$2,0))*INDEX(ref_exp_by_year,MATCH(B409,'Data Export'!$B$6:$B$78,0),1)))</f>
        <v>0</v>
      </c>
      <c r="E409">
        <v>4</v>
      </c>
      <c r="F409" t="s">
        <v>224</v>
      </c>
    </row>
    <row r="410" spans="1:6">
      <c r="A410" t="str">
        <f t="shared" si="6"/>
        <v>GenericE&amp;DtemplateCIandGOA</v>
      </c>
      <c r="B410">
        <v>16</v>
      </c>
      <c r="C410">
        <v>19</v>
      </c>
      <c r="D410" s="649">
        <f ca="1">IF(E410=4,INDEX(crude_exp_dist,MATCH(B410,'Crude Exp Dist'!$B$6:$B$78,0),MATCH(C410,'Crude Exp Dist'!$AD$2:$BC$2,0))*INDEX(crude_exp_by_year,MATCH(B410,'Data Export'!$B$6:$B$78,0),1),IF(E410=5,INDEX(ref_exp_dist,MATCH(B410,'Refined Petro Exp Dist'!$B$6:$B$78,0),MATCH(C410,'Refined Petro Exp Dist'!$AD$2:$BC$2,0))*INDEX(ref_exp_by_year,MATCH(B410,'Data Export'!$B$6:$B$78,0),1)))</f>
        <v>0</v>
      </c>
      <c r="E410">
        <v>4</v>
      </c>
      <c r="F410" t="s">
        <v>228</v>
      </c>
    </row>
    <row r="411" spans="1:6">
      <c r="A411" t="str">
        <f t="shared" si="6"/>
        <v>GenericE&amp;DtemplateCIandGOA</v>
      </c>
      <c r="B411">
        <v>16</v>
      </c>
      <c r="C411">
        <v>20</v>
      </c>
      <c r="D411" s="649">
        <f ca="1">IF(E411=4,INDEX(crude_exp_dist,MATCH(B411,'Crude Exp Dist'!$B$6:$B$78,0),MATCH(C411,'Crude Exp Dist'!$AD$2:$BC$2,0))*INDEX(crude_exp_by_year,MATCH(B411,'Data Export'!$B$6:$B$78,0),1),IF(E411=5,INDEX(ref_exp_dist,MATCH(B411,'Refined Petro Exp Dist'!$B$6:$B$78,0),MATCH(C411,'Refined Petro Exp Dist'!$AD$2:$BC$2,0))*INDEX(ref_exp_by_year,MATCH(B411,'Data Export'!$B$6:$B$78,0),1)))</f>
        <v>0</v>
      </c>
      <c r="E411">
        <v>4</v>
      </c>
      <c r="F411" t="s">
        <v>231</v>
      </c>
    </row>
    <row r="412" spans="1:6">
      <c r="A412" t="str">
        <f t="shared" si="6"/>
        <v>GenericE&amp;DtemplateCIandGOA</v>
      </c>
      <c r="B412">
        <v>16</v>
      </c>
      <c r="C412">
        <v>21</v>
      </c>
      <c r="D412" s="649">
        <f ca="1">IF(E412=4,INDEX(crude_exp_dist,MATCH(B412,'Crude Exp Dist'!$B$6:$B$78,0),MATCH(C412,'Crude Exp Dist'!$AD$2:$BC$2,0))*INDEX(crude_exp_by_year,MATCH(B412,'Data Export'!$B$6:$B$78,0),1),IF(E412=5,INDEX(ref_exp_dist,MATCH(B412,'Refined Petro Exp Dist'!$B$6:$B$78,0),MATCH(C412,'Refined Petro Exp Dist'!$AD$2:$BC$2,0))*INDEX(ref_exp_by_year,MATCH(B412,'Data Export'!$B$6:$B$78,0),1)))</f>
        <v>0</v>
      </c>
      <c r="E412">
        <v>4</v>
      </c>
      <c r="F412" t="s">
        <v>232</v>
      </c>
    </row>
    <row r="413" spans="1:6">
      <c r="A413" t="str">
        <f t="shared" si="6"/>
        <v>GenericE&amp;DtemplateCIandGOA</v>
      </c>
      <c r="B413">
        <v>16</v>
      </c>
      <c r="C413">
        <v>22</v>
      </c>
      <c r="D413" s="649">
        <f ca="1">IF(E413=4,INDEX(crude_exp_dist,MATCH(B413,'Crude Exp Dist'!$B$6:$B$78,0),MATCH(C413,'Crude Exp Dist'!$AD$2:$BC$2,0))*INDEX(crude_exp_by_year,MATCH(B413,'Data Export'!$B$6:$B$78,0),1),IF(E413=5,INDEX(ref_exp_dist,MATCH(B413,'Refined Petro Exp Dist'!$B$6:$B$78,0),MATCH(C413,'Refined Petro Exp Dist'!$AD$2:$BC$2,0))*INDEX(ref_exp_by_year,MATCH(B413,'Data Export'!$B$6:$B$78,0),1)))</f>
        <v>0</v>
      </c>
      <c r="E413">
        <v>4</v>
      </c>
      <c r="F413" t="s">
        <v>235</v>
      </c>
    </row>
    <row r="414" spans="1:6">
      <c r="A414" t="str">
        <f t="shared" si="6"/>
        <v>GenericE&amp;DtemplateCIandGOA</v>
      </c>
      <c r="B414">
        <v>16</v>
      </c>
      <c r="C414">
        <v>23</v>
      </c>
      <c r="D414" s="649">
        <f ca="1">IF(E414=4,INDEX(crude_exp_dist,MATCH(B414,'Crude Exp Dist'!$B$6:$B$78,0),MATCH(C414,'Crude Exp Dist'!$AD$2:$BC$2,0))*INDEX(crude_exp_by_year,MATCH(B414,'Data Export'!$B$6:$B$78,0),1),IF(E414=5,INDEX(ref_exp_dist,MATCH(B414,'Refined Petro Exp Dist'!$B$6:$B$78,0),MATCH(C414,'Refined Petro Exp Dist'!$AD$2:$BC$2,0))*INDEX(ref_exp_by_year,MATCH(B414,'Data Export'!$B$6:$B$78,0),1)))</f>
        <v>0</v>
      </c>
      <c r="E414">
        <v>4</v>
      </c>
      <c r="F414" t="s">
        <v>237</v>
      </c>
    </row>
    <row r="415" spans="1:6">
      <c r="A415" t="str">
        <f t="shared" si="6"/>
        <v>GenericE&amp;DtemplateCIandGOA</v>
      </c>
      <c r="B415">
        <v>16</v>
      </c>
      <c r="C415">
        <v>24</v>
      </c>
      <c r="D415" s="649">
        <f ca="1">IF(E415=4,INDEX(crude_exp_dist,MATCH(B415,'Crude Exp Dist'!$B$6:$B$78,0),MATCH(C415,'Crude Exp Dist'!$AD$2:$BC$2,0))*INDEX(crude_exp_by_year,MATCH(B415,'Data Export'!$B$6:$B$78,0),1),IF(E415=5,INDEX(ref_exp_dist,MATCH(B415,'Refined Petro Exp Dist'!$B$6:$B$78,0),MATCH(C415,'Refined Petro Exp Dist'!$AD$2:$BC$2,0))*INDEX(ref_exp_by_year,MATCH(B415,'Data Export'!$B$6:$B$78,0),1)))</f>
        <v>0</v>
      </c>
      <c r="E415">
        <v>4</v>
      </c>
      <c r="F415" t="s">
        <v>239</v>
      </c>
    </row>
    <row r="416" spans="1:6">
      <c r="A416" t="str">
        <f t="shared" si="6"/>
        <v>GenericE&amp;DtemplateCIandGOA</v>
      </c>
      <c r="B416">
        <v>16</v>
      </c>
      <c r="C416">
        <v>25</v>
      </c>
      <c r="D416" s="649">
        <f ca="1">IF(E416=4,INDEX(crude_exp_dist,MATCH(B416,'Crude Exp Dist'!$B$6:$B$78,0),MATCH(C416,'Crude Exp Dist'!$AD$2:$BC$2,0))*INDEX(crude_exp_by_year,MATCH(B416,'Data Export'!$B$6:$B$78,0),1),IF(E416=5,INDEX(ref_exp_dist,MATCH(B416,'Refined Petro Exp Dist'!$B$6:$B$78,0),MATCH(C416,'Refined Petro Exp Dist'!$AD$2:$BC$2,0))*INDEX(ref_exp_by_year,MATCH(B416,'Data Export'!$B$6:$B$78,0),1)))</f>
        <v>0</v>
      </c>
      <c r="E416">
        <v>4</v>
      </c>
      <c r="F416" t="s">
        <v>242</v>
      </c>
    </row>
    <row r="417" spans="1:6">
      <c r="A417" t="str">
        <f t="shared" si="6"/>
        <v>GenericE&amp;DtemplateCIandGOA</v>
      </c>
      <c r="B417">
        <v>16</v>
      </c>
      <c r="C417">
        <v>26</v>
      </c>
      <c r="D417" s="649">
        <f ca="1">IF(E417=4,INDEX(crude_exp_dist,MATCH(B417,'Crude Exp Dist'!$B$6:$B$78,0),MATCH(C417,'Crude Exp Dist'!$AD$2:$BC$2,0))*INDEX(crude_exp_by_year,MATCH(B417,'Data Export'!$B$6:$B$78,0),1),IF(E417=5,INDEX(ref_exp_dist,MATCH(B417,'Refined Petro Exp Dist'!$B$6:$B$78,0),MATCH(C417,'Refined Petro Exp Dist'!$AD$2:$BC$2,0))*INDEX(ref_exp_by_year,MATCH(B417,'Data Export'!$B$6:$B$78,0),1)))</f>
        <v>0</v>
      </c>
      <c r="E417">
        <v>4</v>
      </c>
      <c r="F417" t="s">
        <v>245</v>
      </c>
    </row>
    <row r="418" spans="1:6">
      <c r="A418" t="str">
        <f t="shared" si="6"/>
        <v>GenericE&amp;DtemplateCIandGOA</v>
      </c>
      <c r="B418">
        <v>17</v>
      </c>
      <c r="C418">
        <v>1</v>
      </c>
      <c r="D418" s="649">
        <f ca="1">IF(E418=4,INDEX(crude_exp_dist,MATCH(B418,'Crude Exp Dist'!$B$6:$B$78,0),MATCH(C418,'Crude Exp Dist'!$AD$2:$BC$2,0))*INDEX(crude_exp_by_year,MATCH(B418,'Data Export'!$B$6:$B$78,0),1),IF(E418=5,INDEX(ref_exp_dist,MATCH(B418,'Refined Petro Exp Dist'!$B$6:$B$78,0),MATCH(C418,'Refined Petro Exp Dist'!$AD$2:$BC$2,0))*INDEX(ref_exp_by_year,MATCH(B418,'Data Export'!$B$6:$B$78,0),1)))</f>
        <v>0</v>
      </c>
      <c r="E418">
        <v>4</v>
      </c>
      <c r="F418" t="s">
        <v>158</v>
      </c>
    </row>
    <row r="419" spans="1:6">
      <c r="A419" t="str">
        <f t="shared" si="6"/>
        <v>GenericE&amp;DtemplateCIandGOA</v>
      </c>
      <c r="B419">
        <v>17</v>
      </c>
      <c r="C419">
        <v>2</v>
      </c>
      <c r="D419" s="649">
        <f ca="1">IF(E419=4,INDEX(crude_exp_dist,MATCH(B419,'Crude Exp Dist'!$B$6:$B$78,0),MATCH(C419,'Crude Exp Dist'!$AD$2:$BC$2,0))*INDEX(crude_exp_by_year,MATCH(B419,'Data Export'!$B$6:$B$78,0),1),IF(E419=5,INDEX(ref_exp_dist,MATCH(B419,'Refined Petro Exp Dist'!$B$6:$B$78,0),MATCH(C419,'Refined Petro Exp Dist'!$AD$2:$BC$2,0))*INDEX(ref_exp_by_year,MATCH(B419,'Data Export'!$B$6:$B$78,0),1)))</f>
        <v>0</v>
      </c>
      <c r="E419">
        <v>4</v>
      </c>
      <c r="F419" t="s">
        <v>166</v>
      </c>
    </row>
    <row r="420" spans="1:6">
      <c r="A420" t="str">
        <f t="shared" si="6"/>
        <v>GenericE&amp;DtemplateCIandGOA</v>
      </c>
      <c r="B420">
        <v>17</v>
      </c>
      <c r="C420">
        <v>3</v>
      </c>
      <c r="D420" s="649">
        <f ca="1">IF(E420=4,INDEX(crude_exp_dist,MATCH(B420,'Crude Exp Dist'!$B$6:$B$78,0),MATCH(C420,'Crude Exp Dist'!$AD$2:$BC$2,0))*INDEX(crude_exp_by_year,MATCH(B420,'Data Export'!$B$6:$B$78,0),1),IF(E420=5,INDEX(ref_exp_dist,MATCH(B420,'Refined Petro Exp Dist'!$B$6:$B$78,0),MATCH(C420,'Refined Petro Exp Dist'!$AD$2:$BC$2,0))*INDEX(ref_exp_by_year,MATCH(B420,'Data Export'!$B$6:$B$78,0),1)))</f>
        <v>0</v>
      </c>
      <c r="E420">
        <v>4</v>
      </c>
      <c r="F420" t="s">
        <v>171</v>
      </c>
    </row>
    <row r="421" spans="1:6">
      <c r="A421" t="str">
        <f t="shared" si="6"/>
        <v>GenericE&amp;DtemplateCIandGOA</v>
      </c>
      <c r="B421">
        <v>17</v>
      </c>
      <c r="C421">
        <v>4</v>
      </c>
      <c r="D421" s="649">
        <f ca="1">IF(E421=4,INDEX(crude_exp_dist,MATCH(B421,'Crude Exp Dist'!$B$6:$B$78,0),MATCH(C421,'Crude Exp Dist'!$AD$2:$BC$2,0))*INDEX(crude_exp_by_year,MATCH(B421,'Data Export'!$B$6:$B$78,0),1),IF(E421=5,INDEX(ref_exp_dist,MATCH(B421,'Refined Petro Exp Dist'!$B$6:$B$78,0),MATCH(C421,'Refined Petro Exp Dist'!$AD$2:$BC$2,0))*INDEX(ref_exp_by_year,MATCH(B421,'Data Export'!$B$6:$B$78,0),1)))</f>
        <v>0</v>
      </c>
      <c r="E421">
        <v>4</v>
      </c>
      <c r="F421" t="s">
        <v>173</v>
      </c>
    </row>
    <row r="422" spans="1:6">
      <c r="A422" t="str">
        <f t="shared" si="6"/>
        <v>GenericE&amp;DtemplateCIandGOA</v>
      </c>
      <c r="B422">
        <v>17</v>
      </c>
      <c r="C422">
        <v>5</v>
      </c>
      <c r="D422" s="649">
        <f ca="1">IF(E422=4,INDEX(crude_exp_dist,MATCH(B422,'Crude Exp Dist'!$B$6:$B$78,0),MATCH(C422,'Crude Exp Dist'!$AD$2:$BC$2,0))*INDEX(crude_exp_by_year,MATCH(B422,'Data Export'!$B$6:$B$78,0),1),IF(E422=5,INDEX(ref_exp_dist,MATCH(B422,'Refined Petro Exp Dist'!$B$6:$B$78,0),MATCH(C422,'Refined Petro Exp Dist'!$AD$2:$BC$2,0))*INDEX(ref_exp_by_year,MATCH(B422,'Data Export'!$B$6:$B$78,0),1)))</f>
        <v>0</v>
      </c>
      <c r="E422">
        <v>4</v>
      </c>
      <c r="F422" t="s">
        <v>180</v>
      </c>
    </row>
    <row r="423" spans="1:6">
      <c r="A423" t="str">
        <f t="shared" si="6"/>
        <v>GenericE&amp;DtemplateCIandGOA</v>
      </c>
      <c r="B423">
        <v>17</v>
      </c>
      <c r="C423">
        <v>6</v>
      </c>
      <c r="D423" s="649">
        <f ca="1">IF(E423=4,INDEX(crude_exp_dist,MATCH(B423,'Crude Exp Dist'!$B$6:$B$78,0),MATCH(C423,'Crude Exp Dist'!$AD$2:$BC$2,0))*INDEX(crude_exp_by_year,MATCH(B423,'Data Export'!$B$6:$B$78,0),1),IF(E423=5,INDEX(ref_exp_dist,MATCH(B423,'Refined Petro Exp Dist'!$B$6:$B$78,0),MATCH(C423,'Refined Petro Exp Dist'!$AD$2:$BC$2,0))*INDEX(ref_exp_by_year,MATCH(B423,'Data Export'!$B$6:$B$78,0),1)))</f>
        <v>4.7923143499553969E-2</v>
      </c>
      <c r="E423">
        <v>4</v>
      </c>
      <c r="F423" t="s">
        <v>186</v>
      </c>
    </row>
    <row r="424" spans="1:6">
      <c r="A424" t="str">
        <f t="shared" si="6"/>
        <v>GenericE&amp;DtemplateCIandGOA</v>
      </c>
      <c r="B424">
        <v>17</v>
      </c>
      <c r="C424">
        <v>7</v>
      </c>
      <c r="D424" s="649">
        <f ca="1">IF(E424=4,INDEX(crude_exp_dist,MATCH(B424,'Crude Exp Dist'!$B$6:$B$78,0),MATCH(C424,'Crude Exp Dist'!$AD$2:$BC$2,0))*INDEX(crude_exp_by_year,MATCH(B424,'Data Export'!$B$6:$B$78,0),1),IF(E424=5,INDEX(ref_exp_dist,MATCH(B424,'Refined Petro Exp Dist'!$B$6:$B$78,0),MATCH(C424,'Refined Petro Exp Dist'!$AD$2:$BC$2,0))*INDEX(ref_exp_by_year,MATCH(B424,'Data Export'!$B$6:$B$78,0),1)))</f>
        <v>0</v>
      </c>
      <c r="E424">
        <v>4</v>
      </c>
      <c r="F424" t="s">
        <v>191</v>
      </c>
    </row>
    <row r="425" spans="1:6">
      <c r="A425" t="str">
        <f t="shared" si="6"/>
        <v>GenericE&amp;DtemplateCIandGOA</v>
      </c>
      <c r="B425">
        <v>17</v>
      </c>
      <c r="C425">
        <v>8</v>
      </c>
      <c r="D425" s="649">
        <f ca="1">IF(E425=4,INDEX(crude_exp_dist,MATCH(B425,'Crude Exp Dist'!$B$6:$B$78,0),MATCH(C425,'Crude Exp Dist'!$AD$2:$BC$2,0))*INDEX(crude_exp_by_year,MATCH(B425,'Data Export'!$B$6:$B$78,0),1),IF(E425=5,INDEX(ref_exp_dist,MATCH(B425,'Refined Petro Exp Dist'!$B$6:$B$78,0),MATCH(C425,'Refined Petro Exp Dist'!$AD$2:$BC$2,0))*INDEX(ref_exp_by_year,MATCH(B425,'Data Export'!$B$6:$B$78,0),1)))</f>
        <v>0</v>
      </c>
      <c r="E425">
        <v>4</v>
      </c>
      <c r="F425" t="s">
        <v>197</v>
      </c>
    </row>
    <row r="426" spans="1:6">
      <c r="A426" t="str">
        <f t="shared" si="6"/>
        <v>GenericE&amp;DtemplateCIandGOA</v>
      </c>
      <c r="B426">
        <v>17</v>
      </c>
      <c r="C426">
        <v>9</v>
      </c>
      <c r="D426" s="649">
        <f ca="1">IF(E426=4,INDEX(crude_exp_dist,MATCH(B426,'Crude Exp Dist'!$B$6:$B$78,0),MATCH(C426,'Crude Exp Dist'!$AD$2:$BC$2,0))*INDEX(crude_exp_by_year,MATCH(B426,'Data Export'!$B$6:$B$78,0),1),IF(E426=5,INDEX(ref_exp_dist,MATCH(B426,'Refined Petro Exp Dist'!$B$6:$B$78,0),MATCH(C426,'Refined Petro Exp Dist'!$AD$2:$BC$2,0))*INDEX(ref_exp_by_year,MATCH(B426,'Data Export'!$B$6:$B$78,0),1)))</f>
        <v>0</v>
      </c>
      <c r="E426">
        <v>4</v>
      </c>
      <c r="F426" t="s">
        <v>199</v>
      </c>
    </row>
    <row r="427" spans="1:6">
      <c r="A427" t="str">
        <f t="shared" si="6"/>
        <v>GenericE&amp;DtemplateCIandGOA</v>
      </c>
      <c r="B427">
        <v>17</v>
      </c>
      <c r="C427">
        <v>10</v>
      </c>
      <c r="D427" s="649">
        <f ca="1">IF(E427=4,INDEX(crude_exp_dist,MATCH(B427,'Crude Exp Dist'!$B$6:$B$78,0),MATCH(C427,'Crude Exp Dist'!$AD$2:$BC$2,0))*INDEX(crude_exp_by_year,MATCH(B427,'Data Export'!$B$6:$B$78,0),1),IF(E427=5,INDEX(ref_exp_dist,MATCH(B427,'Refined Petro Exp Dist'!$B$6:$B$78,0),MATCH(C427,'Refined Petro Exp Dist'!$AD$2:$BC$2,0))*INDEX(ref_exp_by_year,MATCH(B427,'Data Export'!$B$6:$B$78,0),1)))</f>
        <v>0</v>
      </c>
      <c r="E427">
        <v>4</v>
      </c>
      <c r="F427" t="s">
        <v>201</v>
      </c>
    </row>
    <row r="428" spans="1:6">
      <c r="A428" t="str">
        <f t="shared" si="6"/>
        <v>GenericE&amp;DtemplateCIandGOA</v>
      </c>
      <c r="B428">
        <v>17</v>
      </c>
      <c r="C428">
        <v>11</v>
      </c>
      <c r="D428" s="649">
        <f ca="1">IF(E428=4,INDEX(crude_exp_dist,MATCH(B428,'Crude Exp Dist'!$B$6:$B$78,0),MATCH(C428,'Crude Exp Dist'!$AD$2:$BC$2,0))*INDEX(crude_exp_by_year,MATCH(B428,'Data Export'!$B$6:$B$78,0),1),IF(E428=5,INDEX(ref_exp_dist,MATCH(B428,'Refined Petro Exp Dist'!$B$6:$B$78,0),MATCH(C428,'Refined Petro Exp Dist'!$AD$2:$BC$2,0))*INDEX(ref_exp_by_year,MATCH(B428,'Data Export'!$B$6:$B$78,0),1)))</f>
        <v>0</v>
      </c>
      <c r="E428">
        <v>4</v>
      </c>
      <c r="F428" t="s">
        <v>921</v>
      </c>
    </row>
    <row r="429" spans="1:6">
      <c r="A429" t="str">
        <f t="shared" si="6"/>
        <v>GenericE&amp;DtemplateCIandGOA</v>
      </c>
      <c r="B429">
        <v>17</v>
      </c>
      <c r="C429">
        <v>12</v>
      </c>
      <c r="D429" s="649">
        <f ca="1">IF(E429=4,INDEX(crude_exp_dist,MATCH(B429,'Crude Exp Dist'!$B$6:$B$78,0),MATCH(C429,'Crude Exp Dist'!$AD$2:$BC$2,0))*INDEX(crude_exp_by_year,MATCH(B429,'Data Export'!$B$6:$B$78,0),1),IF(E429=5,INDEX(ref_exp_dist,MATCH(B429,'Refined Petro Exp Dist'!$B$6:$B$78,0),MATCH(C429,'Refined Petro Exp Dist'!$AD$2:$BC$2,0))*INDEX(ref_exp_by_year,MATCH(B429,'Data Export'!$B$6:$B$78,0),1)))</f>
        <v>2.3128144838941967E-3</v>
      </c>
      <c r="E429">
        <v>4</v>
      </c>
      <c r="F429" t="s">
        <v>208</v>
      </c>
    </row>
    <row r="430" spans="1:6">
      <c r="A430" t="str">
        <f t="shared" si="6"/>
        <v>GenericE&amp;DtemplateCIandGOA</v>
      </c>
      <c r="B430">
        <v>17</v>
      </c>
      <c r="C430">
        <v>13</v>
      </c>
      <c r="D430" s="649">
        <f ca="1">IF(E430=4,INDEX(crude_exp_dist,MATCH(B430,'Crude Exp Dist'!$B$6:$B$78,0),MATCH(C430,'Crude Exp Dist'!$AD$2:$BC$2,0))*INDEX(crude_exp_by_year,MATCH(B430,'Data Export'!$B$6:$B$78,0),1),IF(E430=5,INDEX(ref_exp_dist,MATCH(B430,'Refined Petro Exp Dist'!$B$6:$B$78,0),MATCH(C430,'Refined Petro Exp Dist'!$AD$2:$BC$2,0))*INDEX(ref_exp_by_year,MATCH(B430,'Data Export'!$B$6:$B$78,0),1)))</f>
        <v>2.3128144838941967E-3</v>
      </c>
      <c r="E430">
        <v>4</v>
      </c>
      <c r="F430" t="s">
        <v>211</v>
      </c>
    </row>
    <row r="431" spans="1:6">
      <c r="A431" t="str">
        <f t="shared" si="6"/>
        <v>GenericE&amp;DtemplateCIandGOA</v>
      </c>
      <c r="B431">
        <v>17</v>
      </c>
      <c r="C431">
        <v>14</v>
      </c>
      <c r="D431" s="649">
        <f ca="1">IF(E431=4,INDEX(crude_exp_dist,MATCH(B431,'Crude Exp Dist'!$B$6:$B$78,0),MATCH(C431,'Crude Exp Dist'!$AD$2:$BC$2,0))*INDEX(crude_exp_by_year,MATCH(B431,'Data Export'!$B$6:$B$78,0),1),IF(E431=5,INDEX(ref_exp_dist,MATCH(B431,'Refined Petro Exp Dist'!$B$6:$B$78,0),MATCH(C431,'Refined Petro Exp Dist'!$AD$2:$BC$2,0))*INDEX(ref_exp_by_year,MATCH(B431,'Data Export'!$B$6:$B$78,0),1)))</f>
        <v>0</v>
      </c>
      <c r="E431">
        <v>4</v>
      </c>
      <c r="F431" t="s">
        <v>213</v>
      </c>
    </row>
    <row r="432" spans="1:6">
      <c r="A432" t="str">
        <f t="shared" si="6"/>
        <v>GenericE&amp;DtemplateCIandGOA</v>
      </c>
      <c r="B432">
        <v>17</v>
      </c>
      <c r="C432">
        <v>15</v>
      </c>
      <c r="D432" s="649">
        <f ca="1">IF(E432=4,INDEX(crude_exp_dist,MATCH(B432,'Crude Exp Dist'!$B$6:$B$78,0),MATCH(C432,'Crude Exp Dist'!$AD$2:$BC$2,0))*INDEX(crude_exp_by_year,MATCH(B432,'Data Export'!$B$6:$B$78,0),1),IF(E432=5,INDEX(ref_exp_dist,MATCH(B432,'Refined Petro Exp Dist'!$B$6:$B$78,0),MATCH(C432,'Refined Petro Exp Dist'!$AD$2:$BC$2,0))*INDEX(ref_exp_by_year,MATCH(B432,'Data Export'!$B$6:$B$78,0),1)))</f>
        <v>0</v>
      </c>
      <c r="E432">
        <v>4</v>
      </c>
      <c r="F432" t="s">
        <v>215</v>
      </c>
    </row>
    <row r="433" spans="1:6">
      <c r="A433" t="str">
        <f t="shared" si="6"/>
        <v>GenericE&amp;DtemplateCIandGOA</v>
      </c>
      <c r="B433">
        <v>17</v>
      </c>
      <c r="C433">
        <v>16</v>
      </c>
      <c r="D433" s="649">
        <f ca="1">IF(E433=4,INDEX(crude_exp_dist,MATCH(B433,'Crude Exp Dist'!$B$6:$B$78,0),MATCH(C433,'Crude Exp Dist'!$AD$2:$BC$2,0))*INDEX(crude_exp_by_year,MATCH(B433,'Data Export'!$B$6:$B$78,0),1),IF(E433=5,INDEX(ref_exp_dist,MATCH(B433,'Refined Petro Exp Dist'!$B$6:$B$78,0),MATCH(C433,'Refined Petro Exp Dist'!$AD$2:$BC$2,0))*INDEX(ref_exp_by_year,MATCH(B433,'Data Export'!$B$6:$B$78,0),1)))</f>
        <v>0</v>
      </c>
      <c r="E433">
        <v>4</v>
      </c>
      <c r="F433" t="s">
        <v>219</v>
      </c>
    </row>
    <row r="434" spans="1:6">
      <c r="A434" t="str">
        <f t="shared" si="6"/>
        <v>GenericE&amp;DtemplateCIandGOA</v>
      </c>
      <c r="B434">
        <v>17</v>
      </c>
      <c r="C434">
        <v>17</v>
      </c>
      <c r="D434" s="649">
        <f ca="1">IF(E434=4,INDEX(crude_exp_dist,MATCH(B434,'Crude Exp Dist'!$B$6:$B$78,0),MATCH(C434,'Crude Exp Dist'!$AD$2:$BC$2,0))*INDEX(crude_exp_by_year,MATCH(B434,'Data Export'!$B$6:$B$78,0),1),IF(E434=5,INDEX(ref_exp_dist,MATCH(B434,'Refined Petro Exp Dist'!$B$6:$B$78,0),MATCH(C434,'Refined Petro Exp Dist'!$AD$2:$BC$2,0))*INDEX(ref_exp_by_year,MATCH(B434,'Data Export'!$B$6:$B$78,0),1)))</f>
        <v>0</v>
      </c>
      <c r="E434">
        <v>4</v>
      </c>
      <c r="F434" t="s">
        <v>222</v>
      </c>
    </row>
    <row r="435" spans="1:6">
      <c r="A435" t="str">
        <f t="shared" si="6"/>
        <v>GenericE&amp;DtemplateCIandGOA</v>
      </c>
      <c r="B435">
        <v>17</v>
      </c>
      <c r="C435">
        <v>18</v>
      </c>
      <c r="D435" s="649">
        <f ca="1">IF(E435=4,INDEX(crude_exp_dist,MATCH(B435,'Crude Exp Dist'!$B$6:$B$78,0),MATCH(C435,'Crude Exp Dist'!$AD$2:$BC$2,0))*INDEX(crude_exp_by_year,MATCH(B435,'Data Export'!$B$6:$B$78,0),1),IF(E435=5,INDEX(ref_exp_dist,MATCH(B435,'Refined Petro Exp Dist'!$B$6:$B$78,0),MATCH(C435,'Refined Petro Exp Dist'!$AD$2:$BC$2,0))*INDEX(ref_exp_by_year,MATCH(B435,'Data Export'!$B$6:$B$78,0),1)))</f>
        <v>0</v>
      </c>
      <c r="E435">
        <v>4</v>
      </c>
      <c r="F435" t="s">
        <v>224</v>
      </c>
    </row>
    <row r="436" spans="1:6">
      <c r="A436" t="str">
        <f t="shared" si="6"/>
        <v>GenericE&amp;DtemplateCIandGOA</v>
      </c>
      <c r="B436">
        <v>17</v>
      </c>
      <c r="C436">
        <v>19</v>
      </c>
      <c r="D436" s="649">
        <f ca="1">IF(E436=4,INDEX(crude_exp_dist,MATCH(B436,'Crude Exp Dist'!$B$6:$B$78,0),MATCH(C436,'Crude Exp Dist'!$AD$2:$BC$2,0))*INDEX(crude_exp_by_year,MATCH(B436,'Data Export'!$B$6:$B$78,0),1),IF(E436=5,INDEX(ref_exp_dist,MATCH(B436,'Refined Petro Exp Dist'!$B$6:$B$78,0),MATCH(C436,'Refined Petro Exp Dist'!$AD$2:$BC$2,0))*INDEX(ref_exp_by_year,MATCH(B436,'Data Export'!$B$6:$B$78,0),1)))</f>
        <v>0</v>
      </c>
      <c r="E436">
        <v>4</v>
      </c>
      <c r="F436" t="s">
        <v>228</v>
      </c>
    </row>
    <row r="437" spans="1:6">
      <c r="A437" t="str">
        <f t="shared" si="6"/>
        <v>GenericE&amp;DtemplateCIandGOA</v>
      </c>
      <c r="B437">
        <v>17</v>
      </c>
      <c r="C437">
        <v>20</v>
      </c>
      <c r="D437" s="649">
        <f ca="1">IF(E437=4,INDEX(crude_exp_dist,MATCH(B437,'Crude Exp Dist'!$B$6:$B$78,0),MATCH(C437,'Crude Exp Dist'!$AD$2:$BC$2,0))*INDEX(crude_exp_by_year,MATCH(B437,'Data Export'!$B$6:$B$78,0),1),IF(E437=5,INDEX(ref_exp_dist,MATCH(B437,'Refined Petro Exp Dist'!$B$6:$B$78,0),MATCH(C437,'Refined Petro Exp Dist'!$AD$2:$BC$2,0))*INDEX(ref_exp_by_year,MATCH(B437,'Data Export'!$B$6:$B$78,0),1)))</f>
        <v>0</v>
      </c>
      <c r="E437">
        <v>4</v>
      </c>
      <c r="F437" t="s">
        <v>231</v>
      </c>
    </row>
    <row r="438" spans="1:6">
      <c r="A438" t="str">
        <f t="shared" si="6"/>
        <v>GenericE&amp;DtemplateCIandGOA</v>
      </c>
      <c r="B438">
        <v>17</v>
      </c>
      <c r="C438">
        <v>21</v>
      </c>
      <c r="D438" s="649">
        <f ca="1">IF(E438=4,INDEX(crude_exp_dist,MATCH(B438,'Crude Exp Dist'!$B$6:$B$78,0),MATCH(C438,'Crude Exp Dist'!$AD$2:$BC$2,0))*INDEX(crude_exp_by_year,MATCH(B438,'Data Export'!$B$6:$B$78,0),1),IF(E438=5,INDEX(ref_exp_dist,MATCH(B438,'Refined Petro Exp Dist'!$B$6:$B$78,0),MATCH(C438,'Refined Petro Exp Dist'!$AD$2:$BC$2,0))*INDEX(ref_exp_by_year,MATCH(B438,'Data Export'!$B$6:$B$78,0),1)))</f>
        <v>0</v>
      </c>
      <c r="E438">
        <v>4</v>
      </c>
      <c r="F438" t="s">
        <v>232</v>
      </c>
    </row>
    <row r="439" spans="1:6">
      <c r="A439" t="str">
        <f t="shared" si="6"/>
        <v>GenericE&amp;DtemplateCIandGOA</v>
      </c>
      <c r="B439">
        <v>17</v>
      </c>
      <c r="C439">
        <v>22</v>
      </c>
      <c r="D439" s="649">
        <f ca="1">IF(E439=4,INDEX(crude_exp_dist,MATCH(B439,'Crude Exp Dist'!$B$6:$B$78,0),MATCH(C439,'Crude Exp Dist'!$AD$2:$BC$2,0))*INDEX(crude_exp_by_year,MATCH(B439,'Data Export'!$B$6:$B$78,0),1),IF(E439=5,INDEX(ref_exp_dist,MATCH(B439,'Refined Petro Exp Dist'!$B$6:$B$78,0),MATCH(C439,'Refined Petro Exp Dist'!$AD$2:$BC$2,0))*INDEX(ref_exp_by_year,MATCH(B439,'Data Export'!$B$6:$B$78,0),1)))</f>
        <v>0</v>
      </c>
      <c r="E439">
        <v>4</v>
      </c>
      <c r="F439" t="s">
        <v>235</v>
      </c>
    </row>
    <row r="440" spans="1:6">
      <c r="A440" t="str">
        <f t="shared" si="6"/>
        <v>GenericE&amp;DtemplateCIandGOA</v>
      </c>
      <c r="B440">
        <v>17</v>
      </c>
      <c r="C440">
        <v>23</v>
      </c>
      <c r="D440" s="649">
        <f ca="1">IF(E440=4,INDEX(crude_exp_dist,MATCH(B440,'Crude Exp Dist'!$B$6:$B$78,0),MATCH(C440,'Crude Exp Dist'!$AD$2:$BC$2,0))*INDEX(crude_exp_by_year,MATCH(B440,'Data Export'!$B$6:$B$78,0),1),IF(E440=5,INDEX(ref_exp_dist,MATCH(B440,'Refined Petro Exp Dist'!$B$6:$B$78,0),MATCH(C440,'Refined Petro Exp Dist'!$AD$2:$BC$2,0))*INDEX(ref_exp_by_year,MATCH(B440,'Data Export'!$B$6:$B$78,0),1)))</f>
        <v>0</v>
      </c>
      <c r="E440">
        <v>4</v>
      </c>
      <c r="F440" t="s">
        <v>237</v>
      </c>
    </row>
    <row r="441" spans="1:6">
      <c r="A441" t="str">
        <f t="shared" si="6"/>
        <v>GenericE&amp;DtemplateCIandGOA</v>
      </c>
      <c r="B441">
        <v>17</v>
      </c>
      <c r="C441">
        <v>24</v>
      </c>
      <c r="D441" s="649">
        <f ca="1">IF(E441=4,INDEX(crude_exp_dist,MATCH(B441,'Crude Exp Dist'!$B$6:$B$78,0),MATCH(C441,'Crude Exp Dist'!$AD$2:$BC$2,0))*INDEX(crude_exp_by_year,MATCH(B441,'Data Export'!$B$6:$B$78,0),1),IF(E441=5,INDEX(ref_exp_dist,MATCH(B441,'Refined Petro Exp Dist'!$B$6:$B$78,0),MATCH(C441,'Refined Petro Exp Dist'!$AD$2:$BC$2,0))*INDEX(ref_exp_by_year,MATCH(B441,'Data Export'!$B$6:$B$78,0),1)))</f>
        <v>0</v>
      </c>
      <c r="E441">
        <v>4</v>
      </c>
      <c r="F441" t="s">
        <v>239</v>
      </c>
    </row>
    <row r="442" spans="1:6">
      <c r="A442" t="str">
        <f t="shared" si="6"/>
        <v>GenericE&amp;DtemplateCIandGOA</v>
      </c>
      <c r="B442">
        <v>17</v>
      </c>
      <c r="C442">
        <v>25</v>
      </c>
      <c r="D442" s="649">
        <f ca="1">IF(E442=4,INDEX(crude_exp_dist,MATCH(B442,'Crude Exp Dist'!$B$6:$B$78,0),MATCH(C442,'Crude Exp Dist'!$AD$2:$BC$2,0))*INDEX(crude_exp_by_year,MATCH(B442,'Data Export'!$B$6:$B$78,0),1),IF(E442=5,INDEX(ref_exp_dist,MATCH(B442,'Refined Petro Exp Dist'!$B$6:$B$78,0),MATCH(C442,'Refined Petro Exp Dist'!$AD$2:$BC$2,0))*INDEX(ref_exp_by_year,MATCH(B442,'Data Export'!$B$6:$B$78,0),1)))</f>
        <v>0</v>
      </c>
      <c r="E442">
        <v>4</v>
      </c>
      <c r="F442" t="s">
        <v>242</v>
      </c>
    </row>
    <row r="443" spans="1:6">
      <c r="A443" t="str">
        <f t="shared" si="6"/>
        <v>GenericE&amp;DtemplateCIandGOA</v>
      </c>
      <c r="B443">
        <v>17</v>
      </c>
      <c r="C443">
        <v>26</v>
      </c>
      <c r="D443" s="649">
        <f ca="1">IF(E443=4,INDEX(crude_exp_dist,MATCH(B443,'Crude Exp Dist'!$B$6:$B$78,0),MATCH(C443,'Crude Exp Dist'!$AD$2:$BC$2,0))*INDEX(crude_exp_by_year,MATCH(B443,'Data Export'!$B$6:$B$78,0),1),IF(E443=5,INDEX(ref_exp_dist,MATCH(B443,'Refined Petro Exp Dist'!$B$6:$B$78,0),MATCH(C443,'Refined Petro Exp Dist'!$AD$2:$BC$2,0))*INDEX(ref_exp_by_year,MATCH(B443,'Data Export'!$B$6:$B$78,0),1)))</f>
        <v>0</v>
      </c>
      <c r="E443">
        <v>4</v>
      </c>
      <c r="F443" t="s">
        <v>245</v>
      </c>
    </row>
    <row r="444" spans="1:6">
      <c r="A444" t="str">
        <f t="shared" si="6"/>
        <v>GenericE&amp;DtemplateCIandGOA</v>
      </c>
      <c r="B444">
        <v>18</v>
      </c>
      <c r="C444">
        <v>1</v>
      </c>
      <c r="D444" s="649">
        <f ca="1">IF(E444=4,INDEX(crude_exp_dist,MATCH(B444,'Crude Exp Dist'!$B$6:$B$78,0),MATCH(C444,'Crude Exp Dist'!$AD$2:$BC$2,0))*INDEX(crude_exp_by_year,MATCH(B444,'Data Export'!$B$6:$B$78,0),1),IF(E444=5,INDEX(ref_exp_dist,MATCH(B444,'Refined Petro Exp Dist'!$B$6:$B$78,0),MATCH(C444,'Refined Petro Exp Dist'!$AD$2:$BC$2,0))*INDEX(ref_exp_by_year,MATCH(B444,'Data Export'!$B$6:$B$78,0),1)))</f>
        <v>0</v>
      </c>
      <c r="E444">
        <v>4</v>
      </c>
      <c r="F444" t="s">
        <v>158</v>
      </c>
    </row>
    <row r="445" spans="1:6">
      <c r="A445" t="str">
        <f t="shared" si="6"/>
        <v>GenericE&amp;DtemplateCIandGOA</v>
      </c>
      <c r="B445">
        <v>18</v>
      </c>
      <c r="C445">
        <v>2</v>
      </c>
      <c r="D445" s="649">
        <f ca="1">IF(E445=4,INDEX(crude_exp_dist,MATCH(B445,'Crude Exp Dist'!$B$6:$B$78,0),MATCH(C445,'Crude Exp Dist'!$AD$2:$BC$2,0))*INDEX(crude_exp_by_year,MATCH(B445,'Data Export'!$B$6:$B$78,0),1),IF(E445=5,INDEX(ref_exp_dist,MATCH(B445,'Refined Petro Exp Dist'!$B$6:$B$78,0),MATCH(C445,'Refined Petro Exp Dist'!$AD$2:$BC$2,0))*INDEX(ref_exp_by_year,MATCH(B445,'Data Export'!$B$6:$B$78,0),1)))</f>
        <v>0</v>
      </c>
      <c r="E445">
        <v>4</v>
      </c>
      <c r="F445" t="s">
        <v>166</v>
      </c>
    </row>
    <row r="446" spans="1:6">
      <c r="A446" t="str">
        <f t="shared" si="6"/>
        <v>GenericE&amp;DtemplateCIandGOA</v>
      </c>
      <c r="B446">
        <v>18</v>
      </c>
      <c r="C446">
        <v>3</v>
      </c>
      <c r="D446" s="649">
        <f ca="1">IF(E446=4,INDEX(crude_exp_dist,MATCH(B446,'Crude Exp Dist'!$B$6:$B$78,0),MATCH(C446,'Crude Exp Dist'!$AD$2:$BC$2,0))*INDEX(crude_exp_by_year,MATCH(B446,'Data Export'!$B$6:$B$78,0),1),IF(E446=5,INDEX(ref_exp_dist,MATCH(B446,'Refined Petro Exp Dist'!$B$6:$B$78,0),MATCH(C446,'Refined Petro Exp Dist'!$AD$2:$BC$2,0))*INDEX(ref_exp_by_year,MATCH(B446,'Data Export'!$B$6:$B$78,0),1)))</f>
        <v>0</v>
      </c>
      <c r="E446">
        <v>4</v>
      </c>
      <c r="F446" t="s">
        <v>171</v>
      </c>
    </row>
    <row r="447" spans="1:6">
      <c r="A447" t="str">
        <f t="shared" si="6"/>
        <v>GenericE&amp;DtemplateCIandGOA</v>
      </c>
      <c r="B447">
        <v>18</v>
      </c>
      <c r="C447">
        <v>4</v>
      </c>
      <c r="D447" s="649">
        <f ca="1">IF(E447=4,INDEX(crude_exp_dist,MATCH(B447,'Crude Exp Dist'!$B$6:$B$78,0),MATCH(C447,'Crude Exp Dist'!$AD$2:$BC$2,0))*INDEX(crude_exp_by_year,MATCH(B447,'Data Export'!$B$6:$B$78,0),1),IF(E447=5,INDEX(ref_exp_dist,MATCH(B447,'Refined Petro Exp Dist'!$B$6:$B$78,0),MATCH(C447,'Refined Petro Exp Dist'!$AD$2:$BC$2,0))*INDEX(ref_exp_by_year,MATCH(B447,'Data Export'!$B$6:$B$78,0),1)))</f>
        <v>0</v>
      </c>
      <c r="E447">
        <v>4</v>
      </c>
      <c r="F447" t="s">
        <v>173</v>
      </c>
    </row>
    <row r="448" spans="1:6">
      <c r="A448" t="str">
        <f t="shared" si="6"/>
        <v>GenericE&amp;DtemplateCIandGOA</v>
      </c>
      <c r="B448">
        <v>18</v>
      </c>
      <c r="C448">
        <v>5</v>
      </c>
      <c r="D448" s="649">
        <f ca="1">IF(E448=4,INDEX(crude_exp_dist,MATCH(B448,'Crude Exp Dist'!$B$6:$B$78,0),MATCH(C448,'Crude Exp Dist'!$AD$2:$BC$2,0))*INDEX(crude_exp_by_year,MATCH(B448,'Data Export'!$B$6:$B$78,0),1),IF(E448=5,INDEX(ref_exp_dist,MATCH(B448,'Refined Petro Exp Dist'!$B$6:$B$78,0),MATCH(C448,'Refined Petro Exp Dist'!$AD$2:$BC$2,0))*INDEX(ref_exp_by_year,MATCH(B448,'Data Export'!$B$6:$B$78,0),1)))</f>
        <v>0</v>
      </c>
      <c r="E448">
        <v>4</v>
      </c>
      <c r="F448" t="s">
        <v>180</v>
      </c>
    </row>
    <row r="449" spans="1:6">
      <c r="A449" t="str">
        <f t="shared" si="6"/>
        <v>GenericE&amp;DtemplateCIandGOA</v>
      </c>
      <c r="B449">
        <v>18</v>
      </c>
      <c r="C449">
        <v>6</v>
      </c>
      <c r="D449" s="649">
        <f ca="1">IF(E449=4,INDEX(crude_exp_dist,MATCH(B449,'Crude Exp Dist'!$B$6:$B$78,0),MATCH(C449,'Crude Exp Dist'!$AD$2:$BC$2,0))*INDEX(crude_exp_by_year,MATCH(B449,'Data Export'!$B$6:$B$78,0),1),IF(E449=5,INDEX(ref_exp_dist,MATCH(B449,'Refined Petro Exp Dist'!$B$6:$B$78,0),MATCH(C449,'Refined Petro Exp Dist'!$AD$2:$BC$2,0))*INDEX(ref_exp_by_year,MATCH(B449,'Data Export'!$B$6:$B$78,0),1)))</f>
        <v>4.8720034974892072E-2</v>
      </c>
      <c r="E449">
        <v>4</v>
      </c>
      <c r="F449" t="s">
        <v>186</v>
      </c>
    </row>
    <row r="450" spans="1:6">
      <c r="A450" t="str">
        <f t="shared" ref="A450:A513" si="7">scenario_name</f>
        <v>GenericE&amp;DtemplateCIandGOA</v>
      </c>
      <c r="B450">
        <v>18</v>
      </c>
      <c r="C450">
        <v>7</v>
      </c>
      <c r="D450" s="649">
        <f ca="1">IF(E450=4,INDEX(crude_exp_dist,MATCH(B450,'Crude Exp Dist'!$B$6:$B$78,0),MATCH(C450,'Crude Exp Dist'!$AD$2:$BC$2,0))*INDEX(crude_exp_by_year,MATCH(B450,'Data Export'!$B$6:$B$78,0),1),IF(E450=5,INDEX(ref_exp_dist,MATCH(B450,'Refined Petro Exp Dist'!$B$6:$B$78,0),MATCH(C450,'Refined Petro Exp Dist'!$AD$2:$BC$2,0))*INDEX(ref_exp_by_year,MATCH(B450,'Data Export'!$B$6:$B$78,0),1)))</f>
        <v>0</v>
      </c>
      <c r="E450">
        <v>4</v>
      </c>
      <c r="F450" t="s">
        <v>191</v>
      </c>
    </row>
    <row r="451" spans="1:6">
      <c r="A451" t="str">
        <f t="shared" si="7"/>
        <v>GenericE&amp;DtemplateCIandGOA</v>
      </c>
      <c r="B451">
        <v>18</v>
      </c>
      <c r="C451">
        <v>8</v>
      </c>
      <c r="D451" s="649">
        <f ca="1">IF(E451=4,INDEX(crude_exp_dist,MATCH(B451,'Crude Exp Dist'!$B$6:$B$78,0),MATCH(C451,'Crude Exp Dist'!$AD$2:$BC$2,0))*INDEX(crude_exp_by_year,MATCH(B451,'Data Export'!$B$6:$B$78,0),1),IF(E451=5,INDEX(ref_exp_dist,MATCH(B451,'Refined Petro Exp Dist'!$B$6:$B$78,0),MATCH(C451,'Refined Petro Exp Dist'!$AD$2:$BC$2,0))*INDEX(ref_exp_by_year,MATCH(B451,'Data Export'!$B$6:$B$78,0),1)))</f>
        <v>0</v>
      </c>
      <c r="E451">
        <v>4</v>
      </c>
      <c r="F451" t="s">
        <v>197</v>
      </c>
    </row>
    <row r="452" spans="1:6">
      <c r="A452" t="str">
        <f t="shared" si="7"/>
        <v>GenericE&amp;DtemplateCIandGOA</v>
      </c>
      <c r="B452">
        <v>18</v>
      </c>
      <c r="C452">
        <v>9</v>
      </c>
      <c r="D452" s="649">
        <f ca="1">IF(E452=4,INDEX(crude_exp_dist,MATCH(B452,'Crude Exp Dist'!$B$6:$B$78,0),MATCH(C452,'Crude Exp Dist'!$AD$2:$BC$2,0))*INDEX(crude_exp_by_year,MATCH(B452,'Data Export'!$B$6:$B$78,0),1),IF(E452=5,INDEX(ref_exp_dist,MATCH(B452,'Refined Petro Exp Dist'!$B$6:$B$78,0),MATCH(C452,'Refined Petro Exp Dist'!$AD$2:$BC$2,0))*INDEX(ref_exp_by_year,MATCH(B452,'Data Export'!$B$6:$B$78,0),1)))</f>
        <v>0</v>
      </c>
      <c r="E452">
        <v>4</v>
      </c>
      <c r="F452" t="s">
        <v>199</v>
      </c>
    </row>
    <row r="453" spans="1:6">
      <c r="A453" t="str">
        <f t="shared" si="7"/>
        <v>GenericE&amp;DtemplateCIandGOA</v>
      </c>
      <c r="B453">
        <v>18</v>
      </c>
      <c r="C453">
        <v>10</v>
      </c>
      <c r="D453" s="649">
        <f ca="1">IF(E453=4,INDEX(crude_exp_dist,MATCH(B453,'Crude Exp Dist'!$B$6:$B$78,0),MATCH(C453,'Crude Exp Dist'!$AD$2:$BC$2,0))*INDEX(crude_exp_by_year,MATCH(B453,'Data Export'!$B$6:$B$78,0),1),IF(E453=5,INDEX(ref_exp_dist,MATCH(B453,'Refined Petro Exp Dist'!$B$6:$B$78,0),MATCH(C453,'Refined Petro Exp Dist'!$AD$2:$BC$2,0))*INDEX(ref_exp_by_year,MATCH(B453,'Data Export'!$B$6:$B$78,0),1)))</f>
        <v>0</v>
      </c>
      <c r="E453">
        <v>4</v>
      </c>
      <c r="F453" t="s">
        <v>201</v>
      </c>
    </row>
    <row r="454" spans="1:6">
      <c r="A454" t="str">
        <f t="shared" si="7"/>
        <v>GenericE&amp;DtemplateCIandGOA</v>
      </c>
      <c r="B454">
        <v>18</v>
      </c>
      <c r="C454">
        <v>11</v>
      </c>
      <c r="D454" s="649">
        <f ca="1">IF(E454=4,INDEX(crude_exp_dist,MATCH(B454,'Crude Exp Dist'!$B$6:$B$78,0),MATCH(C454,'Crude Exp Dist'!$AD$2:$BC$2,0))*INDEX(crude_exp_by_year,MATCH(B454,'Data Export'!$B$6:$B$78,0),1),IF(E454=5,INDEX(ref_exp_dist,MATCH(B454,'Refined Petro Exp Dist'!$B$6:$B$78,0),MATCH(C454,'Refined Petro Exp Dist'!$AD$2:$BC$2,0))*INDEX(ref_exp_by_year,MATCH(B454,'Data Export'!$B$6:$B$78,0),1)))</f>
        <v>0</v>
      </c>
      <c r="E454">
        <v>4</v>
      </c>
      <c r="F454" t="s">
        <v>921</v>
      </c>
    </row>
    <row r="455" spans="1:6">
      <c r="A455" t="str">
        <f t="shared" si="7"/>
        <v>GenericE&amp;DtemplateCIandGOA</v>
      </c>
      <c r="B455">
        <v>18</v>
      </c>
      <c r="C455">
        <v>12</v>
      </c>
      <c r="D455" s="649">
        <f ca="1">IF(E455=4,INDEX(crude_exp_dist,MATCH(B455,'Crude Exp Dist'!$B$6:$B$78,0),MATCH(C455,'Crude Exp Dist'!$AD$2:$BC$2,0))*INDEX(crude_exp_by_year,MATCH(B455,'Data Export'!$B$6:$B$78,0),1),IF(E455=5,INDEX(ref_exp_dist,MATCH(B455,'Refined Petro Exp Dist'!$B$6:$B$78,0),MATCH(C455,'Refined Petro Exp Dist'!$AD$2:$BC$2,0))*INDEX(ref_exp_by_year,MATCH(B455,'Data Export'!$B$6:$B$78,0),1)))</f>
        <v>2.351273191142208E-3</v>
      </c>
      <c r="E455">
        <v>4</v>
      </c>
      <c r="F455" t="s">
        <v>208</v>
      </c>
    </row>
    <row r="456" spans="1:6">
      <c r="A456" t="str">
        <f t="shared" si="7"/>
        <v>GenericE&amp;DtemplateCIandGOA</v>
      </c>
      <c r="B456">
        <v>18</v>
      </c>
      <c r="C456">
        <v>13</v>
      </c>
      <c r="D456" s="649">
        <f ca="1">IF(E456=4,INDEX(crude_exp_dist,MATCH(B456,'Crude Exp Dist'!$B$6:$B$78,0),MATCH(C456,'Crude Exp Dist'!$AD$2:$BC$2,0))*INDEX(crude_exp_by_year,MATCH(B456,'Data Export'!$B$6:$B$78,0),1),IF(E456=5,INDEX(ref_exp_dist,MATCH(B456,'Refined Petro Exp Dist'!$B$6:$B$78,0),MATCH(C456,'Refined Petro Exp Dist'!$AD$2:$BC$2,0))*INDEX(ref_exp_by_year,MATCH(B456,'Data Export'!$B$6:$B$78,0),1)))</f>
        <v>2.351273191142208E-3</v>
      </c>
      <c r="E456">
        <v>4</v>
      </c>
      <c r="F456" t="s">
        <v>211</v>
      </c>
    </row>
    <row r="457" spans="1:6">
      <c r="A457" t="str">
        <f t="shared" si="7"/>
        <v>GenericE&amp;DtemplateCIandGOA</v>
      </c>
      <c r="B457">
        <v>18</v>
      </c>
      <c r="C457">
        <v>14</v>
      </c>
      <c r="D457" s="649">
        <f ca="1">IF(E457=4,INDEX(crude_exp_dist,MATCH(B457,'Crude Exp Dist'!$B$6:$B$78,0),MATCH(C457,'Crude Exp Dist'!$AD$2:$BC$2,0))*INDEX(crude_exp_by_year,MATCH(B457,'Data Export'!$B$6:$B$78,0),1),IF(E457=5,INDEX(ref_exp_dist,MATCH(B457,'Refined Petro Exp Dist'!$B$6:$B$78,0),MATCH(C457,'Refined Petro Exp Dist'!$AD$2:$BC$2,0))*INDEX(ref_exp_by_year,MATCH(B457,'Data Export'!$B$6:$B$78,0),1)))</f>
        <v>0</v>
      </c>
      <c r="E457">
        <v>4</v>
      </c>
      <c r="F457" t="s">
        <v>213</v>
      </c>
    </row>
    <row r="458" spans="1:6">
      <c r="A458" t="str">
        <f t="shared" si="7"/>
        <v>GenericE&amp;DtemplateCIandGOA</v>
      </c>
      <c r="B458">
        <v>18</v>
      </c>
      <c r="C458">
        <v>15</v>
      </c>
      <c r="D458" s="649">
        <f ca="1">IF(E458=4,INDEX(crude_exp_dist,MATCH(B458,'Crude Exp Dist'!$B$6:$B$78,0),MATCH(C458,'Crude Exp Dist'!$AD$2:$BC$2,0))*INDEX(crude_exp_by_year,MATCH(B458,'Data Export'!$B$6:$B$78,0),1),IF(E458=5,INDEX(ref_exp_dist,MATCH(B458,'Refined Petro Exp Dist'!$B$6:$B$78,0),MATCH(C458,'Refined Petro Exp Dist'!$AD$2:$BC$2,0))*INDEX(ref_exp_by_year,MATCH(B458,'Data Export'!$B$6:$B$78,0),1)))</f>
        <v>0</v>
      </c>
      <c r="E458">
        <v>4</v>
      </c>
      <c r="F458" t="s">
        <v>215</v>
      </c>
    </row>
    <row r="459" spans="1:6">
      <c r="A459" t="str">
        <f t="shared" si="7"/>
        <v>GenericE&amp;DtemplateCIandGOA</v>
      </c>
      <c r="B459">
        <v>18</v>
      </c>
      <c r="C459">
        <v>16</v>
      </c>
      <c r="D459" s="649">
        <f ca="1">IF(E459=4,INDEX(crude_exp_dist,MATCH(B459,'Crude Exp Dist'!$B$6:$B$78,0),MATCH(C459,'Crude Exp Dist'!$AD$2:$BC$2,0))*INDEX(crude_exp_by_year,MATCH(B459,'Data Export'!$B$6:$B$78,0),1),IF(E459=5,INDEX(ref_exp_dist,MATCH(B459,'Refined Petro Exp Dist'!$B$6:$B$78,0),MATCH(C459,'Refined Petro Exp Dist'!$AD$2:$BC$2,0))*INDEX(ref_exp_by_year,MATCH(B459,'Data Export'!$B$6:$B$78,0),1)))</f>
        <v>0</v>
      </c>
      <c r="E459">
        <v>4</v>
      </c>
      <c r="F459" t="s">
        <v>219</v>
      </c>
    </row>
    <row r="460" spans="1:6">
      <c r="A460" t="str">
        <f t="shared" si="7"/>
        <v>GenericE&amp;DtemplateCIandGOA</v>
      </c>
      <c r="B460">
        <v>18</v>
      </c>
      <c r="C460">
        <v>17</v>
      </c>
      <c r="D460" s="649">
        <f ca="1">IF(E460=4,INDEX(crude_exp_dist,MATCH(B460,'Crude Exp Dist'!$B$6:$B$78,0),MATCH(C460,'Crude Exp Dist'!$AD$2:$BC$2,0))*INDEX(crude_exp_by_year,MATCH(B460,'Data Export'!$B$6:$B$78,0),1),IF(E460=5,INDEX(ref_exp_dist,MATCH(B460,'Refined Petro Exp Dist'!$B$6:$B$78,0),MATCH(C460,'Refined Petro Exp Dist'!$AD$2:$BC$2,0))*INDEX(ref_exp_by_year,MATCH(B460,'Data Export'!$B$6:$B$78,0),1)))</f>
        <v>0</v>
      </c>
      <c r="E460">
        <v>4</v>
      </c>
      <c r="F460" t="s">
        <v>222</v>
      </c>
    </row>
    <row r="461" spans="1:6">
      <c r="A461" t="str">
        <f t="shared" si="7"/>
        <v>GenericE&amp;DtemplateCIandGOA</v>
      </c>
      <c r="B461">
        <v>18</v>
      </c>
      <c r="C461">
        <v>18</v>
      </c>
      <c r="D461" s="649">
        <f ca="1">IF(E461=4,INDEX(crude_exp_dist,MATCH(B461,'Crude Exp Dist'!$B$6:$B$78,0),MATCH(C461,'Crude Exp Dist'!$AD$2:$BC$2,0))*INDEX(crude_exp_by_year,MATCH(B461,'Data Export'!$B$6:$B$78,0),1),IF(E461=5,INDEX(ref_exp_dist,MATCH(B461,'Refined Petro Exp Dist'!$B$6:$B$78,0),MATCH(C461,'Refined Petro Exp Dist'!$AD$2:$BC$2,0))*INDEX(ref_exp_by_year,MATCH(B461,'Data Export'!$B$6:$B$78,0),1)))</f>
        <v>0</v>
      </c>
      <c r="E461">
        <v>4</v>
      </c>
      <c r="F461" t="s">
        <v>224</v>
      </c>
    </row>
    <row r="462" spans="1:6">
      <c r="A462" t="str">
        <f t="shared" si="7"/>
        <v>GenericE&amp;DtemplateCIandGOA</v>
      </c>
      <c r="B462">
        <v>18</v>
      </c>
      <c r="C462">
        <v>19</v>
      </c>
      <c r="D462" s="649">
        <f ca="1">IF(E462=4,INDEX(crude_exp_dist,MATCH(B462,'Crude Exp Dist'!$B$6:$B$78,0),MATCH(C462,'Crude Exp Dist'!$AD$2:$BC$2,0))*INDEX(crude_exp_by_year,MATCH(B462,'Data Export'!$B$6:$B$78,0),1),IF(E462=5,INDEX(ref_exp_dist,MATCH(B462,'Refined Petro Exp Dist'!$B$6:$B$78,0),MATCH(C462,'Refined Petro Exp Dist'!$AD$2:$BC$2,0))*INDEX(ref_exp_by_year,MATCH(B462,'Data Export'!$B$6:$B$78,0),1)))</f>
        <v>0</v>
      </c>
      <c r="E462">
        <v>4</v>
      </c>
      <c r="F462" t="s">
        <v>228</v>
      </c>
    </row>
    <row r="463" spans="1:6">
      <c r="A463" t="str">
        <f t="shared" si="7"/>
        <v>GenericE&amp;DtemplateCIandGOA</v>
      </c>
      <c r="B463">
        <v>18</v>
      </c>
      <c r="C463">
        <v>20</v>
      </c>
      <c r="D463" s="649">
        <f ca="1">IF(E463=4,INDEX(crude_exp_dist,MATCH(B463,'Crude Exp Dist'!$B$6:$B$78,0),MATCH(C463,'Crude Exp Dist'!$AD$2:$BC$2,0))*INDEX(crude_exp_by_year,MATCH(B463,'Data Export'!$B$6:$B$78,0),1),IF(E463=5,INDEX(ref_exp_dist,MATCH(B463,'Refined Petro Exp Dist'!$B$6:$B$78,0),MATCH(C463,'Refined Petro Exp Dist'!$AD$2:$BC$2,0))*INDEX(ref_exp_by_year,MATCH(B463,'Data Export'!$B$6:$B$78,0),1)))</f>
        <v>0</v>
      </c>
      <c r="E463">
        <v>4</v>
      </c>
      <c r="F463" t="s">
        <v>231</v>
      </c>
    </row>
    <row r="464" spans="1:6">
      <c r="A464" t="str">
        <f t="shared" si="7"/>
        <v>GenericE&amp;DtemplateCIandGOA</v>
      </c>
      <c r="B464">
        <v>18</v>
      </c>
      <c r="C464">
        <v>21</v>
      </c>
      <c r="D464" s="649">
        <f ca="1">IF(E464=4,INDEX(crude_exp_dist,MATCH(B464,'Crude Exp Dist'!$B$6:$B$78,0),MATCH(C464,'Crude Exp Dist'!$AD$2:$BC$2,0))*INDEX(crude_exp_by_year,MATCH(B464,'Data Export'!$B$6:$B$78,0),1),IF(E464=5,INDEX(ref_exp_dist,MATCH(B464,'Refined Petro Exp Dist'!$B$6:$B$78,0),MATCH(C464,'Refined Petro Exp Dist'!$AD$2:$BC$2,0))*INDEX(ref_exp_by_year,MATCH(B464,'Data Export'!$B$6:$B$78,0),1)))</f>
        <v>0</v>
      </c>
      <c r="E464">
        <v>4</v>
      </c>
      <c r="F464" t="s">
        <v>232</v>
      </c>
    </row>
    <row r="465" spans="1:6">
      <c r="A465" t="str">
        <f t="shared" si="7"/>
        <v>GenericE&amp;DtemplateCIandGOA</v>
      </c>
      <c r="B465">
        <v>18</v>
      </c>
      <c r="C465">
        <v>22</v>
      </c>
      <c r="D465" s="649">
        <f ca="1">IF(E465=4,INDEX(crude_exp_dist,MATCH(B465,'Crude Exp Dist'!$B$6:$B$78,0),MATCH(C465,'Crude Exp Dist'!$AD$2:$BC$2,0))*INDEX(crude_exp_by_year,MATCH(B465,'Data Export'!$B$6:$B$78,0),1),IF(E465=5,INDEX(ref_exp_dist,MATCH(B465,'Refined Petro Exp Dist'!$B$6:$B$78,0),MATCH(C465,'Refined Petro Exp Dist'!$AD$2:$BC$2,0))*INDEX(ref_exp_by_year,MATCH(B465,'Data Export'!$B$6:$B$78,0),1)))</f>
        <v>0</v>
      </c>
      <c r="E465">
        <v>4</v>
      </c>
      <c r="F465" t="s">
        <v>235</v>
      </c>
    </row>
    <row r="466" spans="1:6">
      <c r="A466" t="str">
        <f t="shared" si="7"/>
        <v>GenericE&amp;DtemplateCIandGOA</v>
      </c>
      <c r="B466">
        <v>18</v>
      </c>
      <c r="C466">
        <v>23</v>
      </c>
      <c r="D466" s="649">
        <f ca="1">IF(E466=4,INDEX(crude_exp_dist,MATCH(B466,'Crude Exp Dist'!$B$6:$B$78,0),MATCH(C466,'Crude Exp Dist'!$AD$2:$BC$2,0))*INDEX(crude_exp_by_year,MATCH(B466,'Data Export'!$B$6:$B$78,0),1),IF(E466=5,INDEX(ref_exp_dist,MATCH(B466,'Refined Petro Exp Dist'!$B$6:$B$78,0),MATCH(C466,'Refined Petro Exp Dist'!$AD$2:$BC$2,0))*INDEX(ref_exp_by_year,MATCH(B466,'Data Export'!$B$6:$B$78,0),1)))</f>
        <v>0</v>
      </c>
      <c r="E466">
        <v>4</v>
      </c>
      <c r="F466" t="s">
        <v>237</v>
      </c>
    </row>
    <row r="467" spans="1:6">
      <c r="A467" t="str">
        <f t="shared" si="7"/>
        <v>GenericE&amp;DtemplateCIandGOA</v>
      </c>
      <c r="B467">
        <v>18</v>
      </c>
      <c r="C467">
        <v>24</v>
      </c>
      <c r="D467" s="649">
        <f ca="1">IF(E467=4,INDEX(crude_exp_dist,MATCH(B467,'Crude Exp Dist'!$B$6:$B$78,0),MATCH(C467,'Crude Exp Dist'!$AD$2:$BC$2,0))*INDEX(crude_exp_by_year,MATCH(B467,'Data Export'!$B$6:$B$78,0),1),IF(E467=5,INDEX(ref_exp_dist,MATCH(B467,'Refined Petro Exp Dist'!$B$6:$B$78,0),MATCH(C467,'Refined Petro Exp Dist'!$AD$2:$BC$2,0))*INDEX(ref_exp_by_year,MATCH(B467,'Data Export'!$B$6:$B$78,0),1)))</f>
        <v>0</v>
      </c>
      <c r="E467">
        <v>4</v>
      </c>
      <c r="F467" t="s">
        <v>239</v>
      </c>
    </row>
    <row r="468" spans="1:6">
      <c r="A468" t="str">
        <f t="shared" si="7"/>
        <v>GenericE&amp;DtemplateCIandGOA</v>
      </c>
      <c r="B468">
        <v>18</v>
      </c>
      <c r="C468">
        <v>25</v>
      </c>
      <c r="D468" s="649">
        <f ca="1">IF(E468=4,INDEX(crude_exp_dist,MATCH(B468,'Crude Exp Dist'!$B$6:$B$78,0),MATCH(C468,'Crude Exp Dist'!$AD$2:$BC$2,0))*INDEX(crude_exp_by_year,MATCH(B468,'Data Export'!$B$6:$B$78,0),1),IF(E468=5,INDEX(ref_exp_dist,MATCH(B468,'Refined Petro Exp Dist'!$B$6:$B$78,0),MATCH(C468,'Refined Petro Exp Dist'!$AD$2:$BC$2,0))*INDEX(ref_exp_by_year,MATCH(B468,'Data Export'!$B$6:$B$78,0),1)))</f>
        <v>0</v>
      </c>
      <c r="E468">
        <v>4</v>
      </c>
      <c r="F468" t="s">
        <v>242</v>
      </c>
    </row>
    <row r="469" spans="1:6">
      <c r="A469" t="str">
        <f t="shared" si="7"/>
        <v>GenericE&amp;DtemplateCIandGOA</v>
      </c>
      <c r="B469">
        <v>18</v>
      </c>
      <c r="C469">
        <v>26</v>
      </c>
      <c r="D469" s="649">
        <f ca="1">IF(E469=4,INDEX(crude_exp_dist,MATCH(B469,'Crude Exp Dist'!$B$6:$B$78,0),MATCH(C469,'Crude Exp Dist'!$AD$2:$BC$2,0))*INDEX(crude_exp_by_year,MATCH(B469,'Data Export'!$B$6:$B$78,0),1),IF(E469=5,INDEX(ref_exp_dist,MATCH(B469,'Refined Petro Exp Dist'!$B$6:$B$78,0),MATCH(C469,'Refined Petro Exp Dist'!$AD$2:$BC$2,0))*INDEX(ref_exp_by_year,MATCH(B469,'Data Export'!$B$6:$B$78,0),1)))</f>
        <v>0</v>
      </c>
      <c r="E469">
        <v>4</v>
      </c>
      <c r="F469" t="s">
        <v>245</v>
      </c>
    </row>
    <row r="470" spans="1:6">
      <c r="A470" t="str">
        <f t="shared" si="7"/>
        <v>GenericE&amp;DtemplateCIandGOA</v>
      </c>
      <c r="B470">
        <v>19</v>
      </c>
      <c r="C470">
        <v>1</v>
      </c>
      <c r="D470" s="649">
        <f ca="1">IF(E470=4,INDEX(crude_exp_dist,MATCH(B470,'Crude Exp Dist'!$B$6:$B$78,0),MATCH(C470,'Crude Exp Dist'!$AD$2:$BC$2,0))*INDEX(crude_exp_by_year,MATCH(B470,'Data Export'!$B$6:$B$78,0),1),IF(E470=5,INDEX(ref_exp_dist,MATCH(B470,'Refined Petro Exp Dist'!$B$6:$B$78,0),MATCH(C470,'Refined Petro Exp Dist'!$AD$2:$BC$2,0))*INDEX(ref_exp_by_year,MATCH(B470,'Data Export'!$B$6:$B$78,0),1)))</f>
        <v>0</v>
      </c>
      <c r="E470">
        <v>4</v>
      </c>
      <c r="F470" t="s">
        <v>158</v>
      </c>
    </row>
    <row r="471" spans="1:6">
      <c r="A471" t="str">
        <f t="shared" si="7"/>
        <v>GenericE&amp;DtemplateCIandGOA</v>
      </c>
      <c r="B471">
        <v>19</v>
      </c>
      <c r="C471">
        <v>2</v>
      </c>
      <c r="D471" s="649">
        <f ca="1">IF(E471=4,INDEX(crude_exp_dist,MATCH(B471,'Crude Exp Dist'!$B$6:$B$78,0),MATCH(C471,'Crude Exp Dist'!$AD$2:$BC$2,0))*INDEX(crude_exp_by_year,MATCH(B471,'Data Export'!$B$6:$B$78,0),1),IF(E471=5,INDEX(ref_exp_dist,MATCH(B471,'Refined Petro Exp Dist'!$B$6:$B$78,0),MATCH(C471,'Refined Petro Exp Dist'!$AD$2:$BC$2,0))*INDEX(ref_exp_by_year,MATCH(B471,'Data Export'!$B$6:$B$78,0),1)))</f>
        <v>0</v>
      </c>
      <c r="E471">
        <v>4</v>
      </c>
      <c r="F471" t="s">
        <v>166</v>
      </c>
    </row>
    <row r="472" spans="1:6">
      <c r="A472" t="str">
        <f t="shared" si="7"/>
        <v>GenericE&amp;DtemplateCIandGOA</v>
      </c>
      <c r="B472">
        <v>19</v>
      </c>
      <c r="C472">
        <v>3</v>
      </c>
      <c r="D472" s="649">
        <f ca="1">IF(E472=4,INDEX(crude_exp_dist,MATCH(B472,'Crude Exp Dist'!$B$6:$B$78,0),MATCH(C472,'Crude Exp Dist'!$AD$2:$BC$2,0))*INDEX(crude_exp_by_year,MATCH(B472,'Data Export'!$B$6:$B$78,0),1),IF(E472=5,INDEX(ref_exp_dist,MATCH(B472,'Refined Petro Exp Dist'!$B$6:$B$78,0),MATCH(C472,'Refined Petro Exp Dist'!$AD$2:$BC$2,0))*INDEX(ref_exp_by_year,MATCH(B472,'Data Export'!$B$6:$B$78,0),1)))</f>
        <v>0</v>
      </c>
      <c r="E472">
        <v>4</v>
      </c>
      <c r="F472" t="s">
        <v>171</v>
      </c>
    </row>
    <row r="473" spans="1:6">
      <c r="A473" t="str">
        <f t="shared" si="7"/>
        <v>GenericE&amp;DtemplateCIandGOA</v>
      </c>
      <c r="B473">
        <v>19</v>
      </c>
      <c r="C473">
        <v>4</v>
      </c>
      <c r="D473" s="649">
        <f ca="1">IF(E473=4,INDEX(crude_exp_dist,MATCH(B473,'Crude Exp Dist'!$B$6:$B$78,0),MATCH(C473,'Crude Exp Dist'!$AD$2:$BC$2,0))*INDEX(crude_exp_by_year,MATCH(B473,'Data Export'!$B$6:$B$78,0),1),IF(E473=5,INDEX(ref_exp_dist,MATCH(B473,'Refined Petro Exp Dist'!$B$6:$B$78,0),MATCH(C473,'Refined Petro Exp Dist'!$AD$2:$BC$2,0))*INDEX(ref_exp_by_year,MATCH(B473,'Data Export'!$B$6:$B$78,0),1)))</f>
        <v>0</v>
      </c>
      <c r="E473">
        <v>4</v>
      </c>
      <c r="F473" t="s">
        <v>173</v>
      </c>
    </row>
    <row r="474" spans="1:6">
      <c r="A474" t="str">
        <f t="shared" si="7"/>
        <v>GenericE&amp;DtemplateCIandGOA</v>
      </c>
      <c r="B474">
        <v>19</v>
      </c>
      <c r="C474">
        <v>5</v>
      </c>
      <c r="D474" s="649">
        <f ca="1">IF(E474=4,INDEX(crude_exp_dist,MATCH(B474,'Crude Exp Dist'!$B$6:$B$78,0),MATCH(C474,'Crude Exp Dist'!$AD$2:$BC$2,0))*INDEX(crude_exp_by_year,MATCH(B474,'Data Export'!$B$6:$B$78,0),1),IF(E474=5,INDEX(ref_exp_dist,MATCH(B474,'Refined Petro Exp Dist'!$B$6:$B$78,0),MATCH(C474,'Refined Petro Exp Dist'!$AD$2:$BC$2,0))*INDEX(ref_exp_by_year,MATCH(B474,'Data Export'!$B$6:$B$78,0),1)))</f>
        <v>0</v>
      </c>
      <c r="E474">
        <v>4</v>
      </c>
      <c r="F474" t="s">
        <v>180</v>
      </c>
    </row>
    <row r="475" spans="1:6">
      <c r="A475" t="str">
        <f t="shared" si="7"/>
        <v>GenericE&amp;DtemplateCIandGOA</v>
      </c>
      <c r="B475">
        <v>19</v>
      </c>
      <c r="C475">
        <v>6</v>
      </c>
      <c r="D475" s="649">
        <f ca="1">IF(E475=4,INDEX(crude_exp_dist,MATCH(B475,'Crude Exp Dist'!$B$6:$B$78,0),MATCH(C475,'Crude Exp Dist'!$AD$2:$BC$2,0))*INDEX(crude_exp_by_year,MATCH(B475,'Data Export'!$B$6:$B$78,0),1),IF(E475=5,INDEX(ref_exp_dist,MATCH(B475,'Refined Petro Exp Dist'!$B$6:$B$78,0),MATCH(C475,'Refined Petro Exp Dist'!$AD$2:$BC$2,0))*INDEX(ref_exp_by_year,MATCH(B475,'Data Export'!$B$6:$B$78,0),1)))</f>
        <v>4.8847064598519035E-2</v>
      </c>
      <c r="E475">
        <v>4</v>
      </c>
      <c r="F475" t="s">
        <v>186</v>
      </c>
    </row>
    <row r="476" spans="1:6">
      <c r="A476" t="str">
        <f t="shared" si="7"/>
        <v>GenericE&amp;DtemplateCIandGOA</v>
      </c>
      <c r="B476">
        <v>19</v>
      </c>
      <c r="C476">
        <v>7</v>
      </c>
      <c r="D476" s="649">
        <f ca="1">IF(E476=4,INDEX(crude_exp_dist,MATCH(B476,'Crude Exp Dist'!$B$6:$B$78,0),MATCH(C476,'Crude Exp Dist'!$AD$2:$BC$2,0))*INDEX(crude_exp_by_year,MATCH(B476,'Data Export'!$B$6:$B$78,0),1),IF(E476=5,INDEX(ref_exp_dist,MATCH(B476,'Refined Petro Exp Dist'!$B$6:$B$78,0),MATCH(C476,'Refined Petro Exp Dist'!$AD$2:$BC$2,0))*INDEX(ref_exp_by_year,MATCH(B476,'Data Export'!$B$6:$B$78,0),1)))</f>
        <v>0</v>
      </c>
      <c r="E476">
        <v>4</v>
      </c>
      <c r="F476" t="s">
        <v>191</v>
      </c>
    </row>
    <row r="477" spans="1:6">
      <c r="A477" t="str">
        <f t="shared" si="7"/>
        <v>GenericE&amp;DtemplateCIandGOA</v>
      </c>
      <c r="B477">
        <v>19</v>
      </c>
      <c r="C477">
        <v>8</v>
      </c>
      <c r="D477" s="649">
        <f ca="1">IF(E477=4,INDEX(crude_exp_dist,MATCH(B477,'Crude Exp Dist'!$B$6:$B$78,0),MATCH(C477,'Crude Exp Dist'!$AD$2:$BC$2,0))*INDEX(crude_exp_by_year,MATCH(B477,'Data Export'!$B$6:$B$78,0),1),IF(E477=5,INDEX(ref_exp_dist,MATCH(B477,'Refined Petro Exp Dist'!$B$6:$B$78,0),MATCH(C477,'Refined Petro Exp Dist'!$AD$2:$BC$2,0))*INDEX(ref_exp_by_year,MATCH(B477,'Data Export'!$B$6:$B$78,0),1)))</f>
        <v>0</v>
      </c>
      <c r="E477">
        <v>4</v>
      </c>
      <c r="F477" t="s">
        <v>197</v>
      </c>
    </row>
    <row r="478" spans="1:6">
      <c r="A478" t="str">
        <f t="shared" si="7"/>
        <v>GenericE&amp;DtemplateCIandGOA</v>
      </c>
      <c r="B478">
        <v>19</v>
      </c>
      <c r="C478">
        <v>9</v>
      </c>
      <c r="D478" s="649">
        <f ca="1">IF(E478=4,INDEX(crude_exp_dist,MATCH(B478,'Crude Exp Dist'!$B$6:$B$78,0),MATCH(C478,'Crude Exp Dist'!$AD$2:$BC$2,0))*INDEX(crude_exp_by_year,MATCH(B478,'Data Export'!$B$6:$B$78,0),1),IF(E478=5,INDEX(ref_exp_dist,MATCH(B478,'Refined Petro Exp Dist'!$B$6:$B$78,0),MATCH(C478,'Refined Petro Exp Dist'!$AD$2:$BC$2,0))*INDEX(ref_exp_by_year,MATCH(B478,'Data Export'!$B$6:$B$78,0),1)))</f>
        <v>0</v>
      </c>
      <c r="E478">
        <v>4</v>
      </c>
      <c r="F478" t="s">
        <v>199</v>
      </c>
    </row>
    <row r="479" spans="1:6">
      <c r="A479" t="str">
        <f t="shared" si="7"/>
        <v>GenericE&amp;DtemplateCIandGOA</v>
      </c>
      <c r="B479">
        <v>19</v>
      </c>
      <c r="C479">
        <v>10</v>
      </c>
      <c r="D479" s="649">
        <f ca="1">IF(E479=4,INDEX(crude_exp_dist,MATCH(B479,'Crude Exp Dist'!$B$6:$B$78,0),MATCH(C479,'Crude Exp Dist'!$AD$2:$BC$2,0))*INDEX(crude_exp_by_year,MATCH(B479,'Data Export'!$B$6:$B$78,0),1),IF(E479=5,INDEX(ref_exp_dist,MATCH(B479,'Refined Petro Exp Dist'!$B$6:$B$78,0),MATCH(C479,'Refined Petro Exp Dist'!$AD$2:$BC$2,0))*INDEX(ref_exp_by_year,MATCH(B479,'Data Export'!$B$6:$B$78,0),1)))</f>
        <v>0</v>
      </c>
      <c r="E479">
        <v>4</v>
      </c>
      <c r="F479" t="s">
        <v>201</v>
      </c>
    </row>
    <row r="480" spans="1:6">
      <c r="A480" t="str">
        <f t="shared" si="7"/>
        <v>GenericE&amp;DtemplateCIandGOA</v>
      </c>
      <c r="B480">
        <v>19</v>
      </c>
      <c r="C480">
        <v>11</v>
      </c>
      <c r="D480" s="649">
        <f ca="1">IF(E480=4,INDEX(crude_exp_dist,MATCH(B480,'Crude Exp Dist'!$B$6:$B$78,0),MATCH(C480,'Crude Exp Dist'!$AD$2:$BC$2,0))*INDEX(crude_exp_by_year,MATCH(B480,'Data Export'!$B$6:$B$78,0),1),IF(E480=5,INDEX(ref_exp_dist,MATCH(B480,'Refined Petro Exp Dist'!$B$6:$B$78,0),MATCH(C480,'Refined Petro Exp Dist'!$AD$2:$BC$2,0))*INDEX(ref_exp_by_year,MATCH(B480,'Data Export'!$B$6:$B$78,0),1)))</f>
        <v>0</v>
      </c>
      <c r="E480">
        <v>4</v>
      </c>
      <c r="F480" t="s">
        <v>921</v>
      </c>
    </row>
    <row r="481" spans="1:6">
      <c r="A481" t="str">
        <f t="shared" si="7"/>
        <v>GenericE&amp;DtemplateCIandGOA</v>
      </c>
      <c r="B481">
        <v>19</v>
      </c>
      <c r="C481">
        <v>12</v>
      </c>
      <c r="D481" s="649">
        <f ca="1">IF(E481=4,INDEX(crude_exp_dist,MATCH(B481,'Crude Exp Dist'!$B$6:$B$78,0),MATCH(C481,'Crude Exp Dist'!$AD$2:$BC$2,0))*INDEX(crude_exp_by_year,MATCH(B481,'Data Export'!$B$6:$B$78,0),1),IF(E481=5,INDEX(ref_exp_dist,MATCH(B481,'Refined Petro Exp Dist'!$B$6:$B$78,0),MATCH(C481,'Refined Petro Exp Dist'!$AD$2:$BC$2,0))*INDEX(ref_exp_by_year,MATCH(B481,'Data Export'!$B$6:$B$78,0),1)))</f>
        <v>2.3574037562920256E-3</v>
      </c>
      <c r="E481">
        <v>4</v>
      </c>
      <c r="F481" t="s">
        <v>208</v>
      </c>
    </row>
    <row r="482" spans="1:6">
      <c r="A482" t="str">
        <f t="shared" si="7"/>
        <v>GenericE&amp;DtemplateCIandGOA</v>
      </c>
      <c r="B482">
        <v>19</v>
      </c>
      <c r="C482">
        <v>13</v>
      </c>
      <c r="D482" s="649">
        <f ca="1">IF(E482=4,INDEX(crude_exp_dist,MATCH(B482,'Crude Exp Dist'!$B$6:$B$78,0),MATCH(C482,'Crude Exp Dist'!$AD$2:$BC$2,0))*INDEX(crude_exp_by_year,MATCH(B482,'Data Export'!$B$6:$B$78,0),1),IF(E482=5,INDEX(ref_exp_dist,MATCH(B482,'Refined Petro Exp Dist'!$B$6:$B$78,0),MATCH(C482,'Refined Petro Exp Dist'!$AD$2:$BC$2,0))*INDEX(ref_exp_by_year,MATCH(B482,'Data Export'!$B$6:$B$78,0),1)))</f>
        <v>2.3574037562920256E-3</v>
      </c>
      <c r="E482">
        <v>4</v>
      </c>
      <c r="F482" t="s">
        <v>211</v>
      </c>
    </row>
    <row r="483" spans="1:6">
      <c r="A483" t="str">
        <f t="shared" si="7"/>
        <v>GenericE&amp;DtemplateCIandGOA</v>
      </c>
      <c r="B483">
        <v>19</v>
      </c>
      <c r="C483">
        <v>14</v>
      </c>
      <c r="D483" s="649">
        <f ca="1">IF(E483=4,INDEX(crude_exp_dist,MATCH(B483,'Crude Exp Dist'!$B$6:$B$78,0),MATCH(C483,'Crude Exp Dist'!$AD$2:$BC$2,0))*INDEX(crude_exp_by_year,MATCH(B483,'Data Export'!$B$6:$B$78,0),1),IF(E483=5,INDEX(ref_exp_dist,MATCH(B483,'Refined Petro Exp Dist'!$B$6:$B$78,0),MATCH(C483,'Refined Petro Exp Dist'!$AD$2:$BC$2,0))*INDEX(ref_exp_by_year,MATCH(B483,'Data Export'!$B$6:$B$78,0),1)))</f>
        <v>0</v>
      </c>
      <c r="E483">
        <v>4</v>
      </c>
      <c r="F483" t="s">
        <v>213</v>
      </c>
    </row>
    <row r="484" spans="1:6">
      <c r="A484" t="str">
        <f t="shared" si="7"/>
        <v>GenericE&amp;DtemplateCIandGOA</v>
      </c>
      <c r="B484">
        <v>19</v>
      </c>
      <c r="C484">
        <v>15</v>
      </c>
      <c r="D484" s="649">
        <f ca="1">IF(E484=4,INDEX(crude_exp_dist,MATCH(B484,'Crude Exp Dist'!$B$6:$B$78,0),MATCH(C484,'Crude Exp Dist'!$AD$2:$BC$2,0))*INDEX(crude_exp_by_year,MATCH(B484,'Data Export'!$B$6:$B$78,0),1),IF(E484=5,INDEX(ref_exp_dist,MATCH(B484,'Refined Petro Exp Dist'!$B$6:$B$78,0),MATCH(C484,'Refined Petro Exp Dist'!$AD$2:$BC$2,0))*INDEX(ref_exp_by_year,MATCH(B484,'Data Export'!$B$6:$B$78,0),1)))</f>
        <v>0</v>
      </c>
      <c r="E484">
        <v>4</v>
      </c>
      <c r="F484" t="s">
        <v>215</v>
      </c>
    </row>
    <row r="485" spans="1:6">
      <c r="A485" t="str">
        <f t="shared" si="7"/>
        <v>GenericE&amp;DtemplateCIandGOA</v>
      </c>
      <c r="B485">
        <v>19</v>
      </c>
      <c r="C485">
        <v>16</v>
      </c>
      <c r="D485" s="649">
        <f ca="1">IF(E485=4,INDEX(crude_exp_dist,MATCH(B485,'Crude Exp Dist'!$B$6:$B$78,0),MATCH(C485,'Crude Exp Dist'!$AD$2:$BC$2,0))*INDEX(crude_exp_by_year,MATCH(B485,'Data Export'!$B$6:$B$78,0),1),IF(E485=5,INDEX(ref_exp_dist,MATCH(B485,'Refined Petro Exp Dist'!$B$6:$B$78,0),MATCH(C485,'Refined Petro Exp Dist'!$AD$2:$BC$2,0))*INDEX(ref_exp_by_year,MATCH(B485,'Data Export'!$B$6:$B$78,0),1)))</f>
        <v>0</v>
      </c>
      <c r="E485">
        <v>4</v>
      </c>
      <c r="F485" t="s">
        <v>219</v>
      </c>
    </row>
    <row r="486" spans="1:6">
      <c r="A486" t="str">
        <f t="shared" si="7"/>
        <v>GenericE&amp;DtemplateCIandGOA</v>
      </c>
      <c r="B486">
        <v>19</v>
      </c>
      <c r="C486">
        <v>17</v>
      </c>
      <c r="D486" s="649">
        <f ca="1">IF(E486=4,INDEX(crude_exp_dist,MATCH(B486,'Crude Exp Dist'!$B$6:$B$78,0),MATCH(C486,'Crude Exp Dist'!$AD$2:$BC$2,0))*INDEX(crude_exp_by_year,MATCH(B486,'Data Export'!$B$6:$B$78,0),1),IF(E486=5,INDEX(ref_exp_dist,MATCH(B486,'Refined Petro Exp Dist'!$B$6:$B$78,0),MATCH(C486,'Refined Petro Exp Dist'!$AD$2:$BC$2,0))*INDEX(ref_exp_by_year,MATCH(B486,'Data Export'!$B$6:$B$78,0),1)))</f>
        <v>0</v>
      </c>
      <c r="E486">
        <v>4</v>
      </c>
      <c r="F486" t="s">
        <v>222</v>
      </c>
    </row>
    <row r="487" spans="1:6">
      <c r="A487" t="str">
        <f t="shared" si="7"/>
        <v>GenericE&amp;DtemplateCIandGOA</v>
      </c>
      <c r="B487">
        <v>19</v>
      </c>
      <c r="C487">
        <v>18</v>
      </c>
      <c r="D487" s="649">
        <f ca="1">IF(E487=4,INDEX(crude_exp_dist,MATCH(B487,'Crude Exp Dist'!$B$6:$B$78,0),MATCH(C487,'Crude Exp Dist'!$AD$2:$BC$2,0))*INDEX(crude_exp_by_year,MATCH(B487,'Data Export'!$B$6:$B$78,0),1),IF(E487=5,INDEX(ref_exp_dist,MATCH(B487,'Refined Petro Exp Dist'!$B$6:$B$78,0),MATCH(C487,'Refined Petro Exp Dist'!$AD$2:$BC$2,0))*INDEX(ref_exp_by_year,MATCH(B487,'Data Export'!$B$6:$B$78,0),1)))</f>
        <v>0</v>
      </c>
      <c r="E487">
        <v>4</v>
      </c>
      <c r="F487" t="s">
        <v>224</v>
      </c>
    </row>
    <row r="488" spans="1:6">
      <c r="A488" t="str">
        <f t="shared" si="7"/>
        <v>GenericE&amp;DtemplateCIandGOA</v>
      </c>
      <c r="B488">
        <v>19</v>
      </c>
      <c r="C488">
        <v>19</v>
      </c>
      <c r="D488" s="649">
        <f ca="1">IF(E488=4,INDEX(crude_exp_dist,MATCH(B488,'Crude Exp Dist'!$B$6:$B$78,0),MATCH(C488,'Crude Exp Dist'!$AD$2:$BC$2,0))*INDEX(crude_exp_by_year,MATCH(B488,'Data Export'!$B$6:$B$78,0),1),IF(E488=5,INDEX(ref_exp_dist,MATCH(B488,'Refined Petro Exp Dist'!$B$6:$B$78,0),MATCH(C488,'Refined Petro Exp Dist'!$AD$2:$BC$2,0))*INDEX(ref_exp_by_year,MATCH(B488,'Data Export'!$B$6:$B$78,0),1)))</f>
        <v>0</v>
      </c>
      <c r="E488">
        <v>4</v>
      </c>
      <c r="F488" t="s">
        <v>228</v>
      </c>
    </row>
    <row r="489" spans="1:6">
      <c r="A489" t="str">
        <f t="shared" si="7"/>
        <v>GenericE&amp;DtemplateCIandGOA</v>
      </c>
      <c r="B489">
        <v>19</v>
      </c>
      <c r="C489">
        <v>20</v>
      </c>
      <c r="D489" s="649">
        <f ca="1">IF(E489=4,INDEX(crude_exp_dist,MATCH(B489,'Crude Exp Dist'!$B$6:$B$78,0),MATCH(C489,'Crude Exp Dist'!$AD$2:$BC$2,0))*INDEX(crude_exp_by_year,MATCH(B489,'Data Export'!$B$6:$B$78,0),1),IF(E489=5,INDEX(ref_exp_dist,MATCH(B489,'Refined Petro Exp Dist'!$B$6:$B$78,0),MATCH(C489,'Refined Petro Exp Dist'!$AD$2:$BC$2,0))*INDEX(ref_exp_by_year,MATCH(B489,'Data Export'!$B$6:$B$78,0),1)))</f>
        <v>0</v>
      </c>
      <c r="E489">
        <v>4</v>
      </c>
      <c r="F489" t="s">
        <v>231</v>
      </c>
    </row>
    <row r="490" spans="1:6">
      <c r="A490" t="str">
        <f t="shared" si="7"/>
        <v>GenericE&amp;DtemplateCIandGOA</v>
      </c>
      <c r="B490">
        <v>19</v>
      </c>
      <c r="C490">
        <v>21</v>
      </c>
      <c r="D490" s="649">
        <f ca="1">IF(E490=4,INDEX(crude_exp_dist,MATCH(B490,'Crude Exp Dist'!$B$6:$B$78,0),MATCH(C490,'Crude Exp Dist'!$AD$2:$BC$2,0))*INDEX(crude_exp_by_year,MATCH(B490,'Data Export'!$B$6:$B$78,0),1),IF(E490=5,INDEX(ref_exp_dist,MATCH(B490,'Refined Petro Exp Dist'!$B$6:$B$78,0),MATCH(C490,'Refined Petro Exp Dist'!$AD$2:$BC$2,0))*INDEX(ref_exp_by_year,MATCH(B490,'Data Export'!$B$6:$B$78,0),1)))</f>
        <v>0</v>
      </c>
      <c r="E490">
        <v>4</v>
      </c>
      <c r="F490" t="s">
        <v>232</v>
      </c>
    </row>
    <row r="491" spans="1:6">
      <c r="A491" t="str">
        <f t="shared" si="7"/>
        <v>GenericE&amp;DtemplateCIandGOA</v>
      </c>
      <c r="B491">
        <v>19</v>
      </c>
      <c r="C491">
        <v>22</v>
      </c>
      <c r="D491" s="649">
        <f ca="1">IF(E491=4,INDEX(crude_exp_dist,MATCH(B491,'Crude Exp Dist'!$B$6:$B$78,0),MATCH(C491,'Crude Exp Dist'!$AD$2:$BC$2,0))*INDEX(crude_exp_by_year,MATCH(B491,'Data Export'!$B$6:$B$78,0),1),IF(E491=5,INDEX(ref_exp_dist,MATCH(B491,'Refined Petro Exp Dist'!$B$6:$B$78,0),MATCH(C491,'Refined Petro Exp Dist'!$AD$2:$BC$2,0))*INDEX(ref_exp_by_year,MATCH(B491,'Data Export'!$B$6:$B$78,0),1)))</f>
        <v>0</v>
      </c>
      <c r="E491">
        <v>4</v>
      </c>
      <c r="F491" t="s">
        <v>235</v>
      </c>
    </row>
    <row r="492" spans="1:6">
      <c r="A492" t="str">
        <f t="shared" si="7"/>
        <v>GenericE&amp;DtemplateCIandGOA</v>
      </c>
      <c r="B492">
        <v>19</v>
      </c>
      <c r="C492">
        <v>23</v>
      </c>
      <c r="D492" s="649">
        <f ca="1">IF(E492=4,INDEX(crude_exp_dist,MATCH(B492,'Crude Exp Dist'!$B$6:$B$78,0),MATCH(C492,'Crude Exp Dist'!$AD$2:$BC$2,0))*INDEX(crude_exp_by_year,MATCH(B492,'Data Export'!$B$6:$B$78,0),1),IF(E492=5,INDEX(ref_exp_dist,MATCH(B492,'Refined Petro Exp Dist'!$B$6:$B$78,0),MATCH(C492,'Refined Petro Exp Dist'!$AD$2:$BC$2,0))*INDEX(ref_exp_by_year,MATCH(B492,'Data Export'!$B$6:$B$78,0),1)))</f>
        <v>0</v>
      </c>
      <c r="E492">
        <v>4</v>
      </c>
      <c r="F492" t="s">
        <v>237</v>
      </c>
    </row>
    <row r="493" spans="1:6">
      <c r="A493" t="str">
        <f t="shared" si="7"/>
        <v>GenericE&amp;DtemplateCIandGOA</v>
      </c>
      <c r="B493">
        <v>19</v>
      </c>
      <c r="C493">
        <v>24</v>
      </c>
      <c r="D493" s="649">
        <f ca="1">IF(E493=4,INDEX(crude_exp_dist,MATCH(B493,'Crude Exp Dist'!$B$6:$B$78,0),MATCH(C493,'Crude Exp Dist'!$AD$2:$BC$2,0))*INDEX(crude_exp_by_year,MATCH(B493,'Data Export'!$B$6:$B$78,0),1),IF(E493=5,INDEX(ref_exp_dist,MATCH(B493,'Refined Petro Exp Dist'!$B$6:$B$78,0),MATCH(C493,'Refined Petro Exp Dist'!$AD$2:$BC$2,0))*INDEX(ref_exp_by_year,MATCH(B493,'Data Export'!$B$6:$B$78,0),1)))</f>
        <v>0</v>
      </c>
      <c r="E493">
        <v>4</v>
      </c>
      <c r="F493" t="s">
        <v>239</v>
      </c>
    </row>
    <row r="494" spans="1:6">
      <c r="A494" t="str">
        <f t="shared" si="7"/>
        <v>GenericE&amp;DtemplateCIandGOA</v>
      </c>
      <c r="B494">
        <v>19</v>
      </c>
      <c r="C494">
        <v>25</v>
      </c>
      <c r="D494" s="649">
        <f ca="1">IF(E494=4,INDEX(crude_exp_dist,MATCH(B494,'Crude Exp Dist'!$B$6:$B$78,0),MATCH(C494,'Crude Exp Dist'!$AD$2:$BC$2,0))*INDEX(crude_exp_by_year,MATCH(B494,'Data Export'!$B$6:$B$78,0),1),IF(E494=5,INDEX(ref_exp_dist,MATCH(B494,'Refined Petro Exp Dist'!$B$6:$B$78,0),MATCH(C494,'Refined Petro Exp Dist'!$AD$2:$BC$2,0))*INDEX(ref_exp_by_year,MATCH(B494,'Data Export'!$B$6:$B$78,0),1)))</f>
        <v>0</v>
      </c>
      <c r="E494">
        <v>4</v>
      </c>
      <c r="F494" t="s">
        <v>242</v>
      </c>
    </row>
    <row r="495" spans="1:6">
      <c r="A495" t="str">
        <f t="shared" si="7"/>
        <v>GenericE&amp;DtemplateCIandGOA</v>
      </c>
      <c r="B495">
        <v>19</v>
      </c>
      <c r="C495">
        <v>26</v>
      </c>
      <c r="D495" s="649">
        <f ca="1">IF(E495=4,INDEX(crude_exp_dist,MATCH(B495,'Crude Exp Dist'!$B$6:$B$78,0),MATCH(C495,'Crude Exp Dist'!$AD$2:$BC$2,0))*INDEX(crude_exp_by_year,MATCH(B495,'Data Export'!$B$6:$B$78,0),1),IF(E495=5,INDEX(ref_exp_dist,MATCH(B495,'Refined Petro Exp Dist'!$B$6:$B$78,0),MATCH(C495,'Refined Petro Exp Dist'!$AD$2:$BC$2,0))*INDEX(ref_exp_by_year,MATCH(B495,'Data Export'!$B$6:$B$78,0),1)))</f>
        <v>0</v>
      </c>
      <c r="E495">
        <v>4</v>
      </c>
      <c r="F495" t="s">
        <v>245</v>
      </c>
    </row>
    <row r="496" spans="1:6">
      <c r="A496" t="str">
        <f t="shared" si="7"/>
        <v>GenericE&amp;DtemplateCIandGOA</v>
      </c>
      <c r="B496">
        <v>20</v>
      </c>
      <c r="C496">
        <v>1</v>
      </c>
      <c r="D496" s="649">
        <f ca="1">IF(E496=4,INDEX(crude_exp_dist,MATCH(B496,'Crude Exp Dist'!$B$6:$B$78,0),MATCH(C496,'Crude Exp Dist'!$AD$2:$BC$2,0))*INDEX(crude_exp_by_year,MATCH(B496,'Data Export'!$B$6:$B$78,0),1),IF(E496=5,INDEX(ref_exp_dist,MATCH(B496,'Refined Petro Exp Dist'!$B$6:$B$78,0),MATCH(C496,'Refined Petro Exp Dist'!$AD$2:$BC$2,0))*INDEX(ref_exp_by_year,MATCH(B496,'Data Export'!$B$6:$B$78,0),1)))</f>
        <v>0</v>
      </c>
      <c r="E496">
        <v>4</v>
      </c>
      <c r="F496" t="s">
        <v>158</v>
      </c>
    </row>
    <row r="497" spans="1:6">
      <c r="A497" t="str">
        <f t="shared" si="7"/>
        <v>GenericE&amp;DtemplateCIandGOA</v>
      </c>
      <c r="B497">
        <v>20</v>
      </c>
      <c r="C497">
        <v>2</v>
      </c>
      <c r="D497" s="649">
        <f ca="1">IF(E497=4,INDEX(crude_exp_dist,MATCH(B497,'Crude Exp Dist'!$B$6:$B$78,0),MATCH(C497,'Crude Exp Dist'!$AD$2:$BC$2,0))*INDEX(crude_exp_by_year,MATCH(B497,'Data Export'!$B$6:$B$78,0),1),IF(E497=5,INDEX(ref_exp_dist,MATCH(B497,'Refined Petro Exp Dist'!$B$6:$B$78,0),MATCH(C497,'Refined Petro Exp Dist'!$AD$2:$BC$2,0))*INDEX(ref_exp_by_year,MATCH(B497,'Data Export'!$B$6:$B$78,0),1)))</f>
        <v>0</v>
      </c>
      <c r="E497">
        <v>4</v>
      </c>
      <c r="F497" t="s">
        <v>166</v>
      </c>
    </row>
    <row r="498" spans="1:6">
      <c r="A498" t="str">
        <f t="shared" si="7"/>
        <v>GenericE&amp;DtemplateCIandGOA</v>
      </c>
      <c r="B498">
        <v>20</v>
      </c>
      <c r="C498">
        <v>3</v>
      </c>
      <c r="D498" s="649">
        <f ca="1">IF(E498=4,INDEX(crude_exp_dist,MATCH(B498,'Crude Exp Dist'!$B$6:$B$78,0),MATCH(C498,'Crude Exp Dist'!$AD$2:$BC$2,0))*INDEX(crude_exp_by_year,MATCH(B498,'Data Export'!$B$6:$B$78,0),1),IF(E498=5,INDEX(ref_exp_dist,MATCH(B498,'Refined Petro Exp Dist'!$B$6:$B$78,0),MATCH(C498,'Refined Petro Exp Dist'!$AD$2:$BC$2,0))*INDEX(ref_exp_by_year,MATCH(B498,'Data Export'!$B$6:$B$78,0),1)))</f>
        <v>0</v>
      </c>
      <c r="E498">
        <v>4</v>
      </c>
      <c r="F498" t="s">
        <v>171</v>
      </c>
    </row>
    <row r="499" spans="1:6">
      <c r="A499" t="str">
        <f t="shared" si="7"/>
        <v>GenericE&amp;DtemplateCIandGOA</v>
      </c>
      <c r="B499">
        <v>20</v>
      </c>
      <c r="C499">
        <v>4</v>
      </c>
      <c r="D499" s="649">
        <f ca="1">IF(E499=4,INDEX(crude_exp_dist,MATCH(B499,'Crude Exp Dist'!$B$6:$B$78,0),MATCH(C499,'Crude Exp Dist'!$AD$2:$BC$2,0))*INDEX(crude_exp_by_year,MATCH(B499,'Data Export'!$B$6:$B$78,0),1),IF(E499=5,INDEX(ref_exp_dist,MATCH(B499,'Refined Petro Exp Dist'!$B$6:$B$78,0),MATCH(C499,'Refined Petro Exp Dist'!$AD$2:$BC$2,0))*INDEX(ref_exp_by_year,MATCH(B499,'Data Export'!$B$6:$B$78,0),1)))</f>
        <v>0</v>
      </c>
      <c r="E499">
        <v>4</v>
      </c>
      <c r="F499" t="s">
        <v>173</v>
      </c>
    </row>
    <row r="500" spans="1:6">
      <c r="A500" t="str">
        <f t="shared" si="7"/>
        <v>GenericE&amp;DtemplateCIandGOA</v>
      </c>
      <c r="B500">
        <v>20</v>
      </c>
      <c r="C500">
        <v>5</v>
      </c>
      <c r="D500" s="649">
        <f ca="1">IF(E500=4,INDEX(crude_exp_dist,MATCH(B500,'Crude Exp Dist'!$B$6:$B$78,0),MATCH(C500,'Crude Exp Dist'!$AD$2:$BC$2,0))*INDEX(crude_exp_by_year,MATCH(B500,'Data Export'!$B$6:$B$78,0),1),IF(E500=5,INDEX(ref_exp_dist,MATCH(B500,'Refined Petro Exp Dist'!$B$6:$B$78,0),MATCH(C500,'Refined Petro Exp Dist'!$AD$2:$BC$2,0))*INDEX(ref_exp_by_year,MATCH(B500,'Data Export'!$B$6:$B$78,0),1)))</f>
        <v>0</v>
      </c>
      <c r="E500">
        <v>4</v>
      </c>
      <c r="F500" t="s">
        <v>180</v>
      </c>
    </row>
    <row r="501" spans="1:6">
      <c r="A501" t="str">
        <f t="shared" si="7"/>
        <v>GenericE&amp;DtemplateCIandGOA</v>
      </c>
      <c r="B501">
        <v>20</v>
      </c>
      <c r="C501">
        <v>6</v>
      </c>
      <c r="D501" s="649">
        <f ca="1">IF(E501=4,INDEX(crude_exp_dist,MATCH(B501,'Crude Exp Dist'!$B$6:$B$78,0),MATCH(C501,'Crude Exp Dist'!$AD$2:$BC$2,0))*INDEX(crude_exp_by_year,MATCH(B501,'Data Export'!$B$6:$B$78,0),1),IF(E501=5,INDEX(ref_exp_dist,MATCH(B501,'Refined Petro Exp Dist'!$B$6:$B$78,0),MATCH(C501,'Refined Petro Exp Dist'!$AD$2:$BC$2,0))*INDEX(ref_exp_by_year,MATCH(B501,'Data Export'!$B$6:$B$78,0),1)))</f>
        <v>0</v>
      </c>
      <c r="E501">
        <v>4</v>
      </c>
      <c r="F501" t="s">
        <v>186</v>
      </c>
    </row>
    <row r="502" spans="1:6">
      <c r="A502" t="str">
        <f t="shared" si="7"/>
        <v>GenericE&amp;DtemplateCIandGOA</v>
      </c>
      <c r="B502">
        <v>20</v>
      </c>
      <c r="C502">
        <v>7</v>
      </c>
      <c r="D502" s="649">
        <f ca="1">IF(E502=4,INDEX(crude_exp_dist,MATCH(B502,'Crude Exp Dist'!$B$6:$B$78,0),MATCH(C502,'Crude Exp Dist'!$AD$2:$BC$2,0))*INDEX(crude_exp_by_year,MATCH(B502,'Data Export'!$B$6:$B$78,0),1),IF(E502=5,INDEX(ref_exp_dist,MATCH(B502,'Refined Petro Exp Dist'!$B$6:$B$78,0),MATCH(C502,'Refined Petro Exp Dist'!$AD$2:$BC$2,0))*INDEX(ref_exp_by_year,MATCH(B502,'Data Export'!$B$6:$B$78,0),1)))</f>
        <v>0</v>
      </c>
      <c r="E502">
        <v>4</v>
      </c>
      <c r="F502" t="s">
        <v>191</v>
      </c>
    </row>
    <row r="503" spans="1:6">
      <c r="A503" t="str">
        <f t="shared" si="7"/>
        <v>GenericE&amp;DtemplateCIandGOA</v>
      </c>
      <c r="B503">
        <v>20</v>
      </c>
      <c r="C503">
        <v>8</v>
      </c>
      <c r="D503" s="649">
        <f ca="1">IF(E503=4,INDEX(crude_exp_dist,MATCH(B503,'Crude Exp Dist'!$B$6:$B$78,0),MATCH(C503,'Crude Exp Dist'!$AD$2:$BC$2,0))*INDEX(crude_exp_by_year,MATCH(B503,'Data Export'!$B$6:$B$78,0),1),IF(E503=5,INDEX(ref_exp_dist,MATCH(B503,'Refined Petro Exp Dist'!$B$6:$B$78,0),MATCH(C503,'Refined Petro Exp Dist'!$AD$2:$BC$2,0))*INDEX(ref_exp_by_year,MATCH(B503,'Data Export'!$B$6:$B$78,0),1)))</f>
        <v>0</v>
      </c>
      <c r="E503">
        <v>4</v>
      </c>
      <c r="F503" t="s">
        <v>197</v>
      </c>
    </row>
    <row r="504" spans="1:6">
      <c r="A504" t="str">
        <f t="shared" si="7"/>
        <v>GenericE&amp;DtemplateCIandGOA</v>
      </c>
      <c r="B504">
        <v>20</v>
      </c>
      <c r="C504">
        <v>9</v>
      </c>
      <c r="D504" s="649">
        <f ca="1">IF(E504=4,INDEX(crude_exp_dist,MATCH(B504,'Crude Exp Dist'!$B$6:$B$78,0),MATCH(C504,'Crude Exp Dist'!$AD$2:$BC$2,0))*INDEX(crude_exp_by_year,MATCH(B504,'Data Export'!$B$6:$B$78,0),1),IF(E504=5,INDEX(ref_exp_dist,MATCH(B504,'Refined Petro Exp Dist'!$B$6:$B$78,0),MATCH(C504,'Refined Petro Exp Dist'!$AD$2:$BC$2,0))*INDEX(ref_exp_by_year,MATCH(B504,'Data Export'!$B$6:$B$78,0),1)))</f>
        <v>0</v>
      </c>
      <c r="E504">
        <v>4</v>
      </c>
      <c r="F504" t="s">
        <v>199</v>
      </c>
    </row>
    <row r="505" spans="1:6">
      <c r="A505" t="str">
        <f t="shared" si="7"/>
        <v>GenericE&amp;DtemplateCIandGOA</v>
      </c>
      <c r="B505">
        <v>20</v>
      </c>
      <c r="C505">
        <v>10</v>
      </c>
      <c r="D505" s="649">
        <f ca="1">IF(E505=4,INDEX(crude_exp_dist,MATCH(B505,'Crude Exp Dist'!$B$6:$B$78,0),MATCH(C505,'Crude Exp Dist'!$AD$2:$BC$2,0))*INDEX(crude_exp_by_year,MATCH(B505,'Data Export'!$B$6:$B$78,0),1),IF(E505=5,INDEX(ref_exp_dist,MATCH(B505,'Refined Petro Exp Dist'!$B$6:$B$78,0),MATCH(C505,'Refined Petro Exp Dist'!$AD$2:$BC$2,0))*INDEX(ref_exp_by_year,MATCH(B505,'Data Export'!$B$6:$B$78,0),1)))</f>
        <v>0</v>
      </c>
      <c r="E505">
        <v>4</v>
      </c>
      <c r="F505" t="s">
        <v>201</v>
      </c>
    </row>
    <row r="506" spans="1:6">
      <c r="A506" t="str">
        <f t="shared" si="7"/>
        <v>GenericE&amp;DtemplateCIandGOA</v>
      </c>
      <c r="B506">
        <v>20</v>
      </c>
      <c r="C506">
        <v>11</v>
      </c>
      <c r="D506" s="649">
        <f ca="1">IF(E506=4,INDEX(crude_exp_dist,MATCH(B506,'Crude Exp Dist'!$B$6:$B$78,0),MATCH(C506,'Crude Exp Dist'!$AD$2:$BC$2,0))*INDEX(crude_exp_by_year,MATCH(B506,'Data Export'!$B$6:$B$78,0),1),IF(E506=5,INDEX(ref_exp_dist,MATCH(B506,'Refined Petro Exp Dist'!$B$6:$B$78,0),MATCH(C506,'Refined Petro Exp Dist'!$AD$2:$BC$2,0))*INDEX(ref_exp_by_year,MATCH(B506,'Data Export'!$B$6:$B$78,0),1)))</f>
        <v>0</v>
      </c>
      <c r="E506">
        <v>4</v>
      </c>
      <c r="F506" t="s">
        <v>921</v>
      </c>
    </row>
    <row r="507" spans="1:6">
      <c r="A507" t="str">
        <f t="shared" si="7"/>
        <v>GenericE&amp;DtemplateCIandGOA</v>
      </c>
      <c r="B507">
        <v>20</v>
      </c>
      <c r="C507">
        <v>12</v>
      </c>
      <c r="D507" s="649">
        <f ca="1">IF(E507=4,INDEX(crude_exp_dist,MATCH(B507,'Crude Exp Dist'!$B$6:$B$78,0),MATCH(C507,'Crude Exp Dist'!$AD$2:$BC$2,0))*INDEX(crude_exp_by_year,MATCH(B507,'Data Export'!$B$6:$B$78,0),1),IF(E507=5,INDEX(ref_exp_dist,MATCH(B507,'Refined Petro Exp Dist'!$B$6:$B$78,0),MATCH(C507,'Refined Petro Exp Dist'!$AD$2:$BC$2,0))*INDEX(ref_exp_by_year,MATCH(B507,'Data Export'!$B$6:$B$78,0),1)))</f>
        <v>0</v>
      </c>
      <c r="E507">
        <v>4</v>
      </c>
      <c r="F507" t="s">
        <v>208</v>
      </c>
    </row>
    <row r="508" spans="1:6">
      <c r="A508" t="str">
        <f t="shared" si="7"/>
        <v>GenericE&amp;DtemplateCIandGOA</v>
      </c>
      <c r="B508">
        <v>20</v>
      </c>
      <c r="C508">
        <v>13</v>
      </c>
      <c r="D508" s="649">
        <f ca="1">IF(E508=4,INDEX(crude_exp_dist,MATCH(B508,'Crude Exp Dist'!$B$6:$B$78,0),MATCH(C508,'Crude Exp Dist'!$AD$2:$BC$2,0))*INDEX(crude_exp_by_year,MATCH(B508,'Data Export'!$B$6:$B$78,0),1),IF(E508=5,INDEX(ref_exp_dist,MATCH(B508,'Refined Petro Exp Dist'!$B$6:$B$78,0),MATCH(C508,'Refined Petro Exp Dist'!$AD$2:$BC$2,0))*INDEX(ref_exp_by_year,MATCH(B508,'Data Export'!$B$6:$B$78,0),1)))</f>
        <v>0</v>
      </c>
      <c r="E508">
        <v>4</v>
      </c>
      <c r="F508" t="s">
        <v>211</v>
      </c>
    </row>
    <row r="509" spans="1:6">
      <c r="A509" t="str">
        <f t="shared" si="7"/>
        <v>GenericE&amp;DtemplateCIandGOA</v>
      </c>
      <c r="B509">
        <v>20</v>
      </c>
      <c r="C509">
        <v>14</v>
      </c>
      <c r="D509" s="649">
        <f ca="1">IF(E509=4,INDEX(crude_exp_dist,MATCH(B509,'Crude Exp Dist'!$B$6:$B$78,0),MATCH(C509,'Crude Exp Dist'!$AD$2:$BC$2,0))*INDEX(crude_exp_by_year,MATCH(B509,'Data Export'!$B$6:$B$78,0),1),IF(E509=5,INDEX(ref_exp_dist,MATCH(B509,'Refined Petro Exp Dist'!$B$6:$B$78,0),MATCH(C509,'Refined Petro Exp Dist'!$AD$2:$BC$2,0))*INDEX(ref_exp_by_year,MATCH(B509,'Data Export'!$B$6:$B$78,0),1)))</f>
        <v>0</v>
      </c>
      <c r="E509">
        <v>4</v>
      </c>
      <c r="F509" t="s">
        <v>213</v>
      </c>
    </row>
    <row r="510" spans="1:6">
      <c r="A510" t="str">
        <f t="shared" si="7"/>
        <v>GenericE&amp;DtemplateCIandGOA</v>
      </c>
      <c r="B510">
        <v>20</v>
      </c>
      <c r="C510">
        <v>15</v>
      </c>
      <c r="D510" s="649">
        <f ca="1">IF(E510=4,INDEX(crude_exp_dist,MATCH(B510,'Crude Exp Dist'!$B$6:$B$78,0),MATCH(C510,'Crude Exp Dist'!$AD$2:$BC$2,0))*INDEX(crude_exp_by_year,MATCH(B510,'Data Export'!$B$6:$B$78,0),1),IF(E510=5,INDEX(ref_exp_dist,MATCH(B510,'Refined Petro Exp Dist'!$B$6:$B$78,0),MATCH(C510,'Refined Petro Exp Dist'!$AD$2:$BC$2,0))*INDEX(ref_exp_by_year,MATCH(B510,'Data Export'!$B$6:$B$78,0),1)))</f>
        <v>0</v>
      </c>
      <c r="E510">
        <v>4</v>
      </c>
      <c r="F510" t="s">
        <v>215</v>
      </c>
    </row>
    <row r="511" spans="1:6">
      <c r="A511" t="str">
        <f t="shared" si="7"/>
        <v>GenericE&amp;DtemplateCIandGOA</v>
      </c>
      <c r="B511">
        <v>20</v>
      </c>
      <c r="C511">
        <v>16</v>
      </c>
      <c r="D511" s="649">
        <f ca="1">IF(E511=4,INDEX(crude_exp_dist,MATCH(B511,'Crude Exp Dist'!$B$6:$B$78,0),MATCH(C511,'Crude Exp Dist'!$AD$2:$BC$2,0))*INDEX(crude_exp_by_year,MATCH(B511,'Data Export'!$B$6:$B$78,0),1),IF(E511=5,INDEX(ref_exp_dist,MATCH(B511,'Refined Petro Exp Dist'!$B$6:$B$78,0),MATCH(C511,'Refined Petro Exp Dist'!$AD$2:$BC$2,0))*INDEX(ref_exp_by_year,MATCH(B511,'Data Export'!$B$6:$B$78,0),1)))</f>
        <v>0</v>
      </c>
      <c r="E511">
        <v>4</v>
      </c>
      <c r="F511" t="s">
        <v>219</v>
      </c>
    </row>
    <row r="512" spans="1:6">
      <c r="A512" t="str">
        <f t="shared" si="7"/>
        <v>GenericE&amp;DtemplateCIandGOA</v>
      </c>
      <c r="B512">
        <v>20</v>
      </c>
      <c r="C512">
        <v>17</v>
      </c>
      <c r="D512" s="649">
        <f ca="1">IF(E512=4,INDEX(crude_exp_dist,MATCH(B512,'Crude Exp Dist'!$B$6:$B$78,0),MATCH(C512,'Crude Exp Dist'!$AD$2:$BC$2,0))*INDEX(crude_exp_by_year,MATCH(B512,'Data Export'!$B$6:$B$78,0),1),IF(E512=5,INDEX(ref_exp_dist,MATCH(B512,'Refined Petro Exp Dist'!$B$6:$B$78,0),MATCH(C512,'Refined Petro Exp Dist'!$AD$2:$BC$2,0))*INDEX(ref_exp_by_year,MATCH(B512,'Data Export'!$B$6:$B$78,0),1)))</f>
        <v>0</v>
      </c>
      <c r="E512">
        <v>4</v>
      </c>
      <c r="F512" t="s">
        <v>222</v>
      </c>
    </row>
    <row r="513" spans="1:6">
      <c r="A513" t="str">
        <f t="shared" si="7"/>
        <v>GenericE&amp;DtemplateCIandGOA</v>
      </c>
      <c r="B513">
        <v>20</v>
      </c>
      <c r="C513">
        <v>18</v>
      </c>
      <c r="D513" s="649">
        <f ca="1">IF(E513=4,INDEX(crude_exp_dist,MATCH(B513,'Crude Exp Dist'!$B$6:$B$78,0),MATCH(C513,'Crude Exp Dist'!$AD$2:$BC$2,0))*INDEX(crude_exp_by_year,MATCH(B513,'Data Export'!$B$6:$B$78,0),1),IF(E513=5,INDEX(ref_exp_dist,MATCH(B513,'Refined Petro Exp Dist'!$B$6:$B$78,0),MATCH(C513,'Refined Petro Exp Dist'!$AD$2:$BC$2,0))*INDEX(ref_exp_by_year,MATCH(B513,'Data Export'!$B$6:$B$78,0),1)))</f>
        <v>0</v>
      </c>
      <c r="E513">
        <v>4</v>
      </c>
      <c r="F513" t="s">
        <v>224</v>
      </c>
    </row>
    <row r="514" spans="1:6">
      <c r="A514" t="str">
        <f t="shared" ref="A514:A577" si="8">scenario_name</f>
        <v>GenericE&amp;DtemplateCIandGOA</v>
      </c>
      <c r="B514">
        <v>20</v>
      </c>
      <c r="C514">
        <v>19</v>
      </c>
      <c r="D514" s="649">
        <f ca="1">IF(E514=4,INDEX(crude_exp_dist,MATCH(B514,'Crude Exp Dist'!$B$6:$B$78,0),MATCH(C514,'Crude Exp Dist'!$AD$2:$BC$2,0))*INDEX(crude_exp_by_year,MATCH(B514,'Data Export'!$B$6:$B$78,0),1),IF(E514=5,INDEX(ref_exp_dist,MATCH(B514,'Refined Petro Exp Dist'!$B$6:$B$78,0),MATCH(C514,'Refined Petro Exp Dist'!$AD$2:$BC$2,0))*INDEX(ref_exp_by_year,MATCH(B514,'Data Export'!$B$6:$B$78,0),1)))</f>
        <v>0</v>
      </c>
      <c r="E514">
        <v>4</v>
      </c>
      <c r="F514" t="s">
        <v>228</v>
      </c>
    </row>
    <row r="515" spans="1:6">
      <c r="A515" t="str">
        <f t="shared" si="8"/>
        <v>GenericE&amp;DtemplateCIandGOA</v>
      </c>
      <c r="B515">
        <v>20</v>
      </c>
      <c r="C515">
        <v>20</v>
      </c>
      <c r="D515" s="649">
        <f ca="1">IF(E515=4,INDEX(crude_exp_dist,MATCH(B515,'Crude Exp Dist'!$B$6:$B$78,0),MATCH(C515,'Crude Exp Dist'!$AD$2:$BC$2,0))*INDEX(crude_exp_by_year,MATCH(B515,'Data Export'!$B$6:$B$78,0),1),IF(E515=5,INDEX(ref_exp_dist,MATCH(B515,'Refined Petro Exp Dist'!$B$6:$B$78,0),MATCH(C515,'Refined Petro Exp Dist'!$AD$2:$BC$2,0))*INDEX(ref_exp_by_year,MATCH(B515,'Data Export'!$B$6:$B$78,0),1)))</f>
        <v>0</v>
      </c>
      <c r="E515">
        <v>4</v>
      </c>
      <c r="F515" t="s">
        <v>231</v>
      </c>
    </row>
    <row r="516" spans="1:6">
      <c r="A516" t="str">
        <f t="shared" si="8"/>
        <v>GenericE&amp;DtemplateCIandGOA</v>
      </c>
      <c r="B516">
        <v>20</v>
      </c>
      <c r="C516">
        <v>21</v>
      </c>
      <c r="D516" s="649">
        <f ca="1">IF(E516=4,INDEX(crude_exp_dist,MATCH(B516,'Crude Exp Dist'!$B$6:$B$78,0),MATCH(C516,'Crude Exp Dist'!$AD$2:$BC$2,0))*INDEX(crude_exp_by_year,MATCH(B516,'Data Export'!$B$6:$B$78,0),1),IF(E516=5,INDEX(ref_exp_dist,MATCH(B516,'Refined Petro Exp Dist'!$B$6:$B$78,0),MATCH(C516,'Refined Petro Exp Dist'!$AD$2:$BC$2,0))*INDEX(ref_exp_by_year,MATCH(B516,'Data Export'!$B$6:$B$78,0),1)))</f>
        <v>0</v>
      </c>
      <c r="E516">
        <v>4</v>
      </c>
      <c r="F516" t="s">
        <v>232</v>
      </c>
    </row>
    <row r="517" spans="1:6">
      <c r="A517" t="str">
        <f t="shared" si="8"/>
        <v>GenericE&amp;DtemplateCIandGOA</v>
      </c>
      <c r="B517">
        <v>20</v>
      </c>
      <c r="C517">
        <v>22</v>
      </c>
      <c r="D517" s="649">
        <f ca="1">IF(E517=4,INDEX(crude_exp_dist,MATCH(B517,'Crude Exp Dist'!$B$6:$B$78,0),MATCH(C517,'Crude Exp Dist'!$AD$2:$BC$2,0))*INDEX(crude_exp_by_year,MATCH(B517,'Data Export'!$B$6:$B$78,0),1),IF(E517=5,INDEX(ref_exp_dist,MATCH(B517,'Refined Petro Exp Dist'!$B$6:$B$78,0),MATCH(C517,'Refined Petro Exp Dist'!$AD$2:$BC$2,0))*INDEX(ref_exp_by_year,MATCH(B517,'Data Export'!$B$6:$B$78,0),1)))</f>
        <v>0</v>
      </c>
      <c r="E517">
        <v>4</v>
      </c>
      <c r="F517" t="s">
        <v>235</v>
      </c>
    </row>
    <row r="518" spans="1:6">
      <c r="A518" t="str">
        <f t="shared" si="8"/>
        <v>GenericE&amp;DtemplateCIandGOA</v>
      </c>
      <c r="B518">
        <v>20</v>
      </c>
      <c r="C518">
        <v>23</v>
      </c>
      <c r="D518" s="649">
        <f ca="1">IF(E518=4,INDEX(crude_exp_dist,MATCH(B518,'Crude Exp Dist'!$B$6:$B$78,0),MATCH(C518,'Crude Exp Dist'!$AD$2:$BC$2,0))*INDEX(crude_exp_by_year,MATCH(B518,'Data Export'!$B$6:$B$78,0),1),IF(E518=5,INDEX(ref_exp_dist,MATCH(B518,'Refined Petro Exp Dist'!$B$6:$B$78,0),MATCH(C518,'Refined Petro Exp Dist'!$AD$2:$BC$2,0))*INDEX(ref_exp_by_year,MATCH(B518,'Data Export'!$B$6:$B$78,0),1)))</f>
        <v>0</v>
      </c>
      <c r="E518">
        <v>4</v>
      </c>
      <c r="F518" t="s">
        <v>237</v>
      </c>
    </row>
    <row r="519" spans="1:6">
      <c r="A519" t="str">
        <f t="shared" si="8"/>
        <v>GenericE&amp;DtemplateCIandGOA</v>
      </c>
      <c r="B519">
        <v>20</v>
      </c>
      <c r="C519">
        <v>24</v>
      </c>
      <c r="D519" s="649">
        <f ca="1">IF(E519=4,INDEX(crude_exp_dist,MATCH(B519,'Crude Exp Dist'!$B$6:$B$78,0),MATCH(C519,'Crude Exp Dist'!$AD$2:$BC$2,0))*INDEX(crude_exp_by_year,MATCH(B519,'Data Export'!$B$6:$B$78,0),1),IF(E519=5,INDEX(ref_exp_dist,MATCH(B519,'Refined Petro Exp Dist'!$B$6:$B$78,0),MATCH(C519,'Refined Petro Exp Dist'!$AD$2:$BC$2,0))*INDEX(ref_exp_by_year,MATCH(B519,'Data Export'!$B$6:$B$78,0),1)))</f>
        <v>0</v>
      </c>
      <c r="E519">
        <v>4</v>
      </c>
      <c r="F519" t="s">
        <v>239</v>
      </c>
    </row>
    <row r="520" spans="1:6">
      <c r="A520" t="str">
        <f t="shared" si="8"/>
        <v>GenericE&amp;DtemplateCIandGOA</v>
      </c>
      <c r="B520">
        <v>20</v>
      </c>
      <c r="C520">
        <v>25</v>
      </c>
      <c r="D520" s="649">
        <f ca="1">IF(E520=4,INDEX(crude_exp_dist,MATCH(B520,'Crude Exp Dist'!$B$6:$B$78,0),MATCH(C520,'Crude Exp Dist'!$AD$2:$BC$2,0))*INDEX(crude_exp_by_year,MATCH(B520,'Data Export'!$B$6:$B$78,0),1),IF(E520=5,INDEX(ref_exp_dist,MATCH(B520,'Refined Petro Exp Dist'!$B$6:$B$78,0),MATCH(C520,'Refined Petro Exp Dist'!$AD$2:$BC$2,0))*INDEX(ref_exp_by_year,MATCH(B520,'Data Export'!$B$6:$B$78,0),1)))</f>
        <v>0</v>
      </c>
      <c r="E520">
        <v>4</v>
      </c>
      <c r="F520" t="s">
        <v>242</v>
      </c>
    </row>
    <row r="521" spans="1:6">
      <c r="A521" t="str">
        <f t="shared" si="8"/>
        <v>GenericE&amp;DtemplateCIandGOA</v>
      </c>
      <c r="B521">
        <v>20</v>
      </c>
      <c r="C521">
        <v>26</v>
      </c>
      <c r="D521" s="649">
        <f ca="1">IF(E521=4,INDEX(crude_exp_dist,MATCH(B521,'Crude Exp Dist'!$B$6:$B$78,0),MATCH(C521,'Crude Exp Dist'!$AD$2:$BC$2,0))*INDEX(crude_exp_by_year,MATCH(B521,'Data Export'!$B$6:$B$78,0),1),IF(E521=5,INDEX(ref_exp_dist,MATCH(B521,'Refined Petro Exp Dist'!$B$6:$B$78,0),MATCH(C521,'Refined Petro Exp Dist'!$AD$2:$BC$2,0))*INDEX(ref_exp_by_year,MATCH(B521,'Data Export'!$B$6:$B$78,0),1)))</f>
        <v>0</v>
      </c>
      <c r="E521">
        <v>4</v>
      </c>
      <c r="F521" t="s">
        <v>245</v>
      </c>
    </row>
    <row r="522" spans="1:6">
      <c r="A522" t="str">
        <f t="shared" si="8"/>
        <v>GenericE&amp;DtemplateCIandGOA</v>
      </c>
      <c r="B522">
        <v>21</v>
      </c>
      <c r="C522">
        <v>1</v>
      </c>
      <c r="D522" s="649">
        <f ca="1">IF(E522=4,INDEX(crude_exp_dist,MATCH(B522,'Crude Exp Dist'!$B$6:$B$78,0),MATCH(C522,'Crude Exp Dist'!$AD$2:$BC$2,0))*INDEX(crude_exp_by_year,MATCH(B522,'Data Export'!$B$6:$B$78,0),1),IF(E522=5,INDEX(ref_exp_dist,MATCH(B522,'Refined Petro Exp Dist'!$B$6:$B$78,0),MATCH(C522,'Refined Petro Exp Dist'!$AD$2:$BC$2,0))*INDEX(ref_exp_by_year,MATCH(B522,'Data Export'!$B$6:$B$78,0),1)))</f>
        <v>0</v>
      </c>
      <c r="E522">
        <v>4</v>
      </c>
      <c r="F522" t="s">
        <v>158</v>
      </c>
    </row>
    <row r="523" spans="1:6">
      <c r="A523" t="str">
        <f t="shared" si="8"/>
        <v>GenericE&amp;DtemplateCIandGOA</v>
      </c>
      <c r="B523">
        <v>21</v>
      </c>
      <c r="C523">
        <v>2</v>
      </c>
      <c r="D523" s="649">
        <f ca="1">IF(E523=4,INDEX(crude_exp_dist,MATCH(B523,'Crude Exp Dist'!$B$6:$B$78,0),MATCH(C523,'Crude Exp Dist'!$AD$2:$BC$2,0))*INDEX(crude_exp_by_year,MATCH(B523,'Data Export'!$B$6:$B$78,0),1),IF(E523=5,INDEX(ref_exp_dist,MATCH(B523,'Refined Petro Exp Dist'!$B$6:$B$78,0),MATCH(C523,'Refined Petro Exp Dist'!$AD$2:$BC$2,0))*INDEX(ref_exp_by_year,MATCH(B523,'Data Export'!$B$6:$B$78,0),1)))</f>
        <v>0</v>
      </c>
      <c r="E523">
        <v>4</v>
      </c>
      <c r="F523" t="s">
        <v>166</v>
      </c>
    </row>
    <row r="524" spans="1:6">
      <c r="A524" t="str">
        <f t="shared" si="8"/>
        <v>GenericE&amp;DtemplateCIandGOA</v>
      </c>
      <c r="B524">
        <v>21</v>
      </c>
      <c r="C524">
        <v>3</v>
      </c>
      <c r="D524" s="649">
        <f ca="1">IF(E524=4,INDEX(crude_exp_dist,MATCH(B524,'Crude Exp Dist'!$B$6:$B$78,0),MATCH(C524,'Crude Exp Dist'!$AD$2:$BC$2,0))*INDEX(crude_exp_by_year,MATCH(B524,'Data Export'!$B$6:$B$78,0),1),IF(E524=5,INDEX(ref_exp_dist,MATCH(B524,'Refined Petro Exp Dist'!$B$6:$B$78,0),MATCH(C524,'Refined Petro Exp Dist'!$AD$2:$BC$2,0))*INDEX(ref_exp_by_year,MATCH(B524,'Data Export'!$B$6:$B$78,0),1)))</f>
        <v>0</v>
      </c>
      <c r="E524">
        <v>4</v>
      </c>
      <c r="F524" t="s">
        <v>171</v>
      </c>
    </row>
    <row r="525" spans="1:6">
      <c r="A525" t="str">
        <f t="shared" si="8"/>
        <v>GenericE&amp;DtemplateCIandGOA</v>
      </c>
      <c r="B525">
        <v>21</v>
      </c>
      <c r="C525">
        <v>4</v>
      </c>
      <c r="D525" s="649">
        <f ca="1">IF(E525=4,INDEX(crude_exp_dist,MATCH(B525,'Crude Exp Dist'!$B$6:$B$78,0),MATCH(C525,'Crude Exp Dist'!$AD$2:$BC$2,0))*INDEX(crude_exp_by_year,MATCH(B525,'Data Export'!$B$6:$B$78,0),1),IF(E525=5,INDEX(ref_exp_dist,MATCH(B525,'Refined Petro Exp Dist'!$B$6:$B$78,0),MATCH(C525,'Refined Petro Exp Dist'!$AD$2:$BC$2,0))*INDEX(ref_exp_by_year,MATCH(B525,'Data Export'!$B$6:$B$78,0),1)))</f>
        <v>0</v>
      </c>
      <c r="E525">
        <v>4</v>
      </c>
      <c r="F525" t="s">
        <v>173</v>
      </c>
    </row>
    <row r="526" spans="1:6">
      <c r="A526" t="str">
        <f t="shared" si="8"/>
        <v>GenericE&amp;DtemplateCIandGOA</v>
      </c>
      <c r="B526">
        <v>21</v>
      </c>
      <c r="C526">
        <v>5</v>
      </c>
      <c r="D526" s="649">
        <f ca="1">IF(E526=4,INDEX(crude_exp_dist,MATCH(B526,'Crude Exp Dist'!$B$6:$B$78,0),MATCH(C526,'Crude Exp Dist'!$AD$2:$BC$2,0))*INDEX(crude_exp_by_year,MATCH(B526,'Data Export'!$B$6:$B$78,0),1),IF(E526=5,INDEX(ref_exp_dist,MATCH(B526,'Refined Petro Exp Dist'!$B$6:$B$78,0),MATCH(C526,'Refined Petro Exp Dist'!$AD$2:$BC$2,0))*INDEX(ref_exp_by_year,MATCH(B526,'Data Export'!$B$6:$B$78,0),1)))</f>
        <v>0</v>
      </c>
      <c r="E526">
        <v>4</v>
      </c>
      <c r="F526" t="s">
        <v>180</v>
      </c>
    </row>
    <row r="527" spans="1:6">
      <c r="A527" t="str">
        <f t="shared" si="8"/>
        <v>GenericE&amp;DtemplateCIandGOA</v>
      </c>
      <c r="B527">
        <v>21</v>
      </c>
      <c r="C527">
        <v>6</v>
      </c>
      <c r="D527" s="649">
        <f ca="1">IF(E527=4,INDEX(crude_exp_dist,MATCH(B527,'Crude Exp Dist'!$B$6:$B$78,0),MATCH(C527,'Crude Exp Dist'!$AD$2:$BC$2,0))*INDEX(crude_exp_by_year,MATCH(B527,'Data Export'!$B$6:$B$78,0),1),IF(E527=5,INDEX(ref_exp_dist,MATCH(B527,'Refined Petro Exp Dist'!$B$6:$B$78,0),MATCH(C527,'Refined Petro Exp Dist'!$AD$2:$BC$2,0))*INDEX(ref_exp_by_year,MATCH(B527,'Data Export'!$B$6:$B$78,0),1)))</f>
        <v>0</v>
      </c>
      <c r="E527">
        <v>4</v>
      </c>
      <c r="F527" t="s">
        <v>186</v>
      </c>
    </row>
    <row r="528" spans="1:6">
      <c r="A528" t="str">
        <f t="shared" si="8"/>
        <v>GenericE&amp;DtemplateCIandGOA</v>
      </c>
      <c r="B528">
        <v>21</v>
      </c>
      <c r="C528">
        <v>7</v>
      </c>
      <c r="D528" s="649">
        <f ca="1">IF(E528=4,INDEX(crude_exp_dist,MATCH(B528,'Crude Exp Dist'!$B$6:$B$78,0),MATCH(C528,'Crude Exp Dist'!$AD$2:$BC$2,0))*INDEX(crude_exp_by_year,MATCH(B528,'Data Export'!$B$6:$B$78,0),1),IF(E528=5,INDEX(ref_exp_dist,MATCH(B528,'Refined Petro Exp Dist'!$B$6:$B$78,0),MATCH(C528,'Refined Petro Exp Dist'!$AD$2:$BC$2,0))*INDEX(ref_exp_by_year,MATCH(B528,'Data Export'!$B$6:$B$78,0),1)))</f>
        <v>0</v>
      </c>
      <c r="E528">
        <v>4</v>
      </c>
      <c r="F528" t="s">
        <v>191</v>
      </c>
    </row>
    <row r="529" spans="1:6">
      <c r="A529" t="str">
        <f t="shared" si="8"/>
        <v>GenericE&amp;DtemplateCIandGOA</v>
      </c>
      <c r="B529">
        <v>21</v>
      </c>
      <c r="C529">
        <v>8</v>
      </c>
      <c r="D529" s="649">
        <f ca="1">IF(E529=4,INDEX(crude_exp_dist,MATCH(B529,'Crude Exp Dist'!$B$6:$B$78,0),MATCH(C529,'Crude Exp Dist'!$AD$2:$BC$2,0))*INDEX(crude_exp_by_year,MATCH(B529,'Data Export'!$B$6:$B$78,0),1),IF(E529=5,INDEX(ref_exp_dist,MATCH(B529,'Refined Petro Exp Dist'!$B$6:$B$78,0),MATCH(C529,'Refined Petro Exp Dist'!$AD$2:$BC$2,0))*INDEX(ref_exp_by_year,MATCH(B529,'Data Export'!$B$6:$B$78,0),1)))</f>
        <v>0</v>
      </c>
      <c r="E529">
        <v>4</v>
      </c>
      <c r="F529" t="s">
        <v>197</v>
      </c>
    </row>
    <row r="530" spans="1:6">
      <c r="A530" t="str">
        <f t="shared" si="8"/>
        <v>GenericE&amp;DtemplateCIandGOA</v>
      </c>
      <c r="B530">
        <v>21</v>
      </c>
      <c r="C530">
        <v>9</v>
      </c>
      <c r="D530" s="649">
        <f ca="1">IF(E530=4,INDEX(crude_exp_dist,MATCH(B530,'Crude Exp Dist'!$B$6:$B$78,0),MATCH(C530,'Crude Exp Dist'!$AD$2:$BC$2,0))*INDEX(crude_exp_by_year,MATCH(B530,'Data Export'!$B$6:$B$78,0),1),IF(E530=5,INDEX(ref_exp_dist,MATCH(B530,'Refined Petro Exp Dist'!$B$6:$B$78,0),MATCH(C530,'Refined Petro Exp Dist'!$AD$2:$BC$2,0))*INDEX(ref_exp_by_year,MATCH(B530,'Data Export'!$B$6:$B$78,0),1)))</f>
        <v>0</v>
      </c>
      <c r="E530">
        <v>4</v>
      </c>
      <c r="F530" t="s">
        <v>199</v>
      </c>
    </row>
    <row r="531" spans="1:6">
      <c r="A531" t="str">
        <f t="shared" si="8"/>
        <v>GenericE&amp;DtemplateCIandGOA</v>
      </c>
      <c r="B531">
        <v>21</v>
      </c>
      <c r="C531">
        <v>10</v>
      </c>
      <c r="D531" s="649">
        <f ca="1">IF(E531=4,INDEX(crude_exp_dist,MATCH(B531,'Crude Exp Dist'!$B$6:$B$78,0),MATCH(C531,'Crude Exp Dist'!$AD$2:$BC$2,0))*INDEX(crude_exp_by_year,MATCH(B531,'Data Export'!$B$6:$B$78,0),1),IF(E531=5,INDEX(ref_exp_dist,MATCH(B531,'Refined Petro Exp Dist'!$B$6:$B$78,0),MATCH(C531,'Refined Petro Exp Dist'!$AD$2:$BC$2,0))*INDEX(ref_exp_by_year,MATCH(B531,'Data Export'!$B$6:$B$78,0),1)))</f>
        <v>0</v>
      </c>
      <c r="E531">
        <v>4</v>
      </c>
      <c r="F531" t="s">
        <v>201</v>
      </c>
    </row>
    <row r="532" spans="1:6">
      <c r="A532" t="str">
        <f t="shared" si="8"/>
        <v>GenericE&amp;DtemplateCIandGOA</v>
      </c>
      <c r="B532">
        <v>21</v>
      </c>
      <c r="C532">
        <v>11</v>
      </c>
      <c r="D532" s="649">
        <f ca="1">IF(E532=4,INDEX(crude_exp_dist,MATCH(B532,'Crude Exp Dist'!$B$6:$B$78,0),MATCH(C532,'Crude Exp Dist'!$AD$2:$BC$2,0))*INDEX(crude_exp_by_year,MATCH(B532,'Data Export'!$B$6:$B$78,0),1),IF(E532=5,INDEX(ref_exp_dist,MATCH(B532,'Refined Petro Exp Dist'!$B$6:$B$78,0),MATCH(C532,'Refined Petro Exp Dist'!$AD$2:$BC$2,0))*INDEX(ref_exp_by_year,MATCH(B532,'Data Export'!$B$6:$B$78,0),1)))</f>
        <v>0</v>
      </c>
      <c r="E532">
        <v>4</v>
      </c>
      <c r="F532" t="s">
        <v>921</v>
      </c>
    </row>
    <row r="533" spans="1:6">
      <c r="A533" t="str">
        <f t="shared" si="8"/>
        <v>GenericE&amp;DtemplateCIandGOA</v>
      </c>
      <c r="B533">
        <v>21</v>
      </c>
      <c r="C533">
        <v>12</v>
      </c>
      <c r="D533" s="649">
        <f ca="1">IF(E533=4,INDEX(crude_exp_dist,MATCH(B533,'Crude Exp Dist'!$B$6:$B$78,0),MATCH(C533,'Crude Exp Dist'!$AD$2:$BC$2,0))*INDEX(crude_exp_by_year,MATCH(B533,'Data Export'!$B$6:$B$78,0),1),IF(E533=5,INDEX(ref_exp_dist,MATCH(B533,'Refined Petro Exp Dist'!$B$6:$B$78,0),MATCH(C533,'Refined Petro Exp Dist'!$AD$2:$BC$2,0))*INDEX(ref_exp_by_year,MATCH(B533,'Data Export'!$B$6:$B$78,0),1)))</f>
        <v>0</v>
      </c>
      <c r="E533">
        <v>4</v>
      </c>
      <c r="F533" t="s">
        <v>208</v>
      </c>
    </row>
    <row r="534" spans="1:6">
      <c r="A534" t="str">
        <f t="shared" si="8"/>
        <v>GenericE&amp;DtemplateCIandGOA</v>
      </c>
      <c r="B534">
        <v>21</v>
      </c>
      <c r="C534">
        <v>13</v>
      </c>
      <c r="D534" s="649">
        <f ca="1">IF(E534=4,INDEX(crude_exp_dist,MATCH(B534,'Crude Exp Dist'!$B$6:$B$78,0),MATCH(C534,'Crude Exp Dist'!$AD$2:$BC$2,0))*INDEX(crude_exp_by_year,MATCH(B534,'Data Export'!$B$6:$B$78,0),1),IF(E534=5,INDEX(ref_exp_dist,MATCH(B534,'Refined Petro Exp Dist'!$B$6:$B$78,0),MATCH(C534,'Refined Petro Exp Dist'!$AD$2:$BC$2,0))*INDEX(ref_exp_by_year,MATCH(B534,'Data Export'!$B$6:$B$78,0),1)))</f>
        <v>0</v>
      </c>
      <c r="E534">
        <v>4</v>
      </c>
      <c r="F534" t="s">
        <v>211</v>
      </c>
    </row>
    <row r="535" spans="1:6">
      <c r="A535" t="str">
        <f t="shared" si="8"/>
        <v>GenericE&amp;DtemplateCIandGOA</v>
      </c>
      <c r="B535">
        <v>21</v>
      </c>
      <c r="C535">
        <v>14</v>
      </c>
      <c r="D535" s="649">
        <f ca="1">IF(E535=4,INDEX(crude_exp_dist,MATCH(B535,'Crude Exp Dist'!$B$6:$B$78,0),MATCH(C535,'Crude Exp Dist'!$AD$2:$BC$2,0))*INDEX(crude_exp_by_year,MATCH(B535,'Data Export'!$B$6:$B$78,0),1),IF(E535=5,INDEX(ref_exp_dist,MATCH(B535,'Refined Petro Exp Dist'!$B$6:$B$78,0),MATCH(C535,'Refined Petro Exp Dist'!$AD$2:$BC$2,0))*INDEX(ref_exp_by_year,MATCH(B535,'Data Export'!$B$6:$B$78,0),1)))</f>
        <v>0</v>
      </c>
      <c r="E535">
        <v>4</v>
      </c>
      <c r="F535" t="s">
        <v>213</v>
      </c>
    </row>
    <row r="536" spans="1:6">
      <c r="A536" t="str">
        <f t="shared" si="8"/>
        <v>GenericE&amp;DtemplateCIandGOA</v>
      </c>
      <c r="B536">
        <v>21</v>
      </c>
      <c r="C536">
        <v>15</v>
      </c>
      <c r="D536" s="649">
        <f ca="1">IF(E536=4,INDEX(crude_exp_dist,MATCH(B536,'Crude Exp Dist'!$B$6:$B$78,0),MATCH(C536,'Crude Exp Dist'!$AD$2:$BC$2,0))*INDEX(crude_exp_by_year,MATCH(B536,'Data Export'!$B$6:$B$78,0),1),IF(E536=5,INDEX(ref_exp_dist,MATCH(B536,'Refined Petro Exp Dist'!$B$6:$B$78,0),MATCH(C536,'Refined Petro Exp Dist'!$AD$2:$BC$2,0))*INDEX(ref_exp_by_year,MATCH(B536,'Data Export'!$B$6:$B$78,0),1)))</f>
        <v>0</v>
      </c>
      <c r="E536">
        <v>4</v>
      </c>
      <c r="F536" t="s">
        <v>215</v>
      </c>
    </row>
    <row r="537" spans="1:6">
      <c r="A537" t="str">
        <f t="shared" si="8"/>
        <v>GenericE&amp;DtemplateCIandGOA</v>
      </c>
      <c r="B537">
        <v>21</v>
      </c>
      <c r="C537">
        <v>16</v>
      </c>
      <c r="D537" s="649">
        <f ca="1">IF(E537=4,INDEX(crude_exp_dist,MATCH(B537,'Crude Exp Dist'!$B$6:$B$78,0),MATCH(C537,'Crude Exp Dist'!$AD$2:$BC$2,0))*INDEX(crude_exp_by_year,MATCH(B537,'Data Export'!$B$6:$B$78,0),1),IF(E537=5,INDEX(ref_exp_dist,MATCH(B537,'Refined Petro Exp Dist'!$B$6:$B$78,0),MATCH(C537,'Refined Petro Exp Dist'!$AD$2:$BC$2,0))*INDEX(ref_exp_by_year,MATCH(B537,'Data Export'!$B$6:$B$78,0),1)))</f>
        <v>0</v>
      </c>
      <c r="E537">
        <v>4</v>
      </c>
      <c r="F537" t="s">
        <v>219</v>
      </c>
    </row>
    <row r="538" spans="1:6">
      <c r="A538" t="str">
        <f t="shared" si="8"/>
        <v>GenericE&amp;DtemplateCIandGOA</v>
      </c>
      <c r="B538">
        <v>21</v>
      </c>
      <c r="C538">
        <v>17</v>
      </c>
      <c r="D538" s="649">
        <f ca="1">IF(E538=4,INDEX(crude_exp_dist,MATCH(B538,'Crude Exp Dist'!$B$6:$B$78,0),MATCH(C538,'Crude Exp Dist'!$AD$2:$BC$2,0))*INDEX(crude_exp_by_year,MATCH(B538,'Data Export'!$B$6:$B$78,0),1),IF(E538=5,INDEX(ref_exp_dist,MATCH(B538,'Refined Petro Exp Dist'!$B$6:$B$78,0),MATCH(C538,'Refined Petro Exp Dist'!$AD$2:$BC$2,0))*INDEX(ref_exp_by_year,MATCH(B538,'Data Export'!$B$6:$B$78,0),1)))</f>
        <v>0</v>
      </c>
      <c r="E538">
        <v>4</v>
      </c>
      <c r="F538" t="s">
        <v>222</v>
      </c>
    </row>
    <row r="539" spans="1:6">
      <c r="A539" t="str">
        <f t="shared" si="8"/>
        <v>GenericE&amp;DtemplateCIandGOA</v>
      </c>
      <c r="B539">
        <v>21</v>
      </c>
      <c r="C539">
        <v>18</v>
      </c>
      <c r="D539" s="649">
        <f ca="1">IF(E539=4,INDEX(crude_exp_dist,MATCH(B539,'Crude Exp Dist'!$B$6:$B$78,0),MATCH(C539,'Crude Exp Dist'!$AD$2:$BC$2,0))*INDEX(crude_exp_by_year,MATCH(B539,'Data Export'!$B$6:$B$78,0),1),IF(E539=5,INDEX(ref_exp_dist,MATCH(B539,'Refined Petro Exp Dist'!$B$6:$B$78,0),MATCH(C539,'Refined Petro Exp Dist'!$AD$2:$BC$2,0))*INDEX(ref_exp_by_year,MATCH(B539,'Data Export'!$B$6:$B$78,0),1)))</f>
        <v>0</v>
      </c>
      <c r="E539">
        <v>4</v>
      </c>
      <c r="F539" t="s">
        <v>224</v>
      </c>
    </row>
    <row r="540" spans="1:6">
      <c r="A540" t="str">
        <f t="shared" si="8"/>
        <v>GenericE&amp;DtemplateCIandGOA</v>
      </c>
      <c r="B540">
        <v>21</v>
      </c>
      <c r="C540">
        <v>19</v>
      </c>
      <c r="D540" s="649">
        <f ca="1">IF(E540=4,INDEX(crude_exp_dist,MATCH(B540,'Crude Exp Dist'!$B$6:$B$78,0),MATCH(C540,'Crude Exp Dist'!$AD$2:$BC$2,0))*INDEX(crude_exp_by_year,MATCH(B540,'Data Export'!$B$6:$B$78,0),1),IF(E540=5,INDEX(ref_exp_dist,MATCH(B540,'Refined Petro Exp Dist'!$B$6:$B$78,0),MATCH(C540,'Refined Petro Exp Dist'!$AD$2:$BC$2,0))*INDEX(ref_exp_by_year,MATCH(B540,'Data Export'!$B$6:$B$78,0),1)))</f>
        <v>0</v>
      </c>
      <c r="E540">
        <v>4</v>
      </c>
      <c r="F540" t="s">
        <v>228</v>
      </c>
    </row>
    <row r="541" spans="1:6">
      <c r="A541" t="str">
        <f t="shared" si="8"/>
        <v>GenericE&amp;DtemplateCIandGOA</v>
      </c>
      <c r="B541">
        <v>21</v>
      </c>
      <c r="C541">
        <v>20</v>
      </c>
      <c r="D541" s="649">
        <f ca="1">IF(E541=4,INDEX(crude_exp_dist,MATCH(B541,'Crude Exp Dist'!$B$6:$B$78,0),MATCH(C541,'Crude Exp Dist'!$AD$2:$BC$2,0))*INDEX(crude_exp_by_year,MATCH(B541,'Data Export'!$B$6:$B$78,0),1),IF(E541=5,INDEX(ref_exp_dist,MATCH(B541,'Refined Petro Exp Dist'!$B$6:$B$78,0),MATCH(C541,'Refined Petro Exp Dist'!$AD$2:$BC$2,0))*INDEX(ref_exp_by_year,MATCH(B541,'Data Export'!$B$6:$B$78,0),1)))</f>
        <v>0</v>
      </c>
      <c r="E541">
        <v>4</v>
      </c>
      <c r="F541" t="s">
        <v>231</v>
      </c>
    </row>
    <row r="542" spans="1:6">
      <c r="A542" t="str">
        <f t="shared" si="8"/>
        <v>GenericE&amp;DtemplateCIandGOA</v>
      </c>
      <c r="B542">
        <v>21</v>
      </c>
      <c r="C542">
        <v>21</v>
      </c>
      <c r="D542" s="649">
        <f ca="1">IF(E542=4,INDEX(crude_exp_dist,MATCH(B542,'Crude Exp Dist'!$B$6:$B$78,0),MATCH(C542,'Crude Exp Dist'!$AD$2:$BC$2,0))*INDEX(crude_exp_by_year,MATCH(B542,'Data Export'!$B$6:$B$78,0),1),IF(E542=5,INDEX(ref_exp_dist,MATCH(B542,'Refined Petro Exp Dist'!$B$6:$B$78,0),MATCH(C542,'Refined Petro Exp Dist'!$AD$2:$BC$2,0))*INDEX(ref_exp_by_year,MATCH(B542,'Data Export'!$B$6:$B$78,0),1)))</f>
        <v>0</v>
      </c>
      <c r="E542">
        <v>4</v>
      </c>
      <c r="F542" t="s">
        <v>232</v>
      </c>
    </row>
    <row r="543" spans="1:6">
      <c r="A543" t="str">
        <f t="shared" si="8"/>
        <v>GenericE&amp;DtemplateCIandGOA</v>
      </c>
      <c r="B543">
        <v>21</v>
      </c>
      <c r="C543">
        <v>22</v>
      </c>
      <c r="D543" s="649">
        <f ca="1">IF(E543=4,INDEX(crude_exp_dist,MATCH(B543,'Crude Exp Dist'!$B$6:$B$78,0),MATCH(C543,'Crude Exp Dist'!$AD$2:$BC$2,0))*INDEX(crude_exp_by_year,MATCH(B543,'Data Export'!$B$6:$B$78,0),1),IF(E543=5,INDEX(ref_exp_dist,MATCH(B543,'Refined Petro Exp Dist'!$B$6:$B$78,0),MATCH(C543,'Refined Petro Exp Dist'!$AD$2:$BC$2,0))*INDEX(ref_exp_by_year,MATCH(B543,'Data Export'!$B$6:$B$78,0),1)))</f>
        <v>0</v>
      </c>
      <c r="E543">
        <v>4</v>
      </c>
      <c r="F543" t="s">
        <v>235</v>
      </c>
    </row>
    <row r="544" spans="1:6">
      <c r="A544" t="str">
        <f t="shared" si="8"/>
        <v>GenericE&amp;DtemplateCIandGOA</v>
      </c>
      <c r="B544">
        <v>21</v>
      </c>
      <c r="C544">
        <v>23</v>
      </c>
      <c r="D544" s="649">
        <f ca="1">IF(E544=4,INDEX(crude_exp_dist,MATCH(B544,'Crude Exp Dist'!$B$6:$B$78,0),MATCH(C544,'Crude Exp Dist'!$AD$2:$BC$2,0))*INDEX(crude_exp_by_year,MATCH(B544,'Data Export'!$B$6:$B$78,0),1),IF(E544=5,INDEX(ref_exp_dist,MATCH(B544,'Refined Petro Exp Dist'!$B$6:$B$78,0),MATCH(C544,'Refined Petro Exp Dist'!$AD$2:$BC$2,0))*INDEX(ref_exp_by_year,MATCH(B544,'Data Export'!$B$6:$B$78,0),1)))</f>
        <v>0</v>
      </c>
      <c r="E544">
        <v>4</v>
      </c>
      <c r="F544" t="s">
        <v>237</v>
      </c>
    </row>
    <row r="545" spans="1:6">
      <c r="A545" t="str">
        <f t="shared" si="8"/>
        <v>GenericE&amp;DtemplateCIandGOA</v>
      </c>
      <c r="B545">
        <v>21</v>
      </c>
      <c r="C545">
        <v>24</v>
      </c>
      <c r="D545" s="649">
        <f ca="1">IF(E545=4,INDEX(crude_exp_dist,MATCH(B545,'Crude Exp Dist'!$B$6:$B$78,0),MATCH(C545,'Crude Exp Dist'!$AD$2:$BC$2,0))*INDEX(crude_exp_by_year,MATCH(B545,'Data Export'!$B$6:$B$78,0),1),IF(E545=5,INDEX(ref_exp_dist,MATCH(B545,'Refined Petro Exp Dist'!$B$6:$B$78,0),MATCH(C545,'Refined Petro Exp Dist'!$AD$2:$BC$2,0))*INDEX(ref_exp_by_year,MATCH(B545,'Data Export'!$B$6:$B$78,0),1)))</f>
        <v>0</v>
      </c>
      <c r="E545">
        <v>4</v>
      </c>
      <c r="F545" t="s">
        <v>239</v>
      </c>
    </row>
    <row r="546" spans="1:6">
      <c r="A546" t="str">
        <f t="shared" si="8"/>
        <v>GenericE&amp;DtemplateCIandGOA</v>
      </c>
      <c r="B546">
        <v>21</v>
      </c>
      <c r="C546">
        <v>25</v>
      </c>
      <c r="D546" s="649">
        <f ca="1">IF(E546=4,INDEX(crude_exp_dist,MATCH(B546,'Crude Exp Dist'!$B$6:$B$78,0),MATCH(C546,'Crude Exp Dist'!$AD$2:$BC$2,0))*INDEX(crude_exp_by_year,MATCH(B546,'Data Export'!$B$6:$B$78,0),1),IF(E546=5,INDEX(ref_exp_dist,MATCH(B546,'Refined Petro Exp Dist'!$B$6:$B$78,0),MATCH(C546,'Refined Petro Exp Dist'!$AD$2:$BC$2,0))*INDEX(ref_exp_by_year,MATCH(B546,'Data Export'!$B$6:$B$78,0),1)))</f>
        <v>0</v>
      </c>
      <c r="E546">
        <v>4</v>
      </c>
      <c r="F546" t="s">
        <v>242</v>
      </c>
    </row>
    <row r="547" spans="1:6">
      <c r="A547" t="str">
        <f t="shared" si="8"/>
        <v>GenericE&amp;DtemplateCIandGOA</v>
      </c>
      <c r="B547">
        <v>21</v>
      </c>
      <c r="C547">
        <v>26</v>
      </c>
      <c r="D547" s="649">
        <f ca="1">IF(E547=4,INDEX(crude_exp_dist,MATCH(B547,'Crude Exp Dist'!$B$6:$B$78,0),MATCH(C547,'Crude Exp Dist'!$AD$2:$BC$2,0))*INDEX(crude_exp_by_year,MATCH(B547,'Data Export'!$B$6:$B$78,0),1),IF(E547=5,INDEX(ref_exp_dist,MATCH(B547,'Refined Petro Exp Dist'!$B$6:$B$78,0),MATCH(C547,'Refined Petro Exp Dist'!$AD$2:$BC$2,0))*INDEX(ref_exp_by_year,MATCH(B547,'Data Export'!$B$6:$B$78,0),1)))</f>
        <v>0</v>
      </c>
      <c r="E547">
        <v>4</v>
      </c>
      <c r="F547" t="s">
        <v>245</v>
      </c>
    </row>
    <row r="548" spans="1:6">
      <c r="A548" t="str">
        <f t="shared" si="8"/>
        <v>GenericE&amp;DtemplateCIandGOA</v>
      </c>
      <c r="B548">
        <v>22</v>
      </c>
      <c r="C548">
        <v>1</v>
      </c>
      <c r="D548" s="649">
        <f ca="1">IF(E548=4,INDEX(crude_exp_dist,MATCH(B548,'Crude Exp Dist'!$B$6:$B$78,0),MATCH(C548,'Crude Exp Dist'!$AD$2:$BC$2,0))*INDEX(crude_exp_by_year,MATCH(B548,'Data Export'!$B$6:$B$78,0),1),IF(E548=5,INDEX(ref_exp_dist,MATCH(B548,'Refined Petro Exp Dist'!$B$6:$B$78,0),MATCH(C548,'Refined Petro Exp Dist'!$AD$2:$BC$2,0))*INDEX(ref_exp_by_year,MATCH(B548,'Data Export'!$B$6:$B$78,0),1)))</f>
        <v>0</v>
      </c>
      <c r="E548">
        <v>4</v>
      </c>
      <c r="F548" t="s">
        <v>158</v>
      </c>
    </row>
    <row r="549" spans="1:6">
      <c r="A549" t="str">
        <f t="shared" si="8"/>
        <v>GenericE&amp;DtemplateCIandGOA</v>
      </c>
      <c r="B549">
        <v>22</v>
      </c>
      <c r="C549">
        <v>2</v>
      </c>
      <c r="D549" s="649">
        <f ca="1">IF(E549=4,INDEX(crude_exp_dist,MATCH(B549,'Crude Exp Dist'!$B$6:$B$78,0),MATCH(C549,'Crude Exp Dist'!$AD$2:$BC$2,0))*INDEX(crude_exp_by_year,MATCH(B549,'Data Export'!$B$6:$B$78,0),1),IF(E549=5,INDEX(ref_exp_dist,MATCH(B549,'Refined Petro Exp Dist'!$B$6:$B$78,0),MATCH(C549,'Refined Petro Exp Dist'!$AD$2:$BC$2,0))*INDEX(ref_exp_by_year,MATCH(B549,'Data Export'!$B$6:$B$78,0),1)))</f>
        <v>0</v>
      </c>
      <c r="E549">
        <v>4</v>
      </c>
      <c r="F549" t="s">
        <v>166</v>
      </c>
    </row>
    <row r="550" spans="1:6">
      <c r="A550" t="str">
        <f t="shared" si="8"/>
        <v>GenericE&amp;DtemplateCIandGOA</v>
      </c>
      <c r="B550">
        <v>22</v>
      </c>
      <c r="C550">
        <v>3</v>
      </c>
      <c r="D550" s="649">
        <f ca="1">IF(E550=4,INDEX(crude_exp_dist,MATCH(B550,'Crude Exp Dist'!$B$6:$B$78,0),MATCH(C550,'Crude Exp Dist'!$AD$2:$BC$2,0))*INDEX(crude_exp_by_year,MATCH(B550,'Data Export'!$B$6:$B$78,0),1),IF(E550=5,INDEX(ref_exp_dist,MATCH(B550,'Refined Petro Exp Dist'!$B$6:$B$78,0),MATCH(C550,'Refined Petro Exp Dist'!$AD$2:$BC$2,0))*INDEX(ref_exp_by_year,MATCH(B550,'Data Export'!$B$6:$B$78,0),1)))</f>
        <v>0</v>
      </c>
      <c r="E550">
        <v>4</v>
      </c>
      <c r="F550" t="s">
        <v>171</v>
      </c>
    </row>
    <row r="551" spans="1:6">
      <c r="A551" t="str">
        <f t="shared" si="8"/>
        <v>GenericE&amp;DtemplateCIandGOA</v>
      </c>
      <c r="B551">
        <v>22</v>
      </c>
      <c r="C551">
        <v>4</v>
      </c>
      <c r="D551" s="649">
        <f ca="1">IF(E551=4,INDEX(crude_exp_dist,MATCH(B551,'Crude Exp Dist'!$B$6:$B$78,0),MATCH(C551,'Crude Exp Dist'!$AD$2:$BC$2,0))*INDEX(crude_exp_by_year,MATCH(B551,'Data Export'!$B$6:$B$78,0),1),IF(E551=5,INDEX(ref_exp_dist,MATCH(B551,'Refined Petro Exp Dist'!$B$6:$B$78,0),MATCH(C551,'Refined Petro Exp Dist'!$AD$2:$BC$2,0))*INDEX(ref_exp_by_year,MATCH(B551,'Data Export'!$B$6:$B$78,0),1)))</f>
        <v>0</v>
      </c>
      <c r="E551">
        <v>4</v>
      </c>
      <c r="F551" t="s">
        <v>173</v>
      </c>
    </row>
    <row r="552" spans="1:6">
      <c r="A552" t="str">
        <f t="shared" si="8"/>
        <v>GenericE&amp;DtemplateCIandGOA</v>
      </c>
      <c r="B552">
        <v>22</v>
      </c>
      <c r="C552">
        <v>5</v>
      </c>
      <c r="D552" s="649">
        <f ca="1">IF(E552=4,INDEX(crude_exp_dist,MATCH(B552,'Crude Exp Dist'!$B$6:$B$78,0),MATCH(C552,'Crude Exp Dist'!$AD$2:$BC$2,0))*INDEX(crude_exp_by_year,MATCH(B552,'Data Export'!$B$6:$B$78,0),1),IF(E552=5,INDEX(ref_exp_dist,MATCH(B552,'Refined Petro Exp Dist'!$B$6:$B$78,0),MATCH(C552,'Refined Petro Exp Dist'!$AD$2:$BC$2,0))*INDEX(ref_exp_by_year,MATCH(B552,'Data Export'!$B$6:$B$78,0),1)))</f>
        <v>0</v>
      </c>
      <c r="E552">
        <v>4</v>
      </c>
      <c r="F552" t="s">
        <v>180</v>
      </c>
    </row>
    <row r="553" spans="1:6">
      <c r="A553" t="str">
        <f t="shared" si="8"/>
        <v>GenericE&amp;DtemplateCIandGOA</v>
      </c>
      <c r="B553">
        <v>22</v>
      </c>
      <c r="C553">
        <v>6</v>
      </c>
      <c r="D553" s="649">
        <f ca="1">IF(E553=4,INDEX(crude_exp_dist,MATCH(B553,'Crude Exp Dist'!$B$6:$B$78,0),MATCH(C553,'Crude Exp Dist'!$AD$2:$BC$2,0))*INDEX(crude_exp_by_year,MATCH(B553,'Data Export'!$B$6:$B$78,0),1),IF(E553=5,INDEX(ref_exp_dist,MATCH(B553,'Refined Petro Exp Dist'!$B$6:$B$78,0),MATCH(C553,'Refined Petro Exp Dist'!$AD$2:$BC$2,0))*INDEX(ref_exp_by_year,MATCH(B553,'Data Export'!$B$6:$B$78,0),1)))</f>
        <v>0</v>
      </c>
      <c r="E553">
        <v>4</v>
      </c>
      <c r="F553" t="s">
        <v>186</v>
      </c>
    </row>
    <row r="554" spans="1:6">
      <c r="A554" t="str">
        <f t="shared" si="8"/>
        <v>GenericE&amp;DtemplateCIandGOA</v>
      </c>
      <c r="B554">
        <v>22</v>
      </c>
      <c r="C554">
        <v>7</v>
      </c>
      <c r="D554" s="649">
        <f ca="1">IF(E554=4,INDEX(crude_exp_dist,MATCH(B554,'Crude Exp Dist'!$B$6:$B$78,0),MATCH(C554,'Crude Exp Dist'!$AD$2:$BC$2,0))*INDEX(crude_exp_by_year,MATCH(B554,'Data Export'!$B$6:$B$78,0),1),IF(E554=5,INDEX(ref_exp_dist,MATCH(B554,'Refined Petro Exp Dist'!$B$6:$B$78,0),MATCH(C554,'Refined Petro Exp Dist'!$AD$2:$BC$2,0))*INDEX(ref_exp_by_year,MATCH(B554,'Data Export'!$B$6:$B$78,0),1)))</f>
        <v>0</v>
      </c>
      <c r="E554">
        <v>4</v>
      </c>
      <c r="F554" t="s">
        <v>191</v>
      </c>
    </row>
    <row r="555" spans="1:6">
      <c r="A555" t="str">
        <f t="shared" si="8"/>
        <v>GenericE&amp;DtemplateCIandGOA</v>
      </c>
      <c r="B555">
        <v>22</v>
      </c>
      <c r="C555">
        <v>8</v>
      </c>
      <c r="D555" s="649">
        <f ca="1">IF(E555=4,INDEX(crude_exp_dist,MATCH(B555,'Crude Exp Dist'!$B$6:$B$78,0),MATCH(C555,'Crude Exp Dist'!$AD$2:$BC$2,0))*INDEX(crude_exp_by_year,MATCH(B555,'Data Export'!$B$6:$B$78,0),1),IF(E555=5,INDEX(ref_exp_dist,MATCH(B555,'Refined Petro Exp Dist'!$B$6:$B$78,0),MATCH(C555,'Refined Petro Exp Dist'!$AD$2:$BC$2,0))*INDEX(ref_exp_by_year,MATCH(B555,'Data Export'!$B$6:$B$78,0),1)))</f>
        <v>0</v>
      </c>
      <c r="E555">
        <v>4</v>
      </c>
      <c r="F555" t="s">
        <v>197</v>
      </c>
    </row>
    <row r="556" spans="1:6">
      <c r="A556" t="str">
        <f t="shared" si="8"/>
        <v>GenericE&amp;DtemplateCIandGOA</v>
      </c>
      <c r="B556">
        <v>22</v>
      </c>
      <c r="C556">
        <v>9</v>
      </c>
      <c r="D556" s="649">
        <f ca="1">IF(E556=4,INDEX(crude_exp_dist,MATCH(B556,'Crude Exp Dist'!$B$6:$B$78,0),MATCH(C556,'Crude Exp Dist'!$AD$2:$BC$2,0))*INDEX(crude_exp_by_year,MATCH(B556,'Data Export'!$B$6:$B$78,0),1),IF(E556=5,INDEX(ref_exp_dist,MATCH(B556,'Refined Petro Exp Dist'!$B$6:$B$78,0),MATCH(C556,'Refined Petro Exp Dist'!$AD$2:$BC$2,0))*INDEX(ref_exp_by_year,MATCH(B556,'Data Export'!$B$6:$B$78,0),1)))</f>
        <v>0</v>
      </c>
      <c r="E556">
        <v>4</v>
      </c>
      <c r="F556" t="s">
        <v>199</v>
      </c>
    </row>
    <row r="557" spans="1:6">
      <c r="A557" t="str">
        <f t="shared" si="8"/>
        <v>GenericE&amp;DtemplateCIandGOA</v>
      </c>
      <c r="B557">
        <v>22</v>
      </c>
      <c r="C557">
        <v>10</v>
      </c>
      <c r="D557" s="649">
        <f ca="1">IF(E557=4,INDEX(crude_exp_dist,MATCH(B557,'Crude Exp Dist'!$B$6:$B$78,0),MATCH(C557,'Crude Exp Dist'!$AD$2:$BC$2,0))*INDEX(crude_exp_by_year,MATCH(B557,'Data Export'!$B$6:$B$78,0),1),IF(E557=5,INDEX(ref_exp_dist,MATCH(B557,'Refined Petro Exp Dist'!$B$6:$B$78,0),MATCH(C557,'Refined Petro Exp Dist'!$AD$2:$BC$2,0))*INDEX(ref_exp_by_year,MATCH(B557,'Data Export'!$B$6:$B$78,0),1)))</f>
        <v>0</v>
      </c>
      <c r="E557">
        <v>4</v>
      </c>
      <c r="F557" t="s">
        <v>201</v>
      </c>
    </row>
    <row r="558" spans="1:6">
      <c r="A558" t="str">
        <f t="shared" si="8"/>
        <v>GenericE&amp;DtemplateCIandGOA</v>
      </c>
      <c r="B558">
        <v>22</v>
      </c>
      <c r="C558">
        <v>11</v>
      </c>
      <c r="D558" s="649">
        <f ca="1">IF(E558=4,INDEX(crude_exp_dist,MATCH(B558,'Crude Exp Dist'!$B$6:$B$78,0),MATCH(C558,'Crude Exp Dist'!$AD$2:$BC$2,0))*INDEX(crude_exp_by_year,MATCH(B558,'Data Export'!$B$6:$B$78,0),1),IF(E558=5,INDEX(ref_exp_dist,MATCH(B558,'Refined Petro Exp Dist'!$B$6:$B$78,0),MATCH(C558,'Refined Petro Exp Dist'!$AD$2:$BC$2,0))*INDEX(ref_exp_by_year,MATCH(B558,'Data Export'!$B$6:$B$78,0),1)))</f>
        <v>0</v>
      </c>
      <c r="E558">
        <v>4</v>
      </c>
      <c r="F558" t="s">
        <v>921</v>
      </c>
    </row>
    <row r="559" spans="1:6">
      <c r="A559" t="str">
        <f t="shared" si="8"/>
        <v>GenericE&amp;DtemplateCIandGOA</v>
      </c>
      <c r="B559">
        <v>22</v>
      </c>
      <c r="C559">
        <v>12</v>
      </c>
      <c r="D559" s="649">
        <f ca="1">IF(E559=4,INDEX(crude_exp_dist,MATCH(B559,'Crude Exp Dist'!$B$6:$B$78,0),MATCH(C559,'Crude Exp Dist'!$AD$2:$BC$2,0))*INDEX(crude_exp_by_year,MATCH(B559,'Data Export'!$B$6:$B$78,0),1),IF(E559=5,INDEX(ref_exp_dist,MATCH(B559,'Refined Petro Exp Dist'!$B$6:$B$78,0),MATCH(C559,'Refined Petro Exp Dist'!$AD$2:$BC$2,0))*INDEX(ref_exp_by_year,MATCH(B559,'Data Export'!$B$6:$B$78,0),1)))</f>
        <v>0</v>
      </c>
      <c r="E559">
        <v>4</v>
      </c>
      <c r="F559" t="s">
        <v>208</v>
      </c>
    </row>
    <row r="560" spans="1:6">
      <c r="A560" t="str">
        <f t="shared" si="8"/>
        <v>GenericE&amp;DtemplateCIandGOA</v>
      </c>
      <c r="B560">
        <v>22</v>
      </c>
      <c r="C560">
        <v>13</v>
      </c>
      <c r="D560" s="649">
        <f ca="1">IF(E560=4,INDEX(crude_exp_dist,MATCH(B560,'Crude Exp Dist'!$B$6:$B$78,0),MATCH(C560,'Crude Exp Dist'!$AD$2:$BC$2,0))*INDEX(crude_exp_by_year,MATCH(B560,'Data Export'!$B$6:$B$78,0),1),IF(E560=5,INDEX(ref_exp_dist,MATCH(B560,'Refined Petro Exp Dist'!$B$6:$B$78,0),MATCH(C560,'Refined Petro Exp Dist'!$AD$2:$BC$2,0))*INDEX(ref_exp_by_year,MATCH(B560,'Data Export'!$B$6:$B$78,0),1)))</f>
        <v>0</v>
      </c>
      <c r="E560">
        <v>4</v>
      </c>
      <c r="F560" t="s">
        <v>211</v>
      </c>
    </row>
    <row r="561" spans="1:6">
      <c r="A561" t="str">
        <f t="shared" si="8"/>
        <v>GenericE&amp;DtemplateCIandGOA</v>
      </c>
      <c r="B561">
        <v>22</v>
      </c>
      <c r="C561">
        <v>14</v>
      </c>
      <c r="D561" s="649">
        <f ca="1">IF(E561=4,INDEX(crude_exp_dist,MATCH(B561,'Crude Exp Dist'!$B$6:$B$78,0),MATCH(C561,'Crude Exp Dist'!$AD$2:$BC$2,0))*INDEX(crude_exp_by_year,MATCH(B561,'Data Export'!$B$6:$B$78,0),1),IF(E561=5,INDEX(ref_exp_dist,MATCH(B561,'Refined Petro Exp Dist'!$B$6:$B$78,0),MATCH(C561,'Refined Petro Exp Dist'!$AD$2:$BC$2,0))*INDEX(ref_exp_by_year,MATCH(B561,'Data Export'!$B$6:$B$78,0),1)))</f>
        <v>0</v>
      </c>
      <c r="E561">
        <v>4</v>
      </c>
      <c r="F561" t="s">
        <v>213</v>
      </c>
    </row>
    <row r="562" spans="1:6">
      <c r="A562" t="str">
        <f t="shared" si="8"/>
        <v>GenericE&amp;DtemplateCIandGOA</v>
      </c>
      <c r="B562">
        <v>22</v>
      </c>
      <c r="C562">
        <v>15</v>
      </c>
      <c r="D562" s="649">
        <f ca="1">IF(E562=4,INDEX(crude_exp_dist,MATCH(B562,'Crude Exp Dist'!$B$6:$B$78,0),MATCH(C562,'Crude Exp Dist'!$AD$2:$BC$2,0))*INDEX(crude_exp_by_year,MATCH(B562,'Data Export'!$B$6:$B$78,0),1),IF(E562=5,INDEX(ref_exp_dist,MATCH(B562,'Refined Petro Exp Dist'!$B$6:$B$78,0),MATCH(C562,'Refined Petro Exp Dist'!$AD$2:$BC$2,0))*INDEX(ref_exp_by_year,MATCH(B562,'Data Export'!$B$6:$B$78,0),1)))</f>
        <v>0</v>
      </c>
      <c r="E562">
        <v>4</v>
      </c>
      <c r="F562" t="s">
        <v>215</v>
      </c>
    </row>
    <row r="563" spans="1:6">
      <c r="A563" t="str">
        <f t="shared" si="8"/>
        <v>GenericE&amp;DtemplateCIandGOA</v>
      </c>
      <c r="B563">
        <v>22</v>
      </c>
      <c r="C563">
        <v>16</v>
      </c>
      <c r="D563" s="649">
        <f ca="1">IF(E563=4,INDEX(crude_exp_dist,MATCH(B563,'Crude Exp Dist'!$B$6:$B$78,0),MATCH(C563,'Crude Exp Dist'!$AD$2:$BC$2,0))*INDEX(crude_exp_by_year,MATCH(B563,'Data Export'!$B$6:$B$78,0),1),IF(E563=5,INDEX(ref_exp_dist,MATCH(B563,'Refined Petro Exp Dist'!$B$6:$B$78,0),MATCH(C563,'Refined Petro Exp Dist'!$AD$2:$BC$2,0))*INDEX(ref_exp_by_year,MATCH(B563,'Data Export'!$B$6:$B$78,0),1)))</f>
        <v>0</v>
      </c>
      <c r="E563">
        <v>4</v>
      </c>
      <c r="F563" t="s">
        <v>219</v>
      </c>
    </row>
    <row r="564" spans="1:6">
      <c r="A564" t="str">
        <f t="shared" si="8"/>
        <v>GenericE&amp;DtemplateCIandGOA</v>
      </c>
      <c r="B564">
        <v>22</v>
      </c>
      <c r="C564">
        <v>17</v>
      </c>
      <c r="D564" s="649">
        <f ca="1">IF(E564=4,INDEX(crude_exp_dist,MATCH(B564,'Crude Exp Dist'!$B$6:$B$78,0),MATCH(C564,'Crude Exp Dist'!$AD$2:$BC$2,0))*INDEX(crude_exp_by_year,MATCH(B564,'Data Export'!$B$6:$B$78,0),1),IF(E564=5,INDEX(ref_exp_dist,MATCH(B564,'Refined Petro Exp Dist'!$B$6:$B$78,0),MATCH(C564,'Refined Petro Exp Dist'!$AD$2:$BC$2,0))*INDEX(ref_exp_by_year,MATCH(B564,'Data Export'!$B$6:$B$78,0),1)))</f>
        <v>0</v>
      </c>
      <c r="E564">
        <v>4</v>
      </c>
      <c r="F564" t="s">
        <v>222</v>
      </c>
    </row>
    <row r="565" spans="1:6">
      <c r="A565" t="str">
        <f t="shared" si="8"/>
        <v>GenericE&amp;DtemplateCIandGOA</v>
      </c>
      <c r="B565">
        <v>22</v>
      </c>
      <c r="C565">
        <v>18</v>
      </c>
      <c r="D565" s="649">
        <f ca="1">IF(E565=4,INDEX(crude_exp_dist,MATCH(B565,'Crude Exp Dist'!$B$6:$B$78,0),MATCH(C565,'Crude Exp Dist'!$AD$2:$BC$2,0))*INDEX(crude_exp_by_year,MATCH(B565,'Data Export'!$B$6:$B$78,0),1),IF(E565=5,INDEX(ref_exp_dist,MATCH(B565,'Refined Petro Exp Dist'!$B$6:$B$78,0),MATCH(C565,'Refined Petro Exp Dist'!$AD$2:$BC$2,0))*INDEX(ref_exp_by_year,MATCH(B565,'Data Export'!$B$6:$B$78,0),1)))</f>
        <v>0</v>
      </c>
      <c r="E565">
        <v>4</v>
      </c>
      <c r="F565" t="s">
        <v>224</v>
      </c>
    </row>
    <row r="566" spans="1:6">
      <c r="A566" t="str">
        <f t="shared" si="8"/>
        <v>GenericE&amp;DtemplateCIandGOA</v>
      </c>
      <c r="B566">
        <v>22</v>
      </c>
      <c r="C566">
        <v>19</v>
      </c>
      <c r="D566" s="649">
        <f ca="1">IF(E566=4,INDEX(crude_exp_dist,MATCH(B566,'Crude Exp Dist'!$B$6:$B$78,0),MATCH(C566,'Crude Exp Dist'!$AD$2:$BC$2,0))*INDEX(crude_exp_by_year,MATCH(B566,'Data Export'!$B$6:$B$78,0),1),IF(E566=5,INDEX(ref_exp_dist,MATCH(B566,'Refined Petro Exp Dist'!$B$6:$B$78,0),MATCH(C566,'Refined Petro Exp Dist'!$AD$2:$BC$2,0))*INDEX(ref_exp_by_year,MATCH(B566,'Data Export'!$B$6:$B$78,0),1)))</f>
        <v>0</v>
      </c>
      <c r="E566">
        <v>4</v>
      </c>
      <c r="F566" t="s">
        <v>228</v>
      </c>
    </row>
    <row r="567" spans="1:6">
      <c r="A567" t="str">
        <f t="shared" si="8"/>
        <v>GenericE&amp;DtemplateCIandGOA</v>
      </c>
      <c r="B567">
        <v>22</v>
      </c>
      <c r="C567">
        <v>20</v>
      </c>
      <c r="D567" s="649">
        <f ca="1">IF(E567=4,INDEX(crude_exp_dist,MATCH(B567,'Crude Exp Dist'!$B$6:$B$78,0),MATCH(C567,'Crude Exp Dist'!$AD$2:$BC$2,0))*INDEX(crude_exp_by_year,MATCH(B567,'Data Export'!$B$6:$B$78,0),1),IF(E567=5,INDEX(ref_exp_dist,MATCH(B567,'Refined Petro Exp Dist'!$B$6:$B$78,0),MATCH(C567,'Refined Petro Exp Dist'!$AD$2:$BC$2,0))*INDEX(ref_exp_by_year,MATCH(B567,'Data Export'!$B$6:$B$78,0),1)))</f>
        <v>0</v>
      </c>
      <c r="E567">
        <v>4</v>
      </c>
      <c r="F567" t="s">
        <v>231</v>
      </c>
    </row>
    <row r="568" spans="1:6">
      <c r="A568" t="str">
        <f t="shared" si="8"/>
        <v>GenericE&amp;DtemplateCIandGOA</v>
      </c>
      <c r="B568">
        <v>22</v>
      </c>
      <c r="C568">
        <v>21</v>
      </c>
      <c r="D568" s="649">
        <f ca="1">IF(E568=4,INDEX(crude_exp_dist,MATCH(B568,'Crude Exp Dist'!$B$6:$B$78,0),MATCH(C568,'Crude Exp Dist'!$AD$2:$BC$2,0))*INDEX(crude_exp_by_year,MATCH(B568,'Data Export'!$B$6:$B$78,0),1),IF(E568=5,INDEX(ref_exp_dist,MATCH(B568,'Refined Petro Exp Dist'!$B$6:$B$78,0),MATCH(C568,'Refined Petro Exp Dist'!$AD$2:$BC$2,0))*INDEX(ref_exp_by_year,MATCH(B568,'Data Export'!$B$6:$B$78,0),1)))</f>
        <v>0</v>
      </c>
      <c r="E568">
        <v>4</v>
      </c>
      <c r="F568" t="s">
        <v>232</v>
      </c>
    </row>
    <row r="569" spans="1:6">
      <c r="A569" t="str">
        <f t="shared" si="8"/>
        <v>GenericE&amp;DtemplateCIandGOA</v>
      </c>
      <c r="B569">
        <v>22</v>
      </c>
      <c r="C569">
        <v>22</v>
      </c>
      <c r="D569" s="649">
        <f ca="1">IF(E569=4,INDEX(crude_exp_dist,MATCH(B569,'Crude Exp Dist'!$B$6:$B$78,0),MATCH(C569,'Crude Exp Dist'!$AD$2:$BC$2,0))*INDEX(crude_exp_by_year,MATCH(B569,'Data Export'!$B$6:$B$78,0),1),IF(E569=5,INDEX(ref_exp_dist,MATCH(B569,'Refined Petro Exp Dist'!$B$6:$B$78,0),MATCH(C569,'Refined Petro Exp Dist'!$AD$2:$BC$2,0))*INDEX(ref_exp_by_year,MATCH(B569,'Data Export'!$B$6:$B$78,0),1)))</f>
        <v>0</v>
      </c>
      <c r="E569">
        <v>4</v>
      </c>
      <c r="F569" t="s">
        <v>235</v>
      </c>
    </row>
    <row r="570" spans="1:6">
      <c r="A570" t="str">
        <f t="shared" si="8"/>
        <v>GenericE&amp;DtemplateCIandGOA</v>
      </c>
      <c r="B570">
        <v>22</v>
      </c>
      <c r="C570">
        <v>23</v>
      </c>
      <c r="D570" s="649">
        <f ca="1">IF(E570=4,INDEX(crude_exp_dist,MATCH(B570,'Crude Exp Dist'!$B$6:$B$78,0),MATCH(C570,'Crude Exp Dist'!$AD$2:$BC$2,0))*INDEX(crude_exp_by_year,MATCH(B570,'Data Export'!$B$6:$B$78,0),1),IF(E570=5,INDEX(ref_exp_dist,MATCH(B570,'Refined Petro Exp Dist'!$B$6:$B$78,0),MATCH(C570,'Refined Petro Exp Dist'!$AD$2:$BC$2,0))*INDEX(ref_exp_by_year,MATCH(B570,'Data Export'!$B$6:$B$78,0),1)))</f>
        <v>0</v>
      </c>
      <c r="E570">
        <v>4</v>
      </c>
      <c r="F570" t="s">
        <v>237</v>
      </c>
    </row>
    <row r="571" spans="1:6">
      <c r="A571" t="str">
        <f t="shared" si="8"/>
        <v>GenericE&amp;DtemplateCIandGOA</v>
      </c>
      <c r="B571">
        <v>22</v>
      </c>
      <c r="C571">
        <v>24</v>
      </c>
      <c r="D571" s="649">
        <f ca="1">IF(E571=4,INDEX(crude_exp_dist,MATCH(B571,'Crude Exp Dist'!$B$6:$B$78,0),MATCH(C571,'Crude Exp Dist'!$AD$2:$BC$2,0))*INDEX(crude_exp_by_year,MATCH(B571,'Data Export'!$B$6:$B$78,0),1),IF(E571=5,INDEX(ref_exp_dist,MATCH(B571,'Refined Petro Exp Dist'!$B$6:$B$78,0),MATCH(C571,'Refined Petro Exp Dist'!$AD$2:$BC$2,0))*INDEX(ref_exp_by_year,MATCH(B571,'Data Export'!$B$6:$B$78,0),1)))</f>
        <v>0</v>
      </c>
      <c r="E571">
        <v>4</v>
      </c>
      <c r="F571" t="s">
        <v>239</v>
      </c>
    </row>
    <row r="572" spans="1:6">
      <c r="A572" t="str">
        <f t="shared" si="8"/>
        <v>GenericE&amp;DtemplateCIandGOA</v>
      </c>
      <c r="B572">
        <v>22</v>
      </c>
      <c r="C572">
        <v>25</v>
      </c>
      <c r="D572" s="649">
        <f ca="1">IF(E572=4,INDEX(crude_exp_dist,MATCH(B572,'Crude Exp Dist'!$B$6:$B$78,0),MATCH(C572,'Crude Exp Dist'!$AD$2:$BC$2,0))*INDEX(crude_exp_by_year,MATCH(B572,'Data Export'!$B$6:$B$78,0),1),IF(E572=5,INDEX(ref_exp_dist,MATCH(B572,'Refined Petro Exp Dist'!$B$6:$B$78,0),MATCH(C572,'Refined Petro Exp Dist'!$AD$2:$BC$2,0))*INDEX(ref_exp_by_year,MATCH(B572,'Data Export'!$B$6:$B$78,0),1)))</f>
        <v>0</v>
      </c>
      <c r="E572">
        <v>4</v>
      </c>
      <c r="F572" t="s">
        <v>242</v>
      </c>
    </row>
    <row r="573" spans="1:6">
      <c r="A573" t="str">
        <f t="shared" si="8"/>
        <v>GenericE&amp;DtemplateCIandGOA</v>
      </c>
      <c r="B573">
        <v>22</v>
      </c>
      <c r="C573">
        <v>26</v>
      </c>
      <c r="D573" s="649">
        <f ca="1">IF(E573=4,INDEX(crude_exp_dist,MATCH(B573,'Crude Exp Dist'!$B$6:$B$78,0),MATCH(C573,'Crude Exp Dist'!$AD$2:$BC$2,0))*INDEX(crude_exp_by_year,MATCH(B573,'Data Export'!$B$6:$B$78,0),1),IF(E573=5,INDEX(ref_exp_dist,MATCH(B573,'Refined Petro Exp Dist'!$B$6:$B$78,0),MATCH(C573,'Refined Petro Exp Dist'!$AD$2:$BC$2,0))*INDEX(ref_exp_by_year,MATCH(B573,'Data Export'!$B$6:$B$78,0),1)))</f>
        <v>0</v>
      </c>
      <c r="E573">
        <v>4</v>
      </c>
      <c r="F573" t="s">
        <v>245</v>
      </c>
    </row>
    <row r="574" spans="1:6">
      <c r="A574" t="str">
        <f t="shared" si="8"/>
        <v>GenericE&amp;DtemplateCIandGOA</v>
      </c>
      <c r="B574">
        <v>23</v>
      </c>
      <c r="C574">
        <v>1</v>
      </c>
      <c r="D574" s="649">
        <f ca="1">IF(E574=4,INDEX(crude_exp_dist,MATCH(B574,'Crude Exp Dist'!$B$6:$B$78,0),MATCH(C574,'Crude Exp Dist'!$AD$2:$BC$2,0))*INDEX(crude_exp_by_year,MATCH(B574,'Data Export'!$B$6:$B$78,0),1),IF(E574=5,INDEX(ref_exp_dist,MATCH(B574,'Refined Petro Exp Dist'!$B$6:$B$78,0),MATCH(C574,'Refined Petro Exp Dist'!$AD$2:$BC$2,0))*INDEX(ref_exp_by_year,MATCH(B574,'Data Export'!$B$6:$B$78,0),1)))</f>
        <v>0</v>
      </c>
      <c r="E574">
        <v>4</v>
      </c>
      <c r="F574" t="s">
        <v>158</v>
      </c>
    </row>
    <row r="575" spans="1:6">
      <c r="A575" t="str">
        <f t="shared" si="8"/>
        <v>GenericE&amp;DtemplateCIandGOA</v>
      </c>
      <c r="B575">
        <v>23</v>
      </c>
      <c r="C575">
        <v>2</v>
      </c>
      <c r="D575" s="649">
        <f ca="1">IF(E575=4,INDEX(crude_exp_dist,MATCH(B575,'Crude Exp Dist'!$B$6:$B$78,0),MATCH(C575,'Crude Exp Dist'!$AD$2:$BC$2,0))*INDEX(crude_exp_by_year,MATCH(B575,'Data Export'!$B$6:$B$78,0),1),IF(E575=5,INDEX(ref_exp_dist,MATCH(B575,'Refined Petro Exp Dist'!$B$6:$B$78,0),MATCH(C575,'Refined Petro Exp Dist'!$AD$2:$BC$2,0))*INDEX(ref_exp_by_year,MATCH(B575,'Data Export'!$B$6:$B$78,0),1)))</f>
        <v>0</v>
      </c>
      <c r="E575">
        <v>4</v>
      </c>
      <c r="F575" t="s">
        <v>166</v>
      </c>
    </row>
    <row r="576" spans="1:6">
      <c r="A576" t="str">
        <f t="shared" si="8"/>
        <v>GenericE&amp;DtemplateCIandGOA</v>
      </c>
      <c r="B576">
        <v>23</v>
      </c>
      <c r="C576">
        <v>3</v>
      </c>
      <c r="D576" s="649">
        <f ca="1">IF(E576=4,INDEX(crude_exp_dist,MATCH(B576,'Crude Exp Dist'!$B$6:$B$78,0),MATCH(C576,'Crude Exp Dist'!$AD$2:$BC$2,0))*INDEX(crude_exp_by_year,MATCH(B576,'Data Export'!$B$6:$B$78,0),1),IF(E576=5,INDEX(ref_exp_dist,MATCH(B576,'Refined Petro Exp Dist'!$B$6:$B$78,0),MATCH(C576,'Refined Petro Exp Dist'!$AD$2:$BC$2,0))*INDEX(ref_exp_by_year,MATCH(B576,'Data Export'!$B$6:$B$78,0),1)))</f>
        <v>0</v>
      </c>
      <c r="E576">
        <v>4</v>
      </c>
      <c r="F576" t="s">
        <v>171</v>
      </c>
    </row>
    <row r="577" spans="1:6">
      <c r="A577" t="str">
        <f t="shared" si="8"/>
        <v>GenericE&amp;DtemplateCIandGOA</v>
      </c>
      <c r="B577">
        <v>23</v>
      </c>
      <c r="C577">
        <v>4</v>
      </c>
      <c r="D577" s="649">
        <f ca="1">IF(E577=4,INDEX(crude_exp_dist,MATCH(B577,'Crude Exp Dist'!$B$6:$B$78,0),MATCH(C577,'Crude Exp Dist'!$AD$2:$BC$2,0))*INDEX(crude_exp_by_year,MATCH(B577,'Data Export'!$B$6:$B$78,0),1),IF(E577=5,INDEX(ref_exp_dist,MATCH(B577,'Refined Petro Exp Dist'!$B$6:$B$78,0),MATCH(C577,'Refined Petro Exp Dist'!$AD$2:$BC$2,0))*INDEX(ref_exp_by_year,MATCH(B577,'Data Export'!$B$6:$B$78,0),1)))</f>
        <v>0</v>
      </c>
      <c r="E577">
        <v>4</v>
      </c>
      <c r="F577" t="s">
        <v>173</v>
      </c>
    </row>
    <row r="578" spans="1:6">
      <c r="A578" t="str">
        <f t="shared" ref="A578:A641" si="9">scenario_name</f>
        <v>GenericE&amp;DtemplateCIandGOA</v>
      </c>
      <c r="B578">
        <v>23</v>
      </c>
      <c r="C578">
        <v>5</v>
      </c>
      <c r="D578" s="649">
        <f ca="1">IF(E578=4,INDEX(crude_exp_dist,MATCH(B578,'Crude Exp Dist'!$B$6:$B$78,0),MATCH(C578,'Crude Exp Dist'!$AD$2:$BC$2,0))*INDEX(crude_exp_by_year,MATCH(B578,'Data Export'!$B$6:$B$78,0),1),IF(E578=5,INDEX(ref_exp_dist,MATCH(B578,'Refined Petro Exp Dist'!$B$6:$B$78,0),MATCH(C578,'Refined Petro Exp Dist'!$AD$2:$BC$2,0))*INDEX(ref_exp_by_year,MATCH(B578,'Data Export'!$B$6:$B$78,0),1)))</f>
        <v>0</v>
      </c>
      <c r="E578">
        <v>4</v>
      </c>
      <c r="F578" t="s">
        <v>180</v>
      </c>
    </row>
    <row r="579" spans="1:6">
      <c r="A579" t="str">
        <f t="shared" si="9"/>
        <v>GenericE&amp;DtemplateCIandGOA</v>
      </c>
      <c r="B579">
        <v>23</v>
      </c>
      <c r="C579">
        <v>6</v>
      </c>
      <c r="D579" s="649">
        <f ca="1">IF(E579=4,INDEX(crude_exp_dist,MATCH(B579,'Crude Exp Dist'!$B$6:$B$78,0),MATCH(C579,'Crude Exp Dist'!$AD$2:$BC$2,0))*INDEX(crude_exp_by_year,MATCH(B579,'Data Export'!$B$6:$B$78,0),1),IF(E579=5,INDEX(ref_exp_dist,MATCH(B579,'Refined Petro Exp Dist'!$B$6:$B$78,0),MATCH(C579,'Refined Petro Exp Dist'!$AD$2:$BC$2,0))*INDEX(ref_exp_by_year,MATCH(B579,'Data Export'!$B$6:$B$78,0),1)))</f>
        <v>0</v>
      </c>
      <c r="E579">
        <v>4</v>
      </c>
      <c r="F579" t="s">
        <v>186</v>
      </c>
    </row>
    <row r="580" spans="1:6">
      <c r="A580" t="str">
        <f t="shared" si="9"/>
        <v>GenericE&amp;DtemplateCIandGOA</v>
      </c>
      <c r="B580">
        <v>23</v>
      </c>
      <c r="C580">
        <v>7</v>
      </c>
      <c r="D580" s="649">
        <f ca="1">IF(E580=4,INDEX(crude_exp_dist,MATCH(B580,'Crude Exp Dist'!$B$6:$B$78,0),MATCH(C580,'Crude Exp Dist'!$AD$2:$BC$2,0))*INDEX(crude_exp_by_year,MATCH(B580,'Data Export'!$B$6:$B$78,0),1),IF(E580=5,INDEX(ref_exp_dist,MATCH(B580,'Refined Petro Exp Dist'!$B$6:$B$78,0),MATCH(C580,'Refined Petro Exp Dist'!$AD$2:$BC$2,0))*INDEX(ref_exp_by_year,MATCH(B580,'Data Export'!$B$6:$B$78,0),1)))</f>
        <v>0</v>
      </c>
      <c r="E580">
        <v>4</v>
      </c>
      <c r="F580" t="s">
        <v>191</v>
      </c>
    </row>
    <row r="581" spans="1:6">
      <c r="A581" t="str">
        <f t="shared" si="9"/>
        <v>GenericE&amp;DtemplateCIandGOA</v>
      </c>
      <c r="B581">
        <v>23</v>
      </c>
      <c r="C581">
        <v>8</v>
      </c>
      <c r="D581" s="649">
        <f ca="1">IF(E581=4,INDEX(crude_exp_dist,MATCH(B581,'Crude Exp Dist'!$B$6:$B$78,0),MATCH(C581,'Crude Exp Dist'!$AD$2:$BC$2,0))*INDEX(crude_exp_by_year,MATCH(B581,'Data Export'!$B$6:$B$78,0),1),IF(E581=5,INDEX(ref_exp_dist,MATCH(B581,'Refined Petro Exp Dist'!$B$6:$B$78,0),MATCH(C581,'Refined Petro Exp Dist'!$AD$2:$BC$2,0))*INDEX(ref_exp_by_year,MATCH(B581,'Data Export'!$B$6:$B$78,0),1)))</f>
        <v>0</v>
      </c>
      <c r="E581">
        <v>4</v>
      </c>
      <c r="F581" t="s">
        <v>197</v>
      </c>
    </row>
    <row r="582" spans="1:6">
      <c r="A582" t="str">
        <f t="shared" si="9"/>
        <v>GenericE&amp;DtemplateCIandGOA</v>
      </c>
      <c r="B582">
        <v>23</v>
      </c>
      <c r="C582">
        <v>9</v>
      </c>
      <c r="D582" s="649">
        <f ca="1">IF(E582=4,INDEX(crude_exp_dist,MATCH(B582,'Crude Exp Dist'!$B$6:$B$78,0),MATCH(C582,'Crude Exp Dist'!$AD$2:$BC$2,0))*INDEX(crude_exp_by_year,MATCH(B582,'Data Export'!$B$6:$B$78,0),1),IF(E582=5,INDEX(ref_exp_dist,MATCH(B582,'Refined Petro Exp Dist'!$B$6:$B$78,0),MATCH(C582,'Refined Petro Exp Dist'!$AD$2:$BC$2,0))*INDEX(ref_exp_by_year,MATCH(B582,'Data Export'!$B$6:$B$78,0),1)))</f>
        <v>0</v>
      </c>
      <c r="E582">
        <v>4</v>
      </c>
      <c r="F582" t="s">
        <v>199</v>
      </c>
    </row>
    <row r="583" spans="1:6">
      <c r="A583" t="str">
        <f t="shared" si="9"/>
        <v>GenericE&amp;DtemplateCIandGOA</v>
      </c>
      <c r="B583">
        <v>23</v>
      </c>
      <c r="C583">
        <v>10</v>
      </c>
      <c r="D583" s="649">
        <f ca="1">IF(E583=4,INDEX(crude_exp_dist,MATCH(B583,'Crude Exp Dist'!$B$6:$B$78,0),MATCH(C583,'Crude Exp Dist'!$AD$2:$BC$2,0))*INDEX(crude_exp_by_year,MATCH(B583,'Data Export'!$B$6:$B$78,0),1),IF(E583=5,INDEX(ref_exp_dist,MATCH(B583,'Refined Petro Exp Dist'!$B$6:$B$78,0),MATCH(C583,'Refined Petro Exp Dist'!$AD$2:$BC$2,0))*INDEX(ref_exp_by_year,MATCH(B583,'Data Export'!$B$6:$B$78,0),1)))</f>
        <v>0</v>
      </c>
      <c r="E583">
        <v>4</v>
      </c>
      <c r="F583" t="s">
        <v>201</v>
      </c>
    </row>
    <row r="584" spans="1:6">
      <c r="A584" t="str">
        <f t="shared" si="9"/>
        <v>GenericE&amp;DtemplateCIandGOA</v>
      </c>
      <c r="B584">
        <v>23</v>
      </c>
      <c r="C584">
        <v>11</v>
      </c>
      <c r="D584" s="649">
        <f ca="1">IF(E584=4,INDEX(crude_exp_dist,MATCH(B584,'Crude Exp Dist'!$B$6:$B$78,0),MATCH(C584,'Crude Exp Dist'!$AD$2:$BC$2,0))*INDEX(crude_exp_by_year,MATCH(B584,'Data Export'!$B$6:$B$78,0),1),IF(E584=5,INDEX(ref_exp_dist,MATCH(B584,'Refined Petro Exp Dist'!$B$6:$B$78,0),MATCH(C584,'Refined Petro Exp Dist'!$AD$2:$BC$2,0))*INDEX(ref_exp_by_year,MATCH(B584,'Data Export'!$B$6:$B$78,0),1)))</f>
        <v>0</v>
      </c>
      <c r="E584">
        <v>4</v>
      </c>
      <c r="F584" t="s">
        <v>921</v>
      </c>
    </row>
    <row r="585" spans="1:6">
      <c r="A585" t="str">
        <f t="shared" si="9"/>
        <v>GenericE&amp;DtemplateCIandGOA</v>
      </c>
      <c r="B585">
        <v>23</v>
      </c>
      <c r="C585">
        <v>12</v>
      </c>
      <c r="D585" s="649">
        <f ca="1">IF(E585=4,INDEX(crude_exp_dist,MATCH(B585,'Crude Exp Dist'!$B$6:$B$78,0),MATCH(C585,'Crude Exp Dist'!$AD$2:$BC$2,0))*INDEX(crude_exp_by_year,MATCH(B585,'Data Export'!$B$6:$B$78,0),1),IF(E585=5,INDEX(ref_exp_dist,MATCH(B585,'Refined Petro Exp Dist'!$B$6:$B$78,0),MATCH(C585,'Refined Petro Exp Dist'!$AD$2:$BC$2,0))*INDEX(ref_exp_by_year,MATCH(B585,'Data Export'!$B$6:$B$78,0),1)))</f>
        <v>0</v>
      </c>
      <c r="E585">
        <v>4</v>
      </c>
      <c r="F585" t="s">
        <v>208</v>
      </c>
    </row>
    <row r="586" spans="1:6">
      <c r="A586" t="str">
        <f t="shared" si="9"/>
        <v>GenericE&amp;DtemplateCIandGOA</v>
      </c>
      <c r="B586">
        <v>23</v>
      </c>
      <c r="C586">
        <v>13</v>
      </c>
      <c r="D586" s="649">
        <f ca="1">IF(E586=4,INDEX(crude_exp_dist,MATCH(B586,'Crude Exp Dist'!$B$6:$B$78,0),MATCH(C586,'Crude Exp Dist'!$AD$2:$BC$2,0))*INDEX(crude_exp_by_year,MATCH(B586,'Data Export'!$B$6:$B$78,0),1),IF(E586=5,INDEX(ref_exp_dist,MATCH(B586,'Refined Petro Exp Dist'!$B$6:$B$78,0),MATCH(C586,'Refined Petro Exp Dist'!$AD$2:$BC$2,0))*INDEX(ref_exp_by_year,MATCH(B586,'Data Export'!$B$6:$B$78,0),1)))</f>
        <v>0</v>
      </c>
      <c r="E586">
        <v>4</v>
      </c>
      <c r="F586" t="s">
        <v>211</v>
      </c>
    </row>
    <row r="587" spans="1:6">
      <c r="A587" t="str">
        <f t="shared" si="9"/>
        <v>GenericE&amp;DtemplateCIandGOA</v>
      </c>
      <c r="B587">
        <v>23</v>
      </c>
      <c r="C587">
        <v>14</v>
      </c>
      <c r="D587" s="649">
        <f ca="1">IF(E587=4,INDEX(crude_exp_dist,MATCH(B587,'Crude Exp Dist'!$B$6:$B$78,0),MATCH(C587,'Crude Exp Dist'!$AD$2:$BC$2,0))*INDEX(crude_exp_by_year,MATCH(B587,'Data Export'!$B$6:$B$78,0),1),IF(E587=5,INDEX(ref_exp_dist,MATCH(B587,'Refined Petro Exp Dist'!$B$6:$B$78,0),MATCH(C587,'Refined Petro Exp Dist'!$AD$2:$BC$2,0))*INDEX(ref_exp_by_year,MATCH(B587,'Data Export'!$B$6:$B$78,0),1)))</f>
        <v>0</v>
      </c>
      <c r="E587">
        <v>4</v>
      </c>
      <c r="F587" t="s">
        <v>213</v>
      </c>
    </row>
    <row r="588" spans="1:6">
      <c r="A588" t="str">
        <f t="shared" si="9"/>
        <v>GenericE&amp;DtemplateCIandGOA</v>
      </c>
      <c r="B588">
        <v>23</v>
      </c>
      <c r="C588">
        <v>15</v>
      </c>
      <c r="D588" s="649">
        <f ca="1">IF(E588=4,INDEX(crude_exp_dist,MATCH(B588,'Crude Exp Dist'!$B$6:$B$78,0),MATCH(C588,'Crude Exp Dist'!$AD$2:$BC$2,0))*INDEX(crude_exp_by_year,MATCH(B588,'Data Export'!$B$6:$B$78,0),1),IF(E588=5,INDEX(ref_exp_dist,MATCH(B588,'Refined Petro Exp Dist'!$B$6:$B$78,0),MATCH(C588,'Refined Petro Exp Dist'!$AD$2:$BC$2,0))*INDEX(ref_exp_by_year,MATCH(B588,'Data Export'!$B$6:$B$78,0),1)))</f>
        <v>0</v>
      </c>
      <c r="E588">
        <v>4</v>
      </c>
      <c r="F588" t="s">
        <v>215</v>
      </c>
    </row>
    <row r="589" spans="1:6">
      <c r="A589" t="str">
        <f t="shared" si="9"/>
        <v>GenericE&amp;DtemplateCIandGOA</v>
      </c>
      <c r="B589">
        <v>23</v>
      </c>
      <c r="C589">
        <v>16</v>
      </c>
      <c r="D589" s="649">
        <f ca="1">IF(E589=4,INDEX(crude_exp_dist,MATCH(B589,'Crude Exp Dist'!$B$6:$B$78,0),MATCH(C589,'Crude Exp Dist'!$AD$2:$BC$2,0))*INDEX(crude_exp_by_year,MATCH(B589,'Data Export'!$B$6:$B$78,0),1),IF(E589=5,INDEX(ref_exp_dist,MATCH(B589,'Refined Petro Exp Dist'!$B$6:$B$78,0),MATCH(C589,'Refined Petro Exp Dist'!$AD$2:$BC$2,0))*INDEX(ref_exp_by_year,MATCH(B589,'Data Export'!$B$6:$B$78,0),1)))</f>
        <v>0</v>
      </c>
      <c r="E589">
        <v>4</v>
      </c>
      <c r="F589" t="s">
        <v>219</v>
      </c>
    </row>
    <row r="590" spans="1:6">
      <c r="A590" t="str">
        <f t="shared" si="9"/>
        <v>GenericE&amp;DtemplateCIandGOA</v>
      </c>
      <c r="B590">
        <v>23</v>
      </c>
      <c r="C590">
        <v>17</v>
      </c>
      <c r="D590" s="649">
        <f ca="1">IF(E590=4,INDEX(crude_exp_dist,MATCH(B590,'Crude Exp Dist'!$B$6:$B$78,0),MATCH(C590,'Crude Exp Dist'!$AD$2:$BC$2,0))*INDEX(crude_exp_by_year,MATCH(B590,'Data Export'!$B$6:$B$78,0),1),IF(E590=5,INDEX(ref_exp_dist,MATCH(B590,'Refined Petro Exp Dist'!$B$6:$B$78,0),MATCH(C590,'Refined Petro Exp Dist'!$AD$2:$BC$2,0))*INDEX(ref_exp_by_year,MATCH(B590,'Data Export'!$B$6:$B$78,0),1)))</f>
        <v>0</v>
      </c>
      <c r="E590">
        <v>4</v>
      </c>
      <c r="F590" t="s">
        <v>222</v>
      </c>
    </row>
    <row r="591" spans="1:6">
      <c r="A591" t="str">
        <f t="shared" si="9"/>
        <v>GenericE&amp;DtemplateCIandGOA</v>
      </c>
      <c r="B591">
        <v>23</v>
      </c>
      <c r="C591">
        <v>18</v>
      </c>
      <c r="D591" s="649">
        <f ca="1">IF(E591=4,INDEX(crude_exp_dist,MATCH(B591,'Crude Exp Dist'!$B$6:$B$78,0),MATCH(C591,'Crude Exp Dist'!$AD$2:$BC$2,0))*INDEX(crude_exp_by_year,MATCH(B591,'Data Export'!$B$6:$B$78,0),1),IF(E591=5,INDEX(ref_exp_dist,MATCH(B591,'Refined Petro Exp Dist'!$B$6:$B$78,0),MATCH(C591,'Refined Petro Exp Dist'!$AD$2:$BC$2,0))*INDEX(ref_exp_by_year,MATCH(B591,'Data Export'!$B$6:$B$78,0),1)))</f>
        <v>0</v>
      </c>
      <c r="E591">
        <v>4</v>
      </c>
      <c r="F591" t="s">
        <v>224</v>
      </c>
    </row>
    <row r="592" spans="1:6">
      <c r="A592" t="str">
        <f t="shared" si="9"/>
        <v>GenericE&amp;DtemplateCIandGOA</v>
      </c>
      <c r="B592">
        <v>23</v>
      </c>
      <c r="C592">
        <v>19</v>
      </c>
      <c r="D592" s="649">
        <f ca="1">IF(E592=4,INDEX(crude_exp_dist,MATCH(B592,'Crude Exp Dist'!$B$6:$B$78,0),MATCH(C592,'Crude Exp Dist'!$AD$2:$BC$2,0))*INDEX(crude_exp_by_year,MATCH(B592,'Data Export'!$B$6:$B$78,0),1),IF(E592=5,INDEX(ref_exp_dist,MATCH(B592,'Refined Petro Exp Dist'!$B$6:$B$78,0),MATCH(C592,'Refined Petro Exp Dist'!$AD$2:$BC$2,0))*INDEX(ref_exp_by_year,MATCH(B592,'Data Export'!$B$6:$B$78,0),1)))</f>
        <v>0</v>
      </c>
      <c r="E592">
        <v>4</v>
      </c>
      <c r="F592" t="s">
        <v>228</v>
      </c>
    </row>
    <row r="593" spans="1:6">
      <c r="A593" t="str">
        <f t="shared" si="9"/>
        <v>GenericE&amp;DtemplateCIandGOA</v>
      </c>
      <c r="B593">
        <v>23</v>
      </c>
      <c r="C593">
        <v>20</v>
      </c>
      <c r="D593" s="649">
        <f ca="1">IF(E593=4,INDEX(crude_exp_dist,MATCH(B593,'Crude Exp Dist'!$B$6:$B$78,0),MATCH(C593,'Crude Exp Dist'!$AD$2:$BC$2,0))*INDEX(crude_exp_by_year,MATCH(B593,'Data Export'!$B$6:$B$78,0),1),IF(E593=5,INDEX(ref_exp_dist,MATCH(B593,'Refined Petro Exp Dist'!$B$6:$B$78,0),MATCH(C593,'Refined Petro Exp Dist'!$AD$2:$BC$2,0))*INDEX(ref_exp_by_year,MATCH(B593,'Data Export'!$B$6:$B$78,0),1)))</f>
        <v>0</v>
      </c>
      <c r="E593">
        <v>4</v>
      </c>
      <c r="F593" t="s">
        <v>231</v>
      </c>
    </row>
    <row r="594" spans="1:6">
      <c r="A594" t="str">
        <f t="shared" si="9"/>
        <v>GenericE&amp;DtemplateCIandGOA</v>
      </c>
      <c r="B594">
        <v>23</v>
      </c>
      <c r="C594">
        <v>21</v>
      </c>
      <c r="D594" s="649">
        <f ca="1">IF(E594=4,INDEX(crude_exp_dist,MATCH(B594,'Crude Exp Dist'!$B$6:$B$78,0),MATCH(C594,'Crude Exp Dist'!$AD$2:$BC$2,0))*INDEX(crude_exp_by_year,MATCH(B594,'Data Export'!$B$6:$B$78,0),1),IF(E594=5,INDEX(ref_exp_dist,MATCH(B594,'Refined Petro Exp Dist'!$B$6:$B$78,0),MATCH(C594,'Refined Petro Exp Dist'!$AD$2:$BC$2,0))*INDEX(ref_exp_by_year,MATCH(B594,'Data Export'!$B$6:$B$78,0),1)))</f>
        <v>0</v>
      </c>
      <c r="E594">
        <v>4</v>
      </c>
      <c r="F594" t="s">
        <v>232</v>
      </c>
    </row>
    <row r="595" spans="1:6">
      <c r="A595" t="str">
        <f t="shared" si="9"/>
        <v>GenericE&amp;DtemplateCIandGOA</v>
      </c>
      <c r="B595">
        <v>23</v>
      </c>
      <c r="C595">
        <v>22</v>
      </c>
      <c r="D595" s="649">
        <f ca="1">IF(E595=4,INDEX(crude_exp_dist,MATCH(B595,'Crude Exp Dist'!$B$6:$B$78,0),MATCH(C595,'Crude Exp Dist'!$AD$2:$BC$2,0))*INDEX(crude_exp_by_year,MATCH(B595,'Data Export'!$B$6:$B$78,0),1),IF(E595=5,INDEX(ref_exp_dist,MATCH(B595,'Refined Petro Exp Dist'!$B$6:$B$78,0),MATCH(C595,'Refined Petro Exp Dist'!$AD$2:$BC$2,0))*INDEX(ref_exp_by_year,MATCH(B595,'Data Export'!$B$6:$B$78,0),1)))</f>
        <v>0</v>
      </c>
      <c r="E595">
        <v>4</v>
      </c>
      <c r="F595" t="s">
        <v>235</v>
      </c>
    </row>
    <row r="596" spans="1:6">
      <c r="A596" t="str">
        <f t="shared" si="9"/>
        <v>GenericE&amp;DtemplateCIandGOA</v>
      </c>
      <c r="B596">
        <v>23</v>
      </c>
      <c r="C596">
        <v>23</v>
      </c>
      <c r="D596" s="649">
        <f ca="1">IF(E596=4,INDEX(crude_exp_dist,MATCH(B596,'Crude Exp Dist'!$B$6:$B$78,0),MATCH(C596,'Crude Exp Dist'!$AD$2:$BC$2,0))*INDEX(crude_exp_by_year,MATCH(B596,'Data Export'!$B$6:$B$78,0),1),IF(E596=5,INDEX(ref_exp_dist,MATCH(B596,'Refined Petro Exp Dist'!$B$6:$B$78,0),MATCH(C596,'Refined Petro Exp Dist'!$AD$2:$BC$2,0))*INDEX(ref_exp_by_year,MATCH(B596,'Data Export'!$B$6:$B$78,0),1)))</f>
        <v>0</v>
      </c>
      <c r="E596">
        <v>4</v>
      </c>
      <c r="F596" t="s">
        <v>237</v>
      </c>
    </row>
    <row r="597" spans="1:6">
      <c r="A597" t="str">
        <f t="shared" si="9"/>
        <v>GenericE&amp;DtemplateCIandGOA</v>
      </c>
      <c r="B597">
        <v>23</v>
      </c>
      <c r="C597">
        <v>24</v>
      </c>
      <c r="D597" s="649">
        <f ca="1">IF(E597=4,INDEX(crude_exp_dist,MATCH(B597,'Crude Exp Dist'!$B$6:$B$78,0),MATCH(C597,'Crude Exp Dist'!$AD$2:$BC$2,0))*INDEX(crude_exp_by_year,MATCH(B597,'Data Export'!$B$6:$B$78,0),1),IF(E597=5,INDEX(ref_exp_dist,MATCH(B597,'Refined Petro Exp Dist'!$B$6:$B$78,0),MATCH(C597,'Refined Petro Exp Dist'!$AD$2:$BC$2,0))*INDEX(ref_exp_by_year,MATCH(B597,'Data Export'!$B$6:$B$78,0),1)))</f>
        <v>0</v>
      </c>
      <c r="E597">
        <v>4</v>
      </c>
      <c r="F597" t="s">
        <v>239</v>
      </c>
    </row>
    <row r="598" spans="1:6">
      <c r="A598" t="str">
        <f t="shared" si="9"/>
        <v>GenericE&amp;DtemplateCIandGOA</v>
      </c>
      <c r="B598">
        <v>23</v>
      </c>
      <c r="C598">
        <v>25</v>
      </c>
      <c r="D598" s="649">
        <f ca="1">IF(E598=4,INDEX(crude_exp_dist,MATCH(B598,'Crude Exp Dist'!$B$6:$B$78,0),MATCH(C598,'Crude Exp Dist'!$AD$2:$BC$2,0))*INDEX(crude_exp_by_year,MATCH(B598,'Data Export'!$B$6:$B$78,0),1),IF(E598=5,INDEX(ref_exp_dist,MATCH(B598,'Refined Petro Exp Dist'!$B$6:$B$78,0),MATCH(C598,'Refined Petro Exp Dist'!$AD$2:$BC$2,0))*INDEX(ref_exp_by_year,MATCH(B598,'Data Export'!$B$6:$B$78,0),1)))</f>
        <v>0</v>
      </c>
      <c r="E598">
        <v>4</v>
      </c>
      <c r="F598" t="s">
        <v>242</v>
      </c>
    </row>
    <row r="599" spans="1:6">
      <c r="A599" t="str">
        <f t="shared" si="9"/>
        <v>GenericE&amp;DtemplateCIandGOA</v>
      </c>
      <c r="B599">
        <v>23</v>
      </c>
      <c r="C599">
        <v>26</v>
      </c>
      <c r="D599" s="649">
        <f ca="1">IF(E599=4,INDEX(crude_exp_dist,MATCH(B599,'Crude Exp Dist'!$B$6:$B$78,0),MATCH(C599,'Crude Exp Dist'!$AD$2:$BC$2,0))*INDEX(crude_exp_by_year,MATCH(B599,'Data Export'!$B$6:$B$78,0),1),IF(E599=5,INDEX(ref_exp_dist,MATCH(B599,'Refined Petro Exp Dist'!$B$6:$B$78,0),MATCH(C599,'Refined Petro Exp Dist'!$AD$2:$BC$2,0))*INDEX(ref_exp_by_year,MATCH(B599,'Data Export'!$B$6:$B$78,0),1)))</f>
        <v>0</v>
      </c>
      <c r="E599">
        <v>4</v>
      </c>
      <c r="F599" t="s">
        <v>245</v>
      </c>
    </row>
    <row r="600" spans="1:6">
      <c r="A600" t="str">
        <f t="shared" si="9"/>
        <v>GenericE&amp;DtemplateCIandGOA</v>
      </c>
      <c r="B600">
        <v>24</v>
      </c>
      <c r="C600">
        <v>1</v>
      </c>
      <c r="D600" s="649">
        <f ca="1">IF(E600=4,INDEX(crude_exp_dist,MATCH(B600,'Crude Exp Dist'!$B$6:$B$78,0),MATCH(C600,'Crude Exp Dist'!$AD$2:$BC$2,0))*INDEX(crude_exp_by_year,MATCH(B600,'Data Export'!$B$6:$B$78,0),1),IF(E600=5,INDEX(ref_exp_dist,MATCH(B600,'Refined Petro Exp Dist'!$B$6:$B$78,0),MATCH(C600,'Refined Petro Exp Dist'!$AD$2:$BC$2,0))*INDEX(ref_exp_by_year,MATCH(B600,'Data Export'!$B$6:$B$78,0),1)))</f>
        <v>0</v>
      </c>
      <c r="E600">
        <v>4</v>
      </c>
      <c r="F600" t="s">
        <v>158</v>
      </c>
    </row>
    <row r="601" spans="1:6">
      <c r="A601" t="str">
        <f t="shared" si="9"/>
        <v>GenericE&amp;DtemplateCIandGOA</v>
      </c>
      <c r="B601">
        <v>24</v>
      </c>
      <c r="C601">
        <v>2</v>
      </c>
      <c r="D601" s="649">
        <f ca="1">IF(E601=4,INDEX(crude_exp_dist,MATCH(B601,'Crude Exp Dist'!$B$6:$B$78,0),MATCH(C601,'Crude Exp Dist'!$AD$2:$BC$2,0))*INDEX(crude_exp_by_year,MATCH(B601,'Data Export'!$B$6:$B$78,0),1),IF(E601=5,INDEX(ref_exp_dist,MATCH(B601,'Refined Petro Exp Dist'!$B$6:$B$78,0),MATCH(C601,'Refined Petro Exp Dist'!$AD$2:$BC$2,0))*INDEX(ref_exp_by_year,MATCH(B601,'Data Export'!$B$6:$B$78,0),1)))</f>
        <v>0</v>
      </c>
      <c r="E601">
        <v>4</v>
      </c>
      <c r="F601" t="s">
        <v>166</v>
      </c>
    </row>
    <row r="602" spans="1:6">
      <c r="A602" t="str">
        <f t="shared" si="9"/>
        <v>GenericE&amp;DtemplateCIandGOA</v>
      </c>
      <c r="B602">
        <v>24</v>
      </c>
      <c r="C602">
        <v>3</v>
      </c>
      <c r="D602" s="649">
        <f ca="1">IF(E602=4,INDEX(crude_exp_dist,MATCH(B602,'Crude Exp Dist'!$B$6:$B$78,0),MATCH(C602,'Crude Exp Dist'!$AD$2:$BC$2,0))*INDEX(crude_exp_by_year,MATCH(B602,'Data Export'!$B$6:$B$78,0),1),IF(E602=5,INDEX(ref_exp_dist,MATCH(B602,'Refined Petro Exp Dist'!$B$6:$B$78,0),MATCH(C602,'Refined Petro Exp Dist'!$AD$2:$BC$2,0))*INDEX(ref_exp_by_year,MATCH(B602,'Data Export'!$B$6:$B$78,0),1)))</f>
        <v>0</v>
      </c>
      <c r="E602">
        <v>4</v>
      </c>
      <c r="F602" t="s">
        <v>171</v>
      </c>
    </row>
    <row r="603" spans="1:6">
      <c r="A603" t="str">
        <f t="shared" si="9"/>
        <v>GenericE&amp;DtemplateCIandGOA</v>
      </c>
      <c r="B603">
        <v>24</v>
      </c>
      <c r="C603">
        <v>4</v>
      </c>
      <c r="D603" s="649">
        <f ca="1">IF(E603=4,INDEX(crude_exp_dist,MATCH(B603,'Crude Exp Dist'!$B$6:$B$78,0),MATCH(C603,'Crude Exp Dist'!$AD$2:$BC$2,0))*INDEX(crude_exp_by_year,MATCH(B603,'Data Export'!$B$6:$B$78,0),1),IF(E603=5,INDEX(ref_exp_dist,MATCH(B603,'Refined Petro Exp Dist'!$B$6:$B$78,0),MATCH(C603,'Refined Petro Exp Dist'!$AD$2:$BC$2,0))*INDEX(ref_exp_by_year,MATCH(B603,'Data Export'!$B$6:$B$78,0),1)))</f>
        <v>0</v>
      </c>
      <c r="E603">
        <v>4</v>
      </c>
      <c r="F603" t="s">
        <v>173</v>
      </c>
    </row>
    <row r="604" spans="1:6">
      <c r="A604" t="str">
        <f t="shared" si="9"/>
        <v>GenericE&amp;DtemplateCIandGOA</v>
      </c>
      <c r="B604">
        <v>24</v>
      </c>
      <c r="C604">
        <v>5</v>
      </c>
      <c r="D604" s="649">
        <f ca="1">IF(E604=4,INDEX(crude_exp_dist,MATCH(B604,'Crude Exp Dist'!$B$6:$B$78,0),MATCH(C604,'Crude Exp Dist'!$AD$2:$BC$2,0))*INDEX(crude_exp_by_year,MATCH(B604,'Data Export'!$B$6:$B$78,0),1),IF(E604=5,INDEX(ref_exp_dist,MATCH(B604,'Refined Petro Exp Dist'!$B$6:$B$78,0),MATCH(C604,'Refined Petro Exp Dist'!$AD$2:$BC$2,0))*INDEX(ref_exp_by_year,MATCH(B604,'Data Export'!$B$6:$B$78,0),1)))</f>
        <v>0</v>
      </c>
      <c r="E604">
        <v>4</v>
      </c>
      <c r="F604" t="s">
        <v>180</v>
      </c>
    </row>
    <row r="605" spans="1:6">
      <c r="A605" t="str">
        <f t="shared" si="9"/>
        <v>GenericE&amp;DtemplateCIandGOA</v>
      </c>
      <c r="B605">
        <v>24</v>
      </c>
      <c r="C605">
        <v>6</v>
      </c>
      <c r="D605" s="649">
        <f ca="1">IF(E605=4,INDEX(crude_exp_dist,MATCH(B605,'Crude Exp Dist'!$B$6:$B$78,0),MATCH(C605,'Crude Exp Dist'!$AD$2:$BC$2,0))*INDEX(crude_exp_by_year,MATCH(B605,'Data Export'!$B$6:$B$78,0),1),IF(E605=5,INDEX(ref_exp_dist,MATCH(B605,'Refined Petro Exp Dist'!$B$6:$B$78,0),MATCH(C605,'Refined Petro Exp Dist'!$AD$2:$BC$2,0))*INDEX(ref_exp_by_year,MATCH(B605,'Data Export'!$B$6:$B$78,0),1)))</f>
        <v>0</v>
      </c>
      <c r="E605">
        <v>4</v>
      </c>
      <c r="F605" t="s">
        <v>186</v>
      </c>
    </row>
    <row r="606" spans="1:6">
      <c r="A606" t="str">
        <f t="shared" si="9"/>
        <v>GenericE&amp;DtemplateCIandGOA</v>
      </c>
      <c r="B606">
        <v>24</v>
      </c>
      <c r="C606">
        <v>7</v>
      </c>
      <c r="D606" s="649">
        <f ca="1">IF(E606=4,INDEX(crude_exp_dist,MATCH(B606,'Crude Exp Dist'!$B$6:$B$78,0),MATCH(C606,'Crude Exp Dist'!$AD$2:$BC$2,0))*INDEX(crude_exp_by_year,MATCH(B606,'Data Export'!$B$6:$B$78,0),1),IF(E606=5,INDEX(ref_exp_dist,MATCH(B606,'Refined Petro Exp Dist'!$B$6:$B$78,0),MATCH(C606,'Refined Petro Exp Dist'!$AD$2:$BC$2,0))*INDEX(ref_exp_by_year,MATCH(B606,'Data Export'!$B$6:$B$78,0),1)))</f>
        <v>0</v>
      </c>
      <c r="E606">
        <v>4</v>
      </c>
      <c r="F606" t="s">
        <v>191</v>
      </c>
    </row>
    <row r="607" spans="1:6">
      <c r="A607" t="str">
        <f t="shared" si="9"/>
        <v>GenericE&amp;DtemplateCIandGOA</v>
      </c>
      <c r="B607">
        <v>24</v>
      </c>
      <c r="C607">
        <v>8</v>
      </c>
      <c r="D607" s="649">
        <f ca="1">IF(E607=4,INDEX(crude_exp_dist,MATCH(B607,'Crude Exp Dist'!$B$6:$B$78,0),MATCH(C607,'Crude Exp Dist'!$AD$2:$BC$2,0))*INDEX(crude_exp_by_year,MATCH(B607,'Data Export'!$B$6:$B$78,0),1),IF(E607=5,INDEX(ref_exp_dist,MATCH(B607,'Refined Petro Exp Dist'!$B$6:$B$78,0),MATCH(C607,'Refined Petro Exp Dist'!$AD$2:$BC$2,0))*INDEX(ref_exp_by_year,MATCH(B607,'Data Export'!$B$6:$B$78,0),1)))</f>
        <v>0</v>
      </c>
      <c r="E607">
        <v>4</v>
      </c>
      <c r="F607" t="s">
        <v>197</v>
      </c>
    </row>
    <row r="608" spans="1:6">
      <c r="A608" t="str">
        <f t="shared" si="9"/>
        <v>GenericE&amp;DtemplateCIandGOA</v>
      </c>
      <c r="B608">
        <v>24</v>
      </c>
      <c r="C608">
        <v>9</v>
      </c>
      <c r="D608" s="649">
        <f ca="1">IF(E608=4,INDEX(crude_exp_dist,MATCH(B608,'Crude Exp Dist'!$B$6:$B$78,0),MATCH(C608,'Crude Exp Dist'!$AD$2:$BC$2,0))*INDEX(crude_exp_by_year,MATCH(B608,'Data Export'!$B$6:$B$78,0),1),IF(E608=5,INDEX(ref_exp_dist,MATCH(B608,'Refined Petro Exp Dist'!$B$6:$B$78,0),MATCH(C608,'Refined Petro Exp Dist'!$AD$2:$BC$2,0))*INDEX(ref_exp_by_year,MATCH(B608,'Data Export'!$B$6:$B$78,0),1)))</f>
        <v>0</v>
      </c>
      <c r="E608">
        <v>4</v>
      </c>
      <c r="F608" t="s">
        <v>199</v>
      </c>
    </row>
    <row r="609" spans="1:6">
      <c r="A609" t="str">
        <f t="shared" si="9"/>
        <v>GenericE&amp;DtemplateCIandGOA</v>
      </c>
      <c r="B609">
        <v>24</v>
      </c>
      <c r="C609">
        <v>10</v>
      </c>
      <c r="D609" s="649">
        <f ca="1">IF(E609=4,INDEX(crude_exp_dist,MATCH(B609,'Crude Exp Dist'!$B$6:$B$78,0),MATCH(C609,'Crude Exp Dist'!$AD$2:$BC$2,0))*INDEX(crude_exp_by_year,MATCH(B609,'Data Export'!$B$6:$B$78,0),1),IF(E609=5,INDEX(ref_exp_dist,MATCH(B609,'Refined Petro Exp Dist'!$B$6:$B$78,0),MATCH(C609,'Refined Petro Exp Dist'!$AD$2:$BC$2,0))*INDEX(ref_exp_by_year,MATCH(B609,'Data Export'!$B$6:$B$78,0),1)))</f>
        <v>0</v>
      </c>
      <c r="E609">
        <v>4</v>
      </c>
      <c r="F609" t="s">
        <v>201</v>
      </c>
    </row>
    <row r="610" spans="1:6">
      <c r="A610" t="str">
        <f t="shared" si="9"/>
        <v>GenericE&amp;DtemplateCIandGOA</v>
      </c>
      <c r="B610">
        <v>24</v>
      </c>
      <c r="C610">
        <v>11</v>
      </c>
      <c r="D610" s="649">
        <f ca="1">IF(E610=4,INDEX(crude_exp_dist,MATCH(B610,'Crude Exp Dist'!$B$6:$B$78,0),MATCH(C610,'Crude Exp Dist'!$AD$2:$BC$2,0))*INDEX(crude_exp_by_year,MATCH(B610,'Data Export'!$B$6:$B$78,0),1),IF(E610=5,INDEX(ref_exp_dist,MATCH(B610,'Refined Petro Exp Dist'!$B$6:$B$78,0),MATCH(C610,'Refined Petro Exp Dist'!$AD$2:$BC$2,0))*INDEX(ref_exp_by_year,MATCH(B610,'Data Export'!$B$6:$B$78,0),1)))</f>
        <v>0</v>
      </c>
      <c r="E610">
        <v>4</v>
      </c>
      <c r="F610" t="s">
        <v>921</v>
      </c>
    </row>
    <row r="611" spans="1:6">
      <c r="A611" t="str">
        <f t="shared" si="9"/>
        <v>GenericE&amp;DtemplateCIandGOA</v>
      </c>
      <c r="B611">
        <v>24</v>
      </c>
      <c r="C611">
        <v>12</v>
      </c>
      <c r="D611" s="649">
        <f ca="1">IF(E611=4,INDEX(crude_exp_dist,MATCH(B611,'Crude Exp Dist'!$B$6:$B$78,0),MATCH(C611,'Crude Exp Dist'!$AD$2:$BC$2,0))*INDEX(crude_exp_by_year,MATCH(B611,'Data Export'!$B$6:$B$78,0),1),IF(E611=5,INDEX(ref_exp_dist,MATCH(B611,'Refined Petro Exp Dist'!$B$6:$B$78,0),MATCH(C611,'Refined Petro Exp Dist'!$AD$2:$BC$2,0))*INDEX(ref_exp_by_year,MATCH(B611,'Data Export'!$B$6:$B$78,0),1)))</f>
        <v>0</v>
      </c>
      <c r="E611">
        <v>4</v>
      </c>
      <c r="F611" t="s">
        <v>208</v>
      </c>
    </row>
    <row r="612" spans="1:6">
      <c r="A612" t="str">
        <f t="shared" si="9"/>
        <v>GenericE&amp;DtemplateCIandGOA</v>
      </c>
      <c r="B612">
        <v>24</v>
      </c>
      <c r="C612">
        <v>13</v>
      </c>
      <c r="D612" s="649">
        <f ca="1">IF(E612=4,INDEX(crude_exp_dist,MATCH(B612,'Crude Exp Dist'!$B$6:$B$78,0),MATCH(C612,'Crude Exp Dist'!$AD$2:$BC$2,0))*INDEX(crude_exp_by_year,MATCH(B612,'Data Export'!$B$6:$B$78,0),1),IF(E612=5,INDEX(ref_exp_dist,MATCH(B612,'Refined Petro Exp Dist'!$B$6:$B$78,0),MATCH(C612,'Refined Petro Exp Dist'!$AD$2:$BC$2,0))*INDEX(ref_exp_by_year,MATCH(B612,'Data Export'!$B$6:$B$78,0),1)))</f>
        <v>0</v>
      </c>
      <c r="E612">
        <v>4</v>
      </c>
      <c r="F612" t="s">
        <v>211</v>
      </c>
    </row>
    <row r="613" spans="1:6">
      <c r="A613" t="str">
        <f t="shared" si="9"/>
        <v>GenericE&amp;DtemplateCIandGOA</v>
      </c>
      <c r="B613">
        <v>24</v>
      </c>
      <c r="C613">
        <v>14</v>
      </c>
      <c r="D613" s="649">
        <f ca="1">IF(E613=4,INDEX(crude_exp_dist,MATCH(B613,'Crude Exp Dist'!$B$6:$B$78,0),MATCH(C613,'Crude Exp Dist'!$AD$2:$BC$2,0))*INDEX(crude_exp_by_year,MATCH(B613,'Data Export'!$B$6:$B$78,0),1),IF(E613=5,INDEX(ref_exp_dist,MATCH(B613,'Refined Petro Exp Dist'!$B$6:$B$78,0),MATCH(C613,'Refined Petro Exp Dist'!$AD$2:$BC$2,0))*INDEX(ref_exp_by_year,MATCH(B613,'Data Export'!$B$6:$B$78,0),1)))</f>
        <v>0</v>
      </c>
      <c r="E613">
        <v>4</v>
      </c>
      <c r="F613" t="s">
        <v>213</v>
      </c>
    </row>
    <row r="614" spans="1:6">
      <c r="A614" t="str">
        <f t="shared" si="9"/>
        <v>GenericE&amp;DtemplateCIandGOA</v>
      </c>
      <c r="B614">
        <v>24</v>
      </c>
      <c r="C614">
        <v>15</v>
      </c>
      <c r="D614" s="649">
        <f ca="1">IF(E614=4,INDEX(crude_exp_dist,MATCH(B614,'Crude Exp Dist'!$B$6:$B$78,0),MATCH(C614,'Crude Exp Dist'!$AD$2:$BC$2,0))*INDEX(crude_exp_by_year,MATCH(B614,'Data Export'!$B$6:$B$78,0),1),IF(E614=5,INDEX(ref_exp_dist,MATCH(B614,'Refined Petro Exp Dist'!$B$6:$B$78,0),MATCH(C614,'Refined Petro Exp Dist'!$AD$2:$BC$2,0))*INDEX(ref_exp_by_year,MATCH(B614,'Data Export'!$B$6:$B$78,0),1)))</f>
        <v>0</v>
      </c>
      <c r="E614">
        <v>4</v>
      </c>
      <c r="F614" t="s">
        <v>215</v>
      </c>
    </row>
    <row r="615" spans="1:6">
      <c r="A615" t="str">
        <f t="shared" si="9"/>
        <v>GenericE&amp;DtemplateCIandGOA</v>
      </c>
      <c r="B615">
        <v>24</v>
      </c>
      <c r="C615">
        <v>16</v>
      </c>
      <c r="D615" s="649">
        <f ca="1">IF(E615=4,INDEX(crude_exp_dist,MATCH(B615,'Crude Exp Dist'!$B$6:$B$78,0),MATCH(C615,'Crude Exp Dist'!$AD$2:$BC$2,0))*INDEX(crude_exp_by_year,MATCH(B615,'Data Export'!$B$6:$B$78,0),1),IF(E615=5,INDEX(ref_exp_dist,MATCH(B615,'Refined Petro Exp Dist'!$B$6:$B$78,0),MATCH(C615,'Refined Petro Exp Dist'!$AD$2:$BC$2,0))*INDEX(ref_exp_by_year,MATCH(B615,'Data Export'!$B$6:$B$78,0),1)))</f>
        <v>0</v>
      </c>
      <c r="E615">
        <v>4</v>
      </c>
      <c r="F615" t="s">
        <v>219</v>
      </c>
    </row>
    <row r="616" spans="1:6">
      <c r="A616" t="str">
        <f t="shared" si="9"/>
        <v>GenericE&amp;DtemplateCIandGOA</v>
      </c>
      <c r="B616">
        <v>24</v>
      </c>
      <c r="C616">
        <v>17</v>
      </c>
      <c r="D616" s="649">
        <f ca="1">IF(E616=4,INDEX(crude_exp_dist,MATCH(B616,'Crude Exp Dist'!$B$6:$B$78,0),MATCH(C616,'Crude Exp Dist'!$AD$2:$BC$2,0))*INDEX(crude_exp_by_year,MATCH(B616,'Data Export'!$B$6:$B$78,0),1),IF(E616=5,INDEX(ref_exp_dist,MATCH(B616,'Refined Petro Exp Dist'!$B$6:$B$78,0),MATCH(C616,'Refined Petro Exp Dist'!$AD$2:$BC$2,0))*INDEX(ref_exp_by_year,MATCH(B616,'Data Export'!$B$6:$B$78,0),1)))</f>
        <v>0</v>
      </c>
      <c r="E616">
        <v>4</v>
      </c>
      <c r="F616" t="s">
        <v>222</v>
      </c>
    </row>
    <row r="617" spans="1:6">
      <c r="A617" t="str">
        <f t="shared" si="9"/>
        <v>GenericE&amp;DtemplateCIandGOA</v>
      </c>
      <c r="B617">
        <v>24</v>
      </c>
      <c r="C617">
        <v>18</v>
      </c>
      <c r="D617" s="649">
        <f ca="1">IF(E617=4,INDEX(crude_exp_dist,MATCH(B617,'Crude Exp Dist'!$B$6:$B$78,0),MATCH(C617,'Crude Exp Dist'!$AD$2:$BC$2,0))*INDEX(crude_exp_by_year,MATCH(B617,'Data Export'!$B$6:$B$78,0),1),IF(E617=5,INDEX(ref_exp_dist,MATCH(B617,'Refined Petro Exp Dist'!$B$6:$B$78,0),MATCH(C617,'Refined Petro Exp Dist'!$AD$2:$BC$2,0))*INDEX(ref_exp_by_year,MATCH(B617,'Data Export'!$B$6:$B$78,0),1)))</f>
        <v>0</v>
      </c>
      <c r="E617">
        <v>4</v>
      </c>
      <c r="F617" t="s">
        <v>224</v>
      </c>
    </row>
    <row r="618" spans="1:6">
      <c r="A618" t="str">
        <f t="shared" si="9"/>
        <v>GenericE&amp;DtemplateCIandGOA</v>
      </c>
      <c r="B618">
        <v>24</v>
      </c>
      <c r="C618">
        <v>19</v>
      </c>
      <c r="D618" s="649">
        <f ca="1">IF(E618=4,INDEX(crude_exp_dist,MATCH(B618,'Crude Exp Dist'!$B$6:$B$78,0),MATCH(C618,'Crude Exp Dist'!$AD$2:$BC$2,0))*INDEX(crude_exp_by_year,MATCH(B618,'Data Export'!$B$6:$B$78,0),1),IF(E618=5,INDEX(ref_exp_dist,MATCH(B618,'Refined Petro Exp Dist'!$B$6:$B$78,0),MATCH(C618,'Refined Petro Exp Dist'!$AD$2:$BC$2,0))*INDEX(ref_exp_by_year,MATCH(B618,'Data Export'!$B$6:$B$78,0),1)))</f>
        <v>0</v>
      </c>
      <c r="E618">
        <v>4</v>
      </c>
      <c r="F618" t="s">
        <v>228</v>
      </c>
    </row>
    <row r="619" spans="1:6">
      <c r="A619" t="str">
        <f t="shared" si="9"/>
        <v>GenericE&amp;DtemplateCIandGOA</v>
      </c>
      <c r="B619">
        <v>24</v>
      </c>
      <c r="C619">
        <v>20</v>
      </c>
      <c r="D619" s="649">
        <f ca="1">IF(E619=4,INDEX(crude_exp_dist,MATCH(B619,'Crude Exp Dist'!$B$6:$B$78,0),MATCH(C619,'Crude Exp Dist'!$AD$2:$BC$2,0))*INDEX(crude_exp_by_year,MATCH(B619,'Data Export'!$B$6:$B$78,0),1),IF(E619=5,INDEX(ref_exp_dist,MATCH(B619,'Refined Petro Exp Dist'!$B$6:$B$78,0),MATCH(C619,'Refined Petro Exp Dist'!$AD$2:$BC$2,0))*INDEX(ref_exp_by_year,MATCH(B619,'Data Export'!$B$6:$B$78,0),1)))</f>
        <v>0</v>
      </c>
      <c r="E619">
        <v>4</v>
      </c>
      <c r="F619" t="s">
        <v>231</v>
      </c>
    </row>
    <row r="620" spans="1:6">
      <c r="A620" t="str">
        <f t="shared" si="9"/>
        <v>GenericE&amp;DtemplateCIandGOA</v>
      </c>
      <c r="B620">
        <v>24</v>
      </c>
      <c r="C620">
        <v>21</v>
      </c>
      <c r="D620" s="649">
        <f ca="1">IF(E620=4,INDEX(crude_exp_dist,MATCH(B620,'Crude Exp Dist'!$B$6:$B$78,0),MATCH(C620,'Crude Exp Dist'!$AD$2:$BC$2,0))*INDEX(crude_exp_by_year,MATCH(B620,'Data Export'!$B$6:$B$78,0),1),IF(E620=5,INDEX(ref_exp_dist,MATCH(B620,'Refined Petro Exp Dist'!$B$6:$B$78,0),MATCH(C620,'Refined Petro Exp Dist'!$AD$2:$BC$2,0))*INDEX(ref_exp_by_year,MATCH(B620,'Data Export'!$B$6:$B$78,0),1)))</f>
        <v>0</v>
      </c>
      <c r="E620">
        <v>4</v>
      </c>
      <c r="F620" t="s">
        <v>232</v>
      </c>
    </row>
    <row r="621" spans="1:6">
      <c r="A621" t="str">
        <f t="shared" si="9"/>
        <v>GenericE&amp;DtemplateCIandGOA</v>
      </c>
      <c r="B621">
        <v>24</v>
      </c>
      <c r="C621">
        <v>22</v>
      </c>
      <c r="D621" s="649">
        <f ca="1">IF(E621=4,INDEX(crude_exp_dist,MATCH(B621,'Crude Exp Dist'!$B$6:$B$78,0),MATCH(C621,'Crude Exp Dist'!$AD$2:$BC$2,0))*INDEX(crude_exp_by_year,MATCH(B621,'Data Export'!$B$6:$B$78,0),1),IF(E621=5,INDEX(ref_exp_dist,MATCH(B621,'Refined Petro Exp Dist'!$B$6:$B$78,0),MATCH(C621,'Refined Petro Exp Dist'!$AD$2:$BC$2,0))*INDEX(ref_exp_by_year,MATCH(B621,'Data Export'!$B$6:$B$78,0),1)))</f>
        <v>0</v>
      </c>
      <c r="E621">
        <v>4</v>
      </c>
      <c r="F621" t="s">
        <v>235</v>
      </c>
    </row>
    <row r="622" spans="1:6">
      <c r="A622" t="str">
        <f t="shared" si="9"/>
        <v>GenericE&amp;DtemplateCIandGOA</v>
      </c>
      <c r="B622">
        <v>24</v>
      </c>
      <c r="C622">
        <v>23</v>
      </c>
      <c r="D622" s="649">
        <f ca="1">IF(E622=4,INDEX(crude_exp_dist,MATCH(B622,'Crude Exp Dist'!$B$6:$B$78,0),MATCH(C622,'Crude Exp Dist'!$AD$2:$BC$2,0))*INDEX(crude_exp_by_year,MATCH(B622,'Data Export'!$B$6:$B$78,0),1),IF(E622=5,INDEX(ref_exp_dist,MATCH(B622,'Refined Petro Exp Dist'!$B$6:$B$78,0),MATCH(C622,'Refined Petro Exp Dist'!$AD$2:$BC$2,0))*INDEX(ref_exp_by_year,MATCH(B622,'Data Export'!$B$6:$B$78,0),1)))</f>
        <v>0</v>
      </c>
      <c r="E622">
        <v>4</v>
      </c>
      <c r="F622" t="s">
        <v>237</v>
      </c>
    </row>
    <row r="623" spans="1:6">
      <c r="A623" t="str">
        <f t="shared" si="9"/>
        <v>GenericE&amp;DtemplateCIandGOA</v>
      </c>
      <c r="B623">
        <v>24</v>
      </c>
      <c r="C623">
        <v>24</v>
      </c>
      <c r="D623" s="649">
        <f ca="1">IF(E623=4,INDEX(crude_exp_dist,MATCH(B623,'Crude Exp Dist'!$B$6:$B$78,0),MATCH(C623,'Crude Exp Dist'!$AD$2:$BC$2,0))*INDEX(crude_exp_by_year,MATCH(B623,'Data Export'!$B$6:$B$78,0),1),IF(E623=5,INDEX(ref_exp_dist,MATCH(B623,'Refined Petro Exp Dist'!$B$6:$B$78,0),MATCH(C623,'Refined Petro Exp Dist'!$AD$2:$BC$2,0))*INDEX(ref_exp_by_year,MATCH(B623,'Data Export'!$B$6:$B$78,0),1)))</f>
        <v>0</v>
      </c>
      <c r="E623">
        <v>4</v>
      </c>
      <c r="F623" t="s">
        <v>239</v>
      </c>
    </row>
    <row r="624" spans="1:6">
      <c r="A624" t="str">
        <f t="shared" si="9"/>
        <v>GenericE&amp;DtemplateCIandGOA</v>
      </c>
      <c r="B624">
        <v>24</v>
      </c>
      <c r="C624">
        <v>25</v>
      </c>
      <c r="D624" s="649">
        <f ca="1">IF(E624=4,INDEX(crude_exp_dist,MATCH(B624,'Crude Exp Dist'!$B$6:$B$78,0),MATCH(C624,'Crude Exp Dist'!$AD$2:$BC$2,0))*INDEX(crude_exp_by_year,MATCH(B624,'Data Export'!$B$6:$B$78,0),1),IF(E624=5,INDEX(ref_exp_dist,MATCH(B624,'Refined Petro Exp Dist'!$B$6:$B$78,0),MATCH(C624,'Refined Petro Exp Dist'!$AD$2:$BC$2,0))*INDEX(ref_exp_by_year,MATCH(B624,'Data Export'!$B$6:$B$78,0),1)))</f>
        <v>0</v>
      </c>
      <c r="E624">
        <v>4</v>
      </c>
      <c r="F624" t="s">
        <v>242</v>
      </c>
    </row>
    <row r="625" spans="1:6">
      <c r="A625" t="str">
        <f t="shared" si="9"/>
        <v>GenericE&amp;DtemplateCIandGOA</v>
      </c>
      <c r="B625">
        <v>24</v>
      </c>
      <c r="C625">
        <v>26</v>
      </c>
      <c r="D625" s="649">
        <f ca="1">IF(E625=4,INDEX(crude_exp_dist,MATCH(B625,'Crude Exp Dist'!$B$6:$B$78,0),MATCH(C625,'Crude Exp Dist'!$AD$2:$BC$2,0))*INDEX(crude_exp_by_year,MATCH(B625,'Data Export'!$B$6:$B$78,0),1),IF(E625=5,INDEX(ref_exp_dist,MATCH(B625,'Refined Petro Exp Dist'!$B$6:$B$78,0),MATCH(C625,'Refined Petro Exp Dist'!$AD$2:$BC$2,0))*INDEX(ref_exp_by_year,MATCH(B625,'Data Export'!$B$6:$B$78,0),1)))</f>
        <v>0</v>
      </c>
      <c r="E625">
        <v>4</v>
      </c>
      <c r="F625" t="s">
        <v>245</v>
      </c>
    </row>
    <row r="626" spans="1:6">
      <c r="A626" t="str">
        <f t="shared" si="9"/>
        <v>GenericE&amp;DtemplateCIandGOA</v>
      </c>
      <c r="B626">
        <v>25</v>
      </c>
      <c r="C626">
        <v>1</v>
      </c>
      <c r="D626" s="649">
        <f ca="1">IF(E626=4,INDEX(crude_exp_dist,MATCH(B626,'Crude Exp Dist'!$B$6:$B$78,0),MATCH(C626,'Crude Exp Dist'!$AD$2:$BC$2,0))*INDEX(crude_exp_by_year,MATCH(B626,'Data Export'!$B$6:$B$78,0),1),IF(E626=5,INDEX(ref_exp_dist,MATCH(B626,'Refined Petro Exp Dist'!$B$6:$B$78,0),MATCH(C626,'Refined Petro Exp Dist'!$AD$2:$BC$2,0))*INDEX(ref_exp_by_year,MATCH(B626,'Data Export'!$B$6:$B$78,0),1)))</f>
        <v>0</v>
      </c>
      <c r="E626">
        <v>4</v>
      </c>
      <c r="F626" t="s">
        <v>158</v>
      </c>
    </row>
    <row r="627" spans="1:6">
      <c r="A627" t="str">
        <f t="shared" si="9"/>
        <v>GenericE&amp;DtemplateCIandGOA</v>
      </c>
      <c r="B627">
        <v>25</v>
      </c>
      <c r="C627">
        <v>2</v>
      </c>
      <c r="D627" s="649">
        <f ca="1">IF(E627=4,INDEX(crude_exp_dist,MATCH(B627,'Crude Exp Dist'!$B$6:$B$78,0),MATCH(C627,'Crude Exp Dist'!$AD$2:$BC$2,0))*INDEX(crude_exp_by_year,MATCH(B627,'Data Export'!$B$6:$B$78,0),1),IF(E627=5,INDEX(ref_exp_dist,MATCH(B627,'Refined Petro Exp Dist'!$B$6:$B$78,0),MATCH(C627,'Refined Petro Exp Dist'!$AD$2:$BC$2,0))*INDEX(ref_exp_by_year,MATCH(B627,'Data Export'!$B$6:$B$78,0),1)))</f>
        <v>0</v>
      </c>
      <c r="E627">
        <v>4</v>
      </c>
      <c r="F627" t="s">
        <v>166</v>
      </c>
    </row>
    <row r="628" spans="1:6">
      <c r="A628" t="str">
        <f t="shared" si="9"/>
        <v>GenericE&amp;DtemplateCIandGOA</v>
      </c>
      <c r="B628">
        <v>25</v>
      </c>
      <c r="C628">
        <v>3</v>
      </c>
      <c r="D628" s="649">
        <f ca="1">IF(E628=4,INDEX(crude_exp_dist,MATCH(B628,'Crude Exp Dist'!$B$6:$B$78,0),MATCH(C628,'Crude Exp Dist'!$AD$2:$BC$2,0))*INDEX(crude_exp_by_year,MATCH(B628,'Data Export'!$B$6:$B$78,0),1),IF(E628=5,INDEX(ref_exp_dist,MATCH(B628,'Refined Petro Exp Dist'!$B$6:$B$78,0),MATCH(C628,'Refined Petro Exp Dist'!$AD$2:$BC$2,0))*INDEX(ref_exp_by_year,MATCH(B628,'Data Export'!$B$6:$B$78,0),1)))</f>
        <v>0</v>
      </c>
      <c r="E628">
        <v>4</v>
      </c>
      <c r="F628" t="s">
        <v>171</v>
      </c>
    </row>
    <row r="629" spans="1:6">
      <c r="A629" t="str">
        <f t="shared" si="9"/>
        <v>GenericE&amp;DtemplateCIandGOA</v>
      </c>
      <c r="B629">
        <v>25</v>
      </c>
      <c r="C629">
        <v>4</v>
      </c>
      <c r="D629" s="649">
        <f ca="1">IF(E629=4,INDEX(crude_exp_dist,MATCH(B629,'Crude Exp Dist'!$B$6:$B$78,0),MATCH(C629,'Crude Exp Dist'!$AD$2:$BC$2,0))*INDEX(crude_exp_by_year,MATCH(B629,'Data Export'!$B$6:$B$78,0),1),IF(E629=5,INDEX(ref_exp_dist,MATCH(B629,'Refined Petro Exp Dist'!$B$6:$B$78,0),MATCH(C629,'Refined Petro Exp Dist'!$AD$2:$BC$2,0))*INDEX(ref_exp_by_year,MATCH(B629,'Data Export'!$B$6:$B$78,0),1)))</f>
        <v>0</v>
      </c>
      <c r="E629">
        <v>4</v>
      </c>
      <c r="F629" t="s">
        <v>173</v>
      </c>
    </row>
    <row r="630" spans="1:6">
      <c r="A630" t="str">
        <f t="shared" si="9"/>
        <v>GenericE&amp;DtemplateCIandGOA</v>
      </c>
      <c r="B630">
        <v>25</v>
      </c>
      <c r="C630">
        <v>5</v>
      </c>
      <c r="D630" s="649">
        <f ca="1">IF(E630=4,INDEX(crude_exp_dist,MATCH(B630,'Crude Exp Dist'!$B$6:$B$78,0),MATCH(C630,'Crude Exp Dist'!$AD$2:$BC$2,0))*INDEX(crude_exp_by_year,MATCH(B630,'Data Export'!$B$6:$B$78,0),1),IF(E630=5,INDEX(ref_exp_dist,MATCH(B630,'Refined Petro Exp Dist'!$B$6:$B$78,0),MATCH(C630,'Refined Petro Exp Dist'!$AD$2:$BC$2,0))*INDEX(ref_exp_by_year,MATCH(B630,'Data Export'!$B$6:$B$78,0),1)))</f>
        <v>0</v>
      </c>
      <c r="E630">
        <v>4</v>
      </c>
      <c r="F630" t="s">
        <v>180</v>
      </c>
    </row>
    <row r="631" spans="1:6">
      <c r="A631" t="str">
        <f t="shared" si="9"/>
        <v>GenericE&amp;DtemplateCIandGOA</v>
      </c>
      <c r="B631">
        <v>25</v>
      </c>
      <c r="C631">
        <v>6</v>
      </c>
      <c r="D631" s="649">
        <f ca="1">IF(E631=4,INDEX(crude_exp_dist,MATCH(B631,'Crude Exp Dist'!$B$6:$B$78,0),MATCH(C631,'Crude Exp Dist'!$AD$2:$BC$2,0))*INDEX(crude_exp_by_year,MATCH(B631,'Data Export'!$B$6:$B$78,0),1),IF(E631=5,INDEX(ref_exp_dist,MATCH(B631,'Refined Petro Exp Dist'!$B$6:$B$78,0),MATCH(C631,'Refined Petro Exp Dist'!$AD$2:$BC$2,0))*INDEX(ref_exp_by_year,MATCH(B631,'Data Export'!$B$6:$B$78,0),1)))</f>
        <v>0</v>
      </c>
      <c r="E631">
        <v>4</v>
      </c>
      <c r="F631" t="s">
        <v>186</v>
      </c>
    </row>
    <row r="632" spans="1:6">
      <c r="A632" t="str">
        <f t="shared" si="9"/>
        <v>GenericE&amp;DtemplateCIandGOA</v>
      </c>
      <c r="B632">
        <v>25</v>
      </c>
      <c r="C632">
        <v>7</v>
      </c>
      <c r="D632" s="649">
        <f ca="1">IF(E632=4,INDEX(crude_exp_dist,MATCH(B632,'Crude Exp Dist'!$B$6:$B$78,0),MATCH(C632,'Crude Exp Dist'!$AD$2:$BC$2,0))*INDEX(crude_exp_by_year,MATCH(B632,'Data Export'!$B$6:$B$78,0),1),IF(E632=5,INDEX(ref_exp_dist,MATCH(B632,'Refined Petro Exp Dist'!$B$6:$B$78,0),MATCH(C632,'Refined Petro Exp Dist'!$AD$2:$BC$2,0))*INDEX(ref_exp_by_year,MATCH(B632,'Data Export'!$B$6:$B$78,0),1)))</f>
        <v>0</v>
      </c>
      <c r="E632">
        <v>4</v>
      </c>
      <c r="F632" t="s">
        <v>191</v>
      </c>
    </row>
    <row r="633" spans="1:6">
      <c r="A633" t="str">
        <f t="shared" si="9"/>
        <v>GenericE&amp;DtemplateCIandGOA</v>
      </c>
      <c r="B633">
        <v>25</v>
      </c>
      <c r="C633">
        <v>8</v>
      </c>
      <c r="D633" s="649">
        <f ca="1">IF(E633=4,INDEX(crude_exp_dist,MATCH(B633,'Crude Exp Dist'!$B$6:$B$78,0),MATCH(C633,'Crude Exp Dist'!$AD$2:$BC$2,0))*INDEX(crude_exp_by_year,MATCH(B633,'Data Export'!$B$6:$B$78,0),1),IF(E633=5,INDEX(ref_exp_dist,MATCH(B633,'Refined Petro Exp Dist'!$B$6:$B$78,0),MATCH(C633,'Refined Petro Exp Dist'!$AD$2:$BC$2,0))*INDEX(ref_exp_by_year,MATCH(B633,'Data Export'!$B$6:$B$78,0),1)))</f>
        <v>0</v>
      </c>
      <c r="E633">
        <v>4</v>
      </c>
      <c r="F633" t="s">
        <v>197</v>
      </c>
    </row>
    <row r="634" spans="1:6">
      <c r="A634" t="str">
        <f t="shared" si="9"/>
        <v>GenericE&amp;DtemplateCIandGOA</v>
      </c>
      <c r="B634">
        <v>25</v>
      </c>
      <c r="C634">
        <v>9</v>
      </c>
      <c r="D634" s="649">
        <f ca="1">IF(E634=4,INDEX(crude_exp_dist,MATCH(B634,'Crude Exp Dist'!$B$6:$B$78,0),MATCH(C634,'Crude Exp Dist'!$AD$2:$BC$2,0))*INDEX(crude_exp_by_year,MATCH(B634,'Data Export'!$B$6:$B$78,0),1),IF(E634=5,INDEX(ref_exp_dist,MATCH(B634,'Refined Petro Exp Dist'!$B$6:$B$78,0),MATCH(C634,'Refined Petro Exp Dist'!$AD$2:$BC$2,0))*INDEX(ref_exp_by_year,MATCH(B634,'Data Export'!$B$6:$B$78,0),1)))</f>
        <v>0</v>
      </c>
      <c r="E634">
        <v>4</v>
      </c>
      <c r="F634" t="s">
        <v>199</v>
      </c>
    </row>
    <row r="635" spans="1:6">
      <c r="A635" t="str">
        <f t="shared" si="9"/>
        <v>GenericE&amp;DtemplateCIandGOA</v>
      </c>
      <c r="B635">
        <v>25</v>
      </c>
      <c r="C635">
        <v>10</v>
      </c>
      <c r="D635" s="649">
        <f ca="1">IF(E635=4,INDEX(crude_exp_dist,MATCH(B635,'Crude Exp Dist'!$B$6:$B$78,0),MATCH(C635,'Crude Exp Dist'!$AD$2:$BC$2,0))*INDEX(crude_exp_by_year,MATCH(B635,'Data Export'!$B$6:$B$78,0),1),IF(E635=5,INDEX(ref_exp_dist,MATCH(B635,'Refined Petro Exp Dist'!$B$6:$B$78,0),MATCH(C635,'Refined Petro Exp Dist'!$AD$2:$BC$2,0))*INDEX(ref_exp_by_year,MATCH(B635,'Data Export'!$B$6:$B$78,0),1)))</f>
        <v>0</v>
      </c>
      <c r="E635">
        <v>4</v>
      </c>
      <c r="F635" t="s">
        <v>201</v>
      </c>
    </row>
    <row r="636" spans="1:6">
      <c r="A636" t="str">
        <f t="shared" si="9"/>
        <v>GenericE&amp;DtemplateCIandGOA</v>
      </c>
      <c r="B636">
        <v>25</v>
      </c>
      <c r="C636">
        <v>11</v>
      </c>
      <c r="D636" s="649">
        <f ca="1">IF(E636=4,INDEX(crude_exp_dist,MATCH(B636,'Crude Exp Dist'!$B$6:$B$78,0),MATCH(C636,'Crude Exp Dist'!$AD$2:$BC$2,0))*INDEX(crude_exp_by_year,MATCH(B636,'Data Export'!$B$6:$B$78,0),1),IF(E636=5,INDEX(ref_exp_dist,MATCH(B636,'Refined Petro Exp Dist'!$B$6:$B$78,0),MATCH(C636,'Refined Petro Exp Dist'!$AD$2:$BC$2,0))*INDEX(ref_exp_by_year,MATCH(B636,'Data Export'!$B$6:$B$78,0),1)))</f>
        <v>0</v>
      </c>
      <c r="E636">
        <v>4</v>
      </c>
      <c r="F636" t="s">
        <v>921</v>
      </c>
    </row>
    <row r="637" spans="1:6">
      <c r="A637" t="str">
        <f t="shared" si="9"/>
        <v>GenericE&amp;DtemplateCIandGOA</v>
      </c>
      <c r="B637">
        <v>25</v>
      </c>
      <c r="C637">
        <v>12</v>
      </c>
      <c r="D637" s="649">
        <f ca="1">IF(E637=4,INDEX(crude_exp_dist,MATCH(B637,'Crude Exp Dist'!$B$6:$B$78,0),MATCH(C637,'Crude Exp Dist'!$AD$2:$BC$2,0))*INDEX(crude_exp_by_year,MATCH(B637,'Data Export'!$B$6:$B$78,0),1),IF(E637=5,INDEX(ref_exp_dist,MATCH(B637,'Refined Petro Exp Dist'!$B$6:$B$78,0),MATCH(C637,'Refined Petro Exp Dist'!$AD$2:$BC$2,0))*INDEX(ref_exp_by_year,MATCH(B637,'Data Export'!$B$6:$B$78,0),1)))</f>
        <v>0</v>
      </c>
      <c r="E637">
        <v>4</v>
      </c>
      <c r="F637" t="s">
        <v>208</v>
      </c>
    </row>
    <row r="638" spans="1:6">
      <c r="A638" t="str">
        <f t="shared" si="9"/>
        <v>GenericE&amp;DtemplateCIandGOA</v>
      </c>
      <c r="B638">
        <v>25</v>
      </c>
      <c r="C638">
        <v>13</v>
      </c>
      <c r="D638" s="649">
        <f ca="1">IF(E638=4,INDEX(crude_exp_dist,MATCH(B638,'Crude Exp Dist'!$B$6:$B$78,0),MATCH(C638,'Crude Exp Dist'!$AD$2:$BC$2,0))*INDEX(crude_exp_by_year,MATCH(B638,'Data Export'!$B$6:$B$78,0),1),IF(E638=5,INDEX(ref_exp_dist,MATCH(B638,'Refined Petro Exp Dist'!$B$6:$B$78,0),MATCH(C638,'Refined Petro Exp Dist'!$AD$2:$BC$2,0))*INDEX(ref_exp_by_year,MATCH(B638,'Data Export'!$B$6:$B$78,0),1)))</f>
        <v>0</v>
      </c>
      <c r="E638">
        <v>4</v>
      </c>
      <c r="F638" t="s">
        <v>211</v>
      </c>
    </row>
    <row r="639" spans="1:6">
      <c r="A639" t="str">
        <f t="shared" si="9"/>
        <v>GenericE&amp;DtemplateCIandGOA</v>
      </c>
      <c r="B639">
        <v>25</v>
      </c>
      <c r="C639">
        <v>14</v>
      </c>
      <c r="D639" s="649">
        <f ca="1">IF(E639=4,INDEX(crude_exp_dist,MATCH(B639,'Crude Exp Dist'!$B$6:$B$78,0),MATCH(C639,'Crude Exp Dist'!$AD$2:$BC$2,0))*INDEX(crude_exp_by_year,MATCH(B639,'Data Export'!$B$6:$B$78,0),1),IF(E639=5,INDEX(ref_exp_dist,MATCH(B639,'Refined Petro Exp Dist'!$B$6:$B$78,0),MATCH(C639,'Refined Petro Exp Dist'!$AD$2:$BC$2,0))*INDEX(ref_exp_by_year,MATCH(B639,'Data Export'!$B$6:$B$78,0),1)))</f>
        <v>0</v>
      </c>
      <c r="E639">
        <v>4</v>
      </c>
      <c r="F639" t="s">
        <v>213</v>
      </c>
    </row>
    <row r="640" spans="1:6">
      <c r="A640" t="str">
        <f t="shared" si="9"/>
        <v>GenericE&amp;DtemplateCIandGOA</v>
      </c>
      <c r="B640">
        <v>25</v>
      </c>
      <c r="C640">
        <v>15</v>
      </c>
      <c r="D640" s="649">
        <f ca="1">IF(E640=4,INDEX(crude_exp_dist,MATCH(B640,'Crude Exp Dist'!$B$6:$B$78,0),MATCH(C640,'Crude Exp Dist'!$AD$2:$BC$2,0))*INDEX(crude_exp_by_year,MATCH(B640,'Data Export'!$B$6:$B$78,0),1),IF(E640=5,INDEX(ref_exp_dist,MATCH(B640,'Refined Petro Exp Dist'!$B$6:$B$78,0),MATCH(C640,'Refined Petro Exp Dist'!$AD$2:$BC$2,0))*INDEX(ref_exp_by_year,MATCH(B640,'Data Export'!$B$6:$B$78,0),1)))</f>
        <v>0</v>
      </c>
      <c r="E640">
        <v>4</v>
      </c>
      <c r="F640" t="s">
        <v>215</v>
      </c>
    </row>
    <row r="641" spans="1:6">
      <c r="A641" t="str">
        <f t="shared" si="9"/>
        <v>GenericE&amp;DtemplateCIandGOA</v>
      </c>
      <c r="B641">
        <v>25</v>
      </c>
      <c r="C641">
        <v>16</v>
      </c>
      <c r="D641" s="649">
        <f ca="1">IF(E641=4,INDEX(crude_exp_dist,MATCH(B641,'Crude Exp Dist'!$B$6:$B$78,0),MATCH(C641,'Crude Exp Dist'!$AD$2:$BC$2,0))*INDEX(crude_exp_by_year,MATCH(B641,'Data Export'!$B$6:$B$78,0),1),IF(E641=5,INDEX(ref_exp_dist,MATCH(B641,'Refined Petro Exp Dist'!$B$6:$B$78,0),MATCH(C641,'Refined Petro Exp Dist'!$AD$2:$BC$2,0))*INDEX(ref_exp_by_year,MATCH(B641,'Data Export'!$B$6:$B$78,0),1)))</f>
        <v>0</v>
      </c>
      <c r="E641">
        <v>4</v>
      </c>
      <c r="F641" t="s">
        <v>219</v>
      </c>
    </row>
    <row r="642" spans="1:6">
      <c r="A642" t="str">
        <f t="shared" ref="A642:A705" si="10">scenario_name</f>
        <v>GenericE&amp;DtemplateCIandGOA</v>
      </c>
      <c r="B642">
        <v>25</v>
      </c>
      <c r="C642">
        <v>17</v>
      </c>
      <c r="D642" s="649">
        <f ca="1">IF(E642=4,INDEX(crude_exp_dist,MATCH(B642,'Crude Exp Dist'!$B$6:$B$78,0),MATCH(C642,'Crude Exp Dist'!$AD$2:$BC$2,0))*INDEX(crude_exp_by_year,MATCH(B642,'Data Export'!$B$6:$B$78,0),1),IF(E642=5,INDEX(ref_exp_dist,MATCH(B642,'Refined Petro Exp Dist'!$B$6:$B$78,0),MATCH(C642,'Refined Petro Exp Dist'!$AD$2:$BC$2,0))*INDEX(ref_exp_by_year,MATCH(B642,'Data Export'!$B$6:$B$78,0),1)))</f>
        <v>0</v>
      </c>
      <c r="E642">
        <v>4</v>
      </c>
      <c r="F642" t="s">
        <v>222</v>
      </c>
    </row>
    <row r="643" spans="1:6">
      <c r="A643" t="str">
        <f t="shared" si="10"/>
        <v>GenericE&amp;DtemplateCIandGOA</v>
      </c>
      <c r="B643">
        <v>25</v>
      </c>
      <c r="C643">
        <v>18</v>
      </c>
      <c r="D643" s="649">
        <f ca="1">IF(E643=4,INDEX(crude_exp_dist,MATCH(B643,'Crude Exp Dist'!$B$6:$B$78,0),MATCH(C643,'Crude Exp Dist'!$AD$2:$BC$2,0))*INDEX(crude_exp_by_year,MATCH(B643,'Data Export'!$B$6:$B$78,0),1),IF(E643=5,INDEX(ref_exp_dist,MATCH(B643,'Refined Petro Exp Dist'!$B$6:$B$78,0),MATCH(C643,'Refined Petro Exp Dist'!$AD$2:$BC$2,0))*INDEX(ref_exp_by_year,MATCH(B643,'Data Export'!$B$6:$B$78,0),1)))</f>
        <v>0</v>
      </c>
      <c r="E643">
        <v>4</v>
      </c>
      <c r="F643" t="s">
        <v>224</v>
      </c>
    </row>
    <row r="644" spans="1:6">
      <c r="A644" t="str">
        <f t="shared" si="10"/>
        <v>GenericE&amp;DtemplateCIandGOA</v>
      </c>
      <c r="B644">
        <v>25</v>
      </c>
      <c r="C644">
        <v>19</v>
      </c>
      <c r="D644" s="649">
        <f ca="1">IF(E644=4,INDEX(crude_exp_dist,MATCH(B644,'Crude Exp Dist'!$B$6:$B$78,0),MATCH(C644,'Crude Exp Dist'!$AD$2:$BC$2,0))*INDEX(crude_exp_by_year,MATCH(B644,'Data Export'!$B$6:$B$78,0),1),IF(E644=5,INDEX(ref_exp_dist,MATCH(B644,'Refined Petro Exp Dist'!$B$6:$B$78,0),MATCH(C644,'Refined Petro Exp Dist'!$AD$2:$BC$2,0))*INDEX(ref_exp_by_year,MATCH(B644,'Data Export'!$B$6:$B$78,0),1)))</f>
        <v>0</v>
      </c>
      <c r="E644">
        <v>4</v>
      </c>
      <c r="F644" t="s">
        <v>228</v>
      </c>
    </row>
    <row r="645" spans="1:6">
      <c r="A645" t="str">
        <f t="shared" si="10"/>
        <v>GenericE&amp;DtemplateCIandGOA</v>
      </c>
      <c r="B645">
        <v>25</v>
      </c>
      <c r="C645">
        <v>20</v>
      </c>
      <c r="D645" s="649">
        <f ca="1">IF(E645=4,INDEX(crude_exp_dist,MATCH(B645,'Crude Exp Dist'!$B$6:$B$78,0),MATCH(C645,'Crude Exp Dist'!$AD$2:$BC$2,0))*INDEX(crude_exp_by_year,MATCH(B645,'Data Export'!$B$6:$B$78,0),1),IF(E645=5,INDEX(ref_exp_dist,MATCH(B645,'Refined Petro Exp Dist'!$B$6:$B$78,0),MATCH(C645,'Refined Petro Exp Dist'!$AD$2:$BC$2,0))*INDEX(ref_exp_by_year,MATCH(B645,'Data Export'!$B$6:$B$78,0),1)))</f>
        <v>0</v>
      </c>
      <c r="E645">
        <v>4</v>
      </c>
      <c r="F645" t="s">
        <v>231</v>
      </c>
    </row>
    <row r="646" spans="1:6">
      <c r="A646" t="str">
        <f t="shared" si="10"/>
        <v>GenericE&amp;DtemplateCIandGOA</v>
      </c>
      <c r="B646">
        <v>25</v>
      </c>
      <c r="C646">
        <v>21</v>
      </c>
      <c r="D646" s="649">
        <f ca="1">IF(E646=4,INDEX(crude_exp_dist,MATCH(B646,'Crude Exp Dist'!$B$6:$B$78,0),MATCH(C646,'Crude Exp Dist'!$AD$2:$BC$2,0))*INDEX(crude_exp_by_year,MATCH(B646,'Data Export'!$B$6:$B$78,0),1),IF(E646=5,INDEX(ref_exp_dist,MATCH(B646,'Refined Petro Exp Dist'!$B$6:$B$78,0),MATCH(C646,'Refined Petro Exp Dist'!$AD$2:$BC$2,0))*INDEX(ref_exp_by_year,MATCH(B646,'Data Export'!$B$6:$B$78,0),1)))</f>
        <v>0</v>
      </c>
      <c r="E646">
        <v>4</v>
      </c>
      <c r="F646" t="s">
        <v>232</v>
      </c>
    </row>
    <row r="647" spans="1:6">
      <c r="A647" t="str">
        <f t="shared" si="10"/>
        <v>GenericE&amp;DtemplateCIandGOA</v>
      </c>
      <c r="B647">
        <v>25</v>
      </c>
      <c r="C647">
        <v>22</v>
      </c>
      <c r="D647" s="649">
        <f ca="1">IF(E647=4,INDEX(crude_exp_dist,MATCH(B647,'Crude Exp Dist'!$B$6:$B$78,0),MATCH(C647,'Crude Exp Dist'!$AD$2:$BC$2,0))*INDEX(crude_exp_by_year,MATCH(B647,'Data Export'!$B$6:$B$78,0),1),IF(E647=5,INDEX(ref_exp_dist,MATCH(B647,'Refined Petro Exp Dist'!$B$6:$B$78,0),MATCH(C647,'Refined Petro Exp Dist'!$AD$2:$BC$2,0))*INDEX(ref_exp_by_year,MATCH(B647,'Data Export'!$B$6:$B$78,0),1)))</f>
        <v>0</v>
      </c>
      <c r="E647">
        <v>4</v>
      </c>
      <c r="F647" t="s">
        <v>235</v>
      </c>
    </row>
    <row r="648" spans="1:6">
      <c r="A648" t="str">
        <f t="shared" si="10"/>
        <v>GenericE&amp;DtemplateCIandGOA</v>
      </c>
      <c r="B648">
        <v>25</v>
      </c>
      <c r="C648">
        <v>23</v>
      </c>
      <c r="D648" s="649">
        <f ca="1">IF(E648=4,INDEX(crude_exp_dist,MATCH(B648,'Crude Exp Dist'!$B$6:$B$78,0),MATCH(C648,'Crude Exp Dist'!$AD$2:$BC$2,0))*INDEX(crude_exp_by_year,MATCH(B648,'Data Export'!$B$6:$B$78,0),1),IF(E648=5,INDEX(ref_exp_dist,MATCH(B648,'Refined Petro Exp Dist'!$B$6:$B$78,0),MATCH(C648,'Refined Petro Exp Dist'!$AD$2:$BC$2,0))*INDEX(ref_exp_by_year,MATCH(B648,'Data Export'!$B$6:$B$78,0),1)))</f>
        <v>0</v>
      </c>
      <c r="E648">
        <v>4</v>
      </c>
      <c r="F648" t="s">
        <v>237</v>
      </c>
    </row>
    <row r="649" spans="1:6">
      <c r="A649" t="str">
        <f t="shared" si="10"/>
        <v>GenericE&amp;DtemplateCIandGOA</v>
      </c>
      <c r="B649">
        <v>25</v>
      </c>
      <c r="C649">
        <v>24</v>
      </c>
      <c r="D649" s="649">
        <f ca="1">IF(E649=4,INDEX(crude_exp_dist,MATCH(B649,'Crude Exp Dist'!$B$6:$B$78,0),MATCH(C649,'Crude Exp Dist'!$AD$2:$BC$2,0))*INDEX(crude_exp_by_year,MATCH(B649,'Data Export'!$B$6:$B$78,0),1),IF(E649=5,INDEX(ref_exp_dist,MATCH(B649,'Refined Petro Exp Dist'!$B$6:$B$78,0),MATCH(C649,'Refined Petro Exp Dist'!$AD$2:$BC$2,0))*INDEX(ref_exp_by_year,MATCH(B649,'Data Export'!$B$6:$B$78,0),1)))</f>
        <v>0</v>
      </c>
      <c r="E649">
        <v>4</v>
      </c>
      <c r="F649" t="s">
        <v>239</v>
      </c>
    </row>
    <row r="650" spans="1:6">
      <c r="A650" t="str">
        <f t="shared" si="10"/>
        <v>GenericE&amp;DtemplateCIandGOA</v>
      </c>
      <c r="B650">
        <v>25</v>
      </c>
      <c r="C650">
        <v>25</v>
      </c>
      <c r="D650" s="649">
        <f ca="1">IF(E650=4,INDEX(crude_exp_dist,MATCH(B650,'Crude Exp Dist'!$B$6:$B$78,0),MATCH(C650,'Crude Exp Dist'!$AD$2:$BC$2,0))*INDEX(crude_exp_by_year,MATCH(B650,'Data Export'!$B$6:$B$78,0),1),IF(E650=5,INDEX(ref_exp_dist,MATCH(B650,'Refined Petro Exp Dist'!$B$6:$B$78,0),MATCH(C650,'Refined Petro Exp Dist'!$AD$2:$BC$2,0))*INDEX(ref_exp_by_year,MATCH(B650,'Data Export'!$B$6:$B$78,0),1)))</f>
        <v>0</v>
      </c>
      <c r="E650">
        <v>4</v>
      </c>
      <c r="F650" t="s">
        <v>242</v>
      </c>
    </row>
    <row r="651" spans="1:6">
      <c r="A651" t="str">
        <f t="shared" si="10"/>
        <v>GenericE&amp;DtemplateCIandGOA</v>
      </c>
      <c r="B651">
        <v>25</v>
      </c>
      <c r="C651">
        <v>26</v>
      </c>
      <c r="D651" s="649">
        <f ca="1">IF(E651=4,INDEX(crude_exp_dist,MATCH(B651,'Crude Exp Dist'!$B$6:$B$78,0),MATCH(C651,'Crude Exp Dist'!$AD$2:$BC$2,0))*INDEX(crude_exp_by_year,MATCH(B651,'Data Export'!$B$6:$B$78,0),1),IF(E651=5,INDEX(ref_exp_dist,MATCH(B651,'Refined Petro Exp Dist'!$B$6:$B$78,0),MATCH(C651,'Refined Petro Exp Dist'!$AD$2:$BC$2,0))*INDEX(ref_exp_by_year,MATCH(B651,'Data Export'!$B$6:$B$78,0),1)))</f>
        <v>0</v>
      </c>
      <c r="E651">
        <v>4</v>
      </c>
      <c r="F651" t="s">
        <v>245</v>
      </c>
    </row>
    <row r="652" spans="1:6">
      <c r="A652" t="str">
        <f t="shared" si="10"/>
        <v>GenericE&amp;DtemplateCIandGOA</v>
      </c>
      <c r="B652">
        <v>26</v>
      </c>
      <c r="C652">
        <v>1</v>
      </c>
      <c r="D652" s="649">
        <f ca="1">IF(E652=4,INDEX(crude_exp_dist,MATCH(B652,'Crude Exp Dist'!$B$6:$B$78,0),MATCH(C652,'Crude Exp Dist'!$AD$2:$BC$2,0))*INDEX(crude_exp_by_year,MATCH(B652,'Data Export'!$B$6:$B$78,0),1),IF(E652=5,INDEX(ref_exp_dist,MATCH(B652,'Refined Petro Exp Dist'!$B$6:$B$78,0),MATCH(C652,'Refined Petro Exp Dist'!$AD$2:$BC$2,0))*INDEX(ref_exp_by_year,MATCH(B652,'Data Export'!$B$6:$B$78,0),1)))</f>
        <v>0</v>
      </c>
      <c r="E652">
        <v>4</v>
      </c>
      <c r="F652" t="s">
        <v>158</v>
      </c>
    </row>
    <row r="653" spans="1:6">
      <c r="A653" t="str">
        <f t="shared" si="10"/>
        <v>GenericE&amp;DtemplateCIandGOA</v>
      </c>
      <c r="B653">
        <v>26</v>
      </c>
      <c r="C653">
        <v>2</v>
      </c>
      <c r="D653" s="649">
        <f ca="1">IF(E653=4,INDEX(crude_exp_dist,MATCH(B653,'Crude Exp Dist'!$B$6:$B$78,0),MATCH(C653,'Crude Exp Dist'!$AD$2:$BC$2,0))*INDEX(crude_exp_by_year,MATCH(B653,'Data Export'!$B$6:$B$78,0),1),IF(E653=5,INDEX(ref_exp_dist,MATCH(B653,'Refined Petro Exp Dist'!$B$6:$B$78,0),MATCH(C653,'Refined Petro Exp Dist'!$AD$2:$BC$2,0))*INDEX(ref_exp_by_year,MATCH(B653,'Data Export'!$B$6:$B$78,0),1)))</f>
        <v>0</v>
      </c>
      <c r="E653">
        <v>4</v>
      </c>
      <c r="F653" t="s">
        <v>166</v>
      </c>
    </row>
    <row r="654" spans="1:6">
      <c r="A654" t="str">
        <f t="shared" si="10"/>
        <v>GenericE&amp;DtemplateCIandGOA</v>
      </c>
      <c r="B654">
        <v>26</v>
      </c>
      <c r="C654">
        <v>3</v>
      </c>
      <c r="D654" s="649">
        <f ca="1">IF(E654=4,INDEX(crude_exp_dist,MATCH(B654,'Crude Exp Dist'!$B$6:$B$78,0),MATCH(C654,'Crude Exp Dist'!$AD$2:$BC$2,0))*INDEX(crude_exp_by_year,MATCH(B654,'Data Export'!$B$6:$B$78,0),1),IF(E654=5,INDEX(ref_exp_dist,MATCH(B654,'Refined Petro Exp Dist'!$B$6:$B$78,0),MATCH(C654,'Refined Petro Exp Dist'!$AD$2:$BC$2,0))*INDEX(ref_exp_by_year,MATCH(B654,'Data Export'!$B$6:$B$78,0),1)))</f>
        <v>0</v>
      </c>
      <c r="E654">
        <v>4</v>
      </c>
      <c r="F654" t="s">
        <v>171</v>
      </c>
    </row>
    <row r="655" spans="1:6">
      <c r="A655" t="str">
        <f t="shared" si="10"/>
        <v>GenericE&amp;DtemplateCIandGOA</v>
      </c>
      <c r="B655">
        <v>26</v>
      </c>
      <c r="C655">
        <v>4</v>
      </c>
      <c r="D655" s="649">
        <f ca="1">IF(E655=4,INDEX(crude_exp_dist,MATCH(B655,'Crude Exp Dist'!$B$6:$B$78,0),MATCH(C655,'Crude Exp Dist'!$AD$2:$BC$2,0))*INDEX(crude_exp_by_year,MATCH(B655,'Data Export'!$B$6:$B$78,0),1),IF(E655=5,INDEX(ref_exp_dist,MATCH(B655,'Refined Petro Exp Dist'!$B$6:$B$78,0),MATCH(C655,'Refined Petro Exp Dist'!$AD$2:$BC$2,0))*INDEX(ref_exp_by_year,MATCH(B655,'Data Export'!$B$6:$B$78,0),1)))</f>
        <v>0</v>
      </c>
      <c r="E655">
        <v>4</v>
      </c>
      <c r="F655" t="s">
        <v>173</v>
      </c>
    </row>
    <row r="656" spans="1:6">
      <c r="A656" t="str">
        <f t="shared" si="10"/>
        <v>GenericE&amp;DtemplateCIandGOA</v>
      </c>
      <c r="B656">
        <v>26</v>
      </c>
      <c r="C656">
        <v>5</v>
      </c>
      <c r="D656" s="649">
        <f ca="1">IF(E656=4,INDEX(crude_exp_dist,MATCH(B656,'Crude Exp Dist'!$B$6:$B$78,0),MATCH(C656,'Crude Exp Dist'!$AD$2:$BC$2,0))*INDEX(crude_exp_by_year,MATCH(B656,'Data Export'!$B$6:$B$78,0),1),IF(E656=5,INDEX(ref_exp_dist,MATCH(B656,'Refined Petro Exp Dist'!$B$6:$B$78,0),MATCH(C656,'Refined Petro Exp Dist'!$AD$2:$BC$2,0))*INDEX(ref_exp_by_year,MATCH(B656,'Data Export'!$B$6:$B$78,0),1)))</f>
        <v>0</v>
      </c>
      <c r="E656">
        <v>4</v>
      </c>
      <c r="F656" t="s">
        <v>180</v>
      </c>
    </row>
    <row r="657" spans="1:6">
      <c r="A657" t="str">
        <f t="shared" si="10"/>
        <v>GenericE&amp;DtemplateCIandGOA</v>
      </c>
      <c r="B657">
        <v>26</v>
      </c>
      <c r="C657">
        <v>6</v>
      </c>
      <c r="D657" s="649">
        <f ca="1">IF(E657=4,INDEX(crude_exp_dist,MATCH(B657,'Crude Exp Dist'!$B$6:$B$78,0),MATCH(C657,'Crude Exp Dist'!$AD$2:$BC$2,0))*INDEX(crude_exp_by_year,MATCH(B657,'Data Export'!$B$6:$B$78,0),1),IF(E657=5,INDEX(ref_exp_dist,MATCH(B657,'Refined Petro Exp Dist'!$B$6:$B$78,0),MATCH(C657,'Refined Petro Exp Dist'!$AD$2:$BC$2,0))*INDEX(ref_exp_by_year,MATCH(B657,'Data Export'!$B$6:$B$78,0),1)))</f>
        <v>0</v>
      </c>
      <c r="E657">
        <v>4</v>
      </c>
      <c r="F657" t="s">
        <v>186</v>
      </c>
    </row>
    <row r="658" spans="1:6">
      <c r="A658" t="str">
        <f t="shared" si="10"/>
        <v>GenericE&amp;DtemplateCIandGOA</v>
      </c>
      <c r="B658">
        <v>26</v>
      </c>
      <c r="C658">
        <v>7</v>
      </c>
      <c r="D658" s="649">
        <f ca="1">IF(E658=4,INDEX(crude_exp_dist,MATCH(B658,'Crude Exp Dist'!$B$6:$B$78,0),MATCH(C658,'Crude Exp Dist'!$AD$2:$BC$2,0))*INDEX(crude_exp_by_year,MATCH(B658,'Data Export'!$B$6:$B$78,0),1),IF(E658=5,INDEX(ref_exp_dist,MATCH(B658,'Refined Petro Exp Dist'!$B$6:$B$78,0),MATCH(C658,'Refined Petro Exp Dist'!$AD$2:$BC$2,0))*INDEX(ref_exp_by_year,MATCH(B658,'Data Export'!$B$6:$B$78,0),1)))</f>
        <v>0</v>
      </c>
      <c r="E658">
        <v>4</v>
      </c>
      <c r="F658" t="s">
        <v>191</v>
      </c>
    </row>
    <row r="659" spans="1:6">
      <c r="A659" t="str">
        <f t="shared" si="10"/>
        <v>GenericE&amp;DtemplateCIandGOA</v>
      </c>
      <c r="B659">
        <v>26</v>
      </c>
      <c r="C659">
        <v>8</v>
      </c>
      <c r="D659" s="649">
        <f ca="1">IF(E659=4,INDEX(crude_exp_dist,MATCH(B659,'Crude Exp Dist'!$B$6:$B$78,0),MATCH(C659,'Crude Exp Dist'!$AD$2:$BC$2,0))*INDEX(crude_exp_by_year,MATCH(B659,'Data Export'!$B$6:$B$78,0),1),IF(E659=5,INDEX(ref_exp_dist,MATCH(B659,'Refined Petro Exp Dist'!$B$6:$B$78,0),MATCH(C659,'Refined Petro Exp Dist'!$AD$2:$BC$2,0))*INDEX(ref_exp_by_year,MATCH(B659,'Data Export'!$B$6:$B$78,0),1)))</f>
        <v>0</v>
      </c>
      <c r="E659">
        <v>4</v>
      </c>
      <c r="F659" t="s">
        <v>197</v>
      </c>
    </row>
    <row r="660" spans="1:6">
      <c r="A660" t="str">
        <f t="shared" si="10"/>
        <v>GenericE&amp;DtemplateCIandGOA</v>
      </c>
      <c r="B660">
        <v>26</v>
      </c>
      <c r="C660">
        <v>9</v>
      </c>
      <c r="D660" s="649">
        <f ca="1">IF(E660=4,INDEX(crude_exp_dist,MATCH(B660,'Crude Exp Dist'!$B$6:$B$78,0),MATCH(C660,'Crude Exp Dist'!$AD$2:$BC$2,0))*INDEX(crude_exp_by_year,MATCH(B660,'Data Export'!$B$6:$B$78,0),1),IF(E660=5,INDEX(ref_exp_dist,MATCH(B660,'Refined Petro Exp Dist'!$B$6:$B$78,0),MATCH(C660,'Refined Petro Exp Dist'!$AD$2:$BC$2,0))*INDEX(ref_exp_by_year,MATCH(B660,'Data Export'!$B$6:$B$78,0),1)))</f>
        <v>0</v>
      </c>
      <c r="E660">
        <v>4</v>
      </c>
      <c r="F660" t="s">
        <v>199</v>
      </c>
    </row>
    <row r="661" spans="1:6">
      <c r="A661" t="str">
        <f t="shared" si="10"/>
        <v>GenericE&amp;DtemplateCIandGOA</v>
      </c>
      <c r="B661">
        <v>26</v>
      </c>
      <c r="C661">
        <v>10</v>
      </c>
      <c r="D661" s="649">
        <f ca="1">IF(E661=4,INDEX(crude_exp_dist,MATCH(B661,'Crude Exp Dist'!$B$6:$B$78,0),MATCH(C661,'Crude Exp Dist'!$AD$2:$BC$2,0))*INDEX(crude_exp_by_year,MATCH(B661,'Data Export'!$B$6:$B$78,0),1),IF(E661=5,INDEX(ref_exp_dist,MATCH(B661,'Refined Petro Exp Dist'!$B$6:$B$78,0),MATCH(C661,'Refined Petro Exp Dist'!$AD$2:$BC$2,0))*INDEX(ref_exp_by_year,MATCH(B661,'Data Export'!$B$6:$B$78,0),1)))</f>
        <v>0</v>
      </c>
      <c r="E661">
        <v>4</v>
      </c>
      <c r="F661" t="s">
        <v>201</v>
      </c>
    </row>
    <row r="662" spans="1:6">
      <c r="A662" t="str">
        <f t="shared" si="10"/>
        <v>GenericE&amp;DtemplateCIandGOA</v>
      </c>
      <c r="B662">
        <v>26</v>
      </c>
      <c r="C662">
        <v>11</v>
      </c>
      <c r="D662" s="649">
        <f ca="1">IF(E662=4,INDEX(crude_exp_dist,MATCH(B662,'Crude Exp Dist'!$B$6:$B$78,0),MATCH(C662,'Crude Exp Dist'!$AD$2:$BC$2,0))*INDEX(crude_exp_by_year,MATCH(B662,'Data Export'!$B$6:$B$78,0),1),IF(E662=5,INDEX(ref_exp_dist,MATCH(B662,'Refined Petro Exp Dist'!$B$6:$B$78,0),MATCH(C662,'Refined Petro Exp Dist'!$AD$2:$BC$2,0))*INDEX(ref_exp_by_year,MATCH(B662,'Data Export'!$B$6:$B$78,0),1)))</f>
        <v>0</v>
      </c>
      <c r="E662">
        <v>4</v>
      </c>
      <c r="F662" t="s">
        <v>921</v>
      </c>
    </row>
    <row r="663" spans="1:6">
      <c r="A663" t="str">
        <f t="shared" si="10"/>
        <v>GenericE&amp;DtemplateCIandGOA</v>
      </c>
      <c r="B663">
        <v>26</v>
      </c>
      <c r="C663">
        <v>12</v>
      </c>
      <c r="D663" s="649">
        <f ca="1">IF(E663=4,INDEX(crude_exp_dist,MATCH(B663,'Crude Exp Dist'!$B$6:$B$78,0),MATCH(C663,'Crude Exp Dist'!$AD$2:$BC$2,0))*INDEX(crude_exp_by_year,MATCH(B663,'Data Export'!$B$6:$B$78,0),1),IF(E663=5,INDEX(ref_exp_dist,MATCH(B663,'Refined Petro Exp Dist'!$B$6:$B$78,0),MATCH(C663,'Refined Petro Exp Dist'!$AD$2:$BC$2,0))*INDEX(ref_exp_by_year,MATCH(B663,'Data Export'!$B$6:$B$78,0),1)))</f>
        <v>0</v>
      </c>
      <c r="E663">
        <v>4</v>
      </c>
      <c r="F663" t="s">
        <v>208</v>
      </c>
    </row>
    <row r="664" spans="1:6">
      <c r="A664" t="str">
        <f t="shared" si="10"/>
        <v>GenericE&amp;DtemplateCIandGOA</v>
      </c>
      <c r="B664">
        <v>26</v>
      </c>
      <c r="C664">
        <v>13</v>
      </c>
      <c r="D664" s="649">
        <f ca="1">IF(E664=4,INDEX(crude_exp_dist,MATCH(B664,'Crude Exp Dist'!$B$6:$B$78,0),MATCH(C664,'Crude Exp Dist'!$AD$2:$BC$2,0))*INDEX(crude_exp_by_year,MATCH(B664,'Data Export'!$B$6:$B$78,0),1),IF(E664=5,INDEX(ref_exp_dist,MATCH(B664,'Refined Petro Exp Dist'!$B$6:$B$78,0),MATCH(C664,'Refined Petro Exp Dist'!$AD$2:$BC$2,0))*INDEX(ref_exp_by_year,MATCH(B664,'Data Export'!$B$6:$B$78,0),1)))</f>
        <v>0</v>
      </c>
      <c r="E664">
        <v>4</v>
      </c>
      <c r="F664" t="s">
        <v>211</v>
      </c>
    </row>
    <row r="665" spans="1:6">
      <c r="A665" t="str">
        <f t="shared" si="10"/>
        <v>GenericE&amp;DtemplateCIandGOA</v>
      </c>
      <c r="B665">
        <v>26</v>
      </c>
      <c r="C665">
        <v>14</v>
      </c>
      <c r="D665" s="649">
        <f ca="1">IF(E665=4,INDEX(crude_exp_dist,MATCH(B665,'Crude Exp Dist'!$B$6:$B$78,0),MATCH(C665,'Crude Exp Dist'!$AD$2:$BC$2,0))*INDEX(crude_exp_by_year,MATCH(B665,'Data Export'!$B$6:$B$78,0),1),IF(E665=5,INDEX(ref_exp_dist,MATCH(B665,'Refined Petro Exp Dist'!$B$6:$B$78,0),MATCH(C665,'Refined Petro Exp Dist'!$AD$2:$BC$2,0))*INDEX(ref_exp_by_year,MATCH(B665,'Data Export'!$B$6:$B$78,0),1)))</f>
        <v>0</v>
      </c>
      <c r="E665">
        <v>4</v>
      </c>
      <c r="F665" t="s">
        <v>213</v>
      </c>
    </row>
    <row r="666" spans="1:6">
      <c r="A666" t="str">
        <f t="shared" si="10"/>
        <v>GenericE&amp;DtemplateCIandGOA</v>
      </c>
      <c r="B666">
        <v>26</v>
      </c>
      <c r="C666">
        <v>15</v>
      </c>
      <c r="D666" s="649">
        <f ca="1">IF(E666=4,INDEX(crude_exp_dist,MATCH(B666,'Crude Exp Dist'!$B$6:$B$78,0),MATCH(C666,'Crude Exp Dist'!$AD$2:$BC$2,0))*INDEX(crude_exp_by_year,MATCH(B666,'Data Export'!$B$6:$B$78,0),1),IF(E666=5,INDEX(ref_exp_dist,MATCH(B666,'Refined Petro Exp Dist'!$B$6:$B$78,0),MATCH(C666,'Refined Petro Exp Dist'!$AD$2:$BC$2,0))*INDEX(ref_exp_by_year,MATCH(B666,'Data Export'!$B$6:$B$78,0),1)))</f>
        <v>0</v>
      </c>
      <c r="E666">
        <v>4</v>
      </c>
      <c r="F666" t="s">
        <v>215</v>
      </c>
    </row>
    <row r="667" spans="1:6">
      <c r="A667" t="str">
        <f t="shared" si="10"/>
        <v>GenericE&amp;DtemplateCIandGOA</v>
      </c>
      <c r="B667">
        <v>26</v>
      </c>
      <c r="C667">
        <v>16</v>
      </c>
      <c r="D667" s="649">
        <f ca="1">IF(E667=4,INDEX(crude_exp_dist,MATCH(B667,'Crude Exp Dist'!$B$6:$B$78,0),MATCH(C667,'Crude Exp Dist'!$AD$2:$BC$2,0))*INDEX(crude_exp_by_year,MATCH(B667,'Data Export'!$B$6:$B$78,0),1),IF(E667=5,INDEX(ref_exp_dist,MATCH(B667,'Refined Petro Exp Dist'!$B$6:$B$78,0),MATCH(C667,'Refined Petro Exp Dist'!$AD$2:$BC$2,0))*INDEX(ref_exp_by_year,MATCH(B667,'Data Export'!$B$6:$B$78,0),1)))</f>
        <v>0</v>
      </c>
      <c r="E667">
        <v>4</v>
      </c>
      <c r="F667" t="s">
        <v>219</v>
      </c>
    </row>
    <row r="668" spans="1:6">
      <c r="A668" t="str">
        <f t="shared" si="10"/>
        <v>GenericE&amp;DtemplateCIandGOA</v>
      </c>
      <c r="B668">
        <v>26</v>
      </c>
      <c r="C668">
        <v>17</v>
      </c>
      <c r="D668" s="649">
        <f ca="1">IF(E668=4,INDEX(crude_exp_dist,MATCH(B668,'Crude Exp Dist'!$B$6:$B$78,0),MATCH(C668,'Crude Exp Dist'!$AD$2:$BC$2,0))*INDEX(crude_exp_by_year,MATCH(B668,'Data Export'!$B$6:$B$78,0),1),IF(E668=5,INDEX(ref_exp_dist,MATCH(B668,'Refined Petro Exp Dist'!$B$6:$B$78,0),MATCH(C668,'Refined Petro Exp Dist'!$AD$2:$BC$2,0))*INDEX(ref_exp_by_year,MATCH(B668,'Data Export'!$B$6:$B$78,0),1)))</f>
        <v>0</v>
      </c>
      <c r="E668">
        <v>4</v>
      </c>
      <c r="F668" t="s">
        <v>222</v>
      </c>
    </row>
    <row r="669" spans="1:6">
      <c r="A669" t="str">
        <f t="shared" si="10"/>
        <v>GenericE&amp;DtemplateCIandGOA</v>
      </c>
      <c r="B669">
        <v>26</v>
      </c>
      <c r="C669">
        <v>18</v>
      </c>
      <c r="D669" s="649">
        <f ca="1">IF(E669=4,INDEX(crude_exp_dist,MATCH(B669,'Crude Exp Dist'!$B$6:$B$78,0),MATCH(C669,'Crude Exp Dist'!$AD$2:$BC$2,0))*INDEX(crude_exp_by_year,MATCH(B669,'Data Export'!$B$6:$B$78,0),1),IF(E669=5,INDEX(ref_exp_dist,MATCH(B669,'Refined Petro Exp Dist'!$B$6:$B$78,0),MATCH(C669,'Refined Petro Exp Dist'!$AD$2:$BC$2,0))*INDEX(ref_exp_by_year,MATCH(B669,'Data Export'!$B$6:$B$78,0),1)))</f>
        <v>0</v>
      </c>
      <c r="E669">
        <v>4</v>
      </c>
      <c r="F669" t="s">
        <v>224</v>
      </c>
    </row>
    <row r="670" spans="1:6">
      <c r="A670" t="str">
        <f t="shared" si="10"/>
        <v>GenericE&amp;DtemplateCIandGOA</v>
      </c>
      <c r="B670">
        <v>26</v>
      </c>
      <c r="C670">
        <v>19</v>
      </c>
      <c r="D670" s="649">
        <f ca="1">IF(E670=4,INDEX(crude_exp_dist,MATCH(B670,'Crude Exp Dist'!$B$6:$B$78,0),MATCH(C670,'Crude Exp Dist'!$AD$2:$BC$2,0))*INDEX(crude_exp_by_year,MATCH(B670,'Data Export'!$B$6:$B$78,0),1),IF(E670=5,INDEX(ref_exp_dist,MATCH(B670,'Refined Petro Exp Dist'!$B$6:$B$78,0),MATCH(C670,'Refined Petro Exp Dist'!$AD$2:$BC$2,0))*INDEX(ref_exp_by_year,MATCH(B670,'Data Export'!$B$6:$B$78,0),1)))</f>
        <v>0</v>
      </c>
      <c r="E670">
        <v>4</v>
      </c>
      <c r="F670" t="s">
        <v>228</v>
      </c>
    </row>
    <row r="671" spans="1:6">
      <c r="A671" t="str">
        <f t="shared" si="10"/>
        <v>GenericE&amp;DtemplateCIandGOA</v>
      </c>
      <c r="B671">
        <v>26</v>
      </c>
      <c r="C671">
        <v>20</v>
      </c>
      <c r="D671" s="649">
        <f ca="1">IF(E671=4,INDEX(crude_exp_dist,MATCH(B671,'Crude Exp Dist'!$B$6:$B$78,0),MATCH(C671,'Crude Exp Dist'!$AD$2:$BC$2,0))*INDEX(crude_exp_by_year,MATCH(B671,'Data Export'!$B$6:$B$78,0),1),IF(E671=5,INDEX(ref_exp_dist,MATCH(B671,'Refined Petro Exp Dist'!$B$6:$B$78,0),MATCH(C671,'Refined Petro Exp Dist'!$AD$2:$BC$2,0))*INDEX(ref_exp_by_year,MATCH(B671,'Data Export'!$B$6:$B$78,0),1)))</f>
        <v>0</v>
      </c>
      <c r="E671">
        <v>4</v>
      </c>
      <c r="F671" t="s">
        <v>231</v>
      </c>
    </row>
    <row r="672" spans="1:6">
      <c r="A672" t="str">
        <f t="shared" si="10"/>
        <v>GenericE&amp;DtemplateCIandGOA</v>
      </c>
      <c r="B672">
        <v>26</v>
      </c>
      <c r="C672">
        <v>21</v>
      </c>
      <c r="D672" s="649">
        <f ca="1">IF(E672=4,INDEX(crude_exp_dist,MATCH(B672,'Crude Exp Dist'!$B$6:$B$78,0),MATCH(C672,'Crude Exp Dist'!$AD$2:$BC$2,0))*INDEX(crude_exp_by_year,MATCH(B672,'Data Export'!$B$6:$B$78,0),1),IF(E672=5,INDEX(ref_exp_dist,MATCH(B672,'Refined Petro Exp Dist'!$B$6:$B$78,0),MATCH(C672,'Refined Petro Exp Dist'!$AD$2:$BC$2,0))*INDEX(ref_exp_by_year,MATCH(B672,'Data Export'!$B$6:$B$78,0),1)))</f>
        <v>0</v>
      </c>
      <c r="E672">
        <v>4</v>
      </c>
      <c r="F672" t="s">
        <v>232</v>
      </c>
    </row>
    <row r="673" spans="1:6">
      <c r="A673" t="str">
        <f t="shared" si="10"/>
        <v>GenericE&amp;DtemplateCIandGOA</v>
      </c>
      <c r="B673">
        <v>26</v>
      </c>
      <c r="C673">
        <v>22</v>
      </c>
      <c r="D673" s="649">
        <f ca="1">IF(E673=4,INDEX(crude_exp_dist,MATCH(B673,'Crude Exp Dist'!$B$6:$B$78,0),MATCH(C673,'Crude Exp Dist'!$AD$2:$BC$2,0))*INDEX(crude_exp_by_year,MATCH(B673,'Data Export'!$B$6:$B$78,0),1),IF(E673=5,INDEX(ref_exp_dist,MATCH(B673,'Refined Petro Exp Dist'!$B$6:$B$78,0),MATCH(C673,'Refined Petro Exp Dist'!$AD$2:$BC$2,0))*INDEX(ref_exp_by_year,MATCH(B673,'Data Export'!$B$6:$B$78,0),1)))</f>
        <v>0</v>
      </c>
      <c r="E673">
        <v>4</v>
      </c>
      <c r="F673" t="s">
        <v>235</v>
      </c>
    </row>
    <row r="674" spans="1:6">
      <c r="A674" t="str">
        <f t="shared" si="10"/>
        <v>GenericE&amp;DtemplateCIandGOA</v>
      </c>
      <c r="B674">
        <v>26</v>
      </c>
      <c r="C674">
        <v>23</v>
      </c>
      <c r="D674" s="649">
        <f ca="1">IF(E674=4,INDEX(crude_exp_dist,MATCH(B674,'Crude Exp Dist'!$B$6:$B$78,0),MATCH(C674,'Crude Exp Dist'!$AD$2:$BC$2,0))*INDEX(crude_exp_by_year,MATCH(B674,'Data Export'!$B$6:$B$78,0),1),IF(E674=5,INDEX(ref_exp_dist,MATCH(B674,'Refined Petro Exp Dist'!$B$6:$B$78,0),MATCH(C674,'Refined Petro Exp Dist'!$AD$2:$BC$2,0))*INDEX(ref_exp_by_year,MATCH(B674,'Data Export'!$B$6:$B$78,0),1)))</f>
        <v>0</v>
      </c>
      <c r="E674">
        <v>4</v>
      </c>
      <c r="F674" t="s">
        <v>237</v>
      </c>
    </row>
    <row r="675" spans="1:6">
      <c r="A675" t="str">
        <f t="shared" si="10"/>
        <v>GenericE&amp;DtemplateCIandGOA</v>
      </c>
      <c r="B675">
        <v>26</v>
      </c>
      <c r="C675">
        <v>24</v>
      </c>
      <c r="D675" s="649">
        <f ca="1">IF(E675=4,INDEX(crude_exp_dist,MATCH(B675,'Crude Exp Dist'!$B$6:$B$78,0),MATCH(C675,'Crude Exp Dist'!$AD$2:$BC$2,0))*INDEX(crude_exp_by_year,MATCH(B675,'Data Export'!$B$6:$B$78,0),1),IF(E675=5,INDEX(ref_exp_dist,MATCH(B675,'Refined Petro Exp Dist'!$B$6:$B$78,0),MATCH(C675,'Refined Petro Exp Dist'!$AD$2:$BC$2,0))*INDEX(ref_exp_by_year,MATCH(B675,'Data Export'!$B$6:$B$78,0),1)))</f>
        <v>0</v>
      </c>
      <c r="E675">
        <v>4</v>
      </c>
      <c r="F675" t="s">
        <v>239</v>
      </c>
    </row>
    <row r="676" spans="1:6">
      <c r="A676" t="str">
        <f t="shared" si="10"/>
        <v>GenericE&amp;DtemplateCIandGOA</v>
      </c>
      <c r="B676">
        <v>26</v>
      </c>
      <c r="C676">
        <v>25</v>
      </c>
      <c r="D676" s="649">
        <f ca="1">IF(E676=4,INDEX(crude_exp_dist,MATCH(B676,'Crude Exp Dist'!$B$6:$B$78,0),MATCH(C676,'Crude Exp Dist'!$AD$2:$BC$2,0))*INDEX(crude_exp_by_year,MATCH(B676,'Data Export'!$B$6:$B$78,0),1),IF(E676=5,INDEX(ref_exp_dist,MATCH(B676,'Refined Petro Exp Dist'!$B$6:$B$78,0),MATCH(C676,'Refined Petro Exp Dist'!$AD$2:$BC$2,0))*INDEX(ref_exp_by_year,MATCH(B676,'Data Export'!$B$6:$B$78,0),1)))</f>
        <v>0</v>
      </c>
      <c r="E676">
        <v>4</v>
      </c>
      <c r="F676" t="s">
        <v>242</v>
      </c>
    </row>
    <row r="677" spans="1:6">
      <c r="A677" t="str">
        <f t="shared" si="10"/>
        <v>GenericE&amp;DtemplateCIandGOA</v>
      </c>
      <c r="B677">
        <v>26</v>
      </c>
      <c r="C677">
        <v>26</v>
      </c>
      <c r="D677" s="649">
        <f ca="1">IF(E677=4,INDEX(crude_exp_dist,MATCH(B677,'Crude Exp Dist'!$B$6:$B$78,0),MATCH(C677,'Crude Exp Dist'!$AD$2:$BC$2,0))*INDEX(crude_exp_by_year,MATCH(B677,'Data Export'!$B$6:$B$78,0),1),IF(E677=5,INDEX(ref_exp_dist,MATCH(B677,'Refined Petro Exp Dist'!$B$6:$B$78,0),MATCH(C677,'Refined Petro Exp Dist'!$AD$2:$BC$2,0))*INDEX(ref_exp_by_year,MATCH(B677,'Data Export'!$B$6:$B$78,0),1)))</f>
        <v>0</v>
      </c>
      <c r="E677">
        <v>4</v>
      </c>
      <c r="F677" t="s">
        <v>245</v>
      </c>
    </row>
    <row r="678" spans="1:6">
      <c r="A678" t="str">
        <f t="shared" si="10"/>
        <v>GenericE&amp;DtemplateCIandGOA</v>
      </c>
      <c r="B678">
        <v>27</v>
      </c>
      <c r="C678">
        <v>1</v>
      </c>
      <c r="D678" s="649">
        <f ca="1">IF(E678=4,INDEX(crude_exp_dist,MATCH(B678,'Crude Exp Dist'!$B$6:$B$78,0),MATCH(C678,'Crude Exp Dist'!$AD$2:$BC$2,0))*INDEX(crude_exp_by_year,MATCH(B678,'Data Export'!$B$6:$B$78,0),1),IF(E678=5,INDEX(ref_exp_dist,MATCH(B678,'Refined Petro Exp Dist'!$B$6:$B$78,0),MATCH(C678,'Refined Petro Exp Dist'!$AD$2:$BC$2,0))*INDEX(ref_exp_by_year,MATCH(B678,'Data Export'!$B$6:$B$78,0),1)))</f>
        <v>0</v>
      </c>
      <c r="E678">
        <v>4</v>
      </c>
      <c r="F678" t="s">
        <v>158</v>
      </c>
    </row>
    <row r="679" spans="1:6">
      <c r="A679" t="str">
        <f t="shared" si="10"/>
        <v>GenericE&amp;DtemplateCIandGOA</v>
      </c>
      <c r="B679">
        <v>27</v>
      </c>
      <c r="C679">
        <v>2</v>
      </c>
      <c r="D679" s="649">
        <f ca="1">IF(E679=4,INDEX(crude_exp_dist,MATCH(B679,'Crude Exp Dist'!$B$6:$B$78,0),MATCH(C679,'Crude Exp Dist'!$AD$2:$BC$2,0))*INDEX(crude_exp_by_year,MATCH(B679,'Data Export'!$B$6:$B$78,0),1),IF(E679=5,INDEX(ref_exp_dist,MATCH(B679,'Refined Petro Exp Dist'!$B$6:$B$78,0),MATCH(C679,'Refined Petro Exp Dist'!$AD$2:$BC$2,0))*INDEX(ref_exp_by_year,MATCH(B679,'Data Export'!$B$6:$B$78,0),1)))</f>
        <v>0</v>
      </c>
      <c r="E679">
        <v>4</v>
      </c>
      <c r="F679" t="s">
        <v>166</v>
      </c>
    </row>
    <row r="680" spans="1:6">
      <c r="A680" t="str">
        <f t="shared" si="10"/>
        <v>GenericE&amp;DtemplateCIandGOA</v>
      </c>
      <c r="B680">
        <v>27</v>
      </c>
      <c r="C680">
        <v>3</v>
      </c>
      <c r="D680" s="649">
        <f ca="1">IF(E680=4,INDEX(crude_exp_dist,MATCH(B680,'Crude Exp Dist'!$B$6:$B$78,0),MATCH(C680,'Crude Exp Dist'!$AD$2:$BC$2,0))*INDEX(crude_exp_by_year,MATCH(B680,'Data Export'!$B$6:$B$78,0),1),IF(E680=5,INDEX(ref_exp_dist,MATCH(B680,'Refined Petro Exp Dist'!$B$6:$B$78,0),MATCH(C680,'Refined Petro Exp Dist'!$AD$2:$BC$2,0))*INDEX(ref_exp_by_year,MATCH(B680,'Data Export'!$B$6:$B$78,0),1)))</f>
        <v>0</v>
      </c>
      <c r="E680">
        <v>4</v>
      </c>
      <c r="F680" t="s">
        <v>171</v>
      </c>
    </row>
    <row r="681" spans="1:6">
      <c r="A681" t="str">
        <f t="shared" si="10"/>
        <v>GenericE&amp;DtemplateCIandGOA</v>
      </c>
      <c r="B681">
        <v>27</v>
      </c>
      <c r="C681">
        <v>4</v>
      </c>
      <c r="D681" s="649">
        <f ca="1">IF(E681=4,INDEX(crude_exp_dist,MATCH(B681,'Crude Exp Dist'!$B$6:$B$78,0),MATCH(C681,'Crude Exp Dist'!$AD$2:$BC$2,0))*INDEX(crude_exp_by_year,MATCH(B681,'Data Export'!$B$6:$B$78,0),1),IF(E681=5,INDEX(ref_exp_dist,MATCH(B681,'Refined Petro Exp Dist'!$B$6:$B$78,0),MATCH(C681,'Refined Petro Exp Dist'!$AD$2:$BC$2,0))*INDEX(ref_exp_by_year,MATCH(B681,'Data Export'!$B$6:$B$78,0),1)))</f>
        <v>0</v>
      </c>
      <c r="E681">
        <v>4</v>
      </c>
      <c r="F681" t="s">
        <v>173</v>
      </c>
    </row>
    <row r="682" spans="1:6">
      <c r="A682" t="str">
        <f t="shared" si="10"/>
        <v>GenericE&amp;DtemplateCIandGOA</v>
      </c>
      <c r="B682">
        <v>27</v>
      </c>
      <c r="C682">
        <v>5</v>
      </c>
      <c r="D682" s="649">
        <f ca="1">IF(E682=4,INDEX(crude_exp_dist,MATCH(B682,'Crude Exp Dist'!$B$6:$B$78,0),MATCH(C682,'Crude Exp Dist'!$AD$2:$BC$2,0))*INDEX(crude_exp_by_year,MATCH(B682,'Data Export'!$B$6:$B$78,0),1),IF(E682=5,INDEX(ref_exp_dist,MATCH(B682,'Refined Petro Exp Dist'!$B$6:$B$78,0),MATCH(C682,'Refined Petro Exp Dist'!$AD$2:$BC$2,0))*INDEX(ref_exp_by_year,MATCH(B682,'Data Export'!$B$6:$B$78,0),1)))</f>
        <v>0</v>
      </c>
      <c r="E682">
        <v>4</v>
      </c>
      <c r="F682" t="s">
        <v>180</v>
      </c>
    </row>
    <row r="683" spans="1:6">
      <c r="A683" t="str">
        <f t="shared" si="10"/>
        <v>GenericE&amp;DtemplateCIandGOA</v>
      </c>
      <c r="B683">
        <v>27</v>
      </c>
      <c r="C683">
        <v>6</v>
      </c>
      <c r="D683" s="649">
        <f ca="1">IF(E683=4,INDEX(crude_exp_dist,MATCH(B683,'Crude Exp Dist'!$B$6:$B$78,0),MATCH(C683,'Crude Exp Dist'!$AD$2:$BC$2,0))*INDEX(crude_exp_by_year,MATCH(B683,'Data Export'!$B$6:$B$78,0),1),IF(E683=5,INDEX(ref_exp_dist,MATCH(B683,'Refined Petro Exp Dist'!$B$6:$B$78,0),MATCH(C683,'Refined Petro Exp Dist'!$AD$2:$BC$2,0))*INDEX(ref_exp_by_year,MATCH(B683,'Data Export'!$B$6:$B$78,0),1)))</f>
        <v>0</v>
      </c>
      <c r="E683">
        <v>4</v>
      </c>
      <c r="F683" t="s">
        <v>186</v>
      </c>
    </row>
    <row r="684" spans="1:6">
      <c r="A684" t="str">
        <f t="shared" si="10"/>
        <v>GenericE&amp;DtemplateCIandGOA</v>
      </c>
      <c r="B684">
        <v>27</v>
      </c>
      <c r="C684">
        <v>7</v>
      </c>
      <c r="D684" s="649">
        <f ca="1">IF(E684=4,INDEX(crude_exp_dist,MATCH(B684,'Crude Exp Dist'!$B$6:$B$78,0),MATCH(C684,'Crude Exp Dist'!$AD$2:$BC$2,0))*INDEX(crude_exp_by_year,MATCH(B684,'Data Export'!$B$6:$B$78,0),1),IF(E684=5,INDEX(ref_exp_dist,MATCH(B684,'Refined Petro Exp Dist'!$B$6:$B$78,0),MATCH(C684,'Refined Petro Exp Dist'!$AD$2:$BC$2,0))*INDEX(ref_exp_by_year,MATCH(B684,'Data Export'!$B$6:$B$78,0),1)))</f>
        <v>0</v>
      </c>
      <c r="E684">
        <v>4</v>
      </c>
      <c r="F684" t="s">
        <v>191</v>
      </c>
    </row>
    <row r="685" spans="1:6">
      <c r="A685" t="str">
        <f t="shared" si="10"/>
        <v>GenericE&amp;DtemplateCIandGOA</v>
      </c>
      <c r="B685">
        <v>27</v>
      </c>
      <c r="C685">
        <v>8</v>
      </c>
      <c r="D685" s="649">
        <f ca="1">IF(E685=4,INDEX(crude_exp_dist,MATCH(B685,'Crude Exp Dist'!$B$6:$B$78,0),MATCH(C685,'Crude Exp Dist'!$AD$2:$BC$2,0))*INDEX(crude_exp_by_year,MATCH(B685,'Data Export'!$B$6:$B$78,0),1),IF(E685=5,INDEX(ref_exp_dist,MATCH(B685,'Refined Petro Exp Dist'!$B$6:$B$78,0),MATCH(C685,'Refined Petro Exp Dist'!$AD$2:$BC$2,0))*INDEX(ref_exp_by_year,MATCH(B685,'Data Export'!$B$6:$B$78,0),1)))</f>
        <v>0</v>
      </c>
      <c r="E685">
        <v>4</v>
      </c>
      <c r="F685" t="s">
        <v>197</v>
      </c>
    </row>
    <row r="686" spans="1:6">
      <c r="A686" t="str">
        <f t="shared" si="10"/>
        <v>GenericE&amp;DtemplateCIandGOA</v>
      </c>
      <c r="B686">
        <v>27</v>
      </c>
      <c r="C686">
        <v>9</v>
      </c>
      <c r="D686" s="649">
        <f ca="1">IF(E686=4,INDEX(crude_exp_dist,MATCH(B686,'Crude Exp Dist'!$B$6:$B$78,0),MATCH(C686,'Crude Exp Dist'!$AD$2:$BC$2,0))*INDEX(crude_exp_by_year,MATCH(B686,'Data Export'!$B$6:$B$78,0),1),IF(E686=5,INDEX(ref_exp_dist,MATCH(B686,'Refined Petro Exp Dist'!$B$6:$B$78,0),MATCH(C686,'Refined Petro Exp Dist'!$AD$2:$BC$2,0))*INDEX(ref_exp_by_year,MATCH(B686,'Data Export'!$B$6:$B$78,0),1)))</f>
        <v>0</v>
      </c>
      <c r="E686">
        <v>4</v>
      </c>
      <c r="F686" t="s">
        <v>199</v>
      </c>
    </row>
    <row r="687" spans="1:6">
      <c r="A687" t="str">
        <f t="shared" si="10"/>
        <v>GenericE&amp;DtemplateCIandGOA</v>
      </c>
      <c r="B687">
        <v>27</v>
      </c>
      <c r="C687">
        <v>10</v>
      </c>
      <c r="D687" s="649">
        <f ca="1">IF(E687=4,INDEX(crude_exp_dist,MATCH(B687,'Crude Exp Dist'!$B$6:$B$78,0),MATCH(C687,'Crude Exp Dist'!$AD$2:$BC$2,0))*INDEX(crude_exp_by_year,MATCH(B687,'Data Export'!$B$6:$B$78,0),1),IF(E687=5,INDEX(ref_exp_dist,MATCH(B687,'Refined Petro Exp Dist'!$B$6:$B$78,0),MATCH(C687,'Refined Petro Exp Dist'!$AD$2:$BC$2,0))*INDEX(ref_exp_by_year,MATCH(B687,'Data Export'!$B$6:$B$78,0),1)))</f>
        <v>0</v>
      </c>
      <c r="E687">
        <v>4</v>
      </c>
      <c r="F687" t="s">
        <v>201</v>
      </c>
    </row>
    <row r="688" spans="1:6">
      <c r="A688" t="str">
        <f t="shared" si="10"/>
        <v>GenericE&amp;DtemplateCIandGOA</v>
      </c>
      <c r="B688">
        <v>27</v>
      </c>
      <c r="C688">
        <v>11</v>
      </c>
      <c r="D688" s="649">
        <f ca="1">IF(E688=4,INDEX(crude_exp_dist,MATCH(B688,'Crude Exp Dist'!$B$6:$B$78,0),MATCH(C688,'Crude Exp Dist'!$AD$2:$BC$2,0))*INDEX(crude_exp_by_year,MATCH(B688,'Data Export'!$B$6:$B$78,0),1),IF(E688=5,INDEX(ref_exp_dist,MATCH(B688,'Refined Petro Exp Dist'!$B$6:$B$78,0),MATCH(C688,'Refined Petro Exp Dist'!$AD$2:$BC$2,0))*INDEX(ref_exp_by_year,MATCH(B688,'Data Export'!$B$6:$B$78,0),1)))</f>
        <v>0</v>
      </c>
      <c r="E688">
        <v>4</v>
      </c>
      <c r="F688" t="s">
        <v>921</v>
      </c>
    </row>
    <row r="689" spans="1:6">
      <c r="A689" t="str">
        <f t="shared" si="10"/>
        <v>GenericE&amp;DtemplateCIandGOA</v>
      </c>
      <c r="B689">
        <v>27</v>
      </c>
      <c r="C689">
        <v>12</v>
      </c>
      <c r="D689" s="649">
        <f ca="1">IF(E689=4,INDEX(crude_exp_dist,MATCH(B689,'Crude Exp Dist'!$B$6:$B$78,0),MATCH(C689,'Crude Exp Dist'!$AD$2:$BC$2,0))*INDEX(crude_exp_by_year,MATCH(B689,'Data Export'!$B$6:$B$78,0),1),IF(E689=5,INDEX(ref_exp_dist,MATCH(B689,'Refined Petro Exp Dist'!$B$6:$B$78,0),MATCH(C689,'Refined Petro Exp Dist'!$AD$2:$BC$2,0))*INDEX(ref_exp_by_year,MATCH(B689,'Data Export'!$B$6:$B$78,0),1)))</f>
        <v>0</v>
      </c>
      <c r="E689">
        <v>4</v>
      </c>
      <c r="F689" t="s">
        <v>208</v>
      </c>
    </row>
    <row r="690" spans="1:6">
      <c r="A690" t="str">
        <f t="shared" si="10"/>
        <v>GenericE&amp;DtemplateCIandGOA</v>
      </c>
      <c r="B690">
        <v>27</v>
      </c>
      <c r="C690">
        <v>13</v>
      </c>
      <c r="D690" s="649">
        <f ca="1">IF(E690=4,INDEX(crude_exp_dist,MATCH(B690,'Crude Exp Dist'!$B$6:$B$78,0),MATCH(C690,'Crude Exp Dist'!$AD$2:$BC$2,0))*INDEX(crude_exp_by_year,MATCH(B690,'Data Export'!$B$6:$B$78,0),1),IF(E690=5,INDEX(ref_exp_dist,MATCH(B690,'Refined Petro Exp Dist'!$B$6:$B$78,0),MATCH(C690,'Refined Petro Exp Dist'!$AD$2:$BC$2,0))*INDEX(ref_exp_by_year,MATCH(B690,'Data Export'!$B$6:$B$78,0),1)))</f>
        <v>0</v>
      </c>
      <c r="E690">
        <v>4</v>
      </c>
      <c r="F690" t="s">
        <v>211</v>
      </c>
    </row>
    <row r="691" spans="1:6">
      <c r="A691" t="str">
        <f t="shared" si="10"/>
        <v>GenericE&amp;DtemplateCIandGOA</v>
      </c>
      <c r="B691">
        <v>27</v>
      </c>
      <c r="C691">
        <v>14</v>
      </c>
      <c r="D691" s="649">
        <f ca="1">IF(E691=4,INDEX(crude_exp_dist,MATCH(B691,'Crude Exp Dist'!$B$6:$B$78,0),MATCH(C691,'Crude Exp Dist'!$AD$2:$BC$2,0))*INDEX(crude_exp_by_year,MATCH(B691,'Data Export'!$B$6:$B$78,0),1),IF(E691=5,INDEX(ref_exp_dist,MATCH(B691,'Refined Petro Exp Dist'!$B$6:$B$78,0),MATCH(C691,'Refined Petro Exp Dist'!$AD$2:$BC$2,0))*INDEX(ref_exp_by_year,MATCH(B691,'Data Export'!$B$6:$B$78,0),1)))</f>
        <v>0</v>
      </c>
      <c r="E691">
        <v>4</v>
      </c>
      <c r="F691" t="s">
        <v>213</v>
      </c>
    </row>
    <row r="692" spans="1:6">
      <c r="A692" t="str">
        <f t="shared" si="10"/>
        <v>GenericE&amp;DtemplateCIandGOA</v>
      </c>
      <c r="B692">
        <v>27</v>
      </c>
      <c r="C692">
        <v>15</v>
      </c>
      <c r="D692" s="649">
        <f ca="1">IF(E692=4,INDEX(crude_exp_dist,MATCH(B692,'Crude Exp Dist'!$B$6:$B$78,0),MATCH(C692,'Crude Exp Dist'!$AD$2:$BC$2,0))*INDEX(crude_exp_by_year,MATCH(B692,'Data Export'!$B$6:$B$78,0),1),IF(E692=5,INDEX(ref_exp_dist,MATCH(B692,'Refined Petro Exp Dist'!$B$6:$B$78,0),MATCH(C692,'Refined Petro Exp Dist'!$AD$2:$BC$2,0))*INDEX(ref_exp_by_year,MATCH(B692,'Data Export'!$B$6:$B$78,0),1)))</f>
        <v>0</v>
      </c>
      <c r="E692">
        <v>4</v>
      </c>
      <c r="F692" t="s">
        <v>215</v>
      </c>
    </row>
    <row r="693" spans="1:6">
      <c r="A693" t="str">
        <f t="shared" si="10"/>
        <v>GenericE&amp;DtemplateCIandGOA</v>
      </c>
      <c r="B693">
        <v>27</v>
      </c>
      <c r="C693">
        <v>16</v>
      </c>
      <c r="D693" s="649">
        <f ca="1">IF(E693=4,INDEX(crude_exp_dist,MATCH(B693,'Crude Exp Dist'!$B$6:$B$78,0),MATCH(C693,'Crude Exp Dist'!$AD$2:$BC$2,0))*INDEX(crude_exp_by_year,MATCH(B693,'Data Export'!$B$6:$B$78,0),1),IF(E693=5,INDEX(ref_exp_dist,MATCH(B693,'Refined Petro Exp Dist'!$B$6:$B$78,0),MATCH(C693,'Refined Petro Exp Dist'!$AD$2:$BC$2,0))*INDEX(ref_exp_by_year,MATCH(B693,'Data Export'!$B$6:$B$78,0),1)))</f>
        <v>0</v>
      </c>
      <c r="E693">
        <v>4</v>
      </c>
      <c r="F693" t="s">
        <v>219</v>
      </c>
    </row>
    <row r="694" spans="1:6">
      <c r="A694" t="str">
        <f t="shared" si="10"/>
        <v>GenericE&amp;DtemplateCIandGOA</v>
      </c>
      <c r="B694">
        <v>27</v>
      </c>
      <c r="C694">
        <v>17</v>
      </c>
      <c r="D694" s="649">
        <f ca="1">IF(E694=4,INDEX(crude_exp_dist,MATCH(B694,'Crude Exp Dist'!$B$6:$B$78,0),MATCH(C694,'Crude Exp Dist'!$AD$2:$BC$2,0))*INDEX(crude_exp_by_year,MATCH(B694,'Data Export'!$B$6:$B$78,0),1),IF(E694=5,INDEX(ref_exp_dist,MATCH(B694,'Refined Petro Exp Dist'!$B$6:$B$78,0),MATCH(C694,'Refined Petro Exp Dist'!$AD$2:$BC$2,0))*INDEX(ref_exp_by_year,MATCH(B694,'Data Export'!$B$6:$B$78,0),1)))</f>
        <v>0</v>
      </c>
      <c r="E694">
        <v>4</v>
      </c>
      <c r="F694" t="s">
        <v>222</v>
      </c>
    </row>
    <row r="695" spans="1:6">
      <c r="A695" t="str">
        <f t="shared" si="10"/>
        <v>GenericE&amp;DtemplateCIandGOA</v>
      </c>
      <c r="B695">
        <v>27</v>
      </c>
      <c r="C695">
        <v>18</v>
      </c>
      <c r="D695" s="649">
        <f ca="1">IF(E695=4,INDEX(crude_exp_dist,MATCH(B695,'Crude Exp Dist'!$B$6:$B$78,0),MATCH(C695,'Crude Exp Dist'!$AD$2:$BC$2,0))*INDEX(crude_exp_by_year,MATCH(B695,'Data Export'!$B$6:$B$78,0),1),IF(E695=5,INDEX(ref_exp_dist,MATCH(B695,'Refined Petro Exp Dist'!$B$6:$B$78,0),MATCH(C695,'Refined Petro Exp Dist'!$AD$2:$BC$2,0))*INDEX(ref_exp_by_year,MATCH(B695,'Data Export'!$B$6:$B$78,0),1)))</f>
        <v>0</v>
      </c>
      <c r="E695">
        <v>4</v>
      </c>
      <c r="F695" t="s">
        <v>224</v>
      </c>
    </row>
    <row r="696" spans="1:6">
      <c r="A696" t="str">
        <f t="shared" si="10"/>
        <v>GenericE&amp;DtemplateCIandGOA</v>
      </c>
      <c r="B696">
        <v>27</v>
      </c>
      <c r="C696">
        <v>19</v>
      </c>
      <c r="D696" s="649">
        <f ca="1">IF(E696=4,INDEX(crude_exp_dist,MATCH(B696,'Crude Exp Dist'!$B$6:$B$78,0),MATCH(C696,'Crude Exp Dist'!$AD$2:$BC$2,0))*INDEX(crude_exp_by_year,MATCH(B696,'Data Export'!$B$6:$B$78,0),1),IF(E696=5,INDEX(ref_exp_dist,MATCH(B696,'Refined Petro Exp Dist'!$B$6:$B$78,0),MATCH(C696,'Refined Petro Exp Dist'!$AD$2:$BC$2,0))*INDEX(ref_exp_by_year,MATCH(B696,'Data Export'!$B$6:$B$78,0),1)))</f>
        <v>0</v>
      </c>
      <c r="E696">
        <v>4</v>
      </c>
      <c r="F696" t="s">
        <v>228</v>
      </c>
    </row>
    <row r="697" spans="1:6">
      <c r="A697" t="str">
        <f t="shared" si="10"/>
        <v>GenericE&amp;DtemplateCIandGOA</v>
      </c>
      <c r="B697">
        <v>27</v>
      </c>
      <c r="C697">
        <v>20</v>
      </c>
      <c r="D697" s="649">
        <f ca="1">IF(E697=4,INDEX(crude_exp_dist,MATCH(B697,'Crude Exp Dist'!$B$6:$B$78,0),MATCH(C697,'Crude Exp Dist'!$AD$2:$BC$2,0))*INDEX(crude_exp_by_year,MATCH(B697,'Data Export'!$B$6:$B$78,0),1),IF(E697=5,INDEX(ref_exp_dist,MATCH(B697,'Refined Petro Exp Dist'!$B$6:$B$78,0),MATCH(C697,'Refined Petro Exp Dist'!$AD$2:$BC$2,0))*INDEX(ref_exp_by_year,MATCH(B697,'Data Export'!$B$6:$B$78,0),1)))</f>
        <v>0</v>
      </c>
      <c r="E697">
        <v>4</v>
      </c>
      <c r="F697" t="s">
        <v>231</v>
      </c>
    </row>
    <row r="698" spans="1:6">
      <c r="A698" t="str">
        <f t="shared" si="10"/>
        <v>GenericE&amp;DtemplateCIandGOA</v>
      </c>
      <c r="B698">
        <v>27</v>
      </c>
      <c r="C698">
        <v>21</v>
      </c>
      <c r="D698" s="649">
        <f ca="1">IF(E698=4,INDEX(crude_exp_dist,MATCH(B698,'Crude Exp Dist'!$B$6:$B$78,0),MATCH(C698,'Crude Exp Dist'!$AD$2:$BC$2,0))*INDEX(crude_exp_by_year,MATCH(B698,'Data Export'!$B$6:$B$78,0),1),IF(E698=5,INDEX(ref_exp_dist,MATCH(B698,'Refined Petro Exp Dist'!$B$6:$B$78,0),MATCH(C698,'Refined Petro Exp Dist'!$AD$2:$BC$2,0))*INDEX(ref_exp_by_year,MATCH(B698,'Data Export'!$B$6:$B$78,0),1)))</f>
        <v>0</v>
      </c>
      <c r="E698">
        <v>4</v>
      </c>
      <c r="F698" t="s">
        <v>232</v>
      </c>
    </row>
    <row r="699" spans="1:6">
      <c r="A699" t="str">
        <f t="shared" si="10"/>
        <v>GenericE&amp;DtemplateCIandGOA</v>
      </c>
      <c r="B699">
        <v>27</v>
      </c>
      <c r="C699">
        <v>22</v>
      </c>
      <c r="D699" s="649">
        <f ca="1">IF(E699=4,INDEX(crude_exp_dist,MATCH(B699,'Crude Exp Dist'!$B$6:$B$78,0),MATCH(C699,'Crude Exp Dist'!$AD$2:$BC$2,0))*INDEX(crude_exp_by_year,MATCH(B699,'Data Export'!$B$6:$B$78,0),1),IF(E699=5,INDEX(ref_exp_dist,MATCH(B699,'Refined Petro Exp Dist'!$B$6:$B$78,0),MATCH(C699,'Refined Petro Exp Dist'!$AD$2:$BC$2,0))*INDEX(ref_exp_by_year,MATCH(B699,'Data Export'!$B$6:$B$78,0),1)))</f>
        <v>0</v>
      </c>
      <c r="E699">
        <v>4</v>
      </c>
      <c r="F699" t="s">
        <v>235</v>
      </c>
    </row>
    <row r="700" spans="1:6">
      <c r="A700" t="str">
        <f t="shared" si="10"/>
        <v>GenericE&amp;DtemplateCIandGOA</v>
      </c>
      <c r="B700">
        <v>27</v>
      </c>
      <c r="C700">
        <v>23</v>
      </c>
      <c r="D700" s="649">
        <f ca="1">IF(E700=4,INDEX(crude_exp_dist,MATCH(B700,'Crude Exp Dist'!$B$6:$B$78,0),MATCH(C700,'Crude Exp Dist'!$AD$2:$BC$2,0))*INDEX(crude_exp_by_year,MATCH(B700,'Data Export'!$B$6:$B$78,0),1),IF(E700=5,INDEX(ref_exp_dist,MATCH(B700,'Refined Petro Exp Dist'!$B$6:$B$78,0),MATCH(C700,'Refined Petro Exp Dist'!$AD$2:$BC$2,0))*INDEX(ref_exp_by_year,MATCH(B700,'Data Export'!$B$6:$B$78,0),1)))</f>
        <v>0</v>
      </c>
      <c r="E700">
        <v>4</v>
      </c>
      <c r="F700" t="s">
        <v>237</v>
      </c>
    </row>
    <row r="701" spans="1:6">
      <c r="A701" t="str">
        <f t="shared" si="10"/>
        <v>GenericE&amp;DtemplateCIandGOA</v>
      </c>
      <c r="B701">
        <v>27</v>
      </c>
      <c r="C701">
        <v>24</v>
      </c>
      <c r="D701" s="649">
        <f ca="1">IF(E701=4,INDEX(crude_exp_dist,MATCH(B701,'Crude Exp Dist'!$B$6:$B$78,0),MATCH(C701,'Crude Exp Dist'!$AD$2:$BC$2,0))*INDEX(crude_exp_by_year,MATCH(B701,'Data Export'!$B$6:$B$78,0),1),IF(E701=5,INDEX(ref_exp_dist,MATCH(B701,'Refined Petro Exp Dist'!$B$6:$B$78,0),MATCH(C701,'Refined Petro Exp Dist'!$AD$2:$BC$2,0))*INDEX(ref_exp_by_year,MATCH(B701,'Data Export'!$B$6:$B$78,0),1)))</f>
        <v>0</v>
      </c>
      <c r="E701">
        <v>4</v>
      </c>
      <c r="F701" t="s">
        <v>239</v>
      </c>
    </row>
    <row r="702" spans="1:6">
      <c r="A702" t="str">
        <f t="shared" si="10"/>
        <v>GenericE&amp;DtemplateCIandGOA</v>
      </c>
      <c r="B702">
        <v>27</v>
      </c>
      <c r="C702">
        <v>25</v>
      </c>
      <c r="D702" s="649">
        <f ca="1">IF(E702=4,INDEX(crude_exp_dist,MATCH(B702,'Crude Exp Dist'!$B$6:$B$78,0),MATCH(C702,'Crude Exp Dist'!$AD$2:$BC$2,0))*INDEX(crude_exp_by_year,MATCH(B702,'Data Export'!$B$6:$B$78,0),1),IF(E702=5,INDEX(ref_exp_dist,MATCH(B702,'Refined Petro Exp Dist'!$B$6:$B$78,0),MATCH(C702,'Refined Petro Exp Dist'!$AD$2:$BC$2,0))*INDEX(ref_exp_by_year,MATCH(B702,'Data Export'!$B$6:$B$78,0),1)))</f>
        <v>0</v>
      </c>
      <c r="E702">
        <v>4</v>
      </c>
      <c r="F702" t="s">
        <v>242</v>
      </c>
    </row>
    <row r="703" spans="1:6">
      <c r="A703" t="str">
        <f t="shared" si="10"/>
        <v>GenericE&amp;DtemplateCIandGOA</v>
      </c>
      <c r="B703">
        <v>27</v>
      </c>
      <c r="C703">
        <v>26</v>
      </c>
      <c r="D703" s="649">
        <f ca="1">IF(E703=4,INDEX(crude_exp_dist,MATCH(B703,'Crude Exp Dist'!$B$6:$B$78,0),MATCH(C703,'Crude Exp Dist'!$AD$2:$BC$2,0))*INDEX(crude_exp_by_year,MATCH(B703,'Data Export'!$B$6:$B$78,0),1),IF(E703=5,INDEX(ref_exp_dist,MATCH(B703,'Refined Petro Exp Dist'!$B$6:$B$78,0),MATCH(C703,'Refined Petro Exp Dist'!$AD$2:$BC$2,0))*INDEX(ref_exp_by_year,MATCH(B703,'Data Export'!$B$6:$B$78,0),1)))</f>
        <v>0</v>
      </c>
      <c r="E703">
        <v>4</v>
      </c>
      <c r="F703" t="s">
        <v>245</v>
      </c>
    </row>
    <row r="704" spans="1:6">
      <c r="A704" t="str">
        <f t="shared" si="10"/>
        <v>GenericE&amp;DtemplateCIandGOA</v>
      </c>
      <c r="B704">
        <v>28</v>
      </c>
      <c r="C704">
        <v>1</v>
      </c>
      <c r="D704" s="649">
        <f ca="1">IF(E704=4,INDEX(crude_exp_dist,MATCH(B704,'Crude Exp Dist'!$B$6:$B$78,0),MATCH(C704,'Crude Exp Dist'!$AD$2:$BC$2,0))*INDEX(crude_exp_by_year,MATCH(B704,'Data Export'!$B$6:$B$78,0),1),IF(E704=5,INDEX(ref_exp_dist,MATCH(B704,'Refined Petro Exp Dist'!$B$6:$B$78,0),MATCH(C704,'Refined Petro Exp Dist'!$AD$2:$BC$2,0))*INDEX(ref_exp_by_year,MATCH(B704,'Data Export'!$B$6:$B$78,0),1)))</f>
        <v>0</v>
      </c>
      <c r="E704">
        <v>4</v>
      </c>
      <c r="F704" t="s">
        <v>158</v>
      </c>
    </row>
    <row r="705" spans="1:6">
      <c r="A705" t="str">
        <f t="shared" si="10"/>
        <v>GenericE&amp;DtemplateCIandGOA</v>
      </c>
      <c r="B705">
        <v>28</v>
      </c>
      <c r="C705">
        <v>2</v>
      </c>
      <c r="D705" s="649">
        <f ca="1">IF(E705=4,INDEX(crude_exp_dist,MATCH(B705,'Crude Exp Dist'!$B$6:$B$78,0),MATCH(C705,'Crude Exp Dist'!$AD$2:$BC$2,0))*INDEX(crude_exp_by_year,MATCH(B705,'Data Export'!$B$6:$B$78,0),1),IF(E705=5,INDEX(ref_exp_dist,MATCH(B705,'Refined Petro Exp Dist'!$B$6:$B$78,0),MATCH(C705,'Refined Petro Exp Dist'!$AD$2:$BC$2,0))*INDEX(ref_exp_by_year,MATCH(B705,'Data Export'!$B$6:$B$78,0),1)))</f>
        <v>0</v>
      </c>
      <c r="E705">
        <v>4</v>
      </c>
      <c r="F705" t="s">
        <v>166</v>
      </c>
    </row>
    <row r="706" spans="1:6">
      <c r="A706" t="str">
        <f t="shared" ref="A706:A769" si="11">scenario_name</f>
        <v>GenericE&amp;DtemplateCIandGOA</v>
      </c>
      <c r="B706">
        <v>28</v>
      </c>
      <c r="C706">
        <v>3</v>
      </c>
      <c r="D706" s="649">
        <f ca="1">IF(E706=4,INDEX(crude_exp_dist,MATCH(B706,'Crude Exp Dist'!$B$6:$B$78,0),MATCH(C706,'Crude Exp Dist'!$AD$2:$BC$2,0))*INDEX(crude_exp_by_year,MATCH(B706,'Data Export'!$B$6:$B$78,0),1),IF(E706=5,INDEX(ref_exp_dist,MATCH(B706,'Refined Petro Exp Dist'!$B$6:$B$78,0),MATCH(C706,'Refined Petro Exp Dist'!$AD$2:$BC$2,0))*INDEX(ref_exp_by_year,MATCH(B706,'Data Export'!$B$6:$B$78,0),1)))</f>
        <v>0</v>
      </c>
      <c r="E706">
        <v>4</v>
      </c>
      <c r="F706" t="s">
        <v>171</v>
      </c>
    </row>
    <row r="707" spans="1:6">
      <c r="A707" t="str">
        <f t="shared" si="11"/>
        <v>GenericE&amp;DtemplateCIandGOA</v>
      </c>
      <c r="B707">
        <v>28</v>
      </c>
      <c r="C707">
        <v>4</v>
      </c>
      <c r="D707" s="649">
        <f ca="1">IF(E707=4,INDEX(crude_exp_dist,MATCH(B707,'Crude Exp Dist'!$B$6:$B$78,0),MATCH(C707,'Crude Exp Dist'!$AD$2:$BC$2,0))*INDEX(crude_exp_by_year,MATCH(B707,'Data Export'!$B$6:$B$78,0),1),IF(E707=5,INDEX(ref_exp_dist,MATCH(B707,'Refined Petro Exp Dist'!$B$6:$B$78,0),MATCH(C707,'Refined Petro Exp Dist'!$AD$2:$BC$2,0))*INDEX(ref_exp_by_year,MATCH(B707,'Data Export'!$B$6:$B$78,0),1)))</f>
        <v>0</v>
      </c>
      <c r="E707">
        <v>4</v>
      </c>
      <c r="F707" t="s">
        <v>173</v>
      </c>
    </row>
    <row r="708" spans="1:6">
      <c r="A708" t="str">
        <f t="shared" si="11"/>
        <v>GenericE&amp;DtemplateCIandGOA</v>
      </c>
      <c r="B708">
        <v>28</v>
      </c>
      <c r="C708">
        <v>5</v>
      </c>
      <c r="D708" s="649">
        <f ca="1">IF(E708=4,INDEX(crude_exp_dist,MATCH(B708,'Crude Exp Dist'!$B$6:$B$78,0),MATCH(C708,'Crude Exp Dist'!$AD$2:$BC$2,0))*INDEX(crude_exp_by_year,MATCH(B708,'Data Export'!$B$6:$B$78,0),1),IF(E708=5,INDEX(ref_exp_dist,MATCH(B708,'Refined Petro Exp Dist'!$B$6:$B$78,0),MATCH(C708,'Refined Petro Exp Dist'!$AD$2:$BC$2,0))*INDEX(ref_exp_by_year,MATCH(B708,'Data Export'!$B$6:$B$78,0),1)))</f>
        <v>0</v>
      </c>
      <c r="E708">
        <v>4</v>
      </c>
      <c r="F708" t="s">
        <v>180</v>
      </c>
    </row>
    <row r="709" spans="1:6">
      <c r="A709" t="str">
        <f t="shared" si="11"/>
        <v>GenericE&amp;DtemplateCIandGOA</v>
      </c>
      <c r="B709">
        <v>28</v>
      </c>
      <c r="C709">
        <v>6</v>
      </c>
      <c r="D709" s="649">
        <f ca="1">IF(E709=4,INDEX(crude_exp_dist,MATCH(B709,'Crude Exp Dist'!$B$6:$B$78,0),MATCH(C709,'Crude Exp Dist'!$AD$2:$BC$2,0))*INDEX(crude_exp_by_year,MATCH(B709,'Data Export'!$B$6:$B$78,0),1),IF(E709=5,INDEX(ref_exp_dist,MATCH(B709,'Refined Petro Exp Dist'!$B$6:$B$78,0),MATCH(C709,'Refined Petro Exp Dist'!$AD$2:$BC$2,0))*INDEX(ref_exp_by_year,MATCH(B709,'Data Export'!$B$6:$B$78,0),1)))</f>
        <v>0</v>
      </c>
      <c r="E709">
        <v>4</v>
      </c>
      <c r="F709" t="s">
        <v>186</v>
      </c>
    </row>
    <row r="710" spans="1:6">
      <c r="A710" t="str">
        <f t="shared" si="11"/>
        <v>GenericE&amp;DtemplateCIandGOA</v>
      </c>
      <c r="B710">
        <v>28</v>
      </c>
      <c r="C710">
        <v>7</v>
      </c>
      <c r="D710" s="649">
        <f ca="1">IF(E710=4,INDEX(crude_exp_dist,MATCH(B710,'Crude Exp Dist'!$B$6:$B$78,0),MATCH(C710,'Crude Exp Dist'!$AD$2:$BC$2,0))*INDEX(crude_exp_by_year,MATCH(B710,'Data Export'!$B$6:$B$78,0),1),IF(E710=5,INDEX(ref_exp_dist,MATCH(B710,'Refined Petro Exp Dist'!$B$6:$B$78,0),MATCH(C710,'Refined Petro Exp Dist'!$AD$2:$BC$2,0))*INDEX(ref_exp_by_year,MATCH(B710,'Data Export'!$B$6:$B$78,0),1)))</f>
        <v>0</v>
      </c>
      <c r="E710">
        <v>4</v>
      </c>
      <c r="F710" t="s">
        <v>191</v>
      </c>
    </row>
    <row r="711" spans="1:6">
      <c r="A711" t="str">
        <f t="shared" si="11"/>
        <v>GenericE&amp;DtemplateCIandGOA</v>
      </c>
      <c r="B711">
        <v>28</v>
      </c>
      <c r="C711">
        <v>8</v>
      </c>
      <c r="D711" s="649">
        <f ca="1">IF(E711=4,INDEX(crude_exp_dist,MATCH(B711,'Crude Exp Dist'!$B$6:$B$78,0),MATCH(C711,'Crude Exp Dist'!$AD$2:$BC$2,0))*INDEX(crude_exp_by_year,MATCH(B711,'Data Export'!$B$6:$B$78,0),1),IF(E711=5,INDEX(ref_exp_dist,MATCH(B711,'Refined Petro Exp Dist'!$B$6:$B$78,0),MATCH(C711,'Refined Petro Exp Dist'!$AD$2:$BC$2,0))*INDEX(ref_exp_by_year,MATCH(B711,'Data Export'!$B$6:$B$78,0),1)))</f>
        <v>0</v>
      </c>
      <c r="E711">
        <v>4</v>
      </c>
      <c r="F711" t="s">
        <v>197</v>
      </c>
    </row>
    <row r="712" spans="1:6">
      <c r="A712" t="str">
        <f t="shared" si="11"/>
        <v>GenericE&amp;DtemplateCIandGOA</v>
      </c>
      <c r="B712">
        <v>28</v>
      </c>
      <c r="C712">
        <v>9</v>
      </c>
      <c r="D712" s="649">
        <f ca="1">IF(E712=4,INDEX(crude_exp_dist,MATCH(B712,'Crude Exp Dist'!$B$6:$B$78,0),MATCH(C712,'Crude Exp Dist'!$AD$2:$BC$2,0))*INDEX(crude_exp_by_year,MATCH(B712,'Data Export'!$B$6:$B$78,0),1),IF(E712=5,INDEX(ref_exp_dist,MATCH(B712,'Refined Petro Exp Dist'!$B$6:$B$78,0),MATCH(C712,'Refined Petro Exp Dist'!$AD$2:$BC$2,0))*INDEX(ref_exp_by_year,MATCH(B712,'Data Export'!$B$6:$B$78,0),1)))</f>
        <v>0</v>
      </c>
      <c r="E712">
        <v>4</v>
      </c>
      <c r="F712" t="s">
        <v>199</v>
      </c>
    </row>
    <row r="713" spans="1:6">
      <c r="A713" t="str">
        <f t="shared" si="11"/>
        <v>GenericE&amp;DtemplateCIandGOA</v>
      </c>
      <c r="B713">
        <v>28</v>
      </c>
      <c r="C713">
        <v>10</v>
      </c>
      <c r="D713" s="649">
        <f ca="1">IF(E713=4,INDEX(crude_exp_dist,MATCH(B713,'Crude Exp Dist'!$B$6:$B$78,0),MATCH(C713,'Crude Exp Dist'!$AD$2:$BC$2,0))*INDEX(crude_exp_by_year,MATCH(B713,'Data Export'!$B$6:$B$78,0),1),IF(E713=5,INDEX(ref_exp_dist,MATCH(B713,'Refined Petro Exp Dist'!$B$6:$B$78,0),MATCH(C713,'Refined Petro Exp Dist'!$AD$2:$BC$2,0))*INDEX(ref_exp_by_year,MATCH(B713,'Data Export'!$B$6:$B$78,0),1)))</f>
        <v>0</v>
      </c>
      <c r="E713">
        <v>4</v>
      </c>
      <c r="F713" t="s">
        <v>201</v>
      </c>
    </row>
    <row r="714" spans="1:6">
      <c r="A714" t="str">
        <f t="shared" si="11"/>
        <v>GenericE&amp;DtemplateCIandGOA</v>
      </c>
      <c r="B714">
        <v>28</v>
      </c>
      <c r="C714">
        <v>11</v>
      </c>
      <c r="D714" s="649">
        <f ca="1">IF(E714=4,INDEX(crude_exp_dist,MATCH(B714,'Crude Exp Dist'!$B$6:$B$78,0),MATCH(C714,'Crude Exp Dist'!$AD$2:$BC$2,0))*INDEX(crude_exp_by_year,MATCH(B714,'Data Export'!$B$6:$B$78,0),1),IF(E714=5,INDEX(ref_exp_dist,MATCH(B714,'Refined Petro Exp Dist'!$B$6:$B$78,0),MATCH(C714,'Refined Petro Exp Dist'!$AD$2:$BC$2,0))*INDEX(ref_exp_by_year,MATCH(B714,'Data Export'!$B$6:$B$78,0),1)))</f>
        <v>0</v>
      </c>
      <c r="E714">
        <v>4</v>
      </c>
      <c r="F714" t="s">
        <v>921</v>
      </c>
    </row>
    <row r="715" spans="1:6">
      <c r="A715" t="str">
        <f t="shared" si="11"/>
        <v>GenericE&amp;DtemplateCIandGOA</v>
      </c>
      <c r="B715">
        <v>28</v>
      </c>
      <c r="C715">
        <v>12</v>
      </c>
      <c r="D715" s="649">
        <f ca="1">IF(E715=4,INDEX(crude_exp_dist,MATCH(B715,'Crude Exp Dist'!$B$6:$B$78,0),MATCH(C715,'Crude Exp Dist'!$AD$2:$BC$2,0))*INDEX(crude_exp_by_year,MATCH(B715,'Data Export'!$B$6:$B$78,0),1),IF(E715=5,INDEX(ref_exp_dist,MATCH(B715,'Refined Petro Exp Dist'!$B$6:$B$78,0),MATCH(C715,'Refined Petro Exp Dist'!$AD$2:$BC$2,0))*INDEX(ref_exp_by_year,MATCH(B715,'Data Export'!$B$6:$B$78,0),1)))</f>
        <v>0</v>
      </c>
      <c r="E715">
        <v>4</v>
      </c>
      <c r="F715" t="s">
        <v>208</v>
      </c>
    </row>
    <row r="716" spans="1:6">
      <c r="A716" t="str">
        <f t="shared" si="11"/>
        <v>GenericE&amp;DtemplateCIandGOA</v>
      </c>
      <c r="B716">
        <v>28</v>
      </c>
      <c r="C716">
        <v>13</v>
      </c>
      <c r="D716" s="649">
        <f ca="1">IF(E716=4,INDEX(crude_exp_dist,MATCH(B716,'Crude Exp Dist'!$B$6:$B$78,0),MATCH(C716,'Crude Exp Dist'!$AD$2:$BC$2,0))*INDEX(crude_exp_by_year,MATCH(B716,'Data Export'!$B$6:$B$78,0),1),IF(E716=5,INDEX(ref_exp_dist,MATCH(B716,'Refined Petro Exp Dist'!$B$6:$B$78,0),MATCH(C716,'Refined Petro Exp Dist'!$AD$2:$BC$2,0))*INDEX(ref_exp_by_year,MATCH(B716,'Data Export'!$B$6:$B$78,0),1)))</f>
        <v>0</v>
      </c>
      <c r="E716">
        <v>4</v>
      </c>
      <c r="F716" t="s">
        <v>211</v>
      </c>
    </row>
    <row r="717" spans="1:6">
      <c r="A717" t="str">
        <f t="shared" si="11"/>
        <v>GenericE&amp;DtemplateCIandGOA</v>
      </c>
      <c r="B717">
        <v>28</v>
      </c>
      <c r="C717">
        <v>14</v>
      </c>
      <c r="D717" s="649">
        <f ca="1">IF(E717=4,INDEX(crude_exp_dist,MATCH(B717,'Crude Exp Dist'!$B$6:$B$78,0),MATCH(C717,'Crude Exp Dist'!$AD$2:$BC$2,0))*INDEX(crude_exp_by_year,MATCH(B717,'Data Export'!$B$6:$B$78,0),1),IF(E717=5,INDEX(ref_exp_dist,MATCH(B717,'Refined Petro Exp Dist'!$B$6:$B$78,0),MATCH(C717,'Refined Petro Exp Dist'!$AD$2:$BC$2,0))*INDEX(ref_exp_by_year,MATCH(B717,'Data Export'!$B$6:$B$78,0),1)))</f>
        <v>0</v>
      </c>
      <c r="E717">
        <v>4</v>
      </c>
      <c r="F717" t="s">
        <v>213</v>
      </c>
    </row>
    <row r="718" spans="1:6">
      <c r="A718" t="str">
        <f t="shared" si="11"/>
        <v>GenericE&amp;DtemplateCIandGOA</v>
      </c>
      <c r="B718">
        <v>28</v>
      </c>
      <c r="C718">
        <v>15</v>
      </c>
      <c r="D718" s="649">
        <f ca="1">IF(E718=4,INDEX(crude_exp_dist,MATCH(B718,'Crude Exp Dist'!$B$6:$B$78,0),MATCH(C718,'Crude Exp Dist'!$AD$2:$BC$2,0))*INDEX(crude_exp_by_year,MATCH(B718,'Data Export'!$B$6:$B$78,0),1),IF(E718=5,INDEX(ref_exp_dist,MATCH(B718,'Refined Petro Exp Dist'!$B$6:$B$78,0),MATCH(C718,'Refined Petro Exp Dist'!$AD$2:$BC$2,0))*INDEX(ref_exp_by_year,MATCH(B718,'Data Export'!$B$6:$B$78,0),1)))</f>
        <v>0</v>
      </c>
      <c r="E718">
        <v>4</v>
      </c>
      <c r="F718" t="s">
        <v>215</v>
      </c>
    </row>
    <row r="719" spans="1:6">
      <c r="A719" t="str">
        <f t="shared" si="11"/>
        <v>GenericE&amp;DtemplateCIandGOA</v>
      </c>
      <c r="B719">
        <v>28</v>
      </c>
      <c r="C719">
        <v>16</v>
      </c>
      <c r="D719" s="649">
        <f ca="1">IF(E719=4,INDEX(crude_exp_dist,MATCH(B719,'Crude Exp Dist'!$B$6:$B$78,0),MATCH(C719,'Crude Exp Dist'!$AD$2:$BC$2,0))*INDEX(crude_exp_by_year,MATCH(B719,'Data Export'!$B$6:$B$78,0),1),IF(E719=5,INDEX(ref_exp_dist,MATCH(B719,'Refined Petro Exp Dist'!$B$6:$B$78,0),MATCH(C719,'Refined Petro Exp Dist'!$AD$2:$BC$2,0))*INDEX(ref_exp_by_year,MATCH(B719,'Data Export'!$B$6:$B$78,0),1)))</f>
        <v>0</v>
      </c>
      <c r="E719">
        <v>4</v>
      </c>
      <c r="F719" t="s">
        <v>219</v>
      </c>
    </row>
    <row r="720" spans="1:6">
      <c r="A720" t="str">
        <f t="shared" si="11"/>
        <v>GenericE&amp;DtemplateCIandGOA</v>
      </c>
      <c r="B720">
        <v>28</v>
      </c>
      <c r="C720">
        <v>17</v>
      </c>
      <c r="D720" s="649">
        <f ca="1">IF(E720=4,INDEX(crude_exp_dist,MATCH(B720,'Crude Exp Dist'!$B$6:$B$78,0),MATCH(C720,'Crude Exp Dist'!$AD$2:$BC$2,0))*INDEX(crude_exp_by_year,MATCH(B720,'Data Export'!$B$6:$B$78,0),1),IF(E720=5,INDEX(ref_exp_dist,MATCH(B720,'Refined Petro Exp Dist'!$B$6:$B$78,0),MATCH(C720,'Refined Petro Exp Dist'!$AD$2:$BC$2,0))*INDEX(ref_exp_by_year,MATCH(B720,'Data Export'!$B$6:$B$78,0),1)))</f>
        <v>0</v>
      </c>
      <c r="E720">
        <v>4</v>
      </c>
      <c r="F720" t="s">
        <v>222</v>
      </c>
    </row>
    <row r="721" spans="1:6">
      <c r="A721" t="str">
        <f t="shared" si="11"/>
        <v>GenericE&amp;DtemplateCIandGOA</v>
      </c>
      <c r="B721">
        <v>28</v>
      </c>
      <c r="C721">
        <v>18</v>
      </c>
      <c r="D721" s="649">
        <f ca="1">IF(E721=4,INDEX(crude_exp_dist,MATCH(B721,'Crude Exp Dist'!$B$6:$B$78,0),MATCH(C721,'Crude Exp Dist'!$AD$2:$BC$2,0))*INDEX(crude_exp_by_year,MATCH(B721,'Data Export'!$B$6:$B$78,0),1),IF(E721=5,INDEX(ref_exp_dist,MATCH(B721,'Refined Petro Exp Dist'!$B$6:$B$78,0),MATCH(C721,'Refined Petro Exp Dist'!$AD$2:$BC$2,0))*INDEX(ref_exp_by_year,MATCH(B721,'Data Export'!$B$6:$B$78,0),1)))</f>
        <v>0</v>
      </c>
      <c r="E721">
        <v>4</v>
      </c>
      <c r="F721" t="s">
        <v>224</v>
      </c>
    </row>
    <row r="722" spans="1:6">
      <c r="A722" t="str">
        <f t="shared" si="11"/>
        <v>GenericE&amp;DtemplateCIandGOA</v>
      </c>
      <c r="B722">
        <v>28</v>
      </c>
      <c r="C722">
        <v>19</v>
      </c>
      <c r="D722" s="649">
        <f ca="1">IF(E722=4,INDEX(crude_exp_dist,MATCH(B722,'Crude Exp Dist'!$B$6:$B$78,0),MATCH(C722,'Crude Exp Dist'!$AD$2:$BC$2,0))*INDEX(crude_exp_by_year,MATCH(B722,'Data Export'!$B$6:$B$78,0),1),IF(E722=5,INDEX(ref_exp_dist,MATCH(B722,'Refined Petro Exp Dist'!$B$6:$B$78,0),MATCH(C722,'Refined Petro Exp Dist'!$AD$2:$BC$2,0))*INDEX(ref_exp_by_year,MATCH(B722,'Data Export'!$B$6:$B$78,0),1)))</f>
        <v>0</v>
      </c>
      <c r="E722">
        <v>4</v>
      </c>
      <c r="F722" t="s">
        <v>228</v>
      </c>
    </row>
    <row r="723" spans="1:6">
      <c r="A723" t="str">
        <f t="shared" si="11"/>
        <v>GenericE&amp;DtemplateCIandGOA</v>
      </c>
      <c r="B723">
        <v>28</v>
      </c>
      <c r="C723">
        <v>20</v>
      </c>
      <c r="D723" s="649">
        <f ca="1">IF(E723=4,INDEX(crude_exp_dist,MATCH(B723,'Crude Exp Dist'!$B$6:$B$78,0),MATCH(C723,'Crude Exp Dist'!$AD$2:$BC$2,0))*INDEX(crude_exp_by_year,MATCH(B723,'Data Export'!$B$6:$B$78,0),1),IF(E723=5,INDEX(ref_exp_dist,MATCH(B723,'Refined Petro Exp Dist'!$B$6:$B$78,0),MATCH(C723,'Refined Petro Exp Dist'!$AD$2:$BC$2,0))*INDEX(ref_exp_by_year,MATCH(B723,'Data Export'!$B$6:$B$78,0),1)))</f>
        <v>0</v>
      </c>
      <c r="E723">
        <v>4</v>
      </c>
      <c r="F723" t="s">
        <v>231</v>
      </c>
    </row>
    <row r="724" spans="1:6">
      <c r="A724" t="str">
        <f t="shared" si="11"/>
        <v>GenericE&amp;DtemplateCIandGOA</v>
      </c>
      <c r="B724">
        <v>28</v>
      </c>
      <c r="C724">
        <v>21</v>
      </c>
      <c r="D724" s="649">
        <f ca="1">IF(E724=4,INDEX(crude_exp_dist,MATCH(B724,'Crude Exp Dist'!$B$6:$B$78,0),MATCH(C724,'Crude Exp Dist'!$AD$2:$BC$2,0))*INDEX(crude_exp_by_year,MATCH(B724,'Data Export'!$B$6:$B$78,0),1),IF(E724=5,INDEX(ref_exp_dist,MATCH(B724,'Refined Petro Exp Dist'!$B$6:$B$78,0),MATCH(C724,'Refined Petro Exp Dist'!$AD$2:$BC$2,0))*INDEX(ref_exp_by_year,MATCH(B724,'Data Export'!$B$6:$B$78,0),1)))</f>
        <v>0</v>
      </c>
      <c r="E724">
        <v>4</v>
      </c>
      <c r="F724" t="s">
        <v>232</v>
      </c>
    </row>
    <row r="725" spans="1:6">
      <c r="A725" t="str">
        <f t="shared" si="11"/>
        <v>GenericE&amp;DtemplateCIandGOA</v>
      </c>
      <c r="B725">
        <v>28</v>
      </c>
      <c r="C725">
        <v>22</v>
      </c>
      <c r="D725" s="649">
        <f ca="1">IF(E725=4,INDEX(crude_exp_dist,MATCH(B725,'Crude Exp Dist'!$B$6:$B$78,0),MATCH(C725,'Crude Exp Dist'!$AD$2:$BC$2,0))*INDEX(crude_exp_by_year,MATCH(B725,'Data Export'!$B$6:$B$78,0),1),IF(E725=5,INDEX(ref_exp_dist,MATCH(B725,'Refined Petro Exp Dist'!$B$6:$B$78,0),MATCH(C725,'Refined Petro Exp Dist'!$AD$2:$BC$2,0))*INDEX(ref_exp_by_year,MATCH(B725,'Data Export'!$B$6:$B$78,0),1)))</f>
        <v>0</v>
      </c>
      <c r="E725">
        <v>4</v>
      </c>
      <c r="F725" t="s">
        <v>235</v>
      </c>
    </row>
    <row r="726" spans="1:6">
      <c r="A726" t="str">
        <f t="shared" si="11"/>
        <v>GenericE&amp;DtemplateCIandGOA</v>
      </c>
      <c r="B726">
        <v>28</v>
      </c>
      <c r="C726">
        <v>23</v>
      </c>
      <c r="D726" s="649">
        <f ca="1">IF(E726=4,INDEX(crude_exp_dist,MATCH(B726,'Crude Exp Dist'!$B$6:$B$78,0),MATCH(C726,'Crude Exp Dist'!$AD$2:$BC$2,0))*INDEX(crude_exp_by_year,MATCH(B726,'Data Export'!$B$6:$B$78,0),1),IF(E726=5,INDEX(ref_exp_dist,MATCH(B726,'Refined Petro Exp Dist'!$B$6:$B$78,0),MATCH(C726,'Refined Petro Exp Dist'!$AD$2:$BC$2,0))*INDEX(ref_exp_by_year,MATCH(B726,'Data Export'!$B$6:$B$78,0),1)))</f>
        <v>0</v>
      </c>
      <c r="E726">
        <v>4</v>
      </c>
      <c r="F726" t="s">
        <v>237</v>
      </c>
    </row>
    <row r="727" spans="1:6">
      <c r="A727" t="str">
        <f t="shared" si="11"/>
        <v>GenericE&amp;DtemplateCIandGOA</v>
      </c>
      <c r="B727">
        <v>28</v>
      </c>
      <c r="C727">
        <v>24</v>
      </c>
      <c r="D727" s="649">
        <f ca="1">IF(E727=4,INDEX(crude_exp_dist,MATCH(B727,'Crude Exp Dist'!$B$6:$B$78,0),MATCH(C727,'Crude Exp Dist'!$AD$2:$BC$2,0))*INDEX(crude_exp_by_year,MATCH(B727,'Data Export'!$B$6:$B$78,0),1),IF(E727=5,INDEX(ref_exp_dist,MATCH(B727,'Refined Petro Exp Dist'!$B$6:$B$78,0),MATCH(C727,'Refined Petro Exp Dist'!$AD$2:$BC$2,0))*INDEX(ref_exp_by_year,MATCH(B727,'Data Export'!$B$6:$B$78,0),1)))</f>
        <v>0</v>
      </c>
      <c r="E727">
        <v>4</v>
      </c>
      <c r="F727" t="s">
        <v>239</v>
      </c>
    </row>
    <row r="728" spans="1:6">
      <c r="A728" t="str">
        <f t="shared" si="11"/>
        <v>GenericE&amp;DtemplateCIandGOA</v>
      </c>
      <c r="B728">
        <v>28</v>
      </c>
      <c r="C728">
        <v>25</v>
      </c>
      <c r="D728" s="649">
        <f ca="1">IF(E728=4,INDEX(crude_exp_dist,MATCH(B728,'Crude Exp Dist'!$B$6:$B$78,0),MATCH(C728,'Crude Exp Dist'!$AD$2:$BC$2,0))*INDEX(crude_exp_by_year,MATCH(B728,'Data Export'!$B$6:$B$78,0),1),IF(E728=5,INDEX(ref_exp_dist,MATCH(B728,'Refined Petro Exp Dist'!$B$6:$B$78,0),MATCH(C728,'Refined Petro Exp Dist'!$AD$2:$BC$2,0))*INDEX(ref_exp_by_year,MATCH(B728,'Data Export'!$B$6:$B$78,0),1)))</f>
        <v>0</v>
      </c>
      <c r="E728">
        <v>4</v>
      </c>
      <c r="F728" t="s">
        <v>242</v>
      </c>
    </row>
    <row r="729" spans="1:6">
      <c r="A729" t="str">
        <f t="shared" si="11"/>
        <v>GenericE&amp;DtemplateCIandGOA</v>
      </c>
      <c r="B729">
        <v>28</v>
      </c>
      <c r="C729">
        <v>26</v>
      </c>
      <c r="D729" s="649">
        <f ca="1">IF(E729=4,INDEX(crude_exp_dist,MATCH(B729,'Crude Exp Dist'!$B$6:$B$78,0),MATCH(C729,'Crude Exp Dist'!$AD$2:$BC$2,0))*INDEX(crude_exp_by_year,MATCH(B729,'Data Export'!$B$6:$B$78,0),1),IF(E729=5,INDEX(ref_exp_dist,MATCH(B729,'Refined Petro Exp Dist'!$B$6:$B$78,0),MATCH(C729,'Refined Petro Exp Dist'!$AD$2:$BC$2,0))*INDEX(ref_exp_by_year,MATCH(B729,'Data Export'!$B$6:$B$78,0),1)))</f>
        <v>0</v>
      </c>
      <c r="E729">
        <v>4</v>
      </c>
      <c r="F729" t="s">
        <v>245</v>
      </c>
    </row>
    <row r="730" spans="1:6">
      <c r="A730" t="str">
        <f t="shared" si="11"/>
        <v>GenericE&amp;DtemplateCIandGOA</v>
      </c>
      <c r="B730">
        <v>29</v>
      </c>
      <c r="C730">
        <v>1</v>
      </c>
      <c r="D730" s="649">
        <f ca="1">IF(E730=4,INDEX(crude_exp_dist,MATCH(B730,'Crude Exp Dist'!$B$6:$B$78,0),MATCH(C730,'Crude Exp Dist'!$AD$2:$BC$2,0))*INDEX(crude_exp_by_year,MATCH(B730,'Data Export'!$B$6:$B$78,0),1),IF(E730=5,INDEX(ref_exp_dist,MATCH(B730,'Refined Petro Exp Dist'!$B$6:$B$78,0),MATCH(C730,'Refined Petro Exp Dist'!$AD$2:$BC$2,0))*INDEX(ref_exp_by_year,MATCH(B730,'Data Export'!$B$6:$B$78,0),1)))</f>
        <v>0</v>
      </c>
      <c r="E730">
        <v>4</v>
      </c>
      <c r="F730" t="s">
        <v>158</v>
      </c>
    </row>
    <row r="731" spans="1:6">
      <c r="A731" t="str">
        <f t="shared" si="11"/>
        <v>GenericE&amp;DtemplateCIandGOA</v>
      </c>
      <c r="B731">
        <v>29</v>
      </c>
      <c r="C731">
        <v>2</v>
      </c>
      <c r="D731" s="649">
        <f ca="1">IF(E731=4,INDEX(crude_exp_dist,MATCH(B731,'Crude Exp Dist'!$B$6:$B$78,0),MATCH(C731,'Crude Exp Dist'!$AD$2:$BC$2,0))*INDEX(crude_exp_by_year,MATCH(B731,'Data Export'!$B$6:$B$78,0),1),IF(E731=5,INDEX(ref_exp_dist,MATCH(B731,'Refined Petro Exp Dist'!$B$6:$B$78,0),MATCH(C731,'Refined Petro Exp Dist'!$AD$2:$BC$2,0))*INDEX(ref_exp_by_year,MATCH(B731,'Data Export'!$B$6:$B$78,0),1)))</f>
        <v>0</v>
      </c>
      <c r="E731">
        <v>4</v>
      </c>
      <c r="F731" t="s">
        <v>166</v>
      </c>
    </row>
    <row r="732" spans="1:6">
      <c r="A732" t="str">
        <f t="shared" si="11"/>
        <v>GenericE&amp;DtemplateCIandGOA</v>
      </c>
      <c r="B732">
        <v>29</v>
      </c>
      <c r="C732">
        <v>3</v>
      </c>
      <c r="D732" s="649">
        <f ca="1">IF(E732=4,INDEX(crude_exp_dist,MATCH(B732,'Crude Exp Dist'!$B$6:$B$78,0),MATCH(C732,'Crude Exp Dist'!$AD$2:$BC$2,0))*INDEX(crude_exp_by_year,MATCH(B732,'Data Export'!$B$6:$B$78,0),1),IF(E732=5,INDEX(ref_exp_dist,MATCH(B732,'Refined Petro Exp Dist'!$B$6:$B$78,0),MATCH(C732,'Refined Petro Exp Dist'!$AD$2:$BC$2,0))*INDEX(ref_exp_by_year,MATCH(B732,'Data Export'!$B$6:$B$78,0),1)))</f>
        <v>0</v>
      </c>
      <c r="E732">
        <v>4</v>
      </c>
      <c r="F732" t="s">
        <v>171</v>
      </c>
    </row>
    <row r="733" spans="1:6">
      <c r="A733" t="str">
        <f t="shared" si="11"/>
        <v>GenericE&amp;DtemplateCIandGOA</v>
      </c>
      <c r="B733">
        <v>29</v>
      </c>
      <c r="C733">
        <v>4</v>
      </c>
      <c r="D733" s="649">
        <f ca="1">IF(E733=4,INDEX(crude_exp_dist,MATCH(B733,'Crude Exp Dist'!$B$6:$B$78,0),MATCH(C733,'Crude Exp Dist'!$AD$2:$BC$2,0))*INDEX(crude_exp_by_year,MATCH(B733,'Data Export'!$B$6:$B$78,0),1),IF(E733=5,INDEX(ref_exp_dist,MATCH(B733,'Refined Petro Exp Dist'!$B$6:$B$78,0),MATCH(C733,'Refined Petro Exp Dist'!$AD$2:$BC$2,0))*INDEX(ref_exp_by_year,MATCH(B733,'Data Export'!$B$6:$B$78,0),1)))</f>
        <v>0</v>
      </c>
      <c r="E733">
        <v>4</v>
      </c>
      <c r="F733" t="s">
        <v>173</v>
      </c>
    </row>
    <row r="734" spans="1:6">
      <c r="A734" t="str">
        <f t="shared" si="11"/>
        <v>GenericE&amp;DtemplateCIandGOA</v>
      </c>
      <c r="B734">
        <v>29</v>
      </c>
      <c r="C734">
        <v>5</v>
      </c>
      <c r="D734" s="649">
        <f ca="1">IF(E734=4,INDEX(crude_exp_dist,MATCH(B734,'Crude Exp Dist'!$B$6:$B$78,0),MATCH(C734,'Crude Exp Dist'!$AD$2:$BC$2,0))*INDEX(crude_exp_by_year,MATCH(B734,'Data Export'!$B$6:$B$78,0),1),IF(E734=5,INDEX(ref_exp_dist,MATCH(B734,'Refined Petro Exp Dist'!$B$6:$B$78,0),MATCH(C734,'Refined Petro Exp Dist'!$AD$2:$BC$2,0))*INDEX(ref_exp_by_year,MATCH(B734,'Data Export'!$B$6:$B$78,0),1)))</f>
        <v>0</v>
      </c>
      <c r="E734">
        <v>4</v>
      </c>
      <c r="F734" t="s">
        <v>180</v>
      </c>
    </row>
    <row r="735" spans="1:6">
      <c r="A735" t="str">
        <f t="shared" si="11"/>
        <v>GenericE&amp;DtemplateCIandGOA</v>
      </c>
      <c r="B735">
        <v>29</v>
      </c>
      <c r="C735">
        <v>6</v>
      </c>
      <c r="D735" s="649">
        <f ca="1">IF(E735=4,INDEX(crude_exp_dist,MATCH(B735,'Crude Exp Dist'!$B$6:$B$78,0),MATCH(C735,'Crude Exp Dist'!$AD$2:$BC$2,0))*INDEX(crude_exp_by_year,MATCH(B735,'Data Export'!$B$6:$B$78,0),1),IF(E735=5,INDEX(ref_exp_dist,MATCH(B735,'Refined Petro Exp Dist'!$B$6:$B$78,0),MATCH(C735,'Refined Petro Exp Dist'!$AD$2:$BC$2,0))*INDEX(ref_exp_by_year,MATCH(B735,'Data Export'!$B$6:$B$78,0),1)))</f>
        <v>0</v>
      </c>
      <c r="E735">
        <v>4</v>
      </c>
      <c r="F735" t="s">
        <v>186</v>
      </c>
    </row>
    <row r="736" spans="1:6">
      <c r="A736" t="str">
        <f t="shared" si="11"/>
        <v>GenericE&amp;DtemplateCIandGOA</v>
      </c>
      <c r="B736">
        <v>29</v>
      </c>
      <c r="C736">
        <v>7</v>
      </c>
      <c r="D736" s="649">
        <f ca="1">IF(E736=4,INDEX(crude_exp_dist,MATCH(B736,'Crude Exp Dist'!$B$6:$B$78,0),MATCH(C736,'Crude Exp Dist'!$AD$2:$BC$2,0))*INDEX(crude_exp_by_year,MATCH(B736,'Data Export'!$B$6:$B$78,0),1),IF(E736=5,INDEX(ref_exp_dist,MATCH(B736,'Refined Petro Exp Dist'!$B$6:$B$78,0),MATCH(C736,'Refined Petro Exp Dist'!$AD$2:$BC$2,0))*INDEX(ref_exp_by_year,MATCH(B736,'Data Export'!$B$6:$B$78,0),1)))</f>
        <v>0</v>
      </c>
      <c r="E736">
        <v>4</v>
      </c>
      <c r="F736" t="s">
        <v>191</v>
      </c>
    </row>
    <row r="737" spans="1:6">
      <c r="A737" t="str">
        <f t="shared" si="11"/>
        <v>GenericE&amp;DtemplateCIandGOA</v>
      </c>
      <c r="B737">
        <v>29</v>
      </c>
      <c r="C737">
        <v>8</v>
      </c>
      <c r="D737" s="649">
        <f ca="1">IF(E737=4,INDEX(crude_exp_dist,MATCH(B737,'Crude Exp Dist'!$B$6:$B$78,0),MATCH(C737,'Crude Exp Dist'!$AD$2:$BC$2,0))*INDEX(crude_exp_by_year,MATCH(B737,'Data Export'!$B$6:$B$78,0),1),IF(E737=5,INDEX(ref_exp_dist,MATCH(B737,'Refined Petro Exp Dist'!$B$6:$B$78,0),MATCH(C737,'Refined Petro Exp Dist'!$AD$2:$BC$2,0))*INDEX(ref_exp_by_year,MATCH(B737,'Data Export'!$B$6:$B$78,0),1)))</f>
        <v>0</v>
      </c>
      <c r="E737">
        <v>4</v>
      </c>
      <c r="F737" t="s">
        <v>197</v>
      </c>
    </row>
    <row r="738" spans="1:6">
      <c r="A738" t="str">
        <f t="shared" si="11"/>
        <v>GenericE&amp;DtemplateCIandGOA</v>
      </c>
      <c r="B738">
        <v>29</v>
      </c>
      <c r="C738">
        <v>9</v>
      </c>
      <c r="D738" s="649">
        <f ca="1">IF(E738=4,INDEX(crude_exp_dist,MATCH(B738,'Crude Exp Dist'!$B$6:$B$78,0),MATCH(C738,'Crude Exp Dist'!$AD$2:$BC$2,0))*INDEX(crude_exp_by_year,MATCH(B738,'Data Export'!$B$6:$B$78,0),1),IF(E738=5,INDEX(ref_exp_dist,MATCH(B738,'Refined Petro Exp Dist'!$B$6:$B$78,0),MATCH(C738,'Refined Petro Exp Dist'!$AD$2:$BC$2,0))*INDEX(ref_exp_by_year,MATCH(B738,'Data Export'!$B$6:$B$78,0),1)))</f>
        <v>0</v>
      </c>
      <c r="E738">
        <v>4</v>
      </c>
      <c r="F738" t="s">
        <v>199</v>
      </c>
    </row>
    <row r="739" spans="1:6">
      <c r="A739" t="str">
        <f t="shared" si="11"/>
        <v>GenericE&amp;DtemplateCIandGOA</v>
      </c>
      <c r="B739">
        <v>29</v>
      </c>
      <c r="C739">
        <v>10</v>
      </c>
      <c r="D739" s="649">
        <f ca="1">IF(E739=4,INDEX(crude_exp_dist,MATCH(B739,'Crude Exp Dist'!$B$6:$B$78,0),MATCH(C739,'Crude Exp Dist'!$AD$2:$BC$2,0))*INDEX(crude_exp_by_year,MATCH(B739,'Data Export'!$B$6:$B$78,0),1),IF(E739=5,INDEX(ref_exp_dist,MATCH(B739,'Refined Petro Exp Dist'!$B$6:$B$78,0),MATCH(C739,'Refined Petro Exp Dist'!$AD$2:$BC$2,0))*INDEX(ref_exp_by_year,MATCH(B739,'Data Export'!$B$6:$B$78,0),1)))</f>
        <v>0</v>
      </c>
      <c r="E739">
        <v>4</v>
      </c>
      <c r="F739" t="s">
        <v>201</v>
      </c>
    </row>
    <row r="740" spans="1:6">
      <c r="A740" t="str">
        <f t="shared" si="11"/>
        <v>GenericE&amp;DtemplateCIandGOA</v>
      </c>
      <c r="B740">
        <v>29</v>
      </c>
      <c r="C740">
        <v>11</v>
      </c>
      <c r="D740" s="649">
        <f ca="1">IF(E740=4,INDEX(crude_exp_dist,MATCH(B740,'Crude Exp Dist'!$B$6:$B$78,0),MATCH(C740,'Crude Exp Dist'!$AD$2:$BC$2,0))*INDEX(crude_exp_by_year,MATCH(B740,'Data Export'!$B$6:$B$78,0),1),IF(E740=5,INDEX(ref_exp_dist,MATCH(B740,'Refined Petro Exp Dist'!$B$6:$B$78,0),MATCH(C740,'Refined Petro Exp Dist'!$AD$2:$BC$2,0))*INDEX(ref_exp_by_year,MATCH(B740,'Data Export'!$B$6:$B$78,0),1)))</f>
        <v>0</v>
      </c>
      <c r="E740">
        <v>4</v>
      </c>
      <c r="F740" t="s">
        <v>921</v>
      </c>
    </row>
    <row r="741" spans="1:6">
      <c r="A741" t="str">
        <f t="shared" si="11"/>
        <v>GenericE&amp;DtemplateCIandGOA</v>
      </c>
      <c r="B741">
        <v>29</v>
      </c>
      <c r="C741">
        <v>12</v>
      </c>
      <c r="D741" s="649">
        <f ca="1">IF(E741=4,INDEX(crude_exp_dist,MATCH(B741,'Crude Exp Dist'!$B$6:$B$78,0),MATCH(C741,'Crude Exp Dist'!$AD$2:$BC$2,0))*INDEX(crude_exp_by_year,MATCH(B741,'Data Export'!$B$6:$B$78,0),1),IF(E741=5,INDEX(ref_exp_dist,MATCH(B741,'Refined Petro Exp Dist'!$B$6:$B$78,0),MATCH(C741,'Refined Petro Exp Dist'!$AD$2:$BC$2,0))*INDEX(ref_exp_by_year,MATCH(B741,'Data Export'!$B$6:$B$78,0),1)))</f>
        <v>0</v>
      </c>
      <c r="E741">
        <v>4</v>
      </c>
      <c r="F741" t="s">
        <v>208</v>
      </c>
    </row>
    <row r="742" spans="1:6">
      <c r="A742" t="str">
        <f t="shared" si="11"/>
        <v>GenericE&amp;DtemplateCIandGOA</v>
      </c>
      <c r="B742">
        <v>29</v>
      </c>
      <c r="C742">
        <v>13</v>
      </c>
      <c r="D742" s="649">
        <f ca="1">IF(E742=4,INDEX(crude_exp_dist,MATCH(B742,'Crude Exp Dist'!$B$6:$B$78,0),MATCH(C742,'Crude Exp Dist'!$AD$2:$BC$2,0))*INDEX(crude_exp_by_year,MATCH(B742,'Data Export'!$B$6:$B$78,0),1),IF(E742=5,INDEX(ref_exp_dist,MATCH(B742,'Refined Petro Exp Dist'!$B$6:$B$78,0),MATCH(C742,'Refined Petro Exp Dist'!$AD$2:$BC$2,0))*INDEX(ref_exp_by_year,MATCH(B742,'Data Export'!$B$6:$B$78,0),1)))</f>
        <v>0</v>
      </c>
      <c r="E742">
        <v>4</v>
      </c>
      <c r="F742" t="s">
        <v>211</v>
      </c>
    </row>
    <row r="743" spans="1:6">
      <c r="A743" t="str">
        <f t="shared" si="11"/>
        <v>GenericE&amp;DtemplateCIandGOA</v>
      </c>
      <c r="B743">
        <v>29</v>
      </c>
      <c r="C743">
        <v>14</v>
      </c>
      <c r="D743" s="649">
        <f ca="1">IF(E743=4,INDEX(crude_exp_dist,MATCH(B743,'Crude Exp Dist'!$B$6:$B$78,0),MATCH(C743,'Crude Exp Dist'!$AD$2:$BC$2,0))*INDEX(crude_exp_by_year,MATCH(B743,'Data Export'!$B$6:$B$78,0),1),IF(E743=5,INDEX(ref_exp_dist,MATCH(B743,'Refined Petro Exp Dist'!$B$6:$B$78,0),MATCH(C743,'Refined Petro Exp Dist'!$AD$2:$BC$2,0))*INDEX(ref_exp_by_year,MATCH(B743,'Data Export'!$B$6:$B$78,0),1)))</f>
        <v>0</v>
      </c>
      <c r="E743">
        <v>4</v>
      </c>
      <c r="F743" t="s">
        <v>213</v>
      </c>
    </row>
    <row r="744" spans="1:6">
      <c r="A744" t="str">
        <f t="shared" si="11"/>
        <v>GenericE&amp;DtemplateCIandGOA</v>
      </c>
      <c r="B744">
        <v>29</v>
      </c>
      <c r="C744">
        <v>15</v>
      </c>
      <c r="D744" s="649">
        <f ca="1">IF(E744=4,INDEX(crude_exp_dist,MATCH(B744,'Crude Exp Dist'!$B$6:$B$78,0),MATCH(C744,'Crude Exp Dist'!$AD$2:$BC$2,0))*INDEX(crude_exp_by_year,MATCH(B744,'Data Export'!$B$6:$B$78,0),1),IF(E744=5,INDEX(ref_exp_dist,MATCH(B744,'Refined Petro Exp Dist'!$B$6:$B$78,0),MATCH(C744,'Refined Petro Exp Dist'!$AD$2:$BC$2,0))*INDEX(ref_exp_by_year,MATCH(B744,'Data Export'!$B$6:$B$78,0),1)))</f>
        <v>0</v>
      </c>
      <c r="E744">
        <v>4</v>
      </c>
      <c r="F744" t="s">
        <v>215</v>
      </c>
    </row>
    <row r="745" spans="1:6">
      <c r="A745" t="str">
        <f t="shared" si="11"/>
        <v>GenericE&amp;DtemplateCIandGOA</v>
      </c>
      <c r="B745">
        <v>29</v>
      </c>
      <c r="C745">
        <v>16</v>
      </c>
      <c r="D745" s="649">
        <f ca="1">IF(E745=4,INDEX(crude_exp_dist,MATCH(B745,'Crude Exp Dist'!$B$6:$B$78,0),MATCH(C745,'Crude Exp Dist'!$AD$2:$BC$2,0))*INDEX(crude_exp_by_year,MATCH(B745,'Data Export'!$B$6:$B$78,0),1),IF(E745=5,INDEX(ref_exp_dist,MATCH(B745,'Refined Petro Exp Dist'!$B$6:$B$78,0),MATCH(C745,'Refined Petro Exp Dist'!$AD$2:$BC$2,0))*INDEX(ref_exp_by_year,MATCH(B745,'Data Export'!$B$6:$B$78,0),1)))</f>
        <v>0</v>
      </c>
      <c r="E745">
        <v>4</v>
      </c>
      <c r="F745" t="s">
        <v>219</v>
      </c>
    </row>
    <row r="746" spans="1:6">
      <c r="A746" t="str">
        <f t="shared" si="11"/>
        <v>GenericE&amp;DtemplateCIandGOA</v>
      </c>
      <c r="B746">
        <v>29</v>
      </c>
      <c r="C746">
        <v>17</v>
      </c>
      <c r="D746" s="649">
        <f ca="1">IF(E746=4,INDEX(crude_exp_dist,MATCH(B746,'Crude Exp Dist'!$B$6:$B$78,0),MATCH(C746,'Crude Exp Dist'!$AD$2:$BC$2,0))*INDEX(crude_exp_by_year,MATCH(B746,'Data Export'!$B$6:$B$78,0),1),IF(E746=5,INDEX(ref_exp_dist,MATCH(B746,'Refined Petro Exp Dist'!$B$6:$B$78,0),MATCH(C746,'Refined Petro Exp Dist'!$AD$2:$BC$2,0))*INDEX(ref_exp_by_year,MATCH(B746,'Data Export'!$B$6:$B$78,0),1)))</f>
        <v>0</v>
      </c>
      <c r="E746">
        <v>4</v>
      </c>
      <c r="F746" t="s">
        <v>222</v>
      </c>
    </row>
    <row r="747" spans="1:6">
      <c r="A747" t="str">
        <f t="shared" si="11"/>
        <v>GenericE&amp;DtemplateCIandGOA</v>
      </c>
      <c r="B747">
        <v>29</v>
      </c>
      <c r="C747">
        <v>18</v>
      </c>
      <c r="D747" s="649">
        <f ca="1">IF(E747=4,INDEX(crude_exp_dist,MATCH(B747,'Crude Exp Dist'!$B$6:$B$78,0),MATCH(C747,'Crude Exp Dist'!$AD$2:$BC$2,0))*INDEX(crude_exp_by_year,MATCH(B747,'Data Export'!$B$6:$B$78,0),1),IF(E747=5,INDEX(ref_exp_dist,MATCH(B747,'Refined Petro Exp Dist'!$B$6:$B$78,0),MATCH(C747,'Refined Petro Exp Dist'!$AD$2:$BC$2,0))*INDEX(ref_exp_by_year,MATCH(B747,'Data Export'!$B$6:$B$78,0),1)))</f>
        <v>0</v>
      </c>
      <c r="E747">
        <v>4</v>
      </c>
      <c r="F747" t="s">
        <v>224</v>
      </c>
    </row>
    <row r="748" spans="1:6">
      <c r="A748" t="str">
        <f t="shared" si="11"/>
        <v>GenericE&amp;DtemplateCIandGOA</v>
      </c>
      <c r="B748">
        <v>29</v>
      </c>
      <c r="C748">
        <v>19</v>
      </c>
      <c r="D748" s="649">
        <f ca="1">IF(E748=4,INDEX(crude_exp_dist,MATCH(B748,'Crude Exp Dist'!$B$6:$B$78,0),MATCH(C748,'Crude Exp Dist'!$AD$2:$BC$2,0))*INDEX(crude_exp_by_year,MATCH(B748,'Data Export'!$B$6:$B$78,0),1),IF(E748=5,INDEX(ref_exp_dist,MATCH(B748,'Refined Petro Exp Dist'!$B$6:$B$78,0),MATCH(C748,'Refined Petro Exp Dist'!$AD$2:$BC$2,0))*INDEX(ref_exp_by_year,MATCH(B748,'Data Export'!$B$6:$B$78,0),1)))</f>
        <v>0</v>
      </c>
      <c r="E748">
        <v>4</v>
      </c>
      <c r="F748" t="s">
        <v>228</v>
      </c>
    </row>
    <row r="749" spans="1:6">
      <c r="A749" t="str">
        <f t="shared" si="11"/>
        <v>GenericE&amp;DtemplateCIandGOA</v>
      </c>
      <c r="B749">
        <v>29</v>
      </c>
      <c r="C749">
        <v>20</v>
      </c>
      <c r="D749" s="649">
        <f ca="1">IF(E749=4,INDEX(crude_exp_dist,MATCH(B749,'Crude Exp Dist'!$B$6:$B$78,0),MATCH(C749,'Crude Exp Dist'!$AD$2:$BC$2,0))*INDEX(crude_exp_by_year,MATCH(B749,'Data Export'!$B$6:$B$78,0),1),IF(E749=5,INDEX(ref_exp_dist,MATCH(B749,'Refined Petro Exp Dist'!$B$6:$B$78,0),MATCH(C749,'Refined Petro Exp Dist'!$AD$2:$BC$2,0))*INDEX(ref_exp_by_year,MATCH(B749,'Data Export'!$B$6:$B$78,0),1)))</f>
        <v>0</v>
      </c>
      <c r="E749">
        <v>4</v>
      </c>
      <c r="F749" t="s">
        <v>231</v>
      </c>
    </row>
    <row r="750" spans="1:6">
      <c r="A750" t="str">
        <f t="shared" si="11"/>
        <v>GenericE&amp;DtemplateCIandGOA</v>
      </c>
      <c r="B750">
        <v>29</v>
      </c>
      <c r="C750">
        <v>21</v>
      </c>
      <c r="D750" s="649">
        <f ca="1">IF(E750=4,INDEX(crude_exp_dist,MATCH(B750,'Crude Exp Dist'!$B$6:$B$78,0),MATCH(C750,'Crude Exp Dist'!$AD$2:$BC$2,0))*INDEX(crude_exp_by_year,MATCH(B750,'Data Export'!$B$6:$B$78,0),1),IF(E750=5,INDEX(ref_exp_dist,MATCH(B750,'Refined Petro Exp Dist'!$B$6:$B$78,0),MATCH(C750,'Refined Petro Exp Dist'!$AD$2:$BC$2,0))*INDEX(ref_exp_by_year,MATCH(B750,'Data Export'!$B$6:$B$78,0),1)))</f>
        <v>0</v>
      </c>
      <c r="E750">
        <v>4</v>
      </c>
      <c r="F750" t="s">
        <v>232</v>
      </c>
    </row>
    <row r="751" spans="1:6">
      <c r="A751" t="str">
        <f t="shared" si="11"/>
        <v>GenericE&amp;DtemplateCIandGOA</v>
      </c>
      <c r="B751">
        <v>29</v>
      </c>
      <c r="C751">
        <v>22</v>
      </c>
      <c r="D751" s="649">
        <f ca="1">IF(E751=4,INDEX(crude_exp_dist,MATCH(B751,'Crude Exp Dist'!$B$6:$B$78,0),MATCH(C751,'Crude Exp Dist'!$AD$2:$BC$2,0))*INDEX(crude_exp_by_year,MATCH(B751,'Data Export'!$B$6:$B$78,0),1),IF(E751=5,INDEX(ref_exp_dist,MATCH(B751,'Refined Petro Exp Dist'!$B$6:$B$78,0),MATCH(C751,'Refined Petro Exp Dist'!$AD$2:$BC$2,0))*INDEX(ref_exp_by_year,MATCH(B751,'Data Export'!$B$6:$B$78,0),1)))</f>
        <v>0</v>
      </c>
      <c r="E751">
        <v>4</v>
      </c>
      <c r="F751" t="s">
        <v>235</v>
      </c>
    </row>
    <row r="752" spans="1:6">
      <c r="A752" t="str">
        <f t="shared" si="11"/>
        <v>GenericE&amp;DtemplateCIandGOA</v>
      </c>
      <c r="B752">
        <v>29</v>
      </c>
      <c r="C752">
        <v>23</v>
      </c>
      <c r="D752" s="649">
        <f ca="1">IF(E752=4,INDEX(crude_exp_dist,MATCH(B752,'Crude Exp Dist'!$B$6:$B$78,0),MATCH(C752,'Crude Exp Dist'!$AD$2:$BC$2,0))*INDEX(crude_exp_by_year,MATCH(B752,'Data Export'!$B$6:$B$78,0),1),IF(E752=5,INDEX(ref_exp_dist,MATCH(B752,'Refined Petro Exp Dist'!$B$6:$B$78,0),MATCH(C752,'Refined Petro Exp Dist'!$AD$2:$BC$2,0))*INDEX(ref_exp_by_year,MATCH(B752,'Data Export'!$B$6:$B$78,0),1)))</f>
        <v>0</v>
      </c>
      <c r="E752">
        <v>4</v>
      </c>
      <c r="F752" t="s">
        <v>237</v>
      </c>
    </row>
    <row r="753" spans="1:6">
      <c r="A753" t="str">
        <f t="shared" si="11"/>
        <v>GenericE&amp;DtemplateCIandGOA</v>
      </c>
      <c r="B753">
        <v>29</v>
      </c>
      <c r="C753">
        <v>24</v>
      </c>
      <c r="D753" s="649">
        <f ca="1">IF(E753=4,INDEX(crude_exp_dist,MATCH(B753,'Crude Exp Dist'!$B$6:$B$78,0),MATCH(C753,'Crude Exp Dist'!$AD$2:$BC$2,0))*INDEX(crude_exp_by_year,MATCH(B753,'Data Export'!$B$6:$B$78,0),1),IF(E753=5,INDEX(ref_exp_dist,MATCH(B753,'Refined Petro Exp Dist'!$B$6:$B$78,0),MATCH(C753,'Refined Petro Exp Dist'!$AD$2:$BC$2,0))*INDEX(ref_exp_by_year,MATCH(B753,'Data Export'!$B$6:$B$78,0),1)))</f>
        <v>0</v>
      </c>
      <c r="E753">
        <v>4</v>
      </c>
      <c r="F753" t="s">
        <v>239</v>
      </c>
    </row>
    <row r="754" spans="1:6">
      <c r="A754" t="str">
        <f t="shared" si="11"/>
        <v>GenericE&amp;DtemplateCIandGOA</v>
      </c>
      <c r="B754">
        <v>29</v>
      </c>
      <c r="C754">
        <v>25</v>
      </c>
      <c r="D754" s="649">
        <f ca="1">IF(E754=4,INDEX(crude_exp_dist,MATCH(B754,'Crude Exp Dist'!$B$6:$B$78,0),MATCH(C754,'Crude Exp Dist'!$AD$2:$BC$2,0))*INDEX(crude_exp_by_year,MATCH(B754,'Data Export'!$B$6:$B$78,0),1),IF(E754=5,INDEX(ref_exp_dist,MATCH(B754,'Refined Petro Exp Dist'!$B$6:$B$78,0),MATCH(C754,'Refined Petro Exp Dist'!$AD$2:$BC$2,0))*INDEX(ref_exp_by_year,MATCH(B754,'Data Export'!$B$6:$B$78,0),1)))</f>
        <v>0</v>
      </c>
      <c r="E754">
        <v>4</v>
      </c>
      <c r="F754" t="s">
        <v>242</v>
      </c>
    </row>
    <row r="755" spans="1:6">
      <c r="A755" t="str">
        <f t="shared" si="11"/>
        <v>GenericE&amp;DtemplateCIandGOA</v>
      </c>
      <c r="B755">
        <v>29</v>
      </c>
      <c r="C755">
        <v>26</v>
      </c>
      <c r="D755" s="649">
        <f ca="1">IF(E755=4,INDEX(crude_exp_dist,MATCH(B755,'Crude Exp Dist'!$B$6:$B$78,0),MATCH(C755,'Crude Exp Dist'!$AD$2:$BC$2,0))*INDEX(crude_exp_by_year,MATCH(B755,'Data Export'!$B$6:$B$78,0),1),IF(E755=5,INDEX(ref_exp_dist,MATCH(B755,'Refined Petro Exp Dist'!$B$6:$B$78,0),MATCH(C755,'Refined Petro Exp Dist'!$AD$2:$BC$2,0))*INDEX(ref_exp_by_year,MATCH(B755,'Data Export'!$B$6:$B$78,0),1)))</f>
        <v>0</v>
      </c>
      <c r="E755">
        <v>4</v>
      </c>
      <c r="F755" t="s">
        <v>245</v>
      </c>
    </row>
    <row r="756" spans="1:6">
      <c r="A756" t="str">
        <f t="shared" si="11"/>
        <v>GenericE&amp;DtemplateCIandGOA</v>
      </c>
      <c r="B756">
        <v>30</v>
      </c>
      <c r="C756">
        <v>1</v>
      </c>
      <c r="D756" s="649">
        <f ca="1">IF(E756=4,INDEX(crude_exp_dist,MATCH(B756,'Crude Exp Dist'!$B$6:$B$78,0),MATCH(C756,'Crude Exp Dist'!$AD$2:$BC$2,0))*INDEX(crude_exp_by_year,MATCH(B756,'Data Export'!$B$6:$B$78,0),1),IF(E756=5,INDEX(ref_exp_dist,MATCH(B756,'Refined Petro Exp Dist'!$B$6:$B$78,0),MATCH(C756,'Refined Petro Exp Dist'!$AD$2:$BC$2,0))*INDEX(ref_exp_by_year,MATCH(B756,'Data Export'!$B$6:$B$78,0),1)))</f>
        <v>0</v>
      </c>
      <c r="E756">
        <v>4</v>
      </c>
      <c r="F756" t="s">
        <v>158</v>
      </c>
    </row>
    <row r="757" spans="1:6">
      <c r="A757" t="str">
        <f t="shared" si="11"/>
        <v>GenericE&amp;DtemplateCIandGOA</v>
      </c>
      <c r="B757">
        <v>30</v>
      </c>
      <c r="C757">
        <v>2</v>
      </c>
      <c r="D757" s="649">
        <f ca="1">IF(E757=4,INDEX(crude_exp_dist,MATCH(B757,'Crude Exp Dist'!$B$6:$B$78,0),MATCH(C757,'Crude Exp Dist'!$AD$2:$BC$2,0))*INDEX(crude_exp_by_year,MATCH(B757,'Data Export'!$B$6:$B$78,0),1),IF(E757=5,INDEX(ref_exp_dist,MATCH(B757,'Refined Petro Exp Dist'!$B$6:$B$78,0),MATCH(C757,'Refined Petro Exp Dist'!$AD$2:$BC$2,0))*INDEX(ref_exp_by_year,MATCH(B757,'Data Export'!$B$6:$B$78,0),1)))</f>
        <v>0</v>
      </c>
      <c r="E757">
        <v>4</v>
      </c>
      <c r="F757" t="s">
        <v>166</v>
      </c>
    </row>
    <row r="758" spans="1:6">
      <c r="A758" t="str">
        <f t="shared" si="11"/>
        <v>GenericE&amp;DtemplateCIandGOA</v>
      </c>
      <c r="B758">
        <v>30</v>
      </c>
      <c r="C758">
        <v>3</v>
      </c>
      <c r="D758" s="649">
        <f ca="1">IF(E758=4,INDEX(crude_exp_dist,MATCH(B758,'Crude Exp Dist'!$B$6:$B$78,0),MATCH(C758,'Crude Exp Dist'!$AD$2:$BC$2,0))*INDEX(crude_exp_by_year,MATCH(B758,'Data Export'!$B$6:$B$78,0),1),IF(E758=5,INDEX(ref_exp_dist,MATCH(B758,'Refined Petro Exp Dist'!$B$6:$B$78,0),MATCH(C758,'Refined Petro Exp Dist'!$AD$2:$BC$2,0))*INDEX(ref_exp_by_year,MATCH(B758,'Data Export'!$B$6:$B$78,0),1)))</f>
        <v>0</v>
      </c>
      <c r="E758">
        <v>4</v>
      </c>
      <c r="F758" t="s">
        <v>171</v>
      </c>
    </row>
    <row r="759" spans="1:6">
      <c r="A759" t="str">
        <f t="shared" si="11"/>
        <v>GenericE&amp;DtemplateCIandGOA</v>
      </c>
      <c r="B759">
        <v>30</v>
      </c>
      <c r="C759">
        <v>4</v>
      </c>
      <c r="D759" s="649">
        <f ca="1">IF(E759=4,INDEX(crude_exp_dist,MATCH(B759,'Crude Exp Dist'!$B$6:$B$78,0),MATCH(C759,'Crude Exp Dist'!$AD$2:$BC$2,0))*INDEX(crude_exp_by_year,MATCH(B759,'Data Export'!$B$6:$B$78,0),1),IF(E759=5,INDEX(ref_exp_dist,MATCH(B759,'Refined Petro Exp Dist'!$B$6:$B$78,0),MATCH(C759,'Refined Petro Exp Dist'!$AD$2:$BC$2,0))*INDEX(ref_exp_by_year,MATCH(B759,'Data Export'!$B$6:$B$78,0),1)))</f>
        <v>0</v>
      </c>
      <c r="E759">
        <v>4</v>
      </c>
      <c r="F759" t="s">
        <v>173</v>
      </c>
    </row>
    <row r="760" spans="1:6">
      <c r="A760" t="str">
        <f t="shared" si="11"/>
        <v>GenericE&amp;DtemplateCIandGOA</v>
      </c>
      <c r="B760">
        <v>30</v>
      </c>
      <c r="C760">
        <v>5</v>
      </c>
      <c r="D760" s="649">
        <f ca="1">IF(E760=4,INDEX(crude_exp_dist,MATCH(B760,'Crude Exp Dist'!$B$6:$B$78,0),MATCH(C760,'Crude Exp Dist'!$AD$2:$BC$2,0))*INDEX(crude_exp_by_year,MATCH(B760,'Data Export'!$B$6:$B$78,0),1),IF(E760=5,INDEX(ref_exp_dist,MATCH(B760,'Refined Petro Exp Dist'!$B$6:$B$78,0),MATCH(C760,'Refined Petro Exp Dist'!$AD$2:$BC$2,0))*INDEX(ref_exp_by_year,MATCH(B760,'Data Export'!$B$6:$B$78,0),1)))</f>
        <v>0</v>
      </c>
      <c r="E760">
        <v>4</v>
      </c>
      <c r="F760" t="s">
        <v>180</v>
      </c>
    </row>
    <row r="761" spans="1:6">
      <c r="A761" t="str">
        <f t="shared" si="11"/>
        <v>GenericE&amp;DtemplateCIandGOA</v>
      </c>
      <c r="B761">
        <v>30</v>
      </c>
      <c r="C761">
        <v>6</v>
      </c>
      <c r="D761" s="649">
        <f ca="1">IF(E761=4,INDEX(crude_exp_dist,MATCH(B761,'Crude Exp Dist'!$B$6:$B$78,0),MATCH(C761,'Crude Exp Dist'!$AD$2:$BC$2,0))*INDEX(crude_exp_by_year,MATCH(B761,'Data Export'!$B$6:$B$78,0),1),IF(E761=5,INDEX(ref_exp_dist,MATCH(B761,'Refined Petro Exp Dist'!$B$6:$B$78,0),MATCH(C761,'Refined Petro Exp Dist'!$AD$2:$BC$2,0))*INDEX(ref_exp_by_year,MATCH(B761,'Data Export'!$B$6:$B$78,0),1)))</f>
        <v>0</v>
      </c>
      <c r="E761">
        <v>4</v>
      </c>
      <c r="F761" t="s">
        <v>186</v>
      </c>
    </row>
    <row r="762" spans="1:6">
      <c r="A762" t="str">
        <f t="shared" si="11"/>
        <v>GenericE&amp;DtemplateCIandGOA</v>
      </c>
      <c r="B762">
        <v>30</v>
      </c>
      <c r="C762">
        <v>7</v>
      </c>
      <c r="D762" s="649">
        <f ca="1">IF(E762=4,INDEX(crude_exp_dist,MATCH(B762,'Crude Exp Dist'!$B$6:$B$78,0),MATCH(C762,'Crude Exp Dist'!$AD$2:$BC$2,0))*INDEX(crude_exp_by_year,MATCH(B762,'Data Export'!$B$6:$B$78,0),1),IF(E762=5,INDEX(ref_exp_dist,MATCH(B762,'Refined Petro Exp Dist'!$B$6:$B$78,0),MATCH(C762,'Refined Petro Exp Dist'!$AD$2:$BC$2,0))*INDEX(ref_exp_by_year,MATCH(B762,'Data Export'!$B$6:$B$78,0),1)))</f>
        <v>0</v>
      </c>
      <c r="E762">
        <v>4</v>
      </c>
      <c r="F762" t="s">
        <v>191</v>
      </c>
    </row>
    <row r="763" spans="1:6">
      <c r="A763" t="str">
        <f t="shared" si="11"/>
        <v>GenericE&amp;DtemplateCIandGOA</v>
      </c>
      <c r="B763">
        <v>30</v>
      </c>
      <c r="C763">
        <v>8</v>
      </c>
      <c r="D763" s="649">
        <f ca="1">IF(E763=4,INDEX(crude_exp_dist,MATCH(B763,'Crude Exp Dist'!$B$6:$B$78,0),MATCH(C763,'Crude Exp Dist'!$AD$2:$BC$2,0))*INDEX(crude_exp_by_year,MATCH(B763,'Data Export'!$B$6:$B$78,0),1),IF(E763=5,INDEX(ref_exp_dist,MATCH(B763,'Refined Petro Exp Dist'!$B$6:$B$78,0),MATCH(C763,'Refined Petro Exp Dist'!$AD$2:$BC$2,0))*INDEX(ref_exp_by_year,MATCH(B763,'Data Export'!$B$6:$B$78,0),1)))</f>
        <v>0</v>
      </c>
      <c r="E763">
        <v>4</v>
      </c>
      <c r="F763" t="s">
        <v>197</v>
      </c>
    </row>
    <row r="764" spans="1:6">
      <c r="A764" t="str">
        <f t="shared" si="11"/>
        <v>GenericE&amp;DtemplateCIandGOA</v>
      </c>
      <c r="B764">
        <v>30</v>
      </c>
      <c r="C764">
        <v>9</v>
      </c>
      <c r="D764" s="649">
        <f ca="1">IF(E764=4,INDEX(crude_exp_dist,MATCH(B764,'Crude Exp Dist'!$B$6:$B$78,0),MATCH(C764,'Crude Exp Dist'!$AD$2:$BC$2,0))*INDEX(crude_exp_by_year,MATCH(B764,'Data Export'!$B$6:$B$78,0),1),IF(E764=5,INDEX(ref_exp_dist,MATCH(B764,'Refined Petro Exp Dist'!$B$6:$B$78,0),MATCH(C764,'Refined Petro Exp Dist'!$AD$2:$BC$2,0))*INDEX(ref_exp_by_year,MATCH(B764,'Data Export'!$B$6:$B$78,0),1)))</f>
        <v>0</v>
      </c>
      <c r="E764">
        <v>4</v>
      </c>
      <c r="F764" t="s">
        <v>199</v>
      </c>
    </row>
    <row r="765" spans="1:6">
      <c r="A765" t="str">
        <f t="shared" si="11"/>
        <v>GenericE&amp;DtemplateCIandGOA</v>
      </c>
      <c r="B765">
        <v>30</v>
      </c>
      <c r="C765">
        <v>10</v>
      </c>
      <c r="D765" s="649">
        <f ca="1">IF(E765=4,INDEX(crude_exp_dist,MATCH(B765,'Crude Exp Dist'!$B$6:$B$78,0),MATCH(C765,'Crude Exp Dist'!$AD$2:$BC$2,0))*INDEX(crude_exp_by_year,MATCH(B765,'Data Export'!$B$6:$B$78,0),1),IF(E765=5,INDEX(ref_exp_dist,MATCH(B765,'Refined Petro Exp Dist'!$B$6:$B$78,0),MATCH(C765,'Refined Petro Exp Dist'!$AD$2:$BC$2,0))*INDEX(ref_exp_by_year,MATCH(B765,'Data Export'!$B$6:$B$78,0),1)))</f>
        <v>0</v>
      </c>
      <c r="E765">
        <v>4</v>
      </c>
      <c r="F765" t="s">
        <v>201</v>
      </c>
    </row>
    <row r="766" spans="1:6">
      <c r="A766" t="str">
        <f t="shared" si="11"/>
        <v>GenericE&amp;DtemplateCIandGOA</v>
      </c>
      <c r="B766">
        <v>30</v>
      </c>
      <c r="C766">
        <v>11</v>
      </c>
      <c r="D766" s="649">
        <f ca="1">IF(E766=4,INDEX(crude_exp_dist,MATCH(B766,'Crude Exp Dist'!$B$6:$B$78,0),MATCH(C766,'Crude Exp Dist'!$AD$2:$BC$2,0))*INDEX(crude_exp_by_year,MATCH(B766,'Data Export'!$B$6:$B$78,0),1),IF(E766=5,INDEX(ref_exp_dist,MATCH(B766,'Refined Petro Exp Dist'!$B$6:$B$78,0),MATCH(C766,'Refined Petro Exp Dist'!$AD$2:$BC$2,0))*INDEX(ref_exp_by_year,MATCH(B766,'Data Export'!$B$6:$B$78,0),1)))</f>
        <v>0</v>
      </c>
      <c r="E766">
        <v>4</v>
      </c>
      <c r="F766" t="s">
        <v>921</v>
      </c>
    </row>
    <row r="767" spans="1:6">
      <c r="A767" t="str">
        <f t="shared" si="11"/>
        <v>GenericE&amp;DtemplateCIandGOA</v>
      </c>
      <c r="B767">
        <v>30</v>
      </c>
      <c r="C767">
        <v>12</v>
      </c>
      <c r="D767" s="649">
        <f ca="1">IF(E767=4,INDEX(crude_exp_dist,MATCH(B767,'Crude Exp Dist'!$B$6:$B$78,0),MATCH(C767,'Crude Exp Dist'!$AD$2:$BC$2,0))*INDEX(crude_exp_by_year,MATCH(B767,'Data Export'!$B$6:$B$78,0),1),IF(E767=5,INDEX(ref_exp_dist,MATCH(B767,'Refined Petro Exp Dist'!$B$6:$B$78,0),MATCH(C767,'Refined Petro Exp Dist'!$AD$2:$BC$2,0))*INDEX(ref_exp_by_year,MATCH(B767,'Data Export'!$B$6:$B$78,0),1)))</f>
        <v>0</v>
      </c>
      <c r="E767">
        <v>4</v>
      </c>
      <c r="F767" t="s">
        <v>208</v>
      </c>
    </row>
    <row r="768" spans="1:6">
      <c r="A768" t="str">
        <f t="shared" si="11"/>
        <v>GenericE&amp;DtemplateCIandGOA</v>
      </c>
      <c r="B768">
        <v>30</v>
      </c>
      <c r="C768">
        <v>13</v>
      </c>
      <c r="D768" s="649">
        <f ca="1">IF(E768=4,INDEX(crude_exp_dist,MATCH(B768,'Crude Exp Dist'!$B$6:$B$78,0),MATCH(C768,'Crude Exp Dist'!$AD$2:$BC$2,0))*INDEX(crude_exp_by_year,MATCH(B768,'Data Export'!$B$6:$B$78,0),1),IF(E768=5,INDEX(ref_exp_dist,MATCH(B768,'Refined Petro Exp Dist'!$B$6:$B$78,0),MATCH(C768,'Refined Petro Exp Dist'!$AD$2:$BC$2,0))*INDEX(ref_exp_by_year,MATCH(B768,'Data Export'!$B$6:$B$78,0),1)))</f>
        <v>0</v>
      </c>
      <c r="E768">
        <v>4</v>
      </c>
      <c r="F768" t="s">
        <v>211</v>
      </c>
    </row>
    <row r="769" spans="1:6">
      <c r="A769" t="str">
        <f t="shared" si="11"/>
        <v>GenericE&amp;DtemplateCIandGOA</v>
      </c>
      <c r="B769">
        <v>30</v>
      </c>
      <c r="C769">
        <v>14</v>
      </c>
      <c r="D769" s="649">
        <f ca="1">IF(E769=4,INDEX(crude_exp_dist,MATCH(B769,'Crude Exp Dist'!$B$6:$B$78,0),MATCH(C769,'Crude Exp Dist'!$AD$2:$BC$2,0))*INDEX(crude_exp_by_year,MATCH(B769,'Data Export'!$B$6:$B$78,0),1),IF(E769=5,INDEX(ref_exp_dist,MATCH(B769,'Refined Petro Exp Dist'!$B$6:$B$78,0),MATCH(C769,'Refined Petro Exp Dist'!$AD$2:$BC$2,0))*INDEX(ref_exp_by_year,MATCH(B769,'Data Export'!$B$6:$B$78,0),1)))</f>
        <v>0</v>
      </c>
      <c r="E769">
        <v>4</v>
      </c>
      <c r="F769" t="s">
        <v>213</v>
      </c>
    </row>
    <row r="770" spans="1:6">
      <c r="A770" t="str">
        <f t="shared" ref="A770:A833" si="12">scenario_name</f>
        <v>GenericE&amp;DtemplateCIandGOA</v>
      </c>
      <c r="B770">
        <v>30</v>
      </c>
      <c r="C770">
        <v>15</v>
      </c>
      <c r="D770" s="649">
        <f ca="1">IF(E770=4,INDEX(crude_exp_dist,MATCH(B770,'Crude Exp Dist'!$B$6:$B$78,0),MATCH(C770,'Crude Exp Dist'!$AD$2:$BC$2,0))*INDEX(crude_exp_by_year,MATCH(B770,'Data Export'!$B$6:$B$78,0),1),IF(E770=5,INDEX(ref_exp_dist,MATCH(B770,'Refined Petro Exp Dist'!$B$6:$B$78,0),MATCH(C770,'Refined Petro Exp Dist'!$AD$2:$BC$2,0))*INDEX(ref_exp_by_year,MATCH(B770,'Data Export'!$B$6:$B$78,0),1)))</f>
        <v>0</v>
      </c>
      <c r="E770">
        <v>4</v>
      </c>
      <c r="F770" t="s">
        <v>215</v>
      </c>
    </row>
    <row r="771" spans="1:6">
      <c r="A771" t="str">
        <f t="shared" si="12"/>
        <v>GenericE&amp;DtemplateCIandGOA</v>
      </c>
      <c r="B771">
        <v>30</v>
      </c>
      <c r="C771">
        <v>16</v>
      </c>
      <c r="D771" s="649">
        <f ca="1">IF(E771=4,INDEX(crude_exp_dist,MATCH(B771,'Crude Exp Dist'!$B$6:$B$78,0),MATCH(C771,'Crude Exp Dist'!$AD$2:$BC$2,0))*INDEX(crude_exp_by_year,MATCH(B771,'Data Export'!$B$6:$B$78,0),1),IF(E771=5,INDEX(ref_exp_dist,MATCH(B771,'Refined Petro Exp Dist'!$B$6:$B$78,0),MATCH(C771,'Refined Petro Exp Dist'!$AD$2:$BC$2,0))*INDEX(ref_exp_by_year,MATCH(B771,'Data Export'!$B$6:$B$78,0),1)))</f>
        <v>0</v>
      </c>
      <c r="E771">
        <v>4</v>
      </c>
      <c r="F771" t="s">
        <v>219</v>
      </c>
    </row>
    <row r="772" spans="1:6">
      <c r="A772" t="str">
        <f t="shared" si="12"/>
        <v>GenericE&amp;DtemplateCIandGOA</v>
      </c>
      <c r="B772">
        <v>30</v>
      </c>
      <c r="C772">
        <v>17</v>
      </c>
      <c r="D772" s="649">
        <f ca="1">IF(E772=4,INDEX(crude_exp_dist,MATCH(B772,'Crude Exp Dist'!$B$6:$B$78,0),MATCH(C772,'Crude Exp Dist'!$AD$2:$BC$2,0))*INDEX(crude_exp_by_year,MATCH(B772,'Data Export'!$B$6:$B$78,0),1),IF(E772=5,INDEX(ref_exp_dist,MATCH(B772,'Refined Petro Exp Dist'!$B$6:$B$78,0),MATCH(C772,'Refined Petro Exp Dist'!$AD$2:$BC$2,0))*INDEX(ref_exp_by_year,MATCH(B772,'Data Export'!$B$6:$B$78,0),1)))</f>
        <v>0</v>
      </c>
      <c r="E772">
        <v>4</v>
      </c>
      <c r="F772" t="s">
        <v>222</v>
      </c>
    </row>
    <row r="773" spans="1:6">
      <c r="A773" t="str">
        <f t="shared" si="12"/>
        <v>GenericE&amp;DtemplateCIandGOA</v>
      </c>
      <c r="B773">
        <v>30</v>
      </c>
      <c r="C773">
        <v>18</v>
      </c>
      <c r="D773" s="649">
        <f ca="1">IF(E773=4,INDEX(crude_exp_dist,MATCH(B773,'Crude Exp Dist'!$B$6:$B$78,0),MATCH(C773,'Crude Exp Dist'!$AD$2:$BC$2,0))*INDEX(crude_exp_by_year,MATCH(B773,'Data Export'!$B$6:$B$78,0),1),IF(E773=5,INDEX(ref_exp_dist,MATCH(B773,'Refined Petro Exp Dist'!$B$6:$B$78,0),MATCH(C773,'Refined Petro Exp Dist'!$AD$2:$BC$2,0))*INDEX(ref_exp_by_year,MATCH(B773,'Data Export'!$B$6:$B$78,0),1)))</f>
        <v>0</v>
      </c>
      <c r="E773">
        <v>4</v>
      </c>
      <c r="F773" t="s">
        <v>224</v>
      </c>
    </row>
    <row r="774" spans="1:6">
      <c r="A774" t="str">
        <f t="shared" si="12"/>
        <v>GenericE&amp;DtemplateCIandGOA</v>
      </c>
      <c r="B774">
        <v>30</v>
      </c>
      <c r="C774">
        <v>19</v>
      </c>
      <c r="D774" s="649">
        <f ca="1">IF(E774=4,INDEX(crude_exp_dist,MATCH(B774,'Crude Exp Dist'!$B$6:$B$78,0),MATCH(C774,'Crude Exp Dist'!$AD$2:$BC$2,0))*INDEX(crude_exp_by_year,MATCH(B774,'Data Export'!$B$6:$B$78,0),1),IF(E774=5,INDEX(ref_exp_dist,MATCH(B774,'Refined Petro Exp Dist'!$B$6:$B$78,0),MATCH(C774,'Refined Petro Exp Dist'!$AD$2:$BC$2,0))*INDEX(ref_exp_by_year,MATCH(B774,'Data Export'!$B$6:$B$78,0),1)))</f>
        <v>0</v>
      </c>
      <c r="E774">
        <v>4</v>
      </c>
      <c r="F774" t="s">
        <v>228</v>
      </c>
    </row>
    <row r="775" spans="1:6">
      <c r="A775" t="str">
        <f t="shared" si="12"/>
        <v>GenericE&amp;DtemplateCIandGOA</v>
      </c>
      <c r="B775">
        <v>30</v>
      </c>
      <c r="C775">
        <v>20</v>
      </c>
      <c r="D775" s="649">
        <f ca="1">IF(E775=4,INDEX(crude_exp_dist,MATCH(B775,'Crude Exp Dist'!$B$6:$B$78,0),MATCH(C775,'Crude Exp Dist'!$AD$2:$BC$2,0))*INDEX(crude_exp_by_year,MATCH(B775,'Data Export'!$B$6:$B$78,0),1),IF(E775=5,INDEX(ref_exp_dist,MATCH(B775,'Refined Petro Exp Dist'!$B$6:$B$78,0),MATCH(C775,'Refined Petro Exp Dist'!$AD$2:$BC$2,0))*INDEX(ref_exp_by_year,MATCH(B775,'Data Export'!$B$6:$B$78,0),1)))</f>
        <v>0</v>
      </c>
      <c r="E775">
        <v>4</v>
      </c>
      <c r="F775" t="s">
        <v>231</v>
      </c>
    </row>
    <row r="776" spans="1:6">
      <c r="A776" t="str">
        <f t="shared" si="12"/>
        <v>GenericE&amp;DtemplateCIandGOA</v>
      </c>
      <c r="B776">
        <v>30</v>
      </c>
      <c r="C776">
        <v>21</v>
      </c>
      <c r="D776" s="649">
        <f ca="1">IF(E776=4,INDEX(crude_exp_dist,MATCH(B776,'Crude Exp Dist'!$B$6:$B$78,0),MATCH(C776,'Crude Exp Dist'!$AD$2:$BC$2,0))*INDEX(crude_exp_by_year,MATCH(B776,'Data Export'!$B$6:$B$78,0),1),IF(E776=5,INDEX(ref_exp_dist,MATCH(B776,'Refined Petro Exp Dist'!$B$6:$B$78,0),MATCH(C776,'Refined Petro Exp Dist'!$AD$2:$BC$2,0))*INDEX(ref_exp_by_year,MATCH(B776,'Data Export'!$B$6:$B$78,0),1)))</f>
        <v>0</v>
      </c>
      <c r="E776">
        <v>4</v>
      </c>
      <c r="F776" t="s">
        <v>232</v>
      </c>
    </row>
    <row r="777" spans="1:6">
      <c r="A777" t="str">
        <f t="shared" si="12"/>
        <v>GenericE&amp;DtemplateCIandGOA</v>
      </c>
      <c r="B777">
        <v>30</v>
      </c>
      <c r="C777">
        <v>22</v>
      </c>
      <c r="D777" s="649">
        <f ca="1">IF(E777=4,INDEX(crude_exp_dist,MATCH(B777,'Crude Exp Dist'!$B$6:$B$78,0),MATCH(C777,'Crude Exp Dist'!$AD$2:$BC$2,0))*INDEX(crude_exp_by_year,MATCH(B777,'Data Export'!$B$6:$B$78,0),1),IF(E777=5,INDEX(ref_exp_dist,MATCH(B777,'Refined Petro Exp Dist'!$B$6:$B$78,0),MATCH(C777,'Refined Petro Exp Dist'!$AD$2:$BC$2,0))*INDEX(ref_exp_by_year,MATCH(B777,'Data Export'!$B$6:$B$78,0),1)))</f>
        <v>0</v>
      </c>
      <c r="E777">
        <v>4</v>
      </c>
      <c r="F777" t="s">
        <v>235</v>
      </c>
    </row>
    <row r="778" spans="1:6">
      <c r="A778" t="str">
        <f t="shared" si="12"/>
        <v>GenericE&amp;DtemplateCIandGOA</v>
      </c>
      <c r="B778">
        <v>30</v>
      </c>
      <c r="C778">
        <v>23</v>
      </c>
      <c r="D778" s="649">
        <f ca="1">IF(E778=4,INDEX(crude_exp_dist,MATCH(B778,'Crude Exp Dist'!$B$6:$B$78,0),MATCH(C778,'Crude Exp Dist'!$AD$2:$BC$2,0))*INDEX(crude_exp_by_year,MATCH(B778,'Data Export'!$B$6:$B$78,0),1),IF(E778=5,INDEX(ref_exp_dist,MATCH(B778,'Refined Petro Exp Dist'!$B$6:$B$78,0),MATCH(C778,'Refined Petro Exp Dist'!$AD$2:$BC$2,0))*INDEX(ref_exp_by_year,MATCH(B778,'Data Export'!$B$6:$B$78,0),1)))</f>
        <v>0</v>
      </c>
      <c r="E778">
        <v>4</v>
      </c>
      <c r="F778" t="s">
        <v>237</v>
      </c>
    </row>
    <row r="779" spans="1:6">
      <c r="A779" t="str">
        <f t="shared" si="12"/>
        <v>GenericE&amp;DtemplateCIandGOA</v>
      </c>
      <c r="B779">
        <v>30</v>
      </c>
      <c r="C779">
        <v>24</v>
      </c>
      <c r="D779" s="649">
        <f ca="1">IF(E779=4,INDEX(crude_exp_dist,MATCH(B779,'Crude Exp Dist'!$B$6:$B$78,0),MATCH(C779,'Crude Exp Dist'!$AD$2:$BC$2,0))*INDEX(crude_exp_by_year,MATCH(B779,'Data Export'!$B$6:$B$78,0),1),IF(E779=5,INDEX(ref_exp_dist,MATCH(B779,'Refined Petro Exp Dist'!$B$6:$B$78,0),MATCH(C779,'Refined Petro Exp Dist'!$AD$2:$BC$2,0))*INDEX(ref_exp_by_year,MATCH(B779,'Data Export'!$B$6:$B$78,0),1)))</f>
        <v>0</v>
      </c>
      <c r="E779">
        <v>4</v>
      </c>
      <c r="F779" t="s">
        <v>239</v>
      </c>
    </row>
    <row r="780" spans="1:6">
      <c r="A780" t="str">
        <f t="shared" si="12"/>
        <v>GenericE&amp;DtemplateCIandGOA</v>
      </c>
      <c r="B780">
        <v>30</v>
      </c>
      <c r="C780">
        <v>25</v>
      </c>
      <c r="D780" s="649">
        <f ca="1">IF(E780=4,INDEX(crude_exp_dist,MATCH(B780,'Crude Exp Dist'!$B$6:$B$78,0),MATCH(C780,'Crude Exp Dist'!$AD$2:$BC$2,0))*INDEX(crude_exp_by_year,MATCH(B780,'Data Export'!$B$6:$B$78,0),1),IF(E780=5,INDEX(ref_exp_dist,MATCH(B780,'Refined Petro Exp Dist'!$B$6:$B$78,0),MATCH(C780,'Refined Petro Exp Dist'!$AD$2:$BC$2,0))*INDEX(ref_exp_by_year,MATCH(B780,'Data Export'!$B$6:$B$78,0),1)))</f>
        <v>0</v>
      </c>
      <c r="E780">
        <v>4</v>
      </c>
      <c r="F780" t="s">
        <v>242</v>
      </c>
    </row>
    <row r="781" spans="1:6">
      <c r="A781" t="str">
        <f t="shared" si="12"/>
        <v>GenericE&amp;DtemplateCIandGOA</v>
      </c>
      <c r="B781">
        <v>30</v>
      </c>
      <c r="C781">
        <v>26</v>
      </c>
      <c r="D781" s="649">
        <f ca="1">IF(E781=4,INDEX(crude_exp_dist,MATCH(B781,'Crude Exp Dist'!$B$6:$B$78,0),MATCH(C781,'Crude Exp Dist'!$AD$2:$BC$2,0))*INDEX(crude_exp_by_year,MATCH(B781,'Data Export'!$B$6:$B$78,0),1),IF(E781=5,INDEX(ref_exp_dist,MATCH(B781,'Refined Petro Exp Dist'!$B$6:$B$78,0),MATCH(C781,'Refined Petro Exp Dist'!$AD$2:$BC$2,0))*INDEX(ref_exp_by_year,MATCH(B781,'Data Export'!$B$6:$B$78,0),1)))</f>
        <v>0</v>
      </c>
      <c r="E781">
        <v>4</v>
      </c>
      <c r="F781" t="s">
        <v>245</v>
      </c>
    </row>
    <row r="782" spans="1:6">
      <c r="A782" t="str">
        <f t="shared" si="12"/>
        <v>GenericE&amp;DtemplateCIandGOA</v>
      </c>
      <c r="B782">
        <v>31</v>
      </c>
      <c r="C782">
        <v>1</v>
      </c>
      <c r="D782" s="649">
        <f ca="1">IF(E782=4,INDEX(crude_exp_dist,MATCH(B782,'Crude Exp Dist'!$B$6:$B$78,0),MATCH(C782,'Crude Exp Dist'!$AD$2:$BC$2,0))*INDEX(crude_exp_by_year,MATCH(B782,'Data Export'!$B$6:$B$78,0),1),IF(E782=5,INDEX(ref_exp_dist,MATCH(B782,'Refined Petro Exp Dist'!$B$6:$B$78,0),MATCH(C782,'Refined Petro Exp Dist'!$AD$2:$BC$2,0))*INDEX(ref_exp_by_year,MATCH(B782,'Data Export'!$B$6:$B$78,0),1)))</f>
        <v>0</v>
      </c>
      <c r="E782">
        <v>4</v>
      </c>
      <c r="F782" t="s">
        <v>158</v>
      </c>
    </row>
    <row r="783" spans="1:6">
      <c r="A783" t="str">
        <f t="shared" si="12"/>
        <v>GenericE&amp;DtemplateCIandGOA</v>
      </c>
      <c r="B783">
        <v>31</v>
      </c>
      <c r="C783">
        <v>2</v>
      </c>
      <c r="D783" s="649">
        <f ca="1">IF(E783=4,INDEX(crude_exp_dist,MATCH(B783,'Crude Exp Dist'!$B$6:$B$78,0),MATCH(C783,'Crude Exp Dist'!$AD$2:$BC$2,0))*INDEX(crude_exp_by_year,MATCH(B783,'Data Export'!$B$6:$B$78,0),1),IF(E783=5,INDEX(ref_exp_dist,MATCH(B783,'Refined Petro Exp Dist'!$B$6:$B$78,0),MATCH(C783,'Refined Petro Exp Dist'!$AD$2:$BC$2,0))*INDEX(ref_exp_by_year,MATCH(B783,'Data Export'!$B$6:$B$78,0),1)))</f>
        <v>0</v>
      </c>
      <c r="E783">
        <v>4</v>
      </c>
      <c r="F783" t="s">
        <v>166</v>
      </c>
    </row>
    <row r="784" spans="1:6">
      <c r="A784" t="str">
        <f t="shared" si="12"/>
        <v>GenericE&amp;DtemplateCIandGOA</v>
      </c>
      <c r="B784">
        <v>31</v>
      </c>
      <c r="C784">
        <v>3</v>
      </c>
      <c r="D784" s="649">
        <f ca="1">IF(E784=4,INDEX(crude_exp_dist,MATCH(B784,'Crude Exp Dist'!$B$6:$B$78,0),MATCH(C784,'Crude Exp Dist'!$AD$2:$BC$2,0))*INDEX(crude_exp_by_year,MATCH(B784,'Data Export'!$B$6:$B$78,0),1),IF(E784=5,INDEX(ref_exp_dist,MATCH(B784,'Refined Petro Exp Dist'!$B$6:$B$78,0),MATCH(C784,'Refined Petro Exp Dist'!$AD$2:$BC$2,0))*INDEX(ref_exp_by_year,MATCH(B784,'Data Export'!$B$6:$B$78,0),1)))</f>
        <v>0</v>
      </c>
      <c r="E784">
        <v>4</v>
      </c>
      <c r="F784" t="s">
        <v>171</v>
      </c>
    </row>
    <row r="785" spans="1:6">
      <c r="A785" t="str">
        <f t="shared" si="12"/>
        <v>GenericE&amp;DtemplateCIandGOA</v>
      </c>
      <c r="B785">
        <v>31</v>
      </c>
      <c r="C785">
        <v>4</v>
      </c>
      <c r="D785" s="649">
        <f ca="1">IF(E785=4,INDEX(crude_exp_dist,MATCH(B785,'Crude Exp Dist'!$B$6:$B$78,0),MATCH(C785,'Crude Exp Dist'!$AD$2:$BC$2,0))*INDEX(crude_exp_by_year,MATCH(B785,'Data Export'!$B$6:$B$78,0),1),IF(E785=5,INDEX(ref_exp_dist,MATCH(B785,'Refined Petro Exp Dist'!$B$6:$B$78,0),MATCH(C785,'Refined Petro Exp Dist'!$AD$2:$BC$2,0))*INDEX(ref_exp_by_year,MATCH(B785,'Data Export'!$B$6:$B$78,0),1)))</f>
        <v>0</v>
      </c>
      <c r="E785">
        <v>4</v>
      </c>
      <c r="F785" t="s">
        <v>173</v>
      </c>
    </row>
    <row r="786" spans="1:6">
      <c r="A786" t="str">
        <f t="shared" si="12"/>
        <v>GenericE&amp;DtemplateCIandGOA</v>
      </c>
      <c r="B786">
        <v>31</v>
      </c>
      <c r="C786">
        <v>5</v>
      </c>
      <c r="D786" s="649">
        <f ca="1">IF(E786=4,INDEX(crude_exp_dist,MATCH(B786,'Crude Exp Dist'!$B$6:$B$78,0),MATCH(C786,'Crude Exp Dist'!$AD$2:$BC$2,0))*INDEX(crude_exp_by_year,MATCH(B786,'Data Export'!$B$6:$B$78,0),1),IF(E786=5,INDEX(ref_exp_dist,MATCH(B786,'Refined Petro Exp Dist'!$B$6:$B$78,0),MATCH(C786,'Refined Petro Exp Dist'!$AD$2:$BC$2,0))*INDEX(ref_exp_by_year,MATCH(B786,'Data Export'!$B$6:$B$78,0),1)))</f>
        <v>0</v>
      </c>
      <c r="E786">
        <v>4</v>
      </c>
      <c r="F786" t="s">
        <v>180</v>
      </c>
    </row>
    <row r="787" spans="1:6">
      <c r="A787" t="str">
        <f t="shared" si="12"/>
        <v>GenericE&amp;DtemplateCIandGOA</v>
      </c>
      <c r="B787">
        <v>31</v>
      </c>
      <c r="C787">
        <v>6</v>
      </c>
      <c r="D787" s="649">
        <f ca="1">IF(E787=4,INDEX(crude_exp_dist,MATCH(B787,'Crude Exp Dist'!$B$6:$B$78,0),MATCH(C787,'Crude Exp Dist'!$AD$2:$BC$2,0))*INDEX(crude_exp_by_year,MATCH(B787,'Data Export'!$B$6:$B$78,0),1),IF(E787=5,INDEX(ref_exp_dist,MATCH(B787,'Refined Petro Exp Dist'!$B$6:$B$78,0),MATCH(C787,'Refined Petro Exp Dist'!$AD$2:$BC$2,0))*INDEX(ref_exp_by_year,MATCH(B787,'Data Export'!$B$6:$B$78,0),1)))</f>
        <v>0</v>
      </c>
      <c r="E787">
        <v>4</v>
      </c>
      <c r="F787" t="s">
        <v>186</v>
      </c>
    </row>
    <row r="788" spans="1:6">
      <c r="A788" t="str">
        <f t="shared" si="12"/>
        <v>GenericE&amp;DtemplateCIandGOA</v>
      </c>
      <c r="B788">
        <v>31</v>
      </c>
      <c r="C788">
        <v>7</v>
      </c>
      <c r="D788" s="649">
        <f ca="1">IF(E788=4,INDEX(crude_exp_dist,MATCH(B788,'Crude Exp Dist'!$B$6:$B$78,0),MATCH(C788,'Crude Exp Dist'!$AD$2:$BC$2,0))*INDEX(crude_exp_by_year,MATCH(B788,'Data Export'!$B$6:$B$78,0),1),IF(E788=5,INDEX(ref_exp_dist,MATCH(B788,'Refined Petro Exp Dist'!$B$6:$B$78,0),MATCH(C788,'Refined Petro Exp Dist'!$AD$2:$BC$2,0))*INDEX(ref_exp_by_year,MATCH(B788,'Data Export'!$B$6:$B$78,0),1)))</f>
        <v>0</v>
      </c>
      <c r="E788">
        <v>4</v>
      </c>
      <c r="F788" t="s">
        <v>191</v>
      </c>
    </row>
    <row r="789" spans="1:6">
      <c r="A789" t="str">
        <f t="shared" si="12"/>
        <v>GenericE&amp;DtemplateCIandGOA</v>
      </c>
      <c r="B789">
        <v>31</v>
      </c>
      <c r="C789">
        <v>8</v>
      </c>
      <c r="D789" s="649">
        <f ca="1">IF(E789=4,INDEX(crude_exp_dist,MATCH(B789,'Crude Exp Dist'!$B$6:$B$78,0),MATCH(C789,'Crude Exp Dist'!$AD$2:$BC$2,0))*INDEX(crude_exp_by_year,MATCH(B789,'Data Export'!$B$6:$B$78,0),1),IF(E789=5,INDEX(ref_exp_dist,MATCH(B789,'Refined Petro Exp Dist'!$B$6:$B$78,0),MATCH(C789,'Refined Petro Exp Dist'!$AD$2:$BC$2,0))*INDEX(ref_exp_by_year,MATCH(B789,'Data Export'!$B$6:$B$78,0),1)))</f>
        <v>0</v>
      </c>
      <c r="E789">
        <v>4</v>
      </c>
      <c r="F789" t="s">
        <v>197</v>
      </c>
    </row>
    <row r="790" spans="1:6">
      <c r="A790" t="str">
        <f t="shared" si="12"/>
        <v>GenericE&amp;DtemplateCIandGOA</v>
      </c>
      <c r="B790">
        <v>31</v>
      </c>
      <c r="C790">
        <v>9</v>
      </c>
      <c r="D790" s="649">
        <f ca="1">IF(E790=4,INDEX(crude_exp_dist,MATCH(B790,'Crude Exp Dist'!$B$6:$B$78,0),MATCH(C790,'Crude Exp Dist'!$AD$2:$BC$2,0))*INDEX(crude_exp_by_year,MATCH(B790,'Data Export'!$B$6:$B$78,0),1),IF(E790=5,INDEX(ref_exp_dist,MATCH(B790,'Refined Petro Exp Dist'!$B$6:$B$78,0),MATCH(C790,'Refined Petro Exp Dist'!$AD$2:$BC$2,0))*INDEX(ref_exp_by_year,MATCH(B790,'Data Export'!$B$6:$B$78,0),1)))</f>
        <v>0</v>
      </c>
      <c r="E790">
        <v>4</v>
      </c>
      <c r="F790" t="s">
        <v>199</v>
      </c>
    </row>
    <row r="791" spans="1:6">
      <c r="A791" t="str">
        <f t="shared" si="12"/>
        <v>GenericE&amp;DtemplateCIandGOA</v>
      </c>
      <c r="B791">
        <v>31</v>
      </c>
      <c r="C791">
        <v>10</v>
      </c>
      <c r="D791" s="649">
        <f ca="1">IF(E791=4,INDEX(crude_exp_dist,MATCH(B791,'Crude Exp Dist'!$B$6:$B$78,0),MATCH(C791,'Crude Exp Dist'!$AD$2:$BC$2,0))*INDEX(crude_exp_by_year,MATCH(B791,'Data Export'!$B$6:$B$78,0),1),IF(E791=5,INDEX(ref_exp_dist,MATCH(B791,'Refined Petro Exp Dist'!$B$6:$B$78,0),MATCH(C791,'Refined Petro Exp Dist'!$AD$2:$BC$2,0))*INDEX(ref_exp_by_year,MATCH(B791,'Data Export'!$B$6:$B$78,0),1)))</f>
        <v>0</v>
      </c>
      <c r="E791">
        <v>4</v>
      </c>
      <c r="F791" t="s">
        <v>201</v>
      </c>
    </row>
    <row r="792" spans="1:6">
      <c r="A792" t="str">
        <f t="shared" si="12"/>
        <v>GenericE&amp;DtemplateCIandGOA</v>
      </c>
      <c r="B792">
        <v>31</v>
      </c>
      <c r="C792">
        <v>11</v>
      </c>
      <c r="D792" s="649">
        <f ca="1">IF(E792=4,INDEX(crude_exp_dist,MATCH(B792,'Crude Exp Dist'!$B$6:$B$78,0),MATCH(C792,'Crude Exp Dist'!$AD$2:$BC$2,0))*INDEX(crude_exp_by_year,MATCH(B792,'Data Export'!$B$6:$B$78,0),1),IF(E792=5,INDEX(ref_exp_dist,MATCH(B792,'Refined Petro Exp Dist'!$B$6:$B$78,0),MATCH(C792,'Refined Petro Exp Dist'!$AD$2:$BC$2,0))*INDEX(ref_exp_by_year,MATCH(B792,'Data Export'!$B$6:$B$78,0),1)))</f>
        <v>0</v>
      </c>
      <c r="E792">
        <v>4</v>
      </c>
      <c r="F792" t="s">
        <v>921</v>
      </c>
    </row>
    <row r="793" spans="1:6">
      <c r="A793" t="str">
        <f t="shared" si="12"/>
        <v>GenericE&amp;DtemplateCIandGOA</v>
      </c>
      <c r="B793">
        <v>31</v>
      </c>
      <c r="C793">
        <v>12</v>
      </c>
      <c r="D793" s="649">
        <f ca="1">IF(E793=4,INDEX(crude_exp_dist,MATCH(B793,'Crude Exp Dist'!$B$6:$B$78,0),MATCH(C793,'Crude Exp Dist'!$AD$2:$BC$2,0))*INDEX(crude_exp_by_year,MATCH(B793,'Data Export'!$B$6:$B$78,0),1),IF(E793=5,INDEX(ref_exp_dist,MATCH(B793,'Refined Petro Exp Dist'!$B$6:$B$78,0),MATCH(C793,'Refined Petro Exp Dist'!$AD$2:$BC$2,0))*INDEX(ref_exp_by_year,MATCH(B793,'Data Export'!$B$6:$B$78,0),1)))</f>
        <v>0</v>
      </c>
      <c r="E793">
        <v>4</v>
      </c>
      <c r="F793" t="s">
        <v>208</v>
      </c>
    </row>
    <row r="794" spans="1:6">
      <c r="A794" t="str">
        <f t="shared" si="12"/>
        <v>GenericE&amp;DtemplateCIandGOA</v>
      </c>
      <c r="B794">
        <v>31</v>
      </c>
      <c r="C794">
        <v>13</v>
      </c>
      <c r="D794" s="649">
        <f ca="1">IF(E794=4,INDEX(crude_exp_dist,MATCH(B794,'Crude Exp Dist'!$B$6:$B$78,0),MATCH(C794,'Crude Exp Dist'!$AD$2:$BC$2,0))*INDEX(crude_exp_by_year,MATCH(B794,'Data Export'!$B$6:$B$78,0),1),IF(E794=5,INDEX(ref_exp_dist,MATCH(B794,'Refined Petro Exp Dist'!$B$6:$B$78,0),MATCH(C794,'Refined Petro Exp Dist'!$AD$2:$BC$2,0))*INDEX(ref_exp_by_year,MATCH(B794,'Data Export'!$B$6:$B$78,0),1)))</f>
        <v>0</v>
      </c>
      <c r="E794">
        <v>4</v>
      </c>
      <c r="F794" t="s">
        <v>211</v>
      </c>
    </row>
    <row r="795" spans="1:6">
      <c r="A795" t="str">
        <f t="shared" si="12"/>
        <v>GenericE&amp;DtemplateCIandGOA</v>
      </c>
      <c r="B795">
        <v>31</v>
      </c>
      <c r="C795">
        <v>14</v>
      </c>
      <c r="D795" s="649">
        <f ca="1">IF(E795=4,INDEX(crude_exp_dist,MATCH(B795,'Crude Exp Dist'!$B$6:$B$78,0),MATCH(C795,'Crude Exp Dist'!$AD$2:$BC$2,0))*INDEX(crude_exp_by_year,MATCH(B795,'Data Export'!$B$6:$B$78,0),1),IF(E795=5,INDEX(ref_exp_dist,MATCH(B795,'Refined Petro Exp Dist'!$B$6:$B$78,0),MATCH(C795,'Refined Petro Exp Dist'!$AD$2:$BC$2,0))*INDEX(ref_exp_by_year,MATCH(B795,'Data Export'!$B$6:$B$78,0),1)))</f>
        <v>0</v>
      </c>
      <c r="E795">
        <v>4</v>
      </c>
      <c r="F795" t="s">
        <v>213</v>
      </c>
    </row>
    <row r="796" spans="1:6">
      <c r="A796" t="str">
        <f t="shared" si="12"/>
        <v>GenericE&amp;DtemplateCIandGOA</v>
      </c>
      <c r="B796">
        <v>31</v>
      </c>
      <c r="C796">
        <v>15</v>
      </c>
      <c r="D796" s="649">
        <f ca="1">IF(E796=4,INDEX(crude_exp_dist,MATCH(B796,'Crude Exp Dist'!$B$6:$B$78,0),MATCH(C796,'Crude Exp Dist'!$AD$2:$BC$2,0))*INDEX(crude_exp_by_year,MATCH(B796,'Data Export'!$B$6:$B$78,0),1),IF(E796=5,INDEX(ref_exp_dist,MATCH(B796,'Refined Petro Exp Dist'!$B$6:$B$78,0),MATCH(C796,'Refined Petro Exp Dist'!$AD$2:$BC$2,0))*INDEX(ref_exp_by_year,MATCH(B796,'Data Export'!$B$6:$B$78,0),1)))</f>
        <v>0</v>
      </c>
      <c r="E796">
        <v>4</v>
      </c>
      <c r="F796" t="s">
        <v>215</v>
      </c>
    </row>
    <row r="797" spans="1:6">
      <c r="A797" t="str">
        <f t="shared" si="12"/>
        <v>GenericE&amp;DtemplateCIandGOA</v>
      </c>
      <c r="B797">
        <v>31</v>
      </c>
      <c r="C797">
        <v>16</v>
      </c>
      <c r="D797" s="649">
        <f ca="1">IF(E797=4,INDEX(crude_exp_dist,MATCH(B797,'Crude Exp Dist'!$B$6:$B$78,0),MATCH(C797,'Crude Exp Dist'!$AD$2:$BC$2,0))*INDEX(crude_exp_by_year,MATCH(B797,'Data Export'!$B$6:$B$78,0),1),IF(E797=5,INDEX(ref_exp_dist,MATCH(B797,'Refined Petro Exp Dist'!$B$6:$B$78,0),MATCH(C797,'Refined Petro Exp Dist'!$AD$2:$BC$2,0))*INDEX(ref_exp_by_year,MATCH(B797,'Data Export'!$B$6:$B$78,0),1)))</f>
        <v>0</v>
      </c>
      <c r="E797">
        <v>4</v>
      </c>
      <c r="F797" t="s">
        <v>219</v>
      </c>
    </row>
    <row r="798" spans="1:6">
      <c r="A798" t="str">
        <f t="shared" si="12"/>
        <v>GenericE&amp;DtemplateCIandGOA</v>
      </c>
      <c r="B798">
        <v>31</v>
      </c>
      <c r="C798">
        <v>17</v>
      </c>
      <c r="D798" s="649">
        <f ca="1">IF(E798=4,INDEX(crude_exp_dist,MATCH(B798,'Crude Exp Dist'!$B$6:$B$78,0),MATCH(C798,'Crude Exp Dist'!$AD$2:$BC$2,0))*INDEX(crude_exp_by_year,MATCH(B798,'Data Export'!$B$6:$B$78,0),1),IF(E798=5,INDEX(ref_exp_dist,MATCH(B798,'Refined Petro Exp Dist'!$B$6:$B$78,0),MATCH(C798,'Refined Petro Exp Dist'!$AD$2:$BC$2,0))*INDEX(ref_exp_by_year,MATCH(B798,'Data Export'!$B$6:$B$78,0),1)))</f>
        <v>0</v>
      </c>
      <c r="E798">
        <v>4</v>
      </c>
      <c r="F798" t="s">
        <v>222</v>
      </c>
    </row>
    <row r="799" spans="1:6">
      <c r="A799" t="str">
        <f t="shared" si="12"/>
        <v>GenericE&amp;DtemplateCIandGOA</v>
      </c>
      <c r="B799">
        <v>31</v>
      </c>
      <c r="C799">
        <v>18</v>
      </c>
      <c r="D799" s="649">
        <f ca="1">IF(E799=4,INDEX(crude_exp_dist,MATCH(B799,'Crude Exp Dist'!$B$6:$B$78,0),MATCH(C799,'Crude Exp Dist'!$AD$2:$BC$2,0))*INDEX(crude_exp_by_year,MATCH(B799,'Data Export'!$B$6:$B$78,0),1),IF(E799=5,INDEX(ref_exp_dist,MATCH(B799,'Refined Petro Exp Dist'!$B$6:$B$78,0),MATCH(C799,'Refined Petro Exp Dist'!$AD$2:$BC$2,0))*INDEX(ref_exp_by_year,MATCH(B799,'Data Export'!$B$6:$B$78,0),1)))</f>
        <v>0</v>
      </c>
      <c r="E799">
        <v>4</v>
      </c>
      <c r="F799" t="s">
        <v>224</v>
      </c>
    </row>
    <row r="800" spans="1:6">
      <c r="A800" t="str">
        <f t="shared" si="12"/>
        <v>GenericE&amp;DtemplateCIandGOA</v>
      </c>
      <c r="B800">
        <v>31</v>
      </c>
      <c r="C800">
        <v>19</v>
      </c>
      <c r="D800" s="649">
        <f ca="1">IF(E800=4,INDEX(crude_exp_dist,MATCH(B800,'Crude Exp Dist'!$B$6:$B$78,0),MATCH(C800,'Crude Exp Dist'!$AD$2:$BC$2,0))*INDEX(crude_exp_by_year,MATCH(B800,'Data Export'!$B$6:$B$78,0),1),IF(E800=5,INDEX(ref_exp_dist,MATCH(B800,'Refined Petro Exp Dist'!$B$6:$B$78,0),MATCH(C800,'Refined Petro Exp Dist'!$AD$2:$BC$2,0))*INDEX(ref_exp_by_year,MATCH(B800,'Data Export'!$B$6:$B$78,0),1)))</f>
        <v>0</v>
      </c>
      <c r="E800">
        <v>4</v>
      </c>
      <c r="F800" t="s">
        <v>228</v>
      </c>
    </row>
    <row r="801" spans="1:6">
      <c r="A801" t="str">
        <f t="shared" si="12"/>
        <v>GenericE&amp;DtemplateCIandGOA</v>
      </c>
      <c r="B801">
        <v>31</v>
      </c>
      <c r="C801">
        <v>20</v>
      </c>
      <c r="D801" s="649">
        <f ca="1">IF(E801=4,INDEX(crude_exp_dist,MATCH(B801,'Crude Exp Dist'!$B$6:$B$78,0),MATCH(C801,'Crude Exp Dist'!$AD$2:$BC$2,0))*INDEX(crude_exp_by_year,MATCH(B801,'Data Export'!$B$6:$B$78,0),1),IF(E801=5,INDEX(ref_exp_dist,MATCH(B801,'Refined Petro Exp Dist'!$B$6:$B$78,0),MATCH(C801,'Refined Petro Exp Dist'!$AD$2:$BC$2,0))*INDEX(ref_exp_by_year,MATCH(B801,'Data Export'!$B$6:$B$78,0),1)))</f>
        <v>0</v>
      </c>
      <c r="E801">
        <v>4</v>
      </c>
      <c r="F801" t="s">
        <v>231</v>
      </c>
    </row>
    <row r="802" spans="1:6">
      <c r="A802" t="str">
        <f t="shared" si="12"/>
        <v>GenericE&amp;DtemplateCIandGOA</v>
      </c>
      <c r="B802">
        <v>31</v>
      </c>
      <c r="C802">
        <v>21</v>
      </c>
      <c r="D802" s="649">
        <f ca="1">IF(E802=4,INDEX(crude_exp_dist,MATCH(B802,'Crude Exp Dist'!$B$6:$B$78,0),MATCH(C802,'Crude Exp Dist'!$AD$2:$BC$2,0))*INDEX(crude_exp_by_year,MATCH(B802,'Data Export'!$B$6:$B$78,0),1),IF(E802=5,INDEX(ref_exp_dist,MATCH(B802,'Refined Petro Exp Dist'!$B$6:$B$78,0),MATCH(C802,'Refined Petro Exp Dist'!$AD$2:$BC$2,0))*INDEX(ref_exp_by_year,MATCH(B802,'Data Export'!$B$6:$B$78,0),1)))</f>
        <v>0</v>
      </c>
      <c r="E802">
        <v>4</v>
      </c>
      <c r="F802" t="s">
        <v>232</v>
      </c>
    </row>
    <row r="803" spans="1:6">
      <c r="A803" t="str">
        <f t="shared" si="12"/>
        <v>GenericE&amp;DtemplateCIandGOA</v>
      </c>
      <c r="B803">
        <v>31</v>
      </c>
      <c r="C803">
        <v>22</v>
      </c>
      <c r="D803" s="649">
        <f ca="1">IF(E803=4,INDEX(crude_exp_dist,MATCH(B803,'Crude Exp Dist'!$B$6:$B$78,0),MATCH(C803,'Crude Exp Dist'!$AD$2:$BC$2,0))*INDEX(crude_exp_by_year,MATCH(B803,'Data Export'!$B$6:$B$78,0),1),IF(E803=5,INDEX(ref_exp_dist,MATCH(B803,'Refined Petro Exp Dist'!$B$6:$B$78,0),MATCH(C803,'Refined Petro Exp Dist'!$AD$2:$BC$2,0))*INDEX(ref_exp_by_year,MATCH(B803,'Data Export'!$B$6:$B$78,0),1)))</f>
        <v>0</v>
      </c>
      <c r="E803">
        <v>4</v>
      </c>
      <c r="F803" t="s">
        <v>235</v>
      </c>
    </row>
    <row r="804" spans="1:6">
      <c r="A804" t="str">
        <f t="shared" si="12"/>
        <v>GenericE&amp;DtemplateCIandGOA</v>
      </c>
      <c r="B804">
        <v>31</v>
      </c>
      <c r="C804">
        <v>23</v>
      </c>
      <c r="D804" s="649">
        <f ca="1">IF(E804=4,INDEX(crude_exp_dist,MATCH(B804,'Crude Exp Dist'!$B$6:$B$78,0),MATCH(C804,'Crude Exp Dist'!$AD$2:$BC$2,0))*INDEX(crude_exp_by_year,MATCH(B804,'Data Export'!$B$6:$B$78,0),1),IF(E804=5,INDEX(ref_exp_dist,MATCH(B804,'Refined Petro Exp Dist'!$B$6:$B$78,0),MATCH(C804,'Refined Petro Exp Dist'!$AD$2:$BC$2,0))*INDEX(ref_exp_by_year,MATCH(B804,'Data Export'!$B$6:$B$78,0),1)))</f>
        <v>0</v>
      </c>
      <c r="E804">
        <v>4</v>
      </c>
      <c r="F804" t="s">
        <v>237</v>
      </c>
    </row>
    <row r="805" spans="1:6">
      <c r="A805" t="str">
        <f t="shared" si="12"/>
        <v>GenericE&amp;DtemplateCIandGOA</v>
      </c>
      <c r="B805">
        <v>31</v>
      </c>
      <c r="C805">
        <v>24</v>
      </c>
      <c r="D805" s="649">
        <f ca="1">IF(E805=4,INDEX(crude_exp_dist,MATCH(B805,'Crude Exp Dist'!$B$6:$B$78,0),MATCH(C805,'Crude Exp Dist'!$AD$2:$BC$2,0))*INDEX(crude_exp_by_year,MATCH(B805,'Data Export'!$B$6:$B$78,0),1),IF(E805=5,INDEX(ref_exp_dist,MATCH(B805,'Refined Petro Exp Dist'!$B$6:$B$78,0),MATCH(C805,'Refined Petro Exp Dist'!$AD$2:$BC$2,0))*INDEX(ref_exp_by_year,MATCH(B805,'Data Export'!$B$6:$B$78,0),1)))</f>
        <v>0</v>
      </c>
      <c r="E805">
        <v>4</v>
      </c>
      <c r="F805" t="s">
        <v>239</v>
      </c>
    </row>
    <row r="806" spans="1:6">
      <c r="A806" t="str">
        <f t="shared" si="12"/>
        <v>GenericE&amp;DtemplateCIandGOA</v>
      </c>
      <c r="B806">
        <v>31</v>
      </c>
      <c r="C806">
        <v>25</v>
      </c>
      <c r="D806" s="649">
        <f ca="1">IF(E806=4,INDEX(crude_exp_dist,MATCH(B806,'Crude Exp Dist'!$B$6:$B$78,0),MATCH(C806,'Crude Exp Dist'!$AD$2:$BC$2,0))*INDEX(crude_exp_by_year,MATCH(B806,'Data Export'!$B$6:$B$78,0),1),IF(E806=5,INDEX(ref_exp_dist,MATCH(B806,'Refined Petro Exp Dist'!$B$6:$B$78,0),MATCH(C806,'Refined Petro Exp Dist'!$AD$2:$BC$2,0))*INDEX(ref_exp_by_year,MATCH(B806,'Data Export'!$B$6:$B$78,0),1)))</f>
        <v>0</v>
      </c>
      <c r="E806">
        <v>4</v>
      </c>
      <c r="F806" t="s">
        <v>242</v>
      </c>
    </row>
    <row r="807" spans="1:6">
      <c r="A807" t="str">
        <f t="shared" si="12"/>
        <v>GenericE&amp;DtemplateCIandGOA</v>
      </c>
      <c r="B807">
        <v>31</v>
      </c>
      <c r="C807">
        <v>26</v>
      </c>
      <c r="D807" s="649">
        <f ca="1">IF(E807=4,INDEX(crude_exp_dist,MATCH(B807,'Crude Exp Dist'!$B$6:$B$78,0),MATCH(C807,'Crude Exp Dist'!$AD$2:$BC$2,0))*INDEX(crude_exp_by_year,MATCH(B807,'Data Export'!$B$6:$B$78,0),1),IF(E807=5,INDEX(ref_exp_dist,MATCH(B807,'Refined Petro Exp Dist'!$B$6:$B$78,0),MATCH(C807,'Refined Petro Exp Dist'!$AD$2:$BC$2,0))*INDEX(ref_exp_by_year,MATCH(B807,'Data Export'!$B$6:$B$78,0),1)))</f>
        <v>0</v>
      </c>
      <c r="E807">
        <v>4</v>
      </c>
      <c r="F807" t="s">
        <v>245</v>
      </c>
    </row>
    <row r="808" spans="1:6">
      <c r="A808" t="str">
        <f t="shared" si="12"/>
        <v>GenericE&amp;DtemplateCIandGOA</v>
      </c>
      <c r="B808">
        <v>32</v>
      </c>
      <c r="C808">
        <v>1</v>
      </c>
      <c r="D808" s="649">
        <f ca="1">IF(E808=4,INDEX(crude_exp_dist,MATCH(B808,'Crude Exp Dist'!$B$6:$B$78,0),MATCH(C808,'Crude Exp Dist'!$AD$2:$BC$2,0))*INDEX(crude_exp_by_year,MATCH(B808,'Data Export'!$B$6:$B$78,0),1),IF(E808=5,INDEX(ref_exp_dist,MATCH(B808,'Refined Petro Exp Dist'!$B$6:$B$78,0),MATCH(C808,'Refined Petro Exp Dist'!$AD$2:$BC$2,0))*INDEX(ref_exp_by_year,MATCH(B808,'Data Export'!$B$6:$B$78,0),1)))</f>
        <v>0</v>
      </c>
      <c r="E808">
        <v>4</v>
      </c>
      <c r="F808" t="s">
        <v>158</v>
      </c>
    </row>
    <row r="809" spans="1:6">
      <c r="A809" t="str">
        <f t="shared" si="12"/>
        <v>GenericE&amp;DtemplateCIandGOA</v>
      </c>
      <c r="B809">
        <v>32</v>
      </c>
      <c r="C809">
        <v>2</v>
      </c>
      <c r="D809" s="649">
        <f ca="1">IF(E809=4,INDEX(crude_exp_dist,MATCH(B809,'Crude Exp Dist'!$B$6:$B$78,0),MATCH(C809,'Crude Exp Dist'!$AD$2:$BC$2,0))*INDEX(crude_exp_by_year,MATCH(B809,'Data Export'!$B$6:$B$78,0),1),IF(E809=5,INDEX(ref_exp_dist,MATCH(B809,'Refined Petro Exp Dist'!$B$6:$B$78,0),MATCH(C809,'Refined Petro Exp Dist'!$AD$2:$BC$2,0))*INDEX(ref_exp_by_year,MATCH(B809,'Data Export'!$B$6:$B$78,0),1)))</f>
        <v>0</v>
      </c>
      <c r="E809">
        <v>4</v>
      </c>
      <c r="F809" t="s">
        <v>166</v>
      </c>
    </row>
    <row r="810" spans="1:6">
      <c r="A810" t="str">
        <f t="shared" si="12"/>
        <v>GenericE&amp;DtemplateCIandGOA</v>
      </c>
      <c r="B810">
        <v>32</v>
      </c>
      <c r="C810">
        <v>3</v>
      </c>
      <c r="D810" s="649">
        <f ca="1">IF(E810=4,INDEX(crude_exp_dist,MATCH(B810,'Crude Exp Dist'!$B$6:$B$78,0),MATCH(C810,'Crude Exp Dist'!$AD$2:$BC$2,0))*INDEX(crude_exp_by_year,MATCH(B810,'Data Export'!$B$6:$B$78,0),1),IF(E810=5,INDEX(ref_exp_dist,MATCH(B810,'Refined Petro Exp Dist'!$B$6:$B$78,0),MATCH(C810,'Refined Petro Exp Dist'!$AD$2:$BC$2,0))*INDEX(ref_exp_by_year,MATCH(B810,'Data Export'!$B$6:$B$78,0),1)))</f>
        <v>0</v>
      </c>
      <c r="E810">
        <v>4</v>
      </c>
      <c r="F810" t="s">
        <v>171</v>
      </c>
    </row>
    <row r="811" spans="1:6">
      <c r="A811" t="str">
        <f t="shared" si="12"/>
        <v>GenericE&amp;DtemplateCIandGOA</v>
      </c>
      <c r="B811">
        <v>32</v>
      </c>
      <c r="C811">
        <v>4</v>
      </c>
      <c r="D811" s="649">
        <f ca="1">IF(E811=4,INDEX(crude_exp_dist,MATCH(B811,'Crude Exp Dist'!$B$6:$B$78,0),MATCH(C811,'Crude Exp Dist'!$AD$2:$BC$2,0))*INDEX(crude_exp_by_year,MATCH(B811,'Data Export'!$B$6:$B$78,0),1),IF(E811=5,INDEX(ref_exp_dist,MATCH(B811,'Refined Petro Exp Dist'!$B$6:$B$78,0),MATCH(C811,'Refined Petro Exp Dist'!$AD$2:$BC$2,0))*INDEX(ref_exp_by_year,MATCH(B811,'Data Export'!$B$6:$B$78,0),1)))</f>
        <v>0</v>
      </c>
      <c r="E811">
        <v>4</v>
      </c>
      <c r="F811" t="s">
        <v>173</v>
      </c>
    </row>
    <row r="812" spans="1:6">
      <c r="A812" t="str">
        <f t="shared" si="12"/>
        <v>GenericE&amp;DtemplateCIandGOA</v>
      </c>
      <c r="B812">
        <v>32</v>
      </c>
      <c r="C812">
        <v>5</v>
      </c>
      <c r="D812" s="649">
        <f ca="1">IF(E812=4,INDEX(crude_exp_dist,MATCH(B812,'Crude Exp Dist'!$B$6:$B$78,0),MATCH(C812,'Crude Exp Dist'!$AD$2:$BC$2,0))*INDEX(crude_exp_by_year,MATCH(B812,'Data Export'!$B$6:$B$78,0),1),IF(E812=5,INDEX(ref_exp_dist,MATCH(B812,'Refined Petro Exp Dist'!$B$6:$B$78,0),MATCH(C812,'Refined Petro Exp Dist'!$AD$2:$BC$2,0))*INDEX(ref_exp_by_year,MATCH(B812,'Data Export'!$B$6:$B$78,0),1)))</f>
        <v>0</v>
      </c>
      <c r="E812">
        <v>4</v>
      </c>
      <c r="F812" t="s">
        <v>180</v>
      </c>
    </row>
    <row r="813" spans="1:6">
      <c r="A813" t="str">
        <f t="shared" si="12"/>
        <v>GenericE&amp;DtemplateCIandGOA</v>
      </c>
      <c r="B813">
        <v>32</v>
      </c>
      <c r="C813">
        <v>6</v>
      </c>
      <c r="D813" s="649">
        <f ca="1">IF(E813=4,INDEX(crude_exp_dist,MATCH(B813,'Crude Exp Dist'!$B$6:$B$78,0),MATCH(C813,'Crude Exp Dist'!$AD$2:$BC$2,0))*INDEX(crude_exp_by_year,MATCH(B813,'Data Export'!$B$6:$B$78,0),1),IF(E813=5,INDEX(ref_exp_dist,MATCH(B813,'Refined Petro Exp Dist'!$B$6:$B$78,0),MATCH(C813,'Refined Petro Exp Dist'!$AD$2:$BC$2,0))*INDEX(ref_exp_by_year,MATCH(B813,'Data Export'!$B$6:$B$78,0),1)))</f>
        <v>0</v>
      </c>
      <c r="E813">
        <v>4</v>
      </c>
      <c r="F813" t="s">
        <v>186</v>
      </c>
    </row>
    <row r="814" spans="1:6">
      <c r="A814" t="str">
        <f t="shared" si="12"/>
        <v>GenericE&amp;DtemplateCIandGOA</v>
      </c>
      <c r="B814">
        <v>32</v>
      </c>
      <c r="C814">
        <v>7</v>
      </c>
      <c r="D814" s="649">
        <f ca="1">IF(E814=4,INDEX(crude_exp_dist,MATCH(B814,'Crude Exp Dist'!$B$6:$B$78,0),MATCH(C814,'Crude Exp Dist'!$AD$2:$BC$2,0))*INDEX(crude_exp_by_year,MATCH(B814,'Data Export'!$B$6:$B$78,0),1),IF(E814=5,INDEX(ref_exp_dist,MATCH(B814,'Refined Petro Exp Dist'!$B$6:$B$78,0),MATCH(C814,'Refined Petro Exp Dist'!$AD$2:$BC$2,0))*INDEX(ref_exp_by_year,MATCH(B814,'Data Export'!$B$6:$B$78,0),1)))</f>
        <v>0</v>
      </c>
      <c r="E814">
        <v>4</v>
      </c>
      <c r="F814" t="s">
        <v>191</v>
      </c>
    </row>
    <row r="815" spans="1:6">
      <c r="A815" t="str">
        <f t="shared" si="12"/>
        <v>GenericE&amp;DtemplateCIandGOA</v>
      </c>
      <c r="B815">
        <v>32</v>
      </c>
      <c r="C815">
        <v>8</v>
      </c>
      <c r="D815" s="649">
        <f ca="1">IF(E815=4,INDEX(crude_exp_dist,MATCH(B815,'Crude Exp Dist'!$B$6:$B$78,0),MATCH(C815,'Crude Exp Dist'!$AD$2:$BC$2,0))*INDEX(crude_exp_by_year,MATCH(B815,'Data Export'!$B$6:$B$78,0),1),IF(E815=5,INDEX(ref_exp_dist,MATCH(B815,'Refined Petro Exp Dist'!$B$6:$B$78,0),MATCH(C815,'Refined Petro Exp Dist'!$AD$2:$BC$2,0))*INDEX(ref_exp_by_year,MATCH(B815,'Data Export'!$B$6:$B$78,0),1)))</f>
        <v>0</v>
      </c>
      <c r="E815">
        <v>4</v>
      </c>
      <c r="F815" t="s">
        <v>197</v>
      </c>
    </row>
    <row r="816" spans="1:6">
      <c r="A816" t="str">
        <f t="shared" si="12"/>
        <v>GenericE&amp;DtemplateCIandGOA</v>
      </c>
      <c r="B816">
        <v>32</v>
      </c>
      <c r="C816">
        <v>9</v>
      </c>
      <c r="D816" s="649">
        <f ca="1">IF(E816=4,INDEX(crude_exp_dist,MATCH(B816,'Crude Exp Dist'!$B$6:$B$78,0),MATCH(C816,'Crude Exp Dist'!$AD$2:$BC$2,0))*INDEX(crude_exp_by_year,MATCH(B816,'Data Export'!$B$6:$B$78,0),1),IF(E816=5,INDEX(ref_exp_dist,MATCH(B816,'Refined Petro Exp Dist'!$B$6:$B$78,0),MATCH(C816,'Refined Petro Exp Dist'!$AD$2:$BC$2,0))*INDEX(ref_exp_by_year,MATCH(B816,'Data Export'!$B$6:$B$78,0),1)))</f>
        <v>0</v>
      </c>
      <c r="E816">
        <v>4</v>
      </c>
      <c r="F816" t="s">
        <v>199</v>
      </c>
    </row>
    <row r="817" spans="1:6">
      <c r="A817" t="str">
        <f t="shared" si="12"/>
        <v>GenericE&amp;DtemplateCIandGOA</v>
      </c>
      <c r="B817">
        <v>32</v>
      </c>
      <c r="C817">
        <v>10</v>
      </c>
      <c r="D817" s="649">
        <f ca="1">IF(E817=4,INDEX(crude_exp_dist,MATCH(B817,'Crude Exp Dist'!$B$6:$B$78,0),MATCH(C817,'Crude Exp Dist'!$AD$2:$BC$2,0))*INDEX(crude_exp_by_year,MATCH(B817,'Data Export'!$B$6:$B$78,0),1),IF(E817=5,INDEX(ref_exp_dist,MATCH(B817,'Refined Petro Exp Dist'!$B$6:$B$78,0),MATCH(C817,'Refined Petro Exp Dist'!$AD$2:$BC$2,0))*INDEX(ref_exp_by_year,MATCH(B817,'Data Export'!$B$6:$B$78,0),1)))</f>
        <v>0</v>
      </c>
      <c r="E817">
        <v>4</v>
      </c>
      <c r="F817" t="s">
        <v>201</v>
      </c>
    </row>
    <row r="818" spans="1:6">
      <c r="A818" t="str">
        <f t="shared" si="12"/>
        <v>GenericE&amp;DtemplateCIandGOA</v>
      </c>
      <c r="B818">
        <v>32</v>
      </c>
      <c r="C818">
        <v>11</v>
      </c>
      <c r="D818" s="649">
        <f ca="1">IF(E818=4,INDEX(crude_exp_dist,MATCH(B818,'Crude Exp Dist'!$B$6:$B$78,0),MATCH(C818,'Crude Exp Dist'!$AD$2:$BC$2,0))*INDEX(crude_exp_by_year,MATCH(B818,'Data Export'!$B$6:$B$78,0),1),IF(E818=5,INDEX(ref_exp_dist,MATCH(B818,'Refined Petro Exp Dist'!$B$6:$B$78,0),MATCH(C818,'Refined Petro Exp Dist'!$AD$2:$BC$2,0))*INDEX(ref_exp_by_year,MATCH(B818,'Data Export'!$B$6:$B$78,0),1)))</f>
        <v>0</v>
      </c>
      <c r="E818">
        <v>4</v>
      </c>
      <c r="F818" t="s">
        <v>921</v>
      </c>
    </row>
    <row r="819" spans="1:6">
      <c r="A819" t="str">
        <f t="shared" si="12"/>
        <v>GenericE&amp;DtemplateCIandGOA</v>
      </c>
      <c r="B819">
        <v>32</v>
      </c>
      <c r="C819">
        <v>12</v>
      </c>
      <c r="D819" s="649">
        <f ca="1">IF(E819=4,INDEX(crude_exp_dist,MATCH(B819,'Crude Exp Dist'!$B$6:$B$78,0),MATCH(C819,'Crude Exp Dist'!$AD$2:$BC$2,0))*INDEX(crude_exp_by_year,MATCH(B819,'Data Export'!$B$6:$B$78,0),1),IF(E819=5,INDEX(ref_exp_dist,MATCH(B819,'Refined Petro Exp Dist'!$B$6:$B$78,0),MATCH(C819,'Refined Petro Exp Dist'!$AD$2:$BC$2,0))*INDEX(ref_exp_by_year,MATCH(B819,'Data Export'!$B$6:$B$78,0),1)))</f>
        <v>0</v>
      </c>
      <c r="E819">
        <v>4</v>
      </c>
      <c r="F819" t="s">
        <v>208</v>
      </c>
    </row>
    <row r="820" spans="1:6">
      <c r="A820" t="str">
        <f t="shared" si="12"/>
        <v>GenericE&amp;DtemplateCIandGOA</v>
      </c>
      <c r="B820">
        <v>32</v>
      </c>
      <c r="C820">
        <v>13</v>
      </c>
      <c r="D820" s="649">
        <f ca="1">IF(E820=4,INDEX(crude_exp_dist,MATCH(B820,'Crude Exp Dist'!$B$6:$B$78,0),MATCH(C820,'Crude Exp Dist'!$AD$2:$BC$2,0))*INDEX(crude_exp_by_year,MATCH(B820,'Data Export'!$B$6:$B$78,0),1),IF(E820=5,INDEX(ref_exp_dist,MATCH(B820,'Refined Petro Exp Dist'!$B$6:$B$78,0),MATCH(C820,'Refined Petro Exp Dist'!$AD$2:$BC$2,0))*INDEX(ref_exp_by_year,MATCH(B820,'Data Export'!$B$6:$B$78,0),1)))</f>
        <v>0</v>
      </c>
      <c r="E820">
        <v>4</v>
      </c>
      <c r="F820" t="s">
        <v>211</v>
      </c>
    </row>
    <row r="821" spans="1:6">
      <c r="A821" t="str">
        <f t="shared" si="12"/>
        <v>GenericE&amp;DtemplateCIandGOA</v>
      </c>
      <c r="B821">
        <v>32</v>
      </c>
      <c r="C821">
        <v>14</v>
      </c>
      <c r="D821" s="649">
        <f ca="1">IF(E821=4,INDEX(crude_exp_dist,MATCH(B821,'Crude Exp Dist'!$B$6:$B$78,0),MATCH(C821,'Crude Exp Dist'!$AD$2:$BC$2,0))*INDEX(crude_exp_by_year,MATCH(B821,'Data Export'!$B$6:$B$78,0),1),IF(E821=5,INDEX(ref_exp_dist,MATCH(B821,'Refined Petro Exp Dist'!$B$6:$B$78,0),MATCH(C821,'Refined Petro Exp Dist'!$AD$2:$BC$2,0))*INDEX(ref_exp_by_year,MATCH(B821,'Data Export'!$B$6:$B$78,0),1)))</f>
        <v>0</v>
      </c>
      <c r="E821">
        <v>4</v>
      </c>
      <c r="F821" t="s">
        <v>213</v>
      </c>
    </row>
    <row r="822" spans="1:6">
      <c r="A822" t="str">
        <f t="shared" si="12"/>
        <v>GenericE&amp;DtemplateCIandGOA</v>
      </c>
      <c r="B822">
        <v>32</v>
      </c>
      <c r="C822">
        <v>15</v>
      </c>
      <c r="D822" s="649">
        <f ca="1">IF(E822=4,INDEX(crude_exp_dist,MATCH(B822,'Crude Exp Dist'!$B$6:$B$78,0),MATCH(C822,'Crude Exp Dist'!$AD$2:$BC$2,0))*INDEX(crude_exp_by_year,MATCH(B822,'Data Export'!$B$6:$B$78,0),1),IF(E822=5,INDEX(ref_exp_dist,MATCH(B822,'Refined Petro Exp Dist'!$B$6:$B$78,0),MATCH(C822,'Refined Petro Exp Dist'!$AD$2:$BC$2,0))*INDEX(ref_exp_by_year,MATCH(B822,'Data Export'!$B$6:$B$78,0),1)))</f>
        <v>0</v>
      </c>
      <c r="E822">
        <v>4</v>
      </c>
      <c r="F822" t="s">
        <v>215</v>
      </c>
    </row>
    <row r="823" spans="1:6">
      <c r="A823" t="str">
        <f t="shared" si="12"/>
        <v>GenericE&amp;DtemplateCIandGOA</v>
      </c>
      <c r="B823">
        <v>32</v>
      </c>
      <c r="C823">
        <v>16</v>
      </c>
      <c r="D823" s="649">
        <f ca="1">IF(E823=4,INDEX(crude_exp_dist,MATCH(B823,'Crude Exp Dist'!$B$6:$B$78,0),MATCH(C823,'Crude Exp Dist'!$AD$2:$BC$2,0))*INDEX(crude_exp_by_year,MATCH(B823,'Data Export'!$B$6:$B$78,0),1),IF(E823=5,INDEX(ref_exp_dist,MATCH(B823,'Refined Petro Exp Dist'!$B$6:$B$78,0),MATCH(C823,'Refined Petro Exp Dist'!$AD$2:$BC$2,0))*INDEX(ref_exp_by_year,MATCH(B823,'Data Export'!$B$6:$B$78,0),1)))</f>
        <v>0</v>
      </c>
      <c r="E823">
        <v>4</v>
      </c>
      <c r="F823" t="s">
        <v>219</v>
      </c>
    </row>
    <row r="824" spans="1:6">
      <c r="A824" t="str">
        <f t="shared" si="12"/>
        <v>GenericE&amp;DtemplateCIandGOA</v>
      </c>
      <c r="B824">
        <v>32</v>
      </c>
      <c r="C824">
        <v>17</v>
      </c>
      <c r="D824" s="649">
        <f ca="1">IF(E824=4,INDEX(crude_exp_dist,MATCH(B824,'Crude Exp Dist'!$B$6:$B$78,0),MATCH(C824,'Crude Exp Dist'!$AD$2:$BC$2,0))*INDEX(crude_exp_by_year,MATCH(B824,'Data Export'!$B$6:$B$78,0),1),IF(E824=5,INDEX(ref_exp_dist,MATCH(B824,'Refined Petro Exp Dist'!$B$6:$B$78,0),MATCH(C824,'Refined Petro Exp Dist'!$AD$2:$BC$2,0))*INDEX(ref_exp_by_year,MATCH(B824,'Data Export'!$B$6:$B$78,0),1)))</f>
        <v>0</v>
      </c>
      <c r="E824">
        <v>4</v>
      </c>
      <c r="F824" t="s">
        <v>222</v>
      </c>
    </row>
    <row r="825" spans="1:6">
      <c r="A825" t="str">
        <f t="shared" si="12"/>
        <v>GenericE&amp;DtemplateCIandGOA</v>
      </c>
      <c r="B825">
        <v>32</v>
      </c>
      <c r="C825">
        <v>18</v>
      </c>
      <c r="D825" s="649">
        <f ca="1">IF(E825=4,INDEX(crude_exp_dist,MATCH(B825,'Crude Exp Dist'!$B$6:$B$78,0),MATCH(C825,'Crude Exp Dist'!$AD$2:$BC$2,0))*INDEX(crude_exp_by_year,MATCH(B825,'Data Export'!$B$6:$B$78,0),1),IF(E825=5,INDEX(ref_exp_dist,MATCH(B825,'Refined Petro Exp Dist'!$B$6:$B$78,0),MATCH(C825,'Refined Petro Exp Dist'!$AD$2:$BC$2,0))*INDEX(ref_exp_by_year,MATCH(B825,'Data Export'!$B$6:$B$78,0),1)))</f>
        <v>0</v>
      </c>
      <c r="E825">
        <v>4</v>
      </c>
      <c r="F825" t="s">
        <v>224</v>
      </c>
    </row>
    <row r="826" spans="1:6">
      <c r="A826" t="str">
        <f t="shared" si="12"/>
        <v>GenericE&amp;DtemplateCIandGOA</v>
      </c>
      <c r="B826">
        <v>32</v>
      </c>
      <c r="C826">
        <v>19</v>
      </c>
      <c r="D826" s="649">
        <f ca="1">IF(E826=4,INDEX(crude_exp_dist,MATCH(B826,'Crude Exp Dist'!$B$6:$B$78,0),MATCH(C826,'Crude Exp Dist'!$AD$2:$BC$2,0))*INDEX(crude_exp_by_year,MATCH(B826,'Data Export'!$B$6:$B$78,0),1),IF(E826=5,INDEX(ref_exp_dist,MATCH(B826,'Refined Petro Exp Dist'!$B$6:$B$78,0),MATCH(C826,'Refined Petro Exp Dist'!$AD$2:$BC$2,0))*INDEX(ref_exp_by_year,MATCH(B826,'Data Export'!$B$6:$B$78,0),1)))</f>
        <v>0</v>
      </c>
      <c r="E826">
        <v>4</v>
      </c>
      <c r="F826" t="s">
        <v>228</v>
      </c>
    </row>
    <row r="827" spans="1:6">
      <c r="A827" t="str">
        <f t="shared" si="12"/>
        <v>GenericE&amp;DtemplateCIandGOA</v>
      </c>
      <c r="B827">
        <v>32</v>
      </c>
      <c r="C827">
        <v>20</v>
      </c>
      <c r="D827" s="649">
        <f ca="1">IF(E827=4,INDEX(crude_exp_dist,MATCH(B827,'Crude Exp Dist'!$B$6:$B$78,0),MATCH(C827,'Crude Exp Dist'!$AD$2:$BC$2,0))*INDEX(crude_exp_by_year,MATCH(B827,'Data Export'!$B$6:$B$78,0),1),IF(E827=5,INDEX(ref_exp_dist,MATCH(B827,'Refined Petro Exp Dist'!$B$6:$B$78,0),MATCH(C827,'Refined Petro Exp Dist'!$AD$2:$BC$2,0))*INDEX(ref_exp_by_year,MATCH(B827,'Data Export'!$B$6:$B$78,0),1)))</f>
        <v>0</v>
      </c>
      <c r="E827">
        <v>4</v>
      </c>
      <c r="F827" t="s">
        <v>231</v>
      </c>
    </row>
    <row r="828" spans="1:6">
      <c r="A828" t="str">
        <f t="shared" si="12"/>
        <v>GenericE&amp;DtemplateCIandGOA</v>
      </c>
      <c r="B828">
        <v>32</v>
      </c>
      <c r="C828">
        <v>21</v>
      </c>
      <c r="D828" s="649">
        <f ca="1">IF(E828=4,INDEX(crude_exp_dist,MATCH(B828,'Crude Exp Dist'!$B$6:$B$78,0),MATCH(C828,'Crude Exp Dist'!$AD$2:$BC$2,0))*INDEX(crude_exp_by_year,MATCH(B828,'Data Export'!$B$6:$B$78,0),1),IF(E828=5,INDEX(ref_exp_dist,MATCH(B828,'Refined Petro Exp Dist'!$B$6:$B$78,0),MATCH(C828,'Refined Petro Exp Dist'!$AD$2:$BC$2,0))*INDEX(ref_exp_by_year,MATCH(B828,'Data Export'!$B$6:$B$78,0),1)))</f>
        <v>0</v>
      </c>
      <c r="E828">
        <v>4</v>
      </c>
      <c r="F828" t="s">
        <v>232</v>
      </c>
    </row>
    <row r="829" spans="1:6">
      <c r="A829" t="str">
        <f t="shared" si="12"/>
        <v>GenericE&amp;DtemplateCIandGOA</v>
      </c>
      <c r="B829">
        <v>32</v>
      </c>
      <c r="C829">
        <v>22</v>
      </c>
      <c r="D829" s="649">
        <f ca="1">IF(E829=4,INDEX(crude_exp_dist,MATCH(B829,'Crude Exp Dist'!$B$6:$B$78,0),MATCH(C829,'Crude Exp Dist'!$AD$2:$BC$2,0))*INDEX(crude_exp_by_year,MATCH(B829,'Data Export'!$B$6:$B$78,0),1),IF(E829=5,INDEX(ref_exp_dist,MATCH(B829,'Refined Petro Exp Dist'!$B$6:$B$78,0),MATCH(C829,'Refined Petro Exp Dist'!$AD$2:$BC$2,0))*INDEX(ref_exp_by_year,MATCH(B829,'Data Export'!$B$6:$B$78,0),1)))</f>
        <v>0</v>
      </c>
      <c r="E829">
        <v>4</v>
      </c>
      <c r="F829" t="s">
        <v>235</v>
      </c>
    </row>
    <row r="830" spans="1:6">
      <c r="A830" t="str">
        <f t="shared" si="12"/>
        <v>GenericE&amp;DtemplateCIandGOA</v>
      </c>
      <c r="B830">
        <v>32</v>
      </c>
      <c r="C830">
        <v>23</v>
      </c>
      <c r="D830" s="649">
        <f ca="1">IF(E830=4,INDEX(crude_exp_dist,MATCH(B830,'Crude Exp Dist'!$B$6:$B$78,0),MATCH(C830,'Crude Exp Dist'!$AD$2:$BC$2,0))*INDEX(crude_exp_by_year,MATCH(B830,'Data Export'!$B$6:$B$78,0),1),IF(E830=5,INDEX(ref_exp_dist,MATCH(B830,'Refined Petro Exp Dist'!$B$6:$B$78,0),MATCH(C830,'Refined Petro Exp Dist'!$AD$2:$BC$2,0))*INDEX(ref_exp_by_year,MATCH(B830,'Data Export'!$B$6:$B$78,0),1)))</f>
        <v>0</v>
      </c>
      <c r="E830">
        <v>4</v>
      </c>
      <c r="F830" t="s">
        <v>237</v>
      </c>
    </row>
    <row r="831" spans="1:6">
      <c r="A831" t="str">
        <f t="shared" si="12"/>
        <v>GenericE&amp;DtemplateCIandGOA</v>
      </c>
      <c r="B831">
        <v>32</v>
      </c>
      <c r="C831">
        <v>24</v>
      </c>
      <c r="D831" s="649">
        <f ca="1">IF(E831=4,INDEX(crude_exp_dist,MATCH(B831,'Crude Exp Dist'!$B$6:$B$78,0),MATCH(C831,'Crude Exp Dist'!$AD$2:$BC$2,0))*INDEX(crude_exp_by_year,MATCH(B831,'Data Export'!$B$6:$B$78,0),1),IF(E831=5,INDEX(ref_exp_dist,MATCH(B831,'Refined Petro Exp Dist'!$B$6:$B$78,0),MATCH(C831,'Refined Petro Exp Dist'!$AD$2:$BC$2,0))*INDEX(ref_exp_by_year,MATCH(B831,'Data Export'!$B$6:$B$78,0),1)))</f>
        <v>0</v>
      </c>
      <c r="E831">
        <v>4</v>
      </c>
      <c r="F831" t="s">
        <v>239</v>
      </c>
    </row>
    <row r="832" spans="1:6">
      <c r="A832" t="str">
        <f t="shared" si="12"/>
        <v>GenericE&amp;DtemplateCIandGOA</v>
      </c>
      <c r="B832">
        <v>32</v>
      </c>
      <c r="C832">
        <v>25</v>
      </c>
      <c r="D832" s="649">
        <f ca="1">IF(E832=4,INDEX(crude_exp_dist,MATCH(B832,'Crude Exp Dist'!$B$6:$B$78,0),MATCH(C832,'Crude Exp Dist'!$AD$2:$BC$2,0))*INDEX(crude_exp_by_year,MATCH(B832,'Data Export'!$B$6:$B$78,0),1),IF(E832=5,INDEX(ref_exp_dist,MATCH(B832,'Refined Petro Exp Dist'!$B$6:$B$78,0),MATCH(C832,'Refined Petro Exp Dist'!$AD$2:$BC$2,0))*INDEX(ref_exp_by_year,MATCH(B832,'Data Export'!$B$6:$B$78,0),1)))</f>
        <v>0</v>
      </c>
      <c r="E832">
        <v>4</v>
      </c>
      <c r="F832" t="s">
        <v>242</v>
      </c>
    </row>
    <row r="833" spans="1:6">
      <c r="A833" t="str">
        <f t="shared" si="12"/>
        <v>GenericE&amp;DtemplateCIandGOA</v>
      </c>
      <c r="B833">
        <v>32</v>
      </c>
      <c r="C833">
        <v>26</v>
      </c>
      <c r="D833" s="649">
        <f ca="1">IF(E833=4,INDEX(crude_exp_dist,MATCH(B833,'Crude Exp Dist'!$B$6:$B$78,0),MATCH(C833,'Crude Exp Dist'!$AD$2:$BC$2,0))*INDEX(crude_exp_by_year,MATCH(B833,'Data Export'!$B$6:$B$78,0),1),IF(E833=5,INDEX(ref_exp_dist,MATCH(B833,'Refined Petro Exp Dist'!$B$6:$B$78,0),MATCH(C833,'Refined Petro Exp Dist'!$AD$2:$BC$2,0))*INDEX(ref_exp_by_year,MATCH(B833,'Data Export'!$B$6:$B$78,0),1)))</f>
        <v>0</v>
      </c>
      <c r="E833">
        <v>4</v>
      </c>
      <c r="F833" t="s">
        <v>245</v>
      </c>
    </row>
    <row r="834" spans="1:6">
      <c r="A834" t="str">
        <f t="shared" ref="A834:A897" si="13">scenario_name</f>
        <v>GenericE&amp;DtemplateCIandGOA</v>
      </c>
      <c r="B834">
        <v>33</v>
      </c>
      <c r="C834">
        <v>1</v>
      </c>
      <c r="D834" s="649">
        <f ca="1">IF(E834=4,INDEX(crude_exp_dist,MATCH(B834,'Crude Exp Dist'!$B$6:$B$78,0),MATCH(C834,'Crude Exp Dist'!$AD$2:$BC$2,0))*INDEX(crude_exp_by_year,MATCH(B834,'Data Export'!$B$6:$B$78,0),1),IF(E834=5,INDEX(ref_exp_dist,MATCH(B834,'Refined Petro Exp Dist'!$B$6:$B$78,0),MATCH(C834,'Refined Petro Exp Dist'!$AD$2:$BC$2,0))*INDEX(ref_exp_by_year,MATCH(B834,'Data Export'!$B$6:$B$78,0),1)))</f>
        <v>0</v>
      </c>
      <c r="E834">
        <v>4</v>
      </c>
      <c r="F834" t="s">
        <v>158</v>
      </c>
    </row>
    <row r="835" spans="1:6">
      <c r="A835" t="str">
        <f t="shared" si="13"/>
        <v>GenericE&amp;DtemplateCIandGOA</v>
      </c>
      <c r="B835">
        <v>33</v>
      </c>
      <c r="C835">
        <v>2</v>
      </c>
      <c r="D835" s="649">
        <f ca="1">IF(E835=4,INDEX(crude_exp_dist,MATCH(B835,'Crude Exp Dist'!$B$6:$B$78,0),MATCH(C835,'Crude Exp Dist'!$AD$2:$BC$2,0))*INDEX(crude_exp_by_year,MATCH(B835,'Data Export'!$B$6:$B$78,0),1),IF(E835=5,INDEX(ref_exp_dist,MATCH(B835,'Refined Petro Exp Dist'!$B$6:$B$78,0),MATCH(C835,'Refined Petro Exp Dist'!$AD$2:$BC$2,0))*INDEX(ref_exp_by_year,MATCH(B835,'Data Export'!$B$6:$B$78,0),1)))</f>
        <v>0</v>
      </c>
      <c r="E835">
        <v>4</v>
      </c>
      <c r="F835" t="s">
        <v>166</v>
      </c>
    </row>
    <row r="836" spans="1:6">
      <c r="A836" t="str">
        <f t="shared" si="13"/>
        <v>GenericE&amp;DtemplateCIandGOA</v>
      </c>
      <c r="B836">
        <v>33</v>
      </c>
      <c r="C836">
        <v>3</v>
      </c>
      <c r="D836" s="649">
        <f ca="1">IF(E836=4,INDEX(crude_exp_dist,MATCH(B836,'Crude Exp Dist'!$B$6:$B$78,0),MATCH(C836,'Crude Exp Dist'!$AD$2:$BC$2,0))*INDEX(crude_exp_by_year,MATCH(B836,'Data Export'!$B$6:$B$78,0),1),IF(E836=5,INDEX(ref_exp_dist,MATCH(B836,'Refined Petro Exp Dist'!$B$6:$B$78,0),MATCH(C836,'Refined Petro Exp Dist'!$AD$2:$BC$2,0))*INDEX(ref_exp_by_year,MATCH(B836,'Data Export'!$B$6:$B$78,0),1)))</f>
        <v>0</v>
      </c>
      <c r="E836">
        <v>4</v>
      </c>
      <c r="F836" t="s">
        <v>171</v>
      </c>
    </row>
    <row r="837" spans="1:6">
      <c r="A837" t="str">
        <f t="shared" si="13"/>
        <v>GenericE&amp;DtemplateCIandGOA</v>
      </c>
      <c r="B837">
        <v>33</v>
      </c>
      <c r="C837">
        <v>4</v>
      </c>
      <c r="D837" s="649">
        <f ca="1">IF(E837=4,INDEX(crude_exp_dist,MATCH(B837,'Crude Exp Dist'!$B$6:$B$78,0),MATCH(C837,'Crude Exp Dist'!$AD$2:$BC$2,0))*INDEX(crude_exp_by_year,MATCH(B837,'Data Export'!$B$6:$B$78,0),1),IF(E837=5,INDEX(ref_exp_dist,MATCH(B837,'Refined Petro Exp Dist'!$B$6:$B$78,0),MATCH(C837,'Refined Petro Exp Dist'!$AD$2:$BC$2,0))*INDEX(ref_exp_by_year,MATCH(B837,'Data Export'!$B$6:$B$78,0),1)))</f>
        <v>0</v>
      </c>
      <c r="E837">
        <v>4</v>
      </c>
      <c r="F837" t="s">
        <v>173</v>
      </c>
    </row>
    <row r="838" spans="1:6">
      <c r="A838" t="str">
        <f t="shared" si="13"/>
        <v>GenericE&amp;DtemplateCIandGOA</v>
      </c>
      <c r="B838">
        <v>33</v>
      </c>
      <c r="C838">
        <v>5</v>
      </c>
      <c r="D838" s="649">
        <f ca="1">IF(E838=4,INDEX(crude_exp_dist,MATCH(B838,'Crude Exp Dist'!$B$6:$B$78,0),MATCH(C838,'Crude Exp Dist'!$AD$2:$BC$2,0))*INDEX(crude_exp_by_year,MATCH(B838,'Data Export'!$B$6:$B$78,0),1),IF(E838=5,INDEX(ref_exp_dist,MATCH(B838,'Refined Petro Exp Dist'!$B$6:$B$78,0),MATCH(C838,'Refined Petro Exp Dist'!$AD$2:$BC$2,0))*INDEX(ref_exp_by_year,MATCH(B838,'Data Export'!$B$6:$B$78,0),1)))</f>
        <v>0</v>
      </c>
      <c r="E838">
        <v>4</v>
      </c>
      <c r="F838" t="s">
        <v>180</v>
      </c>
    </row>
    <row r="839" spans="1:6">
      <c r="A839" t="str">
        <f t="shared" si="13"/>
        <v>GenericE&amp;DtemplateCIandGOA</v>
      </c>
      <c r="B839">
        <v>33</v>
      </c>
      <c r="C839">
        <v>6</v>
      </c>
      <c r="D839" s="649">
        <f ca="1">IF(E839=4,INDEX(crude_exp_dist,MATCH(B839,'Crude Exp Dist'!$B$6:$B$78,0),MATCH(C839,'Crude Exp Dist'!$AD$2:$BC$2,0))*INDEX(crude_exp_by_year,MATCH(B839,'Data Export'!$B$6:$B$78,0),1),IF(E839=5,INDEX(ref_exp_dist,MATCH(B839,'Refined Petro Exp Dist'!$B$6:$B$78,0),MATCH(C839,'Refined Petro Exp Dist'!$AD$2:$BC$2,0))*INDEX(ref_exp_by_year,MATCH(B839,'Data Export'!$B$6:$B$78,0),1)))</f>
        <v>0</v>
      </c>
      <c r="E839">
        <v>4</v>
      </c>
      <c r="F839" t="s">
        <v>186</v>
      </c>
    </row>
    <row r="840" spans="1:6">
      <c r="A840" t="str">
        <f t="shared" si="13"/>
        <v>GenericE&amp;DtemplateCIandGOA</v>
      </c>
      <c r="B840">
        <v>33</v>
      </c>
      <c r="C840">
        <v>7</v>
      </c>
      <c r="D840" s="649">
        <f ca="1">IF(E840=4,INDEX(crude_exp_dist,MATCH(B840,'Crude Exp Dist'!$B$6:$B$78,0),MATCH(C840,'Crude Exp Dist'!$AD$2:$BC$2,0))*INDEX(crude_exp_by_year,MATCH(B840,'Data Export'!$B$6:$B$78,0),1),IF(E840=5,INDEX(ref_exp_dist,MATCH(B840,'Refined Petro Exp Dist'!$B$6:$B$78,0),MATCH(C840,'Refined Petro Exp Dist'!$AD$2:$BC$2,0))*INDEX(ref_exp_by_year,MATCH(B840,'Data Export'!$B$6:$B$78,0),1)))</f>
        <v>0</v>
      </c>
      <c r="E840">
        <v>4</v>
      </c>
      <c r="F840" t="s">
        <v>191</v>
      </c>
    </row>
    <row r="841" spans="1:6">
      <c r="A841" t="str">
        <f t="shared" si="13"/>
        <v>GenericE&amp;DtemplateCIandGOA</v>
      </c>
      <c r="B841">
        <v>33</v>
      </c>
      <c r="C841">
        <v>8</v>
      </c>
      <c r="D841" s="649">
        <f ca="1">IF(E841=4,INDEX(crude_exp_dist,MATCH(B841,'Crude Exp Dist'!$B$6:$B$78,0),MATCH(C841,'Crude Exp Dist'!$AD$2:$BC$2,0))*INDEX(crude_exp_by_year,MATCH(B841,'Data Export'!$B$6:$B$78,0),1),IF(E841=5,INDEX(ref_exp_dist,MATCH(B841,'Refined Petro Exp Dist'!$B$6:$B$78,0),MATCH(C841,'Refined Petro Exp Dist'!$AD$2:$BC$2,0))*INDEX(ref_exp_by_year,MATCH(B841,'Data Export'!$B$6:$B$78,0),1)))</f>
        <v>0</v>
      </c>
      <c r="E841">
        <v>4</v>
      </c>
      <c r="F841" t="s">
        <v>197</v>
      </c>
    </row>
    <row r="842" spans="1:6">
      <c r="A842" t="str">
        <f t="shared" si="13"/>
        <v>GenericE&amp;DtemplateCIandGOA</v>
      </c>
      <c r="B842">
        <v>33</v>
      </c>
      <c r="C842">
        <v>9</v>
      </c>
      <c r="D842" s="649">
        <f ca="1">IF(E842=4,INDEX(crude_exp_dist,MATCH(B842,'Crude Exp Dist'!$B$6:$B$78,0),MATCH(C842,'Crude Exp Dist'!$AD$2:$BC$2,0))*INDEX(crude_exp_by_year,MATCH(B842,'Data Export'!$B$6:$B$78,0),1),IF(E842=5,INDEX(ref_exp_dist,MATCH(B842,'Refined Petro Exp Dist'!$B$6:$B$78,0),MATCH(C842,'Refined Petro Exp Dist'!$AD$2:$BC$2,0))*INDEX(ref_exp_by_year,MATCH(B842,'Data Export'!$B$6:$B$78,0),1)))</f>
        <v>0</v>
      </c>
      <c r="E842">
        <v>4</v>
      </c>
      <c r="F842" t="s">
        <v>199</v>
      </c>
    </row>
    <row r="843" spans="1:6">
      <c r="A843" t="str">
        <f t="shared" si="13"/>
        <v>GenericE&amp;DtemplateCIandGOA</v>
      </c>
      <c r="B843">
        <v>33</v>
      </c>
      <c r="C843">
        <v>10</v>
      </c>
      <c r="D843" s="649">
        <f ca="1">IF(E843=4,INDEX(crude_exp_dist,MATCH(B843,'Crude Exp Dist'!$B$6:$B$78,0),MATCH(C843,'Crude Exp Dist'!$AD$2:$BC$2,0))*INDEX(crude_exp_by_year,MATCH(B843,'Data Export'!$B$6:$B$78,0),1),IF(E843=5,INDEX(ref_exp_dist,MATCH(B843,'Refined Petro Exp Dist'!$B$6:$B$78,0),MATCH(C843,'Refined Petro Exp Dist'!$AD$2:$BC$2,0))*INDEX(ref_exp_by_year,MATCH(B843,'Data Export'!$B$6:$B$78,0),1)))</f>
        <v>0</v>
      </c>
      <c r="E843">
        <v>4</v>
      </c>
      <c r="F843" t="s">
        <v>201</v>
      </c>
    </row>
    <row r="844" spans="1:6">
      <c r="A844" t="str">
        <f t="shared" si="13"/>
        <v>GenericE&amp;DtemplateCIandGOA</v>
      </c>
      <c r="B844">
        <v>33</v>
      </c>
      <c r="C844">
        <v>11</v>
      </c>
      <c r="D844" s="649">
        <f ca="1">IF(E844=4,INDEX(crude_exp_dist,MATCH(B844,'Crude Exp Dist'!$B$6:$B$78,0),MATCH(C844,'Crude Exp Dist'!$AD$2:$BC$2,0))*INDEX(crude_exp_by_year,MATCH(B844,'Data Export'!$B$6:$B$78,0),1),IF(E844=5,INDEX(ref_exp_dist,MATCH(B844,'Refined Petro Exp Dist'!$B$6:$B$78,0),MATCH(C844,'Refined Petro Exp Dist'!$AD$2:$BC$2,0))*INDEX(ref_exp_by_year,MATCH(B844,'Data Export'!$B$6:$B$78,0),1)))</f>
        <v>0</v>
      </c>
      <c r="E844">
        <v>4</v>
      </c>
      <c r="F844" t="s">
        <v>921</v>
      </c>
    </row>
    <row r="845" spans="1:6">
      <c r="A845" t="str">
        <f t="shared" si="13"/>
        <v>GenericE&amp;DtemplateCIandGOA</v>
      </c>
      <c r="B845">
        <v>33</v>
      </c>
      <c r="C845">
        <v>12</v>
      </c>
      <c r="D845" s="649">
        <f ca="1">IF(E845=4,INDEX(crude_exp_dist,MATCH(B845,'Crude Exp Dist'!$B$6:$B$78,0),MATCH(C845,'Crude Exp Dist'!$AD$2:$BC$2,0))*INDEX(crude_exp_by_year,MATCH(B845,'Data Export'!$B$6:$B$78,0),1),IF(E845=5,INDEX(ref_exp_dist,MATCH(B845,'Refined Petro Exp Dist'!$B$6:$B$78,0),MATCH(C845,'Refined Petro Exp Dist'!$AD$2:$BC$2,0))*INDEX(ref_exp_by_year,MATCH(B845,'Data Export'!$B$6:$B$78,0),1)))</f>
        <v>0</v>
      </c>
      <c r="E845">
        <v>4</v>
      </c>
      <c r="F845" t="s">
        <v>208</v>
      </c>
    </row>
    <row r="846" spans="1:6">
      <c r="A846" t="str">
        <f t="shared" si="13"/>
        <v>GenericE&amp;DtemplateCIandGOA</v>
      </c>
      <c r="B846">
        <v>33</v>
      </c>
      <c r="C846">
        <v>13</v>
      </c>
      <c r="D846" s="649">
        <f ca="1">IF(E846=4,INDEX(crude_exp_dist,MATCH(B846,'Crude Exp Dist'!$B$6:$B$78,0),MATCH(C846,'Crude Exp Dist'!$AD$2:$BC$2,0))*INDEX(crude_exp_by_year,MATCH(B846,'Data Export'!$B$6:$B$78,0),1),IF(E846=5,INDEX(ref_exp_dist,MATCH(B846,'Refined Petro Exp Dist'!$B$6:$B$78,0),MATCH(C846,'Refined Petro Exp Dist'!$AD$2:$BC$2,0))*INDEX(ref_exp_by_year,MATCH(B846,'Data Export'!$B$6:$B$78,0),1)))</f>
        <v>0</v>
      </c>
      <c r="E846">
        <v>4</v>
      </c>
      <c r="F846" t="s">
        <v>211</v>
      </c>
    </row>
    <row r="847" spans="1:6">
      <c r="A847" t="str">
        <f t="shared" si="13"/>
        <v>GenericE&amp;DtemplateCIandGOA</v>
      </c>
      <c r="B847">
        <v>33</v>
      </c>
      <c r="C847">
        <v>14</v>
      </c>
      <c r="D847" s="649">
        <f ca="1">IF(E847=4,INDEX(crude_exp_dist,MATCH(B847,'Crude Exp Dist'!$B$6:$B$78,0),MATCH(C847,'Crude Exp Dist'!$AD$2:$BC$2,0))*INDEX(crude_exp_by_year,MATCH(B847,'Data Export'!$B$6:$B$78,0),1),IF(E847=5,INDEX(ref_exp_dist,MATCH(B847,'Refined Petro Exp Dist'!$B$6:$B$78,0),MATCH(C847,'Refined Petro Exp Dist'!$AD$2:$BC$2,0))*INDEX(ref_exp_by_year,MATCH(B847,'Data Export'!$B$6:$B$78,0),1)))</f>
        <v>0</v>
      </c>
      <c r="E847">
        <v>4</v>
      </c>
      <c r="F847" t="s">
        <v>213</v>
      </c>
    </row>
    <row r="848" spans="1:6">
      <c r="A848" t="str">
        <f t="shared" si="13"/>
        <v>GenericE&amp;DtemplateCIandGOA</v>
      </c>
      <c r="B848">
        <v>33</v>
      </c>
      <c r="C848">
        <v>15</v>
      </c>
      <c r="D848" s="649">
        <f ca="1">IF(E848=4,INDEX(crude_exp_dist,MATCH(B848,'Crude Exp Dist'!$B$6:$B$78,0),MATCH(C848,'Crude Exp Dist'!$AD$2:$BC$2,0))*INDEX(crude_exp_by_year,MATCH(B848,'Data Export'!$B$6:$B$78,0),1),IF(E848=5,INDEX(ref_exp_dist,MATCH(B848,'Refined Petro Exp Dist'!$B$6:$B$78,0),MATCH(C848,'Refined Petro Exp Dist'!$AD$2:$BC$2,0))*INDEX(ref_exp_by_year,MATCH(B848,'Data Export'!$B$6:$B$78,0),1)))</f>
        <v>0</v>
      </c>
      <c r="E848">
        <v>4</v>
      </c>
      <c r="F848" t="s">
        <v>215</v>
      </c>
    </row>
    <row r="849" spans="1:6">
      <c r="A849" t="str">
        <f t="shared" si="13"/>
        <v>GenericE&amp;DtemplateCIandGOA</v>
      </c>
      <c r="B849">
        <v>33</v>
      </c>
      <c r="C849">
        <v>16</v>
      </c>
      <c r="D849" s="649">
        <f ca="1">IF(E849=4,INDEX(crude_exp_dist,MATCH(B849,'Crude Exp Dist'!$B$6:$B$78,0),MATCH(C849,'Crude Exp Dist'!$AD$2:$BC$2,0))*INDEX(crude_exp_by_year,MATCH(B849,'Data Export'!$B$6:$B$78,0),1),IF(E849=5,INDEX(ref_exp_dist,MATCH(B849,'Refined Petro Exp Dist'!$B$6:$B$78,0),MATCH(C849,'Refined Petro Exp Dist'!$AD$2:$BC$2,0))*INDEX(ref_exp_by_year,MATCH(B849,'Data Export'!$B$6:$B$78,0),1)))</f>
        <v>0</v>
      </c>
      <c r="E849">
        <v>4</v>
      </c>
      <c r="F849" t="s">
        <v>219</v>
      </c>
    </row>
    <row r="850" spans="1:6">
      <c r="A850" t="str">
        <f t="shared" si="13"/>
        <v>GenericE&amp;DtemplateCIandGOA</v>
      </c>
      <c r="B850">
        <v>33</v>
      </c>
      <c r="C850">
        <v>17</v>
      </c>
      <c r="D850" s="649">
        <f ca="1">IF(E850=4,INDEX(crude_exp_dist,MATCH(B850,'Crude Exp Dist'!$B$6:$B$78,0),MATCH(C850,'Crude Exp Dist'!$AD$2:$BC$2,0))*INDEX(crude_exp_by_year,MATCH(B850,'Data Export'!$B$6:$B$78,0),1),IF(E850=5,INDEX(ref_exp_dist,MATCH(B850,'Refined Petro Exp Dist'!$B$6:$B$78,0),MATCH(C850,'Refined Petro Exp Dist'!$AD$2:$BC$2,0))*INDEX(ref_exp_by_year,MATCH(B850,'Data Export'!$B$6:$B$78,0),1)))</f>
        <v>0</v>
      </c>
      <c r="E850">
        <v>4</v>
      </c>
      <c r="F850" t="s">
        <v>222</v>
      </c>
    </row>
    <row r="851" spans="1:6">
      <c r="A851" t="str">
        <f t="shared" si="13"/>
        <v>GenericE&amp;DtemplateCIandGOA</v>
      </c>
      <c r="B851">
        <v>33</v>
      </c>
      <c r="C851">
        <v>18</v>
      </c>
      <c r="D851" s="649">
        <f ca="1">IF(E851=4,INDEX(crude_exp_dist,MATCH(B851,'Crude Exp Dist'!$B$6:$B$78,0),MATCH(C851,'Crude Exp Dist'!$AD$2:$BC$2,0))*INDEX(crude_exp_by_year,MATCH(B851,'Data Export'!$B$6:$B$78,0),1),IF(E851=5,INDEX(ref_exp_dist,MATCH(B851,'Refined Petro Exp Dist'!$B$6:$B$78,0),MATCH(C851,'Refined Petro Exp Dist'!$AD$2:$BC$2,0))*INDEX(ref_exp_by_year,MATCH(B851,'Data Export'!$B$6:$B$78,0),1)))</f>
        <v>0</v>
      </c>
      <c r="E851">
        <v>4</v>
      </c>
      <c r="F851" t="s">
        <v>224</v>
      </c>
    </row>
    <row r="852" spans="1:6">
      <c r="A852" t="str">
        <f t="shared" si="13"/>
        <v>GenericE&amp;DtemplateCIandGOA</v>
      </c>
      <c r="B852">
        <v>33</v>
      </c>
      <c r="C852">
        <v>19</v>
      </c>
      <c r="D852" s="649">
        <f ca="1">IF(E852=4,INDEX(crude_exp_dist,MATCH(B852,'Crude Exp Dist'!$B$6:$B$78,0),MATCH(C852,'Crude Exp Dist'!$AD$2:$BC$2,0))*INDEX(crude_exp_by_year,MATCH(B852,'Data Export'!$B$6:$B$78,0),1),IF(E852=5,INDEX(ref_exp_dist,MATCH(B852,'Refined Petro Exp Dist'!$B$6:$B$78,0),MATCH(C852,'Refined Petro Exp Dist'!$AD$2:$BC$2,0))*INDEX(ref_exp_by_year,MATCH(B852,'Data Export'!$B$6:$B$78,0),1)))</f>
        <v>0</v>
      </c>
      <c r="E852">
        <v>4</v>
      </c>
      <c r="F852" t="s">
        <v>228</v>
      </c>
    </row>
    <row r="853" spans="1:6">
      <c r="A853" t="str">
        <f t="shared" si="13"/>
        <v>GenericE&amp;DtemplateCIandGOA</v>
      </c>
      <c r="B853">
        <v>33</v>
      </c>
      <c r="C853">
        <v>20</v>
      </c>
      <c r="D853" s="649">
        <f ca="1">IF(E853=4,INDEX(crude_exp_dist,MATCH(B853,'Crude Exp Dist'!$B$6:$B$78,0),MATCH(C853,'Crude Exp Dist'!$AD$2:$BC$2,0))*INDEX(crude_exp_by_year,MATCH(B853,'Data Export'!$B$6:$B$78,0),1),IF(E853=5,INDEX(ref_exp_dist,MATCH(B853,'Refined Petro Exp Dist'!$B$6:$B$78,0),MATCH(C853,'Refined Petro Exp Dist'!$AD$2:$BC$2,0))*INDEX(ref_exp_by_year,MATCH(B853,'Data Export'!$B$6:$B$78,0),1)))</f>
        <v>0</v>
      </c>
      <c r="E853">
        <v>4</v>
      </c>
      <c r="F853" t="s">
        <v>231</v>
      </c>
    </row>
    <row r="854" spans="1:6">
      <c r="A854" t="str">
        <f t="shared" si="13"/>
        <v>GenericE&amp;DtemplateCIandGOA</v>
      </c>
      <c r="B854">
        <v>33</v>
      </c>
      <c r="C854">
        <v>21</v>
      </c>
      <c r="D854" s="649">
        <f ca="1">IF(E854=4,INDEX(crude_exp_dist,MATCH(B854,'Crude Exp Dist'!$B$6:$B$78,0),MATCH(C854,'Crude Exp Dist'!$AD$2:$BC$2,0))*INDEX(crude_exp_by_year,MATCH(B854,'Data Export'!$B$6:$B$78,0),1),IF(E854=5,INDEX(ref_exp_dist,MATCH(B854,'Refined Petro Exp Dist'!$B$6:$B$78,0),MATCH(C854,'Refined Petro Exp Dist'!$AD$2:$BC$2,0))*INDEX(ref_exp_by_year,MATCH(B854,'Data Export'!$B$6:$B$78,0),1)))</f>
        <v>0</v>
      </c>
      <c r="E854">
        <v>4</v>
      </c>
      <c r="F854" t="s">
        <v>232</v>
      </c>
    </row>
    <row r="855" spans="1:6">
      <c r="A855" t="str">
        <f t="shared" si="13"/>
        <v>GenericE&amp;DtemplateCIandGOA</v>
      </c>
      <c r="B855">
        <v>33</v>
      </c>
      <c r="C855">
        <v>22</v>
      </c>
      <c r="D855" s="649">
        <f ca="1">IF(E855=4,INDEX(crude_exp_dist,MATCH(B855,'Crude Exp Dist'!$B$6:$B$78,0),MATCH(C855,'Crude Exp Dist'!$AD$2:$BC$2,0))*INDEX(crude_exp_by_year,MATCH(B855,'Data Export'!$B$6:$B$78,0),1),IF(E855=5,INDEX(ref_exp_dist,MATCH(B855,'Refined Petro Exp Dist'!$B$6:$B$78,0),MATCH(C855,'Refined Petro Exp Dist'!$AD$2:$BC$2,0))*INDEX(ref_exp_by_year,MATCH(B855,'Data Export'!$B$6:$B$78,0),1)))</f>
        <v>0</v>
      </c>
      <c r="E855">
        <v>4</v>
      </c>
      <c r="F855" t="s">
        <v>235</v>
      </c>
    </row>
    <row r="856" spans="1:6">
      <c r="A856" t="str">
        <f t="shared" si="13"/>
        <v>GenericE&amp;DtemplateCIandGOA</v>
      </c>
      <c r="B856">
        <v>33</v>
      </c>
      <c r="C856">
        <v>23</v>
      </c>
      <c r="D856" s="649">
        <f ca="1">IF(E856=4,INDEX(crude_exp_dist,MATCH(B856,'Crude Exp Dist'!$B$6:$B$78,0),MATCH(C856,'Crude Exp Dist'!$AD$2:$BC$2,0))*INDEX(crude_exp_by_year,MATCH(B856,'Data Export'!$B$6:$B$78,0),1),IF(E856=5,INDEX(ref_exp_dist,MATCH(B856,'Refined Petro Exp Dist'!$B$6:$B$78,0),MATCH(C856,'Refined Petro Exp Dist'!$AD$2:$BC$2,0))*INDEX(ref_exp_by_year,MATCH(B856,'Data Export'!$B$6:$B$78,0),1)))</f>
        <v>0</v>
      </c>
      <c r="E856">
        <v>4</v>
      </c>
      <c r="F856" t="s">
        <v>237</v>
      </c>
    </row>
    <row r="857" spans="1:6">
      <c r="A857" t="str">
        <f t="shared" si="13"/>
        <v>GenericE&amp;DtemplateCIandGOA</v>
      </c>
      <c r="B857">
        <v>33</v>
      </c>
      <c r="C857">
        <v>24</v>
      </c>
      <c r="D857" s="649">
        <f ca="1">IF(E857=4,INDEX(crude_exp_dist,MATCH(B857,'Crude Exp Dist'!$B$6:$B$78,0),MATCH(C857,'Crude Exp Dist'!$AD$2:$BC$2,0))*INDEX(crude_exp_by_year,MATCH(B857,'Data Export'!$B$6:$B$78,0),1),IF(E857=5,INDEX(ref_exp_dist,MATCH(B857,'Refined Petro Exp Dist'!$B$6:$B$78,0),MATCH(C857,'Refined Petro Exp Dist'!$AD$2:$BC$2,0))*INDEX(ref_exp_by_year,MATCH(B857,'Data Export'!$B$6:$B$78,0),1)))</f>
        <v>0</v>
      </c>
      <c r="E857">
        <v>4</v>
      </c>
      <c r="F857" t="s">
        <v>239</v>
      </c>
    </row>
    <row r="858" spans="1:6">
      <c r="A858" t="str">
        <f t="shared" si="13"/>
        <v>GenericE&amp;DtemplateCIandGOA</v>
      </c>
      <c r="B858">
        <v>33</v>
      </c>
      <c r="C858">
        <v>25</v>
      </c>
      <c r="D858" s="649">
        <f ca="1">IF(E858=4,INDEX(crude_exp_dist,MATCH(B858,'Crude Exp Dist'!$B$6:$B$78,0),MATCH(C858,'Crude Exp Dist'!$AD$2:$BC$2,0))*INDEX(crude_exp_by_year,MATCH(B858,'Data Export'!$B$6:$B$78,0),1),IF(E858=5,INDEX(ref_exp_dist,MATCH(B858,'Refined Petro Exp Dist'!$B$6:$B$78,0),MATCH(C858,'Refined Petro Exp Dist'!$AD$2:$BC$2,0))*INDEX(ref_exp_by_year,MATCH(B858,'Data Export'!$B$6:$B$78,0),1)))</f>
        <v>0</v>
      </c>
      <c r="E858">
        <v>4</v>
      </c>
      <c r="F858" t="s">
        <v>242</v>
      </c>
    </row>
    <row r="859" spans="1:6">
      <c r="A859" t="str">
        <f t="shared" si="13"/>
        <v>GenericE&amp;DtemplateCIandGOA</v>
      </c>
      <c r="B859">
        <v>33</v>
      </c>
      <c r="C859">
        <v>26</v>
      </c>
      <c r="D859" s="649">
        <f ca="1">IF(E859=4,INDEX(crude_exp_dist,MATCH(B859,'Crude Exp Dist'!$B$6:$B$78,0),MATCH(C859,'Crude Exp Dist'!$AD$2:$BC$2,0))*INDEX(crude_exp_by_year,MATCH(B859,'Data Export'!$B$6:$B$78,0),1),IF(E859=5,INDEX(ref_exp_dist,MATCH(B859,'Refined Petro Exp Dist'!$B$6:$B$78,0),MATCH(C859,'Refined Petro Exp Dist'!$AD$2:$BC$2,0))*INDEX(ref_exp_by_year,MATCH(B859,'Data Export'!$B$6:$B$78,0),1)))</f>
        <v>0</v>
      </c>
      <c r="E859">
        <v>4</v>
      </c>
      <c r="F859" t="s">
        <v>245</v>
      </c>
    </row>
    <row r="860" spans="1:6">
      <c r="A860" t="str">
        <f t="shared" si="13"/>
        <v>GenericE&amp;DtemplateCIandGOA</v>
      </c>
      <c r="B860">
        <v>34</v>
      </c>
      <c r="C860">
        <v>1</v>
      </c>
      <c r="D860" s="649">
        <f ca="1">IF(E860=4,INDEX(crude_exp_dist,MATCH(B860,'Crude Exp Dist'!$B$6:$B$78,0),MATCH(C860,'Crude Exp Dist'!$AD$2:$BC$2,0))*INDEX(crude_exp_by_year,MATCH(B860,'Data Export'!$B$6:$B$78,0),1),IF(E860=5,INDEX(ref_exp_dist,MATCH(B860,'Refined Petro Exp Dist'!$B$6:$B$78,0),MATCH(C860,'Refined Petro Exp Dist'!$AD$2:$BC$2,0))*INDEX(ref_exp_by_year,MATCH(B860,'Data Export'!$B$6:$B$78,0),1)))</f>
        <v>0</v>
      </c>
      <c r="E860">
        <v>4</v>
      </c>
      <c r="F860" t="s">
        <v>158</v>
      </c>
    </row>
    <row r="861" spans="1:6">
      <c r="A861" t="str">
        <f t="shared" si="13"/>
        <v>GenericE&amp;DtemplateCIandGOA</v>
      </c>
      <c r="B861">
        <v>34</v>
      </c>
      <c r="C861">
        <v>2</v>
      </c>
      <c r="D861" s="649">
        <f ca="1">IF(E861=4,INDEX(crude_exp_dist,MATCH(B861,'Crude Exp Dist'!$B$6:$B$78,0),MATCH(C861,'Crude Exp Dist'!$AD$2:$BC$2,0))*INDEX(crude_exp_by_year,MATCH(B861,'Data Export'!$B$6:$B$78,0),1),IF(E861=5,INDEX(ref_exp_dist,MATCH(B861,'Refined Petro Exp Dist'!$B$6:$B$78,0),MATCH(C861,'Refined Petro Exp Dist'!$AD$2:$BC$2,0))*INDEX(ref_exp_by_year,MATCH(B861,'Data Export'!$B$6:$B$78,0),1)))</f>
        <v>0</v>
      </c>
      <c r="E861">
        <v>4</v>
      </c>
      <c r="F861" t="s">
        <v>166</v>
      </c>
    </row>
    <row r="862" spans="1:6">
      <c r="A862" t="str">
        <f t="shared" si="13"/>
        <v>GenericE&amp;DtemplateCIandGOA</v>
      </c>
      <c r="B862">
        <v>34</v>
      </c>
      <c r="C862">
        <v>3</v>
      </c>
      <c r="D862" s="649">
        <f ca="1">IF(E862=4,INDEX(crude_exp_dist,MATCH(B862,'Crude Exp Dist'!$B$6:$B$78,0),MATCH(C862,'Crude Exp Dist'!$AD$2:$BC$2,0))*INDEX(crude_exp_by_year,MATCH(B862,'Data Export'!$B$6:$B$78,0),1),IF(E862=5,INDEX(ref_exp_dist,MATCH(B862,'Refined Petro Exp Dist'!$B$6:$B$78,0),MATCH(C862,'Refined Petro Exp Dist'!$AD$2:$BC$2,0))*INDEX(ref_exp_by_year,MATCH(B862,'Data Export'!$B$6:$B$78,0),1)))</f>
        <v>0</v>
      </c>
      <c r="E862">
        <v>4</v>
      </c>
      <c r="F862" t="s">
        <v>171</v>
      </c>
    </row>
    <row r="863" spans="1:6">
      <c r="A863" t="str">
        <f t="shared" si="13"/>
        <v>GenericE&amp;DtemplateCIandGOA</v>
      </c>
      <c r="B863">
        <v>34</v>
      </c>
      <c r="C863">
        <v>4</v>
      </c>
      <c r="D863" s="649">
        <f ca="1">IF(E863=4,INDEX(crude_exp_dist,MATCH(B863,'Crude Exp Dist'!$B$6:$B$78,0),MATCH(C863,'Crude Exp Dist'!$AD$2:$BC$2,0))*INDEX(crude_exp_by_year,MATCH(B863,'Data Export'!$B$6:$B$78,0),1),IF(E863=5,INDEX(ref_exp_dist,MATCH(B863,'Refined Petro Exp Dist'!$B$6:$B$78,0),MATCH(C863,'Refined Petro Exp Dist'!$AD$2:$BC$2,0))*INDEX(ref_exp_by_year,MATCH(B863,'Data Export'!$B$6:$B$78,0),1)))</f>
        <v>0</v>
      </c>
      <c r="E863">
        <v>4</v>
      </c>
      <c r="F863" t="s">
        <v>173</v>
      </c>
    </row>
    <row r="864" spans="1:6">
      <c r="A864" t="str">
        <f t="shared" si="13"/>
        <v>GenericE&amp;DtemplateCIandGOA</v>
      </c>
      <c r="B864">
        <v>34</v>
      </c>
      <c r="C864">
        <v>5</v>
      </c>
      <c r="D864" s="649">
        <f ca="1">IF(E864=4,INDEX(crude_exp_dist,MATCH(B864,'Crude Exp Dist'!$B$6:$B$78,0),MATCH(C864,'Crude Exp Dist'!$AD$2:$BC$2,0))*INDEX(crude_exp_by_year,MATCH(B864,'Data Export'!$B$6:$B$78,0),1),IF(E864=5,INDEX(ref_exp_dist,MATCH(B864,'Refined Petro Exp Dist'!$B$6:$B$78,0),MATCH(C864,'Refined Petro Exp Dist'!$AD$2:$BC$2,0))*INDEX(ref_exp_by_year,MATCH(B864,'Data Export'!$B$6:$B$78,0),1)))</f>
        <v>0</v>
      </c>
      <c r="E864">
        <v>4</v>
      </c>
      <c r="F864" t="s">
        <v>180</v>
      </c>
    </row>
    <row r="865" spans="1:6">
      <c r="A865" t="str">
        <f t="shared" si="13"/>
        <v>GenericE&amp;DtemplateCIandGOA</v>
      </c>
      <c r="B865">
        <v>34</v>
      </c>
      <c r="C865">
        <v>6</v>
      </c>
      <c r="D865" s="649">
        <f ca="1">IF(E865=4,INDEX(crude_exp_dist,MATCH(B865,'Crude Exp Dist'!$B$6:$B$78,0),MATCH(C865,'Crude Exp Dist'!$AD$2:$BC$2,0))*INDEX(crude_exp_by_year,MATCH(B865,'Data Export'!$B$6:$B$78,0),1),IF(E865=5,INDEX(ref_exp_dist,MATCH(B865,'Refined Petro Exp Dist'!$B$6:$B$78,0),MATCH(C865,'Refined Petro Exp Dist'!$AD$2:$BC$2,0))*INDEX(ref_exp_by_year,MATCH(B865,'Data Export'!$B$6:$B$78,0),1)))</f>
        <v>0</v>
      </c>
      <c r="E865">
        <v>4</v>
      </c>
      <c r="F865" t="s">
        <v>186</v>
      </c>
    </row>
    <row r="866" spans="1:6">
      <c r="A866" t="str">
        <f t="shared" si="13"/>
        <v>GenericE&amp;DtemplateCIandGOA</v>
      </c>
      <c r="B866">
        <v>34</v>
      </c>
      <c r="C866">
        <v>7</v>
      </c>
      <c r="D866" s="649">
        <f ca="1">IF(E866=4,INDEX(crude_exp_dist,MATCH(B866,'Crude Exp Dist'!$B$6:$B$78,0),MATCH(C866,'Crude Exp Dist'!$AD$2:$BC$2,0))*INDEX(crude_exp_by_year,MATCH(B866,'Data Export'!$B$6:$B$78,0),1),IF(E866=5,INDEX(ref_exp_dist,MATCH(B866,'Refined Petro Exp Dist'!$B$6:$B$78,0),MATCH(C866,'Refined Petro Exp Dist'!$AD$2:$BC$2,0))*INDEX(ref_exp_by_year,MATCH(B866,'Data Export'!$B$6:$B$78,0),1)))</f>
        <v>0</v>
      </c>
      <c r="E866">
        <v>4</v>
      </c>
      <c r="F866" t="s">
        <v>191</v>
      </c>
    </row>
    <row r="867" spans="1:6">
      <c r="A867" t="str">
        <f t="shared" si="13"/>
        <v>GenericE&amp;DtemplateCIandGOA</v>
      </c>
      <c r="B867">
        <v>34</v>
      </c>
      <c r="C867">
        <v>8</v>
      </c>
      <c r="D867" s="649">
        <f ca="1">IF(E867=4,INDEX(crude_exp_dist,MATCH(B867,'Crude Exp Dist'!$B$6:$B$78,0),MATCH(C867,'Crude Exp Dist'!$AD$2:$BC$2,0))*INDEX(crude_exp_by_year,MATCH(B867,'Data Export'!$B$6:$B$78,0),1),IF(E867=5,INDEX(ref_exp_dist,MATCH(B867,'Refined Petro Exp Dist'!$B$6:$B$78,0),MATCH(C867,'Refined Petro Exp Dist'!$AD$2:$BC$2,0))*INDEX(ref_exp_by_year,MATCH(B867,'Data Export'!$B$6:$B$78,0),1)))</f>
        <v>0</v>
      </c>
      <c r="E867">
        <v>4</v>
      </c>
      <c r="F867" t="s">
        <v>197</v>
      </c>
    </row>
    <row r="868" spans="1:6">
      <c r="A868" t="str">
        <f t="shared" si="13"/>
        <v>GenericE&amp;DtemplateCIandGOA</v>
      </c>
      <c r="B868">
        <v>34</v>
      </c>
      <c r="C868">
        <v>9</v>
      </c>
      <c r="D868" s="649">
        <f ca="1">IF(E868=4,INDEX(crude_exp_dist,MATCH(B868,'Crude Exp Dist'!$B$6:$B$78,0),MATCH(C868,'Crude Exp Dist'!$AD$2:$BC$2,0))*INDEX(crude_exp_by_year,MATCH(B868,'Data Export'!$B$6:$B$78,0),1),IF(E868=5,INDEX(ref_exp_dist,MATCH(B868,'Refined Petro Exp Dist'!$B$6:$B$78,0),MATCH(C868,'Refined Petro Exp Dist'!$AD$2:$BC$2,0))*INDEX(ref_exp_by_year,MATCH(B868,'Data Export'!$B$6:$B$78,0),1)))</f>
        <v>0</v>
      </c>
      <c r="E868">
        <v>4</v>
      </c>
      <c r="F868" t="s">
        <v>199</v>
      </c>
    </row>
    <row r="869" spans="1:6">
      <c r="A869" t="str">
        <f t="shared" si="13"/>
        <v>GenericE&amp;DtemplateCIandGOA</v>
      </c>
      <c r="B869">
        <v>34</v>
      </c>
      <c r="C869">
        <v>10</v>
      </c>
      <c r="D869" s="649">
        <f ca="1">IF(E869=4,INDEX(crude_exp_dist,MATCH(B869,'Crude Exp Dist'!$B$6:$B$78,0),MATCH(C869,'Crude Exp Dist'!$AD$2:$BC$2,0))*INDEX(crude_exp_by_year,MATCH(B869,'Data Export'!$B$6:$B$78,0),1),IF(E869=5,INDEX(ref_exp_dist,MATCH(B869,'Refined Petro Exp Dist'!$B$6:$B$78,0),MATCH(C869,'Refined Petro Exp Dist'!$AD$2:$BC$2,0))*INDEX(ref_exp_by_year,MATCH(B869,'Data Export'!$B$6:$B$78,0),1)))</f>
        <v>0</v>
      </c>
      <c r="E869">
        <v>4</v>
      </c>
      <c r="F869" t="s">
        <v>201</v>
      </c>
    </row>
    <row r="870" spans="1:6">
      <c r="A870" t="str">
        <f t="shared" si="13"/>
        <v>GenericE&amp;DtemplateCIandGOA</v>
      </c>
      <c r="B870">
        <v>34</v>
      </c>
      <c r="C870">
        <v>11</v>
      </c>
      <c r="D870" s="649">
        <f ca="1">IF(E870=4,INDEX(crude_exp_dist,MATCH(B870,'Crude Exp Dist'!$B$6:$B$78,0),MATCH(C870,'Crude Exp Dist'!$AD$2:$BC$2,0))*INDEX(crude_exp_by_year,MATCH(B870,'Data Export'!$B$6:$B$78,0),1),IF(E870=5,INDEX(ref_exp_dist,MATCH(B870,'Refined Petro Exp Dist'!$B$6:$B$78,0),MATCH(C870,'Refined Petro Exp Dist'!$AD$2:$BC$2,0))*INDEX(ref_exp_by_year,MATCH(B870,'Data Export'!$B$6:$B$78,0),1)))</f>
        <v>0</v>
      </c>
      <c r="E870">
        <v>4</v>
      </c>
      <c r="F870" t="s">
        <v>921</v>
      </c>
    </row>
    <row r="871" spans="1:6">
      <c r="A871" t="str">
        <f t="shared" si="13"/>
        <v>GenericE&amp;DtemplateCIandGOA</v>
      </c>
      <c r="B871">
        <v>34</v>
      </c>
      <c r="C871">
        <v>12</v>
      </c>
      <c r="D871" s="649">
        <f ca="1">IF(E871=4,INDEX(crude_exp_dist,MATCH(B871,'Crude Exp Dist'!$B$6:$B$78,0),MATCH(C871,'Crude Exp Dist'!$AD$2:$BC$2,0))*INDEX(crude_exp_by_year,MATCH(B871,'Data Export'!$B$6:$B$78,0),1),IF(E871=5,INDEX(ref_exp_dist,MATCH(B871,'Refined Petro Exp Dist'!$B$6:$B$78,0),MATCH(C871,'Refined Petro Exp Dist'!$AD$2:$BC$2,0))*INDEX(ref_exp_by_year,MATCH(B871,'Data Export'!$B$6:$B$78,0),1)))</f>
        <v>0</v>
      </c>
      <c r="E871">
        <v>4</v>
      </c>
      <c r="F871" t="s">
        <v>208</v>
      </c>
    </row>
    <row r="872" spans="1:6">
      <c r="A872" t="str">
        <f t="shared" si="13"/>
        <v>GenericE&amp;DtemplateCIandGOA</v>
      </c>
      <c r="B872">
        <v>34</v>
      </c>
      <c r="C872">
        <v>13</v>
      </c>
      <c r="D872" s="649">
        <f ca="1">IF(E872=4,INDEX(crude_exp_dist,MATCH(B872,'Crude Exp Dist'!$B$6:$B$78,0),MATCH(C872,'Crude Exp Dist'!$AD$2:$BC$2,0))*INDEX(crude_exp_by_year,MATCH(B872,'Data Export'!$B$6:$B$78,0),1),IF(E872=5,INDEX(ref_exp_dist,MATCH(B872,'Refined Petro Exp Dist'!$B$6:$B$78,0),MATCH(C872,'Refined Petro Exp Dist'!$AD$2:$BC$2,0))*INDEX(ref_exp_by_year,MATCH(B872,'Data Export'!$B$6:$B$78,0),1)))</f>
        <v>0</v>
      </c>
      <c r="E872">
        <v>4</v>
      </c>
      <c r="F872" t="s">
        <v>211</v>
      </c>
    </row>
    <row r="873" spans="1:6">
      <c r="A873" t="str">
        <f t="shared" si="13"/>
        <v>GenericE&amp;DtemplateCIandGOA</v>
      </c>
      <c r="B873">
        <v>34</v>
      </c>
      <c r="C873">
        <v>14</v>
      </c>
      <c r="D873" s="649">
        <f ca="1">IF(E873=4,INDEX(crude_exp_dist,MATCH(B873,'Crude Exp Dist'!$B$6:$B$78,0),MATCH(C873,'Crude Exp Dist'!$AD$2:$BC$2,0))*INDEX(crude_exp_by_year,MATCH(B873,'Data Export'!$B$6:$B$78,0),1),IF(E873=5,INDEX(ref_exp_dist,MATCH(B873,'Refined Petro Exp Dist'!$B$6:$B$78,0),MATCH(C873,'Refined Petro Exp Dist'!$AD$2:$BC$2,0))*INDEX(ref_exp_by_year,MATCH(B873,'Data Export'!$B$6:$B$78,0),1)))</f>
        <v>0</v>
      </c>
      <c r="E873">
        <v>4</v>
      </c>
      <c r="F873" t="s">
        <v>213</v>
      </c>
    </row>
    <row r="874" spans="1:6">
      <c r="A874" t="str">
        <f t="shared" si="13"/>
        <v>GenericE&amp;DtemplateCIandGOA</v>
      </c>
      <c r="B874">
        <v>34</v>
      </c>
      <c r="C874">
        <v>15</v>
      </c>
      <c r="D874" s="649">
        <f ca="1">IF(E874=4,INDEX(crude_exp_dist,MATCH(B874,'Crude Exp Dist'!$B$6:$B$78,0),MATCH(C874,'Crude Exp Dist'!$AD$2:$BC$2,0))*INDEX(crude_exp_by_year,MATCH(B874,'Data Export'!$B$6:$B$78,0),1),IF(E874=5,INDEX(ref_exp_dist,MATCH(B874,'Refined Petro Exp Dist'!$B$6:$B$78,0),MATCH(C874,'Refined Petro Exp Dist'!$AD$2:$BC$2,0))*INDEX(ref_exp_by_year,MATCH(B874,'Data Export'!$B$6:$B$78,0),1)))</f>
        <v>0</v>
      </c>
      <c r="E874">
        <v>4</v>
      </c>
      <c r="F874" t="s">
        <v>215</v>
      </c>
    </row>
    <row r="875" spans="1:6">
      <c r="A875" t="str">
        <f t="shared" si="13"/>
        <v>GenericE&amp;DtemplateCIandGOA</v>
      </c>
      <c r="B875">
        <v>34</v>
      </c>
      <c r="C875">
        <v>16</v>
      </c>
      <c r="D875" s="649">
        <f ca="1">IF(E875=4,INDEX(crude_exp_dist,MATCH(B875,'Crude Exp Dist'!$B$6:$B$78,0),MATCH(C875,'Crude Exp Dist'!$AD$2:$BC$2,0))*INDEX(crude_exp_by_year,MATCH(B875,'Data Export'!$B$6:$B$78,0),1),IF(E875=5,INDEX(ref_exp_dist,MATCH(B875,'Refined Petro Exp Dist'!$B$6:$B$78,0),MATCH(C875,'Refined Petro Exp Dist'!$AD$2:$BC$2,0))*INDEX(ref_exp_by_year,MATCH(B875,'Data Export'!$B$6:$B$78,0),1)))</f>
        <v>0</v>
      </c>
      <c r="E875">
        <v>4</v>
      </c>
      <c r="F875" t="s">
        <v>219</v>
      </c>
    </row>
    <row r="876" spans="1:6">
      <c r="A876" t="str">
        <f t="shared" si="13"/>
        <v>GenericE&amp;DtemplateCIandGOA</v>
      </c>
      <c r="B876">
        <v>34</v>
      </c>
      <c r="C876">
        <v>17</v>
      </c>
      <c r="D876" s="649">
        <f ca="1">IF(E876=4,INDEX(crude_exp_dist,MATCH(B876,'Crude Exp Dist'!$B$6:$B$78,0),MATCH(C876,'Crude Exp Dist'!$AD$2:$BC$2,0))*INDEX(crude_exp_by_year,MATCH(B876,'Data Export'!$B$6:$B$78,0),1),IF(E876=5,INDEX(ref_exp_dist,MATCH(B876,'Refined Petro Exp Dist'!$B$6:$B$78,0),MATCH(C876,'Refined Petro Exp Dist'!$AD$2:$BC$2,0))*INDEX(ref_exp_by_year,MATCH(B876,'Data Export'!$B$6:$B$78,0),1)))</f>
        <v>0</v>
      </c>
      <c r="E876">
        <v>4</v>
      </c>
      <c r="F876" t="s">
        <v>222</v>
      </c>
    </row>
    <row r="877" spans="1:6">
      <c r="A877" t="str">
        <f t="shared" si="13"/>
        <v>GenericE&amp;DtemplateCIandGOA</v>
      </c>
      <c r="B877">
        <v>34</v>
      </c>
      <c r="C877">
        <v>18</v>
      </c>
      <c r="D877" s="649">
        <f ca="1">IF(E877=4,INDEX(crude_exp_dist,MATCH(B877,'Crude Exp Dist'!$B$6:$B$78,0),MATCH(C877,'Crude Exp Dist'!$AD$2:$BC$2,0))*INDEX(crude_exp_by_year,MATCH(B877,'Data Export'!$B$6:$B$78,0),1),IF(E877=5,INDEX(ref_exp_dist,MATCH(B877,'Refined Petro Exp Dist'!$B$6:$B$78,0),MATCH(C877,'Refined Petro Exp Dist'!$AD$2:$BC$2,0))*INDEX(ref_exp_by_year,MATCH(B877,'Data Export'!$B$6:$B$78,0),1)))</f>
        <v>0</v>
      </c>
      <c r="E877">
        <v>4</v>
      </c>
      <c r="F877" t="s">
        <v>224</v>
      </c>
    </row>
    <row r="878" spans="1:6">
      <c r="A878" t="str">
        <f t="shared" si="13"/>
        <v>GenericE&amp;DtemplateCIandGOA</v>
      </c>
      <c r="B878">
        <v>34</v>
      </c>
      <c r="C878">
        <v>19</v>
      </c>
      <c r="D878" s="649">
        <f ca="1">IF(E878=4,INDEX(crude_exp_dist,MATCH(B878,'Crude Exp Dist'!$B$6:$B$78,0),MATCH(C878,'Crude Exp Dist'!$AD$2:$BC$2,0))*INDEX(crude_exp_by_year,MATCH(B878,'Data Export'!$B$6:$B$78,0),1),IF(E878=5,INDEX(ref_exp_dist,MATCH(B878,'Refined Petro Exp Dist'!$B$6:$B$78,0),MATCH(C878,'Refined Petro Exp Dist'!$AD$2:$BC$2,0))*INDEX(ref_exp_by_year,MATCH(B878,'Data Export'!$B$6:$B$78,0),1)))</f>
        <v>0</v>
      </c>
      <c r="E878">
        <v>4</v>
      </c>
      <c r="F878" t="s">
        <v>228</v>
      </c>
    </row>
    <row r="879" spans="1:6">
      <c r="A879" t="str">
        <f t="shared" si="13"/>
        <v>GenericE&amp;DtemplateCIandGOA</v>
      </c>
      <c r="B879">
        <v>34</v>
      </c>
      <c r="C879">
        <v>20</v>
      </c>
      <c r="D879" s="649">
        <f ca="1">IF(E879=4,INDEX(crude_exp_dist,MATCH(B879,'Crude Exp Dist'!$B$6:$B$78,0),MATCH(C879,'Crude Exp Dist'!$AD$2:$BC$2,0))*INDEX(crude_exp_by_year,MATCH(B879,'Data Export'!$B$6:$B$78,0),1),IF(E879=5,INDEX(ref_exp_dist,MATCH(B879,'Refined Petro Exp Dist'!$B$6:$B$78,0),MATCH(C879,'Refined Petro Exp Dist'!$AD$2:$BC$2,0))*INDEX(ref_exp_by_year,MATCH(B879,'Data Export'!$B$6:$B$78,0),1)))</f>
        <v>0</v>
      </c>
      <c r="E879">
        <v>4</v>
      </c>
      <c r="F879" t="s">
        <v>231</v>
      </c>
    </row>
    <row r="880" spans="1:6">
      <c r="A880" t="str">
        <f t="shared" si="13"/>
        <v>GenericE&amp;DtemplateCIandGOA</v>
      </c>
      <c r="B880">
        <v>34</v>
      </c>
      <c r="C880">
        <v>21</v>
      </c>
      <c r="D880" s="649">
        <f ca="1">IF(E880=4,INDEX(crude_exp_dist,MATCH(B880,'Crude Exp Dist'!$B$6:$B$78,0),MATCH(C880,'Crude Exp Dist'!$AD$2:$BC$2,0))*INDEX(crude_exp_by_year,MATCH(B880,'Data Export'!$B$6:$B$78,0),1),IF(E880=5,INDEX(ref_exp_dist,MATCH(B880,'Refined Petro Exp Dist'!$B$6:$B$78,0),MATCH(C880,'Refined Petro Exp Dist'!$AD$2:$BC$2,0))*INDEX(ref_exp_by_year,MATCH(B880,'Data Export'!$B$6:$B$78,0),1)))</f>
        <v>0</v>
      </c>
      <c r="E880">
        <v>4</v>
      </c>
      <c r="F880" t="s">
        <v>232</v>
      </c>
    </row>
    <row r="881" spans="1:6">
      <c r="A881" t="str">
        <f t="shared" si="13"/>
        <v>GenericE&amp;DtemplateCIandGOA</v>
      </c>
      <c r="B881">
        <v>34</v>
      </c>
      <c r="C881">
        <v>22</v>
      </c>
      <c r="D881" s="649">
        <f ca="1">IF(E881=4,INDEX(crude_exp_dist,MATCH(B881,'Crude Exp Dist'!$B$6:$B$78,0),MATCH(C881,'Crude Exp Dist'!$AD$2:$BC$2,0))*INDEX(crude_exp_by_year,MATCH(B881,'Data Export'!$B$6:$B$78,0),1),IF(E881=5,INDEX(ref_exp_dist,MATCH(B881,'Refined Petro Exp Dist'!$B$6:$B$78,0),MATCH(C881,'Refined Petro Exp Dist'!$AD$2:$BC$2,0))*INDEX(ref_exp_by_year,MATCH(B881,'Data Export'!$B$6:$B$78,0),1)))</f>
        <v>0</v>
      </c>
      <c r="E881">
        <v>4</v>
      </c>
      <c r="F881" t="s">
        <v>235</v>
      </c>
    </row>
    <row r="882" spans="1:6">
      <c r="A882" t="str">
        <f t="shared" si="13"/>
        <v>GenericE&amp;DtemplateCIandGOA</v>
      </c>
      <c r="B882">
        <v>34</v>
      </c>
      <c r="C882">
        <v>23</v>
      </c>
      <c r="D882" s="649">
        <f ca="1">IF(E882=4,INDEX(crude_exp_dist,MATCH(B882,'Crude Exp Dist'!$B$6:$B$78,0),MATCH(C882,'Crude Exp Dist'!$AD$2:$BC$2,0))*INDEX(crude_exp_by_year,MATCH(B882,'Data Export'!$B$6:$B$78,0),1),IF(E882=5,INDEX(ref_exp_dist,MATCH(B882,'Refined Petro Exp Dist'!$B$6:$B$78,0),MATCH(C882,'Refined Petro Exp Dist'!$AD$2:$BC$2,0))*INDEX(ref_exp_by_year,MATCH(B882,'Data Export'!$B$6:$B$78,0),1)))</f>
        <v>0</v>
      </c>
      <c r="E882">
        <v>4</v>
      </c>
      <c r="F882" t="s">
        <v>237</v>
      </c>
    </row>
    <row r="883" spans="1:6">
      <c r="A883" t="str">
        <f t="shared" si="13"/>
        <v>GenericE&amp;DtemplateCIandGOA</v>
      </c>
      <c r="B883">
        <v>34</v>
      </c>
      <c r="C883">
        <v>24</v>
      </c>
      <c r="D883" s="649">
        <f ca="1">IF(E883=4,INDEX(crude_exp_dist,MATCH(B883,'Crude Exp Dist'!$B$6:$B$78,0),MATCH(C883,'Crude Exp Dist'!$AD$2:$BC$2,0))*INDEX(crude_exp_by_year,MATCH(B883,'Data Export'!$B$6:$B$78,0),1),IF(E883=5,INDEX(ref_exp_dist,MATCH(B883,'Refined Petro Exp Dist'!$B$6:$B$78,0),MATCH(C883,'Refined Petro Exp Dist'!$AD$2:$BC$2,0))*INDEX(ref_exp_by_year,MATCH(B883,'Data Export'!$B$6:$B$78,0),1)))</f>
        <v>0</v>
      </c>
      <c r="E883">
        <v>4</v>
      </c>
      <c r="F883" t="s">
        <v>239</v>
      </c>
    </row>
    <row r="884" spans="1:6">
      <c r="A884" t="str">
        <f t="shared" si="13"/>
        <v>GenericE&amp;DtemplateCIandGOA</v>
      </c>
      <c r="B884">
        <v>34</v>
      </c>
      <c r="C884">
        <v>25</v>
      </c>
      <c r="D884" s="649">
        <f ca="1">IF(E884=4,INDEX(crude_exp_dist,MATCH(B884,'Crude Exp Dist'!$B$6:$B$78,0),MATCH(C884,'Crude Exp Dist'!$AD$2:$BC$2,0))*INDEX(crude_exp_by_year,MATCH(B884,'Data Export'!$B$6:$B$78,0),1),IF(E884=5,INDEX(ref_exp_dist,MATCH(B884,'Refined Petro Exp Dist'!$B$6:$B$78,0),MATCH(C884,'Refined Petro Exp Dist'!$AD$2:$BC$2,0))*INDEX(ref_exp_by_year,MATCH(B884,'Data Export'!$B$6:$B$78,0),1)))</f>
        <v>0</v>
      </c>
      <c r="E884">
        <v>4</v>
      </c>
      <c r="F884" t="s">
        <v>242</v>
      </c>
    </row>
    <row r="885" spans="1:6">
      <c r="A885" t="str">
        <f t="shared" si="13"/>
        <v>GenericE&amp;DtemplateCIandGOA</v>
      </c>
      <c r="B885">
        <v>34</v>
      </c>
      <c r="C885">
        <v>26</v>
      </c>
      <c r="D885" s="649">
        <f ca="1">IF(E885=4,INDEX(crude_exp_dist,MATCH(B885,'Crude Exp Dist'!$B$6:$B$78,0),MATCH(C885,'Crude Exp Dist'!$AD$2:$BC$2,0))*INDEX(crude_exp_by_year,MATCH(B885,'Data Export'!$B$6:$B$78,0),1),IF(E885=5,INDEX(ref_exp_dist,MATCH(B885,'Refined Petro Exp Dist'!$B$6:$B$78,0),MATCH(C885,'Refined Petro Exp Dist'!$AD$2:$BC$2,0))*INDEX(ref_exp_by_year,MATCH(B885,'Data Export'!$B$6:$B$78,0),1)))</f>
        <v>0</v>
      </c>
      <c r="E885">
        <v>4</v>
      </c>
      <c r="F885" t="s">
        <v>245</v>
      </c>
    </row>
    <row r="886" spans="1:6">
      <c r="A886" t="str">
        <f t="shared" si="13"/>
        <v>GenericE&amp;DtemplateCIandGOA</v>
      </c>
      <c r="B886">
        <v>35</v>
      </c>
      <c r="C886">
        <v>1</v>
      </c>
      <c r="D886" s="649">
        <f ca="1">IF(E886=4,INDEX(crude_exp_dist,MATCH(B886,'Crude Exp Dist'!$B$6:$B$78,0),MATCH(C886,'Crude Exp Dist'!$AD$2:$BC$2,0))*INDEX(crude_exp_by_year,MATCH(B886,'Data Export'!$B$6:$B$78,0),1),IF(E886=5,INDEX(ref_exp_dist,MATCH(B886,'Refined Petro Exp Dist'!$B$6:$B$78,0),MATCH(C886,'Refined Petro Exp Dist'!$AD$2:$BC$2,0))*INDEX(ref_exp_by_year,MATCH(B886,'Data Export'!$B$6:$B$78,0),1)))</f>
        <v>0</v>
      </c>
      <c r="E886">
        <v>4</v>
      </c>
      <c r="F886" t="s">
        <v>158</v>
      </c>
    </row>
    <row r="887" spans="1:6">
      <c r="A887" t="str">
        <f t="shared" si="13"/>
        <v>GenericE&amp;DtemplateCIandGOA</v>
      </c>
      <c r="B887">
        <v>35</v>
      </c>
      <c r="C887">
        <v>2</v>
      </c>
      <c r="D887" s="649">
        <f ca="1">IF(E887=4,INDEX(crude_exp_dist,MATCH(B887,'Crude Exp Dist'!$B$6:$B$78,0),MATCH(C887,'Crude Exp Dist'!$AD$2:$BC$2,0))*INDEX(crude_exp_by_year,MATCH(B887,'Data Export'!$B$6:$B$78,0),1),IF(E887=5,INDEX(ref_exp_dist,MATCH(B887,'Refined Petro Exp Dist'!$B$6:$B$78,0),MATCH(C887,'Refined Petro Exp Dist'!$AD$2:$BC$2,0))*INDEX(ref_exp_by_year,MATCH(B887,'Data Export'!$B$6:$B$78,0),1)))</f>
        <v>0</v>
      </c>
      <c r="E887">
        <v>4</v>
      </c>
      <c r="F887" t="s">
        <v>166</v>
      </c>
    </row>
    <row r="888" spans="1:6">
      <c r="A888" t="str">
        <f t="shared" si="13"/>
        <v>GenericE&amp;DtemplateCIandGOA</v>
      </c>
      <c r="B888">
        <v>35</v>
      </c>
      <c r="C888">
        <v>3</v>
      </c>
      <c r="D888" s="649">
        <f ca="1">IF(E888=4,INDEX(crude_exp_dist,MATCH(B888,'Crude Exp Dist'!$B$6:$B$78,0),MATCH(C888,'Crude Exp Dist'!$AD$2:$BC$2,0))*INDEX(crude_exp_by_year,MATCH(B888,'Data Export'!$B$6:$B$78,0),1),IF(E888=5,INDEX(ref_exp_dist,MATCH(B888,'Refined Petro Exp Dist'!$B$6:$B$78,0),MATCH(C888,'Refined Petro Exp Dist'!$AD$2:$BC$2,0))*INDEX(ref_exp_by_year,MATCH(B888,'Data Export'!$B$6:$B$78,0),1)))</f>
        <v>0</v>
      </c>
      <c r="E888">
        <v>4</v>
      </c>
      <c r="F888" t="s">
        <v>171</v>
      </c>
    </row>
    <row r="889" spans="1:6">
      <c r="A889" t="str">
        <f t="shared" si="13"/>
        <v>GenericE&amp;DtemplateCIandGOA</v>
      </c>
      <c r="B889">
        <v>35</v>
      </c>
      <c r="C889">
        <v>4</v>
      </c>
      <c r="D889" s="649">
        <f ca="1">IF(E889=4,INDEX(crude_exp_dist,MATCH(B889,'Crude Exp Dist'!$B$6:$B$78,0),MATCH(C889,'Crude Exp Dist'!$AD$2:$BC$2,0))*INDEX(crude_exp_by_year,MATCH(B889,'Data Export'!$B$6:$B$78,0),1),IF(E889=5,INDEX(ref_exp_dist,MATCH(B889,'Refined Petro Exp Dist'!$B$6:$B$78,0),MATCH(C889,'Refined Petro Exp Dist'!$AD$2:$BC$2,0))*INDEX(ref_exp_by_year,MATCH(B889,'Data Export'!$B$6:$B$78,0),1)))</f>
        <v>0</v>
      </c>
      <c r="E889">
        <v>4</v>
      </c>
      <c r="F889" t="s">
        <v>173</v>
      </c>
    </row>
    <row r="890" spans="1:6">
      <c r="A890" t="str">
        <f t="shared" si="13"/>
        <v>GenericE&amp;DtemplateCIandGOA</v>
      </c>
      <c r="B890">
        <v>35</v>
      </c>
      <c r="C890">
        <v>5</v>
      </c>
      <c r="D890" s="649">
        <f ca="1">IF(E890=4,INDEX(crude_exp_dist,MATCH(B890,'Crude Exp Dist'!$B$6:$B$78,0),MATCH(C890,'Crude Exp Dist'!$AD$2:$BC$2,0))*INDEX(crude_exp_by_year,MATCH(B890,'Data Export'!$B$6:$B$78,0),1),IF(E890=5,INDEX(ref_exp_dist,MATCH(B890,'Refined Petro Exp Dist'!$B$6:$B$78,0),MATCH(C890,'Refined Petro Exp Dist'!$AD$2:$BC$2,0))*INDEX(ref_exp_by_year,MATCH(B890,'Data Export'!$B$6:$B$78,0),1)))</f>
        <v>0</v>
      </c>
      <c r="E890">
        <v>4</v>
      </c>
      <c r="F890" t="s">
        <v>180</v>
      </c>
    </row>
    <row r="891" spans="1:6">
      <c r="A891" t="str">
        <f t="shared" si="13"/>
        <v>GenericE&amp;DtemplateCIandGOA</v>
      </c>
      <c r="B891">
        <v>35</v>
      </c>
      <c r="C891">
        <v>6</v>
      </c>
      <c r="D891" s="649">
        <f ca="1">IF(E891=4,INDEX(crude_exp_dist,MATCH(B891,'Crude Exp Dist'!$B$6:$B$78,0),MATCH(C891,'Crude Exp Dist'!$AD$2:$BC$2,0))*INDEX(crude_exp_by_year,MATCH(B891,'Data Export'!$B$6:$B$78,0),1),IF(E891=5,INDEX(ref_exp_dist,MATCH(B891,'Refined Petro Exp Dist'!$B$6:$B$78,0),MATCH(C891,'Refined Petro Exp Dist'!$AD$2:$BC$2,0))*INDEX(ref_exp_by_year,MATCH(B891,'Data Export'!$B$6:$B$78,0),1)))</f>
        <v>0</v>
      </c>
      <c r="E891">
        <v>4</v>
      </c>
      <c r="F891" t="s">
        <v>186</v>
      </c>
    </row>
    <row r="892" spans="1:6">
      <c r="A892" t="str">
        <f t="shared" si="13"/>
        <v>GenericE&amp;DtemplateCIandGOA</v>
      </c>
      <c r="B892">
        <v>35</v>
      </c>
      <c r="C892">
        <v>7</v>
      </c>
      <c r="D892" s="649">
        <f ca="1">IF(E892=4,INDEX(crude_exp_dist,MATCH(B892,'Crude Exp Dist'!$B$6:$B$78,0),MATCH(C892,'Crude Exp Dist'!$AD$2:$BC$2,0))*INDEX(crude_exp_by_year,MATCH(B892,'Data Export'!$B$6:$B$78,0),1),IF(E892=5,INDEX(ref_exp_dist,MATCH(B892,'Refined Petro Exp Dist'!$B$6:$B$78,0),MATCH(C892,'Refined Petro Exp Dist'!$AD$2:$BC$2,0))*INDEX(ref_exp_by_year,MATCH(B892,'Data Export'!$B$6:$B$78,0),1)))</f>
        <v>0</v>
      </c>
      <c r="E892">
        <v>4</v>
      </c>
      <c r="F892" t="s">
        <v>191</v>
      </c>
    </row>
    <row r="893" spans="1:6">
      <c r="A893" t="str">
        <f t="shared" si="13"/>
        <v>GenericE&amp;DtemplateCIandGOA</v>
      </c>
      <c r="B893">
        <v>35</v>
      </c>
      <c r="C893">
        <v>8</v>
      </c>
      <c r="D893" s="649">
        <f ca="1">IF(E893=4,INDEX(crude_exp_dist,MATCH(B893,'Crude Exp Dist'!$B$6:$B$78,0),MATCH(C893,'Crude Exp Dist'!$AD$2:$BC$2,0))*INDEX(crude_exp_by_year,MATCH(B893,'Data Export'!$B$6:$B$78,0),1),IF(E893=5,INDEX(ref_exp_dist,MATCH(B893,'Refined Petro Exp Dist'!$B$6:$B$78,0),MATCH(C893,'Refined Petro Exp Dist'!$AD$2:$BC$2,0))*INDEX(ref_exp_by_year,MATCH(B893,'Data Export'!$B$6:$B$78,0),1)))</f>
        <v>0</v>
      </c>
      <c r="E893">
        <v>4</v>
      </c>
      <c r="F893" t="s">
        <v>197</v>
      </c>
    </row>
    <row r="894" spans="1:6">
      <c r="A894" t="str">
        <f t="shared" si="13"/>
        <v>GenericE&amp;DtemplateCIandGOA</v>
      </c>
      <c r="B894">
        <v>35</v>
      </c>
      <c r="C894">
        <v>9</v>
      </c>
      <c r="D894" s="649">
        <f ca="1">IF(E894=4,INDEX(crude_exp_dist,MATCH(B894,'Crude Exp Dist'!$B$6:$B$78,0),MATCH(C894,'Crude Exp Dist'!$AD$2:$BC$2,0))*INDEX(crude_exp_by_year,MATCH(B894,'Data Export'!$B$6:$B$78,0),1),IF(E894=5,INDEX(ref_exp_dist,MATCH(B894,'Refined Petro Exp Dist'!$B$6:$B$78,0),MATCH(C894,'Refined Petro Exp Dist'!$AD$2:$BC$2,0))*INDEX(ref_exp_by_year,MATCH(B894,'Data Export'!$B$6:$B$78,0),1)))</f>
        <v>0</v>
      </c>
      <c r="E894">
        <v>4</v>
      </c>
      <c r="F894" t="s">
        <v>199</v>
      </c>
    </row>
    <row r="895" spans="1:6">
      <c r="A895" t="str">
        <f t="shared" si="13"/>
        <v>GenericE&amp;DtemplateCIandGOA</v>
      </c>
      <c r="B895">
        <v>35</v>
      </c>
      <c r="C895">
        <v>10</v>
      </c>
      <c r="D895" s="649">
        <f ca="1">IF(E895=4,INDEX(crude_exp_dist,MATCH(B895,'Crude Exp Dist'!$B$6:$B$78,0),MATCH(C895,'Crude Exp Dist'!$AD$2:$BC$2,0))*INDEX(crude_exp_by_year,MATCH(B895,'Data Export'!$B$6:$B$78,0),1),IF(E895=5,INDEX(ref_exp_dist,MATCH(B895,'Refined Petro Exp Dist'!$B$6:$B$78,0),MATCH(C895,'Refined Petro Exp Dist'!$AD$2:$BC$2,0))*INDEX(ref_exp_by_year,MATCH(B895,'Data Export'!$B$6:$B$78,0),1)))</f>
        <v>0</v>
      </c>
      <c r="E895">
        <v>4</v>
      </c>
      <c r="F895" t="s">
        <v>201</v>
      </c>
    </row>
    <row r="896" spans="1:6">
      <c r="A896" t="str">
        <f t="shared" si="13"/>
        <v>GenericE&amp;DtemplateCIandGOA</v>
      </c>
      <c r="B896">
        <v>35</v>
      </c>
      <c r="C896">
        <v>11</v>
      </c>
      <c r="D896" s="649">
        <f ca="1">IF(E896=4,INDEX(crude_exp_dist,MATCH(B896,'Crude Exp Dist'!$B$6:$B$78,0),MATCH(C896,'Crude Exp Dist'!$AD$2:$BC$2,0))*INDEX(crude_exp_by_year,MATCH(B896,'Data Export'!$B$6:$B$78,0),1),IF(E896=5,INDEX(ref_exp_dist,MATCH(B896,'Refined Petro Exp Dist'!$B$6:$B$78,0),MATCH(C896,'Refined Petro Exp Dist'!$AD$2:$BC$2,0))*INDEX(ref_exp_by_year,MATCH(B896,'Data Export'!$B$6:$B$78,0),1)))</f>
        <v>0</v>
      </c>
      <c r="E896">
        <v>4</v>
      </c>
      <c r="F896" t="s">
        <v>921</v>
      </c>
    </row>
    <row r="897" spans="1:6">
      <c r="A897" t="str">
        <f t="shared" si="13"/>
        <v>GenericE&amp;DtemplateCIandGOA</v>
      </c>
      <c r="B897">
        <v>35</v>
      </c>
      <c r="C897">
        <v>12</v>
      </c>
      <c r="D897" s="649">
        <f ca="1">IF(E897=4,INDEX(crude_exp_dist,MATCH(B897,'Crude Exp Dist'!$B$6:$B$78,0),MATCH(C897,'Crude Exp Dist'!$AD$2:$BC$2,0))*INDEX(crude_exp_by_year,MATCH(B897,'Data Export'!$B$6:$B$78,0),1),IF(E897=5,INDEX(ref_exp_dist,MATCH(B897,'Refined Petro Exp Dist'!$B$6:$B$78,0),MATCH(C897,'Refined Petro Exp Dist'!$AD$2:$BC$2,0))*INDEX(ref_exp_by_year,MATCH(B897,'Data Export'!$B$6:$B$78,0),1)))</f>
        <v>0</v>
      </c>
      <c r="E897">
        <v>4</v>
      </c>
      <c r="F897" t="s">
        <v>208</v>
      </c>
    </row>
    <row r="898" spans="1:6">
      <c r="A898" t="str">
        <f t="shared" ref="A898:A961" si="14">scenario_name</f>
        <v>GenericE&amp;DtemplateCIandGOA</v>
      </c>
      <c r="B898">
        <v>35</v>
      </c>
      <c r="C898">
        <v>13</v>
      </c>
      <c r="D898" s="649">
        <f ca="1">IF(E898=4,INDEX(crude_exp_dist,MATCH(B898,'Crude Exp Dist'!$B$6:$B$78,0),MATCH(C898,'Crude Exp Dist'!$AD$2:$BC$2,0))*INDEX(crude_exp_by_year,MATCH(B898,'Data Export'!$B$6:$B$78,0),1),IF(E898=5,INDEX(ref_exp_dist,MATCH(B898,'Refined Petro Exp Dist'!$B$6:$B$78,0),MATCH(C898,'Refined Petro Exp Dist'!$AD$2:$BC$2,0))*INDEX(ref_exp_by_year,MATCH(B898,'Data Export'!$B$6:$B$78,0),1)))</f>
        <v>0</v>
      </c>
      <c r="E898">
        <v>4</v>
      </c>
      <c r="F898" t="s">
        <v>211</v>
      </c>
    </row>
    <row r="899" spans="1:6">
      <c r="A899" t="str">
        <f t="shared" si="14"/>
        <v>GenericE&amp;DtemplateCIandGOA</v>
      </c>
      <c r="B899">
        <v>35</v>
      </c>
      <c r="C899">
        <v>14</v>
      </c>
      <c r="D899" s="649">
        <f ca="1">IF(E899=4,INDEX(crude_exp_dist,MATCH(B899,'Crude Exp Dist'!$B$6:$B$78,0),MATCH(C899,'Crude Exp Dist'!$AD$2:$BC$2,0))*INDEX(crude_exp_by_year,MATCH(B899,'Data Export'!$B$6:$B$78,0),1),IF(E899=5,INDEX(ref_exp_dist,MATCH(B899,'Refined Petro Exp Dist'!$B$6:$B$78,0),MATCH(C899,'Refined Petro Exp Dist'!$AD$2:$BC$2,0))*INDEX(ref_exp_by_year,MATCH(B899,'Data Export'!$B$6:$B$78,0),1)))</f>
        <v>0</v>
      </c>
      <c r="E899">
        <v>4</v>
      </c>
      <c r="F899" t="s">
        <v>213</v>
      </c>
    </row>
    <row r="900" spans="1:6">
      <c r="A900" t="str">
        <f t="shared" si="14"/>
        <v>GenericE&amp;DtemplateCIandGOA</v>
      </c>
      <c r="B900">
        <v>35</v>
      </c>
      <c r="C900">
        <v>15</v>
      </c>
      <c r="D900" s="649">
        <f ca="1">IF(E900=4,INDEX(crude_exp_dist,MATCH(B900,'Crude Exp Dist'!$B$6:$B$78,0),MATCH(C900,'Crude Exp Dist'!$AD$2:$BC$2,0))*INDEX(crude_exp_by_year,MATCH(B900,'Data Export'!$B$6:$B$78,0),1),IF(E900=5,INDEX(ref_exp_dist,MATCH(B900,'Refined Petro Exp Dist'!$B$6:$B$78,0),MATCH(C900,'Refined Petro Exp Dist'!$AD$2:$BC$2,0))*INDEX(ref_exp_by_year,MATCH(B900,'Data Export'!$B$6:$B$78,0),1)))</f>
        <v>0</v>
      </c>
      <c r="E900">
        <v>4</v>
      </c>
      <c r="F900" t="s">
        <v>215</v>
      </c>
    </row>
    <row r="901" spans="1:6">
      <c r="A901" t="str">
        <f t="shared" si="14"/>
        <v>GenericE&amp;DtemplateCIandGOA</v>
      </c>
      <c r="B901">
        <v>35</v>
      </c>
      <c r="C901">
        <v>16</v>
      </c>
      <c r="D901" s="649">
        <f ca="1">IF(E901=4,INDEX(crude_exp_dist,MATCH(B901,'Crude Exp Dist'!$B$6:$B$78,0),MATCH(C901,'Crude Exp Dist'!$AD$2:$BC$2,0))*INDEX(crude_exp_by_year,MATCH(B901,'Data Export'!$B$6:$B$78,0),1),IF(E901=5,INDEX(ref_exp_dist,MATCH(B901,'Refined Petro Exp Dist'!$B$6:$B$78,0),MATCH(C901,'Refined Petro Exp Dist'!$AD$2:$BC$2,0))*INDEX(ref_exp_by_year,MATCH(B901,'Data Export'!$B$6:$B$78,0),1)))</f>
        <v>0</v>
      </c>
      <c r="E901">
        <v>4</v>
      </c>
      <c r="F901" t="s">
        <v>219</v>
      </c>
    </row>
    <row r="902" spans="1:6">
      <c r="A902" t="str">
        <f t="shared" si="14"/>
        <v>GenericE&amp;DtemplateCIandGOA</v>
      </c>
      <c r="B902">
        <v>35</v>
      </c>
      <c r="C902">
        <v>17</v>
      </c>
      <c r="D902" s="649">
        <f ca="1">IF(E902=4,INDEX(crude_exp_dist,MATCH(B902,'Crude Exp Dist'!$B$6:$B$78,0),MATCH(C902,'Crude Exp Dist'!$AD$2:$BC$2,0))*INDEX(crude_exp_by_year,MATCH(B902,'Data Export'!$B$6:$B$78,0),1),IF(E902=5,INDEX(ref_exp_dist,MATCH(B902,'Refined Petro Exp Dist'!$B$6:$B$78,0),MATCH(C902,'Refined Petro Exp Dist'!$AD$2:$BC$2,0))*INDEX(ref_exp_by_year,MATCH(B902,'Data Export'!$B$6:$B$78,0),1)))</f>
        <v>0</v>
      </c>
      <c r="E902">
        <v>4</v>
      </c>
      <c r="F902" t="s">
        <v>222</v>
      </c>
    </row>
    <row r="903" spans="1:6">
      <c r="A903" t="str">
        <f t="shared" si="14"/>
        <v>GenericE&amp;DtemplateCIandGOA</v>
      </c>
      <c r="B903">
        <v>35</v>
      </c>
      <c r="C903">
        <v>18</v>
      </c>
      <c r="D903" s="649">
        <f ca="1">IF(E903=4,INDEX(crude_exp_dist,MATCH(B903,'Crude Exp Dist'!$B$6:$B$78,0),MATCH(C903,'Crude Exp Dist'!$AD$2:$BC$2,0))*INDEX(crude_exp_by_year,MATCH(B903,'Data Export'!$B$6:$B$78,0),1),IF(E903=5,INDEX(ref_exp_dist,MATCH(B903,'Refined Petro Exp Dist'!$B$6:$B$78,0),MATCH(C903,'Refined Petro Exp Dist'!$AD$2:$BC$2,0))*INDEX(ref_exp_by_year,MATCH(B903,'Data Export'!$B$6:$B$78,0),1)))</f>
        <v>0</v>
      </c>
      <c r="E903">
        <v>4</v>
      </c>
      <c r="F903" t="s">
        <v>224</v>
      </c>
    </row>
    <row r="904" spans="1:6">
      <c r="A904" t="str">
        <f t="shared" si="14"/>
        <v>GenericE&amp;DtemplateCIandGOA</v>
      </c>
      <c r="B904">
        <v>35</v>
      </c>
      <c r="C904">
        <v>19</v>
      </c>
      <c r="D904" s="649">
        <f ca="1">IF(E904=4,INDEX(crude_exp_dist,MATCH(B904,'Crude Exp Dist'!$B$6:$B$78,0),MATCH(C904,'Crude Exp Dist'!$AD$2:$BC$2,0))*INDEX(crude_exp_by_year,MATCH(B904,'Data Export'!$B$6:$B$78,0),1),IF(E904=5,INDEX(ref_exp_dist,MATCH(B904,'Refined Petro Exp Dist'!$B$6:$B$78,0),MATCH(C904,'Refined Petro Exp Dist'!$AD$2:$BC$2,0))*INDEX(ref_exp_by_year,MATCH(B904,'Data Export'!$B$6:$B$78,0),1)))</f>
        <v>0</v>
      </c>
      <c r="E904">
        <v>4</v>
      </c>
      <c r="F904" t="s">
        <v>228</v>
      </c>
    </row>
    <row r="905" spans="1:6">
      <c r="A905" t="str">
        <f t="shared" si="14"/>
        <v>GenericE&amp;DtemplateCIandGOA</v>
      </c>
      <c r="B905">
        <v>35</v>
      </c>
      <c r="C905">
        <v>20</v>
      </c>
      <c r="D905" s="649">
        <f ca="1">IF(E905=4,INDEX(crude_exp_dist,MATCH(B905,'Crude Exp Dist'!$B$6:$B$78,0),MATCH(C905,'Crude Exp Dist'!$AD$2:$BC$2,0))*INDEX(crude_exp_by_year,MATCH(B905,'Data Export'!$B$6:$B$78,0),1),IF(E905=5,INDEX(ref_exp_dist,MATCH(B905,'Refined Petro Exp Dist'!$B$6:$B$78,0),MATCH(C905,'Refined Petro Exp Dist'!$AD$2:$BC$2,0))*INDEX(ref_exp_by_year,MATCH(B905,'Data Export'!$B$6:$B$78,0),1)))</f>
        <v>0</v>
      </c>
      <c r="E905">
        <v>4</v>
      </c>
      <c r="F905" t="s">
        <v>231</v>
      </c>
    </row>
    <row r="906" spans="1:6">
      <c r="A906" t="str">
        <f t="shared" si="14"/>
        <v>GenericE&amp;DtemplateCIandGOA</v>
      </c>
      <c r="B906">
        <v>35</v>
      </c>
      <c r="C906">
        <v>21</v>
      </c>
      <c r="D906" s="649">
        <f ca="1">IF(E906=4,INDEX(crude_exp_dist,MATCH(B906,'Crude Exp Dist'!$B$6:$B$78,0),MATCH(C906,'Crude Exp Dist'!$AD$2:$BC$2,0))*INDEX(crude_exp_by_year,MATCH(B906,'Data Export'!$B$6:$B$78,0),1),IF(E906=5,INDEX(ref_exp_dist,MATCH(B906,'Refined Petro Exp Dist'!$B$6:$B$78,0),MATCH(C906,'Refined Petro Exp Dist'!$AD$2:$BC$2,0))*INDEX(ref_exp_by_year,MATCH(B906,'Data Export'!$B$6:$B$78,0),1)))</f>
        <v>0</v>
      </c>
      <c r="E906">
        <v>4</v>
      </c>
      <c r="F906" t="s">
        <v>232</v>
      </c>
    </row>
    <row r="907" spans="1:6">
      <c r="A907" t="str">
        <f t="shared" si="14"/>
        <v>GenericE&amp;DtemplateCIandGOA</v>
      </c>
      <c r="B907">
        <v>35</v>
      </c>
      <c r="C907">
        <v>22</v>
      </c>
      <c r="D907" s="649">
        <f ca="1">IF(E907=4,INDEX(crude_exp_dist,MATCH(B907,'Crude Exp Dist'!$B$6:$B$78,0),MATCH(C907,'Crude Exp Dist'!$AD$2:$BC$2,0))*INDEX(crude_exp_by_year,MATCH(B907,'Data Export'!$B$6:$B$78,0),1),IF(E907=5,INDEX(ref_exp_dist,MATCH(B907,'Refined Petro Exp Dist'!$B$6:$B$78,0),MATCH(C907,'Refined Petro Exp Dist'!$AD$2:$BC$2,0))*INDEX(ref_exp_by_year,MATCH(B907,'Data Export'!$B$6:$B$78,0),1)))</f>
        <v>0</v>
      </c>
      <c r="E907">
        <v>4</v>
      </c>
      <c r="F907" t="s">
        <v>235</v>
      </c>
    </row>
    <row r="908" spans="1:6">
      <c r="A908" t="str">
        <f t="shared" si="14"/>
        <v>GenericE&amp;DtemplateCIandGOA</v>
      </c>
      <c r="B908">
        <v>35</v>
      </c>
      <c r="C908">
        <v>23</v>
      </c>
      <c r="D908" s="649">
        <f ca="1">IF(E908=4,INDEX(crude_exp_dist,MATCH(B908,'Crude Exp Dist'!$B$6:$B$78,0),MATCH(C908,'Crude Exp Dist'!$AD$2:$BC$2,0))*INDEX(crude_exp_by_year,MATCH(B908,'Data Export'!$B$6:$B$78,0),1),IF(E908=5,INDEX(ref_exp_dist,MATCH(B908,'Refined Petro Exp Dist'!$B$6:$B$78,0),MATCH(C908,'Refined Petro Exp Dist'!$AD$2:$BC$2,0))*INDEX(ref_exp_by_year,MATCH(B908,'Data Export'!$B$6:$B$78,0),1)))</f>
        <v>0</v>
      </c>
      <c r="E908">
        <v>4</v>
      </c>
      <c r="F908" t="s">
        <v>237</v>
      </c>
    </row>
    <row r="909" spans="1:6">
      <c r="A909" t="str">
        <f t="shared" si="14"/>
        <v>GenericE&amp;DtemplateCIandGOA</v>
      </c>
      <c r="B909">
        <v>35</v>
      </c>
      <c r="C909">
        <v>24</v>
      </c>
      <c r="D909" s="649">
        <f ca="1">IF(E909=4,INDEX(crude_exp_dist,MATCH(B909,'Crude Exp Dist'!$B$6:$B$78,0),MATCH(C909,'Crude Exp Dist'!$AD$2:$BC$2,0))*INDEX(crude_exp_by_year,MATCH(B909,'Data Export'!$B$6:$B$78,0),1),IF(E909=5,INDEX(ref_exp_dist,MATCH(B909,'Refined Petro Exp Dist'!$B$6:$B$78,0),MATCH(C909,'Refined Petro Exp Dist'!$AD$2:$BC$2,0))*INDEX(ref_exp_by_year,MATCH(B909,'Data Export'!$B$6:$B$78,0),1)))</f>
        <v>0</v>
      </c>
      <c r="E909">
        <v>4</v>
      </c>
      <c r="F909" t="s">
        <v>239</v>
      </c>
    </row>
    <row r="910" spans="1:6">
      <c r="A910" t="str">
        <f t="shared" si="14"/>
        <v>GenericE&amp;DtemplateCIandGOA</v>
      </c>
      <c r="B910">
        <v>35</v>
      </c>
      <c r="C910">
        <v>25</v>
      </c>
      <c r="D910" s="649">
        <f ca="1">IF(E910=4,INDEX(crude_exp_dist,MATCH(B910,'Crude Exp Dist'!$B$6:$B$78,0),MATCH(C910,'Crude Exp Dist'!$AD$2:$BC$2,0))*INDEX(crude_exp_by_year,MATCH(B910,'Data Export'!$B$6:$B$78,0),1),IF(E910=5,INDEX(ref_exp_dist,MATCH(B910,'Refined Petro Exp Dist'!$B$6:$B$78,0),MATCH(C910,'Refined Petro Exp Dist'!$AD$2:$BC$2,0))*INDEX(ref_exp_by_year,MATCH(B910,'Data Export'!$B$6:$B$78,0),1)))</f>
        <v>0</v>
      </c>
      <c r="E910">
        <v>4</v>
      </c>
      <c r="F910" t="s">
        <v>242</v>
      </c>
    </row>
    <row r="911" spans="1:6">
      <c r="A911" t="str">
        <f t="shared" si="14"/>
        <v>GenericE&amp;DtemplateCIandGOA</v>
      </c>
      <c r="B911">
        <v>35</v>
      </c>
      <c r="C911">
        <v>26</v>
      </c>
      <c r="D911" s="649">
        <f ca="1">IF(E911=4,INDEX(crude_exp_dist,MATCH(B911,'Crude Exp Dist'!$B$6:$B$78,0),MATCH(C911,'Crude Exp Dist'!$AD$2:$BC$2,0))*INDEX(crude_exp_by_year,MATCH(B911,'Data Export'!$B$6:$B$78,0),1),IF(E911=5,INDEX(ref_exp_dist,MATCH(B911,'Refined Petro Exp Dist'!$B$6:$B$78,0),MATCH(C911,'Refined Petro Exp Dist'!$AD$2:$BC$2,0))*INDEX(ref_exp_by_year,MATCH(B911,'Data Export'!$B$6:$B$78,0),1)))</f>
        <v>0</v>
      </c>
      <c r="E911">
        <v>4</v>
      </c>
      <c r="F911" t="s">
        <v>245</v>
      </c>
    </row>
    <row r="912" spans="1:6">
      <c r="A912" t="str">
        <f t="shared" si="14"/>
        <v>GenericE&amp;DtemplateCIandGOA</v>
      </c>
      <c r="B912">
        <v>36</v>
      </c>
      <c r="C912">
        <v>1</v>
      </c>
      <c r="D912" s="649">
        <f ca="1">IF(E912=4,INDEX(crude_exp_dist,MATCH(B912,'Crude Exp Dist'!$B$6:$B$78,0),MATCH(C912,'Crude Exp Dist'!$AD$2:$BC$2,0))*INDEX(crude_exp_by_year,MATCH(B912,'Data Export'!$B$6:$B$78,0),1),IF(E912=5,INDEX(ref_exp_dist,MATCH(B912,'Refined Petro Exp Dist'!$B$6:$B$78,0),MATCH(C912,'Refined Petro Exp Dist'!$AD$2:$BC$2,0))*INDEX(ref_exp_by_year,MATCH(B912,'Data Export'!$B$6:$B$78,0),1)))</f>
        <v>0</v>
      </c>
      <c r="E912">
        <v>4</v>
      </c>
      <c r="F912" t="s">
        <v>158</v>
      </c>
    </row>
    <row r="913" spans="1:6">
      <c r="A913" t="str">
        <f t="shared" si="14"/>
        <v>GenericE&amp;DtemplateCIandGOA</v>
      </c>
      <c r="B913">
        <v>36</v>
      </c>
      <c r="C913">
        <v>2</v>
      </c>
      <c r="D913" s="649">
        <f ca="1">IF(E913=4,INDEX(crude_exp_dist,MATCH(B913,'Crude Exp Dist'!$B$6:$B$78,0),MATCH(C913,'Crude Exp Dist'!$AD$2:$BC$2,0))*INDEX(crude_exp_by_year,MATCH(B913,'Data Export'!$B$6:$B$78,0),1),IF(E913=5,INDEX(ref_exp_dist,MATCH(B913,'Refined Petro Exp Dist'!$B$6:$B$78,0),MATCH(C913,'Refined Petro Exp Dist'!$AD$2:$BC$2,0))*INDEX(ref_exp_by_year,MATCH(B913,'Data Export'!$B$6:$B$78,0),1)))</f>
        <v>0</v>
      </c>
      <c r="E913">
        <v>4</v>
      </c>
      <c r="F913" t="s">
        <v>166</v>
      </c>
    </row>
    <row r="914" spans="1:6">
      <c r="A914" t="str">
        <f t="shared" si="14"/>
        <v>GenericE&amp;DtemplateCIandGOA</v>
      </c>
      <c r="B914">
        <v>36</v>
      </c>
      <c r="C914">
        <v>3</v>
      </c>
      <c r="D914" s="649">
        <f ca="1">IF(E914=4,INDEX(crude_exp_dist,MATCH(B914,'Crude Exp Dist'!$B$6:$B$78,0),MATCH(C914,'Crude Exp Dist'!$AD$2:$BC$2,0))*INDEX(crude_exp_by_year,MATCH(B914,'Data Export'!$B$6:$B$78,0),1),IF(E914=5,INDEX(ref_exp_dist,MATCH(B914,'Refined Petro Exp Dist'!$B$6:$B$78,0),MATCH(C914,'Refined Petro Exp Dist'!$AD$2:$BC$2,0))*INDEX(ref_exp_by_year,MATCH(B914,'Data Export'!$B$6:$B$78,0),1)))</f>
        <v>0</v>
      </c>
      <c r="E914">
        <v>4</v>
      </c>
      <c r="F914" t="s">
        <v>171</v>
      </c>
    </row>
    <row r="915" spans="1:6">
      <c r="A915" t="str">
        <f t="shared" si="14"/>
        <v>GenericE&amp;DtemplateCIandGOA</v>
      </c>
      <c r="B915">
        <v>36</v>
      </c>
      <c r="C915">
        <v>4</v>
      </c>
      <c r="D915" s="649">
        <f ca="1">IF(E915=4,INDEX(crude_exp_dist,MATCH(B915,'Crude Exp Dist'!$B$6:$B$78,0),MATCH(C915,'Crude Exp Dist'!$AD$2:$BC$2,0))*INDEX(crude_exp_by_year,MATCH(B915,'Data Export'!$B$6:$B$78,0),1),IF(E915=5,INDEX(ref_exp_dist,MATCH(B915,'Refined Petro Exp Dist'!$B$6:$B$78,0),MATCH(C915,'Refined Petro Exp Dist'!$AD$2:$BC$2,0))*INDEX(ref_exp_by_year,MATCH(B915,'Data Export'!$B$6:$B$78,0),1)))</f>
        <v>0</v>
      </c>
      <c r="E915">
        <v>4</v>
      </c>
      <c r="F915" t="s">
        <v>173</v>
      </c>
    </row>
    <row r="916" spans="1:6">
      <c r="A916" t="str">
        <f t="shared" si="14"/>
        <v>GenericE&amp;DtemplateCIandGOA</v>
      </c>
      <c r="B916">
        <v>36</v>
      </c>
      <c r="C916">
        <v>5</v>
      </c>
      <c r="D916" s="649">
        <f ca="1">IF(E916=4,INDEX(crude_exp_dist,MATCH(B916,'Crude Exp Dist'!$B$6:$B$78,0),MATCH(C916,'Crude Exp Dist'!$AD$2:$BC$2,0))*INDEX(crude_exp_by_year,MATCH(B916,'Data Export'!$B$6:$B$78,0),1),IF(E916=5,INDEX(ref_exp_dist,MATCH(B916,'Refined Petro Exp Dist'!$B$6:$B$78,0),MATCH(C916,'Refined Petro Exp Dist'!$AD$2:$BC$2,0))*INDEX(ref_exp_by_year,MATCH(B916,'Data Export'!$B$6:$B$78,0),1)))</f>
        <v>0</v>
      </c>
      <c r="E916">
        <v>4</v>
      </c>
      <c r="F916" t="s">
        <v>180</v>
      </c>
    </row>
    <row r="917" spans="1:6">
      <c r="A917" t="str">
        <f t="shared" si="14"/>
        <v>GenericE&amp;DtemplateCIandGOA</v>
      </c>
      <c r="B917">
        <v>36</v>
      </c>
      <c r="C917">
        <v>6</v>
      </c>
      <c r="D917" s="649">
        <f ca="1">IF(E917=4,INDEX(crude_exp_dist,MATCH(B917,'Crude Exp Dist'!$B$6:$B$78,0),MATCH(C917,'Crude Exp Dist'!$AD$2:$BC$2,0))*INDEX(crude_exp_by_year,MATCH(B917,'Data Export'!$B$6:$B$78,0),1),IF(E917=5,INDEX(ref_exp_dist,MATCH(B917,'Refined Petro Exp Dist'!$B$6:$B$78,0),MATCH(C917,'Refined Petro Exp Dist'!$AD$2:$BC$2,0))*INDEX(ref_exp_by_year,MATCH(B917,'Data Export'!$B$6:$B$78,0),1)))</f>
        <v>0</v>
      </c>
      <c r="E917">
        <v>4</v>
      </c>
      <c r="F917" t="s">
        <v>186</v>
      </c>
    </row>
    <row r="918" spans="1:6">
      <c r="A918" t="str">
        <f t="shared" si="14"/>
        <v>GenericE&amp;DtemplateCIandGOA</v>
      </c>
      <c r="B918">
        <v>36</v>
      </c>
      <c r="C918">
        <v>7</v>
      </c>
      <c r="D918" s="649">
        <f ca="1">IF(E918=4,INDEX(crude_exp_dist,MATCH(B918,'Crude Exp Dist'!$B$6:$B$78,0),MATCH(C918,'Crude Exp Dist'!$AD$2:$BC$2,0))*INDEX(crude_exp_by_year,MATCH(B918,'Data Export'!$B$6:$B$78,0),1),IF(E918=5,INDEX(ref_exp_dist,MATCH(B918,'Refined Petro Exp Dist'!$B$6:$B$78,0),MATCH(C918,'Refined Petro Exp Dist'!$AD$2:$BC$2,0))*INDEX(ref_exp_by_year,MATCH(B918,'Data Export'!$B$6:$B$78,0),1)))</f>
        <v>0</v>
      </c>
      <c r="E918">
        <v>4</v>
      </c>
      <c r="F918" t="s">
        <v>191</v>
      </c>
    </row>
    <row r="919" spans="1:6">
      <c r="A919" t="str">
        <f t="shared" si="14"/>
        <v>GenericE&amp;DtemplateCIandGOA</v>
      </c>
      <c r="B919">
        <v>36</v>
      </c>
      <c r="C919">
        <v>8</v>
      </c>
      <c r="D919" s="649">
        <f ca="1">IF(E919=4,INDEX(crude_exp_dist,MATCH(B919,'Crude Exp Dist'!$B$6:$B$78,0),MATCH(C919,'Crude Exp Dist'!$AD$2:$BC$2,0))*INDEX(crude_exp_by_year,MATCH(B919,'Data Export'!$B$6:$B$78,0),1),IF(E919=5,INDEX(ref_exp_dist,MATCH(B919,'Refined Petro Exp Dist'!$B$6:$B$78,0),MATCH(C919,'Refined Petro Exp Dist'!$AD$2:$BC$2,0))*INDEX(ref_exp_by_year,MATCH(B919,'Data Export'!$B$6:$B$78,0),1)))</f>
        <v>0</v>
      </c>
      <c r="E919">
        <v>4</v>
      </c>
      <c r="F919" t="s">
        <v>197</v>
      </c>
    </row>
    <row r="920" spans="1:6">
      <c r="A920" t="str">
        <f t="shared" si="14"/>
        <v>GenericE&amp;DtemplateCIandGOA</v>
      </c>
      <c r="B920">
        <v>36</v>
      </c>
      <c r="C920">
        <v>9</v>
      </c>
      <c r="D920" s="649">
        <f ca="1">IF(E920=4,INDEX(crude_exp_dist,MATCH(B920,'Crude Exp Dist'!$B$6:$B$78,0),MATCH(C920,'Crude Exp Dist'!$AD$2:$BC$2,0))*INDEX(crude_exp_by_year,MATCH(B920,'Data Export'!$B$6:$B$78,0),1),IF(E920=5,INDEX(ref_exp_dist,MATCH(B920,'Refined Petro Exp Dist'!$B$6:$B$78,0),MATCH(C920,'Refined Petro Exp Dist'!$AD$2:$BC$2,0))*INDEX(ref_exp_by_year,MATCH(B920,'Data Export'!$B$6:$B$78,0),1)))</f>
        <v>0</v>
      </c>
      <c r="E920">
        <v>4</v>
      </c>
      <c r="F920" t="s">
        <v>199</v>
      </c>
    </row>
    <row r="921" spans="1:6">
      <c r="A921" t="str">
        <f t="shared" si="14"/>
        <v>GenericE&amp;DtemplateCIandGOA</v>
      </c>
      <c r="B921">
        <v>36</v>
      </c>
      <c r="C921">
        <v>10</v>
      </c>
      <c r="D921" s="649">
        <f ca="1">IF(E921=4,INDEX(crude_exp_dist,MATCH(B921,'Crude Exp Dist'!$B$6:$B$78,0),MATCH(C921,'Crude Exp Dist'!$AD$2:$BC$2,0))*INDEX(crude_exp_by_year,MATCH(B921,'Data Export'!$B$6:$B$78,0),1),IF(E921=5,INDEX(ref_exp_dist,MATCH(B921,'Refined Petro Exp Dist'!$B$6:$B$78,0),MATCH(C921,'Refined Petro Exp Dist'!$AD$2:$BC$2,0))*INDEX(ref_exp_by_year,MATCH(B921,'Data Export'!$B$6:$B$78,0),1)))</f>
        <v>0</v>
      </c>
      <c r="E921">
        <v>4</v>
      </c>
      <c r="F921" t="s">
        <v>201</v>
      </c>
    </row>
    <row r="922" spans="1:6">
      <c r="A922" t="str">
        <f t="shared" si="14"/>
        <v>GenericE&amp;DtemplateCIandGOA</v>
      </c>
      <c r="B922">
        <v>36</v>
      </c>
      <c r="C922">
        <v>11</v>
      </c>
      <c r="D922" s="649">
        <f ca="1">IF(E922=4,INDEX(crude_exp_dist,MATCH(B922,'Crude Exp Dist'!$B$6:$B$78,0),MATCH(C922,'Crude Exp Dist'!$AD$2:$BC$2,0))*INDEX(crude_exp_by_year,MATCH(B922,'Data Export'!$B$6:$B$78,0),1),IF(E922=5,INDEX(ref_exp_dist,MATCH(B922,'Refined Petro Exp Dist'!$B$6:$B$78,0),MATCH(C922,'Refined Petro Exp Dist'!$AD$2:$BC$2,0))*INDEX(ref_exp_by_year,MATCH(B922,'Data Export'!$B$6:$B$78,0),1)))</f>
        <v>0</v>
      </c>
      <c r="E922">
        <v>4</v>
      </c>
      <c r="F922" t="s">
        <v>921</v>
      </c>
    </row>
    <row r="923" spans="1:6">
      <c r="A923" t="str">
        <f t="shared" si="14"/>
        <v>GenericE&amp;DtemplateCIandGOA</v>
      </c>
      <c r="B923">
        <v>36</v>
      </c>
      <c r="C923">
        <v>12</v>
      </c>
      <c r="D923" s="649">
        <f ca="1">IF(E923=4,INDEX(crude_exp_dist,MATCH(B923,'Crude Exp Dist'!$B$6:$B$78,0),MATCH(C923,'Crude Exp Dist'!$AD$2:$BC$2,0))*INDEX(crude_exp_by_year,MATCH(B923,'Data Export'!$B$6:$B$78,0),1),IF(E923=5,INDEX(ref_exp_dist,MATCH(B923,'Refined Petro Exp Dist'!$B$6:$B$78,0),MATCH(C923,'Refined Petro Exp Dist'!$AD$2:$BC$2,0))*INDEX(ref_exp_by_year,MATCH(B923,'Data Export'!$B$6:$B$78,0),1)))</f>
        <v>0</v>
      </c>
      <c r="E923">
        <v>4</v>
      </c>
      <c r="F923" t="s">
        <v>208</v>
      </c>
    </row>
    <row r="924" spans="1:6">
      <c r="A924" t="str">
        <f t="shared" si="14"/>
        <v>GenericE&amp;DtemplateCIandGOA</v>
      </c>
      <c r="B924">
        <v>36</v>
      </c>
      <c r="C924">
        <v>13</v>
      </c>
      <c r="D924" s="649">
        <f ca="1">IF(E924=4,INDEX(crude_exp_dist,MATCH(B924,'Crude Exp Dist'!$B$6:$B$78,0),MATCH(C924,'Crude Exp Dist'!$AD$2:$BC$2,0))*INDEX(crude_exp_by_year,MATCH(B924,'Data Export'!$B$6:$B$78,0),1),IF(E924=5,INDEX(ref_exp_dist,MATCH(B924,'Refined Petro Exp Dist'!$B$6:$B$78,0),MATCH(C924,'Refined Petro Exp Dist'!$AD$2:$BC$2,0))*INDEX(ref_exp_by_year,MATCH(B924,'Data Export'!$B$6:$B$78,0),1)))</f>
        <v>0</v>
      </c>
      <c r="E924">
        <v>4</v>
      </c>
      <c r="F924" t="s">
        <v>211</v>
      </c>
    </row>
    <row r="925" spans="1:6">
      <c r="A925" t="str">
        <f t="shared" si="14"/>
        <v>GenericE&amp;DtemplateCIandGOA</v>
      </c>
      <c r="B925">
        <v>36</v>
      </c>
      <c r="C925">
        <v>14</v>
      </c>
      <c r="D925" s="649">
        <f ca="1">IF(E925=4,INDEX(crude_exp_dist,MATCH(B925,'Crude Exp Dist'!$B$6:$B$78,0),MATCH(C925,'Crude Exp Dist'!$AD$2:$BC$2,0))*INDEX(crude_exp_by_year,MATCH(B925,'Data Export'!$B$6:$B$78,0),1),IF(E925=5,INDEX(ref_exp_dist,MATCH(B925,'Refined Petro Exp Dist'!$B$6:$B$78,0),MATCH(C925,'Refined Petro Exp Dist'!$AD$2:$BC$2,0))*INDEX(ref_exp_by_year,MATCH(B925,'Data Export'!$B$6:$B$78,0),1)))</f>
        <v>0</v>
      </c>
      <c r="E925">
        <v>4</v>
      </c>
      <c r="F925" t="s">
        <v>213</v>
      </c>
    </row>
    <row r="926" spans="1:6">
      <c r="A926" t="str">
        <f t="shared" si="14"/>
        <v>GenericE&amp;DtemplateCIandGOA</v>
      </c>
      <c r="B926">
        <v>36</v>
      </c>
      <c r="C926">
        <v>15</v>
      </c>
      <c r="D926" s="649">
        <f ca="1">IF(E926=4,INDEX(crude_exp_dist,MATCH(B926,'Crude Exp Dist'!$B$6:$B$78,0),MATCH(C926,'Crude Exp Dist'!$AD$2:$BC$2,0))*INDEX(crude_exp_by_year,MATCH(B926,'Data Export'!$B$6:$B$78,0),1),IF(E926=5,INDEX(ref_exp_dist,MATCH(B926,'Refined Petro Exp Dist'!$B$6:$B$78,0),MATCH(C926,'Refined Petro Exp Dist'!$AD$2:$BC$2,0))*INDEX(ref_exp_by_year,MATCH(B926,'Data Export'!$B$6:$B$78,0),1)))</f>
        <v>0</v>
      </c>
      <c r="E926">
        <v>4</v>
      </c>
      <c r="F926" t="s">
        <v>215</v>
      </c>
    </row>
    <row r="927" spans="1:6">
      <c r="A927" t="str">
        <f t="shared" si="14"/>
        <v>GenericE&amp;DtemplateCIandGOA</v>
      </c>
      <c r="B927">
        <v>36</v>
      </c>
      <c r="C927">
        <v>16</v>
      </c>
      <c r="D927" s="649">
        <f ca="1">IF(E927=4,INDEX(crude_exp_dist,MATCH(B927,'Crude Exp Dist'!$B$6:$B$78,0),MATCH(C927,'Crude Exp Dist'!$AD$2:$BC$2,0))*INDEX(crude_exp_by_year,MATCH(B927,'Data Export'!$B$6:$B$78,0),1),IF(E927=5,INDEX(ref_exp_dist,MATCH(B927,'Refined Petro Exp Dist'!$B$6:$B$78,0),MATCH(C927,'Refined Petro Exp Dist'!$AD$2:$BC$2,0))*INDEX(ref_exp_by_year,MATCH(B927,'Data Export'!$B$6:$B$78,0),1)))</f>
        <v>0</v>
      </c>
      <c r="E927">
        <v>4</v>
      </c>
      <c r="F927" t="s">
        <v>219</v>
      </c>
    </row>
    <row r="928" spans="1:6">
      <c r="A928" t="str">
        <f t="shared" si="14"/>
        <v>GenericE&amp;DtemplateCIandGOA</v>
      </c>
      <c r="B928">
        <v>36</v>
      </c>
      <c r="C928">
        <v>17</v>
      </c>
      <c r="D928" s="649">
        <f ca="1">IF(E928=4,INDEX(crude_exp_dist,MATCH(B928,'Crude Exp Dist'!$B$6:$B$78,0),MATCH(C928,'Crude Exp Dist'!$AD$2:$BC$2,0))*INDEX(crude_exp_by_year,MATCH(B928,'Data Export'!$B$6:$B$78,0),1),IF(E928=5,INDEX(ref_exp_dist,MATCH(B928,'Refined Petro Exp Dist'!$B$6:$B$78,0),MATCH(C928,'Refined Petro Exp Dist'!$AD$2:$BC$2,0))*INDEX(ref_exp_by_year,MATCH(B928,'Data Export'!$B$6:$B$78,0),1)))</f>
        <v>0</v>
      </c>
      <c r="E928">
        <v>4</v>
      </c>
      <c r="F928" t="s">
        <v>222</v>
      </c>
    </row>
    <row r="929" spans="1:6">
      <c r="A929" t="str">
        <f t="shared" si="14"/>
        <v>GenericE&amp;DtemplateCIandGOA</v>
      </c>
      <c r="B929">
        <v>36</v>
      </c>
      <c r="C929">
        <v>18</v>
      </c>
      <c r="D929" s="649">
        <f ca="1">IF(E929=4,INDEX(crude_exp_dist,MATCH(B929,'Crude Exp Dist'!$B$6:$B$78,0),MATCH(C929,'Crude Exp Dist'!$AD$2:$BC$2,0))*INDEX(crude_exp_by_year,MATCH(B929,'Data Export'!$B$6:$B$78,0),1),IF(E929=5,INDEX(ref_exp_dist,MATCH(B929,'Refined Petro Exp Dist'!$B$6:$B$78,0),MATCH(C929,'Refined Petro Exp Dist'!$AD$2:$BC$2,0))*INDEX(ref_exp_by_year,MATCH(B929,'Data Export'!$B$6:$B$78,0),1)))</f>
        <v>0</v>
      </c>
      <c r="E929">
        <v>4</v>
      </c>
      <c r="F929" t="s">
        <v>224</v>
      </c>
    </row>
    <row r="930" spans="1:6">
      <c r="A930" t="str">
        <f t="shared" si="14"/>
        <v>GenericE&amp;DtemplateCIandGOA</v>
      </c>
      <c r="B930">
        <v>36</v>
      </c>
      <c r="C930">
        <v>19</v>
      </c>
      <c r="D930" s="649">
        <f ca="1">IF(E930=4,INDEX(crude_exp_dist,MATCH(B930,'Crude Exp Dist'!$B$6:$B$78,0),MATCH(C930,'Crude Exp Dist'!$AD$2:$BC$2,0))*INDEX(crude_exp_by_year,MATCH(B930,'Data Export'!$B$6:$B$78,0),1),IF(E930=5,INDEX(ref_exp_dist,MATCH(B930,'Refined Petro Exp Dist'!$B$6:$B$78,0),MATCH(C930,'Refined Petro Exp Dist'!$AD$2:$BC$2,0))*INDEX(ref_exp_by_year,MATCH(B930,'Data Export'!$B$6:$B$78,0),1)))</f>
        <v>0</v>
      </c>
      <c r="E930">
        <v>4</v>
      </c>
      <c r="F930" t="s">
        <v>228</v>
      </c>
    </row>
    <row r="931" spans="1:6">
      <c r="A931" t="str">
        <f t="shared" si="14"/>
        <v>GenericE&amp;DtemplateCIandGOA</v>
      </c>
      <c r="B931">
        <v>36</v>
      </c>
      <c r="C931">
        <v>20</v>
      </c>
      <c r="D931" s="649">
        <f ca="1">IF(E931=4,INDEX(crude_exp_dist,MATCH(B931,'Crude Exp Dist'!$B$6:$B$78,0),MATCH(C931,'Crude Exp Dist'!$AD$2:$BC$2,0))*INDEX(crude_exp_by_year,MATCH(B931,'Data Export'!$B$6:$B$78,0),1),IF(E931=5,INDEX(ref_exp_dist,MATCH(B931,'Refined Petro Exp Dist'!$B$6:$B$78,0),MATCH(C931,'Refined Petro Exp Dist'!$AD$2:$BC$2,0))*INDEX(ref_exp_by_year,MATCH(B931,'Data Export'!$B$6:$B$78,0),1)))</f>
        <v>0</v>
      </c>
      <c r="E931">
        <v>4</v>
      </c>
      <c r="F931" t="s">
        <v>231</v>
      </c>
    </row>
    <row r="932" spans="1:6">
      <c r="A932" t="str">
        <f t="shared" si="14"/>
        <v>GenericE&amp;DtemplateCIandGOA</v>
      </c>
      <c r="B932">
        <v>36</v>
      </c>
      <c r="C932">
        <v>21</v>
      </c>
      <c r="D932" s="649">
        <f ca="1">IF(E932=4,INDEX(crude_exp_dist,MATCH(B932,'Crude Exp Dist'!$B$6:$B$78,0),MATCH(C932,'Crude Exp Dist'!$AD$2:$BC$2,0))*INDEX(crude_exp_by_year,MATCH(B932,'Data Export'!$B$6:$B$78,0),1),IF(E932=5,INDEX(ref_exp_dist,MATCH(B932,'Refined Petro Exp Dist'!$B$6:$B$78,0),MATCH(C932,'Refined Petro Exp Dist'!$AD$2:$BC$2,0))*INDEX(ref_exp_by_year,MATCH(B932,'Data Export'!$B$6:$B$78,0),1)))</f>
        <v>0</v>
      </c>
      <c r="E932">
        <v>4</v>
      </c>
      <c r="F932" t="s">
        <v>232</v>
      </c>
    </row>
    <row r="933" spans="1:6">
      <c r="A933" t="str">
        <f t="shared" si="14"/>
        <v>GenericE&amp;DtemplateCIandGOA</v>
      </c>
      <c r="B933">
        <v>36</v>
      </c>
      <c r="C933">
        <v>22</v>
      </c>
      <c r="D933" s="649">
        <f ca="1">IF(E933=4,INDEX(crude_exp_dist,MATCH(B933,'Crude Exp Dist'!$B$6:$B$78,0),MATCH(C933,'Crude Exp Dist'!$AD$2:$BC$2,0))*INDEX(crude_exp_by_year,MATCH(B933,'Data Export'!$B$6:$B$78,0),1),IF(E933=5,INDEX(ref_exp_dist,MATCH(B933,'Refined Petro Exp Dist'!$B$6:$B$78,0),MATCH(C933,'Refined Petro Exp Dist'!$AD$2:$BC$2,0))*INDEX(ref_exp_by_year,MATCH(B933,'Data Export'!$B$6:$B$78,0),1)))</f>
        <v>0</v>
      </c>
      <c r="E933">
        <v>4</v>
      </c>
      <c r="F933" t="s">
        <v>235</v>
      </c>
    </row>
    <row r="934" spans="1:6">
      <c r="A934" t="str">
        <f t="shared" si="14"/>
        <v>GenericE&amp;DtemplateCIandGOA</v>
      </c>
      <c r="B934">
        <v>36</v>
      </c>
      <c r="C934">
        <v>23</v>
      </c>
      <c r="D934" s="649">
        <f ca="1">IF(E934=4,INDEX(crude_exp_dist,MATCH(B934,'Crude Exp Dist'!$B$6:$B$78,0),MATCH(C934,'Crude Exp Dist'!$AD$2:$BC$2,0))*INDEX(crude_exp_by_year,MATCH(B934,'Data Export'!$B$6:$B$78,0),1),IF(E934=5,INDEX(ref_exp_dist,MATCH(B934,'Refined Petro Exp Dist'!$B$6:$B$78,0),MATCH(C934,'Refined Petro Exp Dist'!$AD$2:$BC$2,0))*INDEX(ref_exp_by_year,MATCH(B934,'Data Export'!$B$6:$B$78,0),1)))</f>
        <v>0</v>
      </c>
      <c r="E934">
        <v>4</v>
      </c>
      <c r="F934" t="s">
        <v>237</v>
      </c>
    </row>
    <row r="935" spans="1:6">
      <c r="A935" t="str">
        <f t="shared" si="14"/>
        <v>GenericE&amp;DtemplateCIandGOA</v>
      </c>
      <c r="B935">
        <v>36</v>
      </c>
      <c r="C935">
        <v>24</v>
      </c>
      <c r="D935" s="649">
        <f ca="1">IF(E935=4,INDEX(crude_exp_dist,MATCH(B935,'Crude Exp Dist'!$B$6:$B$78,0),MATCH(C935,'Crude Exp Dist'!$AD$2:$BC$2,0))*INDEX(crude_exp_by_year,MATCH(B935,'Data Export'!$B$6:$B$78,0),1),IF(E935=5,INDEX(ref_exp_dist,MATCH(B935,'Refined Petro Exp Dist'!$B$6:$B$78,0),MATCH(C935,'Refined Petro Exp Dist'!$AD$2:$BC$2,0))*INDEX(ref_exp_by_year,MATCH(B935,'Data Export'!$B$6:$B$78,0),1)))</f>
        <v>0</v>
      </c>
      <c r="E935">
        <v>4</v>
      </c>
      <c r="F935" t="s">
        <v>239</v>
      </c>
    </row>
    <row r="936" spans="1:6">
      <c r="A936" t="str">
        <f t="shared" si="14"/>
        <v>GenericE&amp;DtemplateCIandGOA</v>
      </c>
      <c r="B936">
        <v>36</v>
      </c>
      <c r="C936">
        <v>25</v>
      </c>
      <c r="D936" s="649">
        <f ca="1">IF(E936=4,INDEX(crude_exp_dist,MATCH(B936,'Crude Exp Dist'!$B$6:$B$78,0),MATCH(C936,'Crude Exp Dist'!$AD$2:$BC$2,0))*INDEX(crude_exp_by_year,MATCH(B936,'Data Export'!$B$6:$B$78,0),1),IF(E936=5,INDEX(ref_exp_dist,MATCH(B936,'Refined Petro Exp Dist'!$B$6:$B$78,0),MATCH(C936,'Refined Petro Exp Dist'!$AD$2:$BC$2,0))*INDEX(ref_exp_by_year,MATCH(B936,'Data Export'!$B$6:$B$78,0),1)))</f>
        <v>0</v>
      </c>
      <c r="E936">
        <v>4</v>
      </c>
      <c r="F936" t="s">
        <v>242</v>
      </c>
    </row>
    <row r="937" spans="1:6">
      <c r="A937" t="str">
        <f t="shared" si="14"/>
        <v>GenericE&amp;DtemplateCIandGOA</v>
      </c>
      <c r="B937">
        <v>36</v>
      </c>
      <c r="C937">
        <v>26</v>
      </c>
      <c r="D937" s="649">
        <f ca="1">IF(E937=4,INDEX(crude_exp_dist,MATCH(B937,'Crude Exp Dist'!$B$6:$B$78,0),MATCH(C937,'Crude Exp Dist'!$AD$2:$BC$2,0))*INDEX(crude_exp_by_year,MATCH(B937,'Data Export'!$B$6:$B$78,0),1),IF(E937=5,INDEX(ref_exp_dist,MATCH(B937,'Refined Petro Exp Dist'!$B$6:$B$78,0),MATCH(C937,'Refined Petro Exp Dist'!$AD$2:$BC$2,0))*INDEX(ref_exp_by_year,MATCH(B937,'Data Export'!$B$6:$B$78,0),1)))</f>
        <v>0</v>
      </c>
      <c r="E937">
        <v>4</v>
      </c>
      <c r="F937" t="s">
        <v>245</v>
      </c>
    </row>
    <row r="938" spans="1:6">
      <c r="A938" t="str">
        <f t="shared" si="14"/>
        <v>GenericE&amp;DtemplateCIandGOA</v>
      </c>
      <c r="B938">
        <v>37</v>
      </c>
      <c r="C938">
        <v>1</v>
      </c>
      <c r="D938" s="649">
        <f ca="1">IF(E938=4,INDEX(crude_exp_dist,MATCH(B938,'Crude Exp Dist'!$B$6:$B$78,0),MATCH(C938,'Crude Exp Dist'!$AD$2:$BC$2,0))*INDEX(crude_exp_by_year,MATCH(B938,'Data Export'!$B$6:$B$78,0),1),IF(E938=5,INDEX(ref_exp_dist,MATCH(B938,'Refined Petro Exp Dist'!$B$6:$B$78,0),MATCH(C938,'Refined Petro Exp Dist'!$AD$2:$BC$2,0))*INDEX(ref_exp_by_year,MATCH(B938,'Data Export'!$B$6:$B$78,0),1)))</f>
        <v>0</v>
      </c>
      <c r="E938">
        <v>4</v>
      </c>
      <c r="F938" t="s">
        <v>158</v>
      </c>
    </row>
    <row r="939" spans="1:6">
      <c r="A939" t="str">
        <f t="shared" si="14"/>
        <v>GenericE&amp;DtemplateCIandGOA</v>
      </c>
      <c r="B939">
        <v>37</v>
      </c>
      <c r="C939">
        <v>2</v>
      </c>
      <c r="D939" s="649">
        <f ca="1">IF(E939=4,INDEX(crude_exp_dist,MATCH(B939,'Crude Exp Dist'!$B$6:$B$78,0),MATCH(C939,'Crude Exp Dist'!$AD$2:$BC$2,0))*INDEX(crude_exp_by_year,MATCH(B939,'Data Export'!$B$6:$B$78,0),1),IF(E939=5,INDEX(ref_exp_dist,MATCH(B939,'Refined Petro Exp Dist'!$B$6:$B$78,0),MATCH(C939,'Refined Petro Exp Dist'!$AD$2:$BC$2,0))*INDEX(ref_exp_by_year,MATCH(B939,'Data Export'!$B$6:$B$78,0),1)))</f>
        <v>0</v>
      </c>
      <c r="E939">
        <v>4</v>
      </c>
      <c r="F939" t="s">
        <v>166</v>
      </c>
    </row>
    <row r="940" spans="1:6">
      <c r="A940" t="str">
        <f t="shared" si="14"/>
        <v>GenericE&amp;DtemplateCIandGOA</v>
      </c>
      <c r="B940">
        <v>37</v>
      </c>
      <c r="C940">
        <v>3</v>
      </c>
      <c r="D940" s="649">
        <f ca="1">IF(E940=4,INDEX(crude_exp_dist,MATCH(B940,'Crude Exp Dist'!$B$6:$B$78,0),MATCH(C940,'Crude Exp Dist'!$AD$2:$BC$2,0))*INDEX(crude_exp_by_year,MATCH(B940,'Data Export'!$B$6:$B$78,0),1),IF(E940=5,INDEX(ref_exp_dist,MATCH(B940,'Refined Petro Exp Dist'!$B$6:$B$78,0),MATCH(C940,'Refined Petro Exp Dist'!$AD$2:$BC$2,0))*INDEX(ref_exp_by_year,MATCH(B940,'Data Export'!$B$6:$B$78,0),1)))</f>
        <v>0</v>
      </c>
      <c r="E940">
        <v>4</v>
      </c>
      <c r="F940" t="s">
        <v>171</v>
      </c>
    </row>
    <row r="941" spans="1:6">
      <c r="A941" t="str">
        <f t="shared" si="14"/>
        <v>GenericE&amp;DtemplateCIandGOA</v>
      </c>
      <c r="B941">
        <v>37</v>
      </c>
      <c r="C941">
        <v>4</v>
      </c>
      <c r="D941" s="649">
        <f ca="1">IF(E941=4,INDEX(crude_exp_dist,MATCH(B941,'Crude Exp Dist'!$B$6:$B$78,0),MATCH(C941,'Crude Exp Dist'!$AD$2:$BC$2,0))*INDEX(crude_exp_by_year,MATCH(B941,'Data Export'!$B$6:$B$78,0),1),IF(E941=5,INDEX(ref_exp_dist,MATCH(B941,'Refined Petro Exp Dist'!$B$6:$B$78,0),MATCH(C941,'Refined Petro Exp Dist'!$AD$2:$BC$2,0))*INDEX(ref_exp_by_year,MATCH(B941,'Data Export'!$B$6:$B$78,0),1)))</f>
        <v>0</v>
      </c>
      <c r="E941">
        <v>4</v>
      </c>
      <c r="F941" t="s">
        <v>173</v>
      </c>
    </row>
    <row r="942" spans="1:6">
      <c r="A942" t="str">
        <f t="shared" si="14"/>
        <v>GenericE&amp;DtemplateCIandGOA</v>
      </c>
      <c r="B942">
        <v>37</v>
      </c>
      <c r="C942">
        <v>5</v>
      </c>
      <c r="D942" s="649">
        <f ca="1">IF(E942=4,INDEX(crude_exp_dist,MATCH(B942,'Crude Exp Dist'!$B$6:$B$78,0),MATCH(C942,'Crude Exp Dist'!$AD$2:$BC$2,0))*INDEX(crude_exp_by_year,MATCH(B942,'Data Export'!$B$6:$B$78,0),1),IF(E942=5,INDEX(ref_exp_dist,MATCH(B942,'Refined Petro Exp Dist'!$B$6:$B$78,0),MATCH(C942,'Refined Petro Exp Dist'!$AD$2:$BC$2,0))*INDEX(ref_exp_by_year,MATCH(B942,'Data Export'!$B$6:$B$78,0),1)))</f>
        <v>0</v>
      </c>
      <c r="E942">
        <v>4</v>
      </c>
      <c r="F942" t="s">
        <v>180</v>
      </c>
    </row>
    <row r="943" spans="1:6">
      <c r="A943" t="str">
        <f t="shared" si="14"/>
        <v>GenericE&amp;DtemplateCIandGOA</v>
      </c>
      <c r="B943">
        <v>37</v>
      </c>
      <c r="C943">
        <v>6</v>
      </c>
      <c r="D943" s="649">
        <f ca="1">IF(E943=4,INDEX(crude_exp_dist,MATCH(B943,'Crude Exp Dist'!$B$6:$B$78,0),MATCH(C943,'Crude Exp Dist'!$AD$2:$BC$2,0))*INDEX(crude_exp_by_year,MATCH(B943,'Data Export'!$B$6:$B$78,0),1),IF(E943=5,INDEX(ref_exp_dist,MATCH(B943,'Refined Petro Exp Dist'!$B$6:$B$78,0),MATCH(C943,'Refined Petro Exp Dist'!$AD$2:$BC$2,0))*INDEX(ref_exp_by_year,MATCH(B943,'Data Export'!$B$6:$B$78,0),1)))</f>
        <v>0</v>
      </c>
      <c r="E943">
        <v>4</v>
      </c>
      <c r="F943" t="s">
        <v>186</v>
      </c>
    </row>
    <row r="944" spans="1:6">
      <c r="A944" t="str">
        <f t="shared" si="14"/>
        <v>GenericE&amp;DtemplateCIandGOA</v>
      </c>
      <c r="B944">
        <v>37</v>
      </c>
      <c r="C944">
        <v>7</v>
      </c>
      <c r="D944" s="649">
        <f ca="1">IF(E944=4,INDEX(crude_exp_dist,MATCH(B944,'Crude Exp Dist'!$B$6:$B$78,0),MATCH(C944,'Crude Exp Dist'!$AD$2:$BC$2,0))*INDEX(crude_exp_by_year,MATCH(B944,'Data Export'!$B$6:$B$78,0),1),IF(E944=5,INDEX(ref_exp_dist,MATCH(B944,'Refined Petro Exp Dist'!$B$6:$B$78,0),MATCH(C944,'Refined Petro Exp Dist'!$AD$2:$BC$2,0))*INDEX(ref_exp_by_year,MATCH(B944,'Data Export'!$B$6:$B$78,0),1)))</f>
        <v>0</v>
      </c>
      <c r="E944">
        <v>4</v>
      </c>
      <c r="F944" t="s">
        <v>191</v>
      </c>
    </row>
    <row r="945" spans="1:6">
      <c r="A945" t="str">
        <f t="shared" si="14"/>
        <v>GenericE&amp;DtemplateCIandGOA</v>
      </c>
      <c r="B945">
        <v>37</v>
      </c>
      <c r="C945">
        <v>8</v>
      </c>
      <c r="D945" s="649">
        <f ca="1">IF(E945=4,INDEX(crude_exp_dist,MATCH(B945,'Crude Exp Dist'!$B$6:$B$78,0),MATCH(C945,'Crude Exp Dist'!$AD$2:$BC$2,0))*INDEX(crude_exp_by_year,MATCH(B945,'Data Export'!$B$6:$B$78,0),1),IF(E945=5,INDEX(ref_exp_dist,MATCH(B945,'Refined Petro Exp Dist'!$B$6:$B$78,0),MATCH(C945,'Refined Petro Exp Dist'!$AD$2:$BC$2,0))*INDEX(ref_exp_by_year,MATCH(B945,'Data Export'!$B$6:$B$78,0),1)))</f>
        <v>0</v>
      </c>
      <c r="E945">
        <v>4</v>
      </c>
      <c r="F945" t="s">
        <v>197</v>
      </c>
    </row>
    <row r="946" spans="1:6">
      <c r="A946" t="str">
        <f t="shared" si="14"/>
        <v>GenericE&amp;DtemplateCIandGOA</v>
      </c>
      <c r="B946">
        <v>37</v>
      </c>
      <c r="C946">
        <v>9</v>
      </c>
      <c r="D946" s="649">
        <f ca="1">IF(E946=4,INDEX(crude_exp_dist,MATCH(B946,'Crude Exp Dist'!$B$6:$B$78,0),MATCH(C946,'Crude Exp Dist'!$AD$2:$BC$2,0))*INDEX(crude_exp_by_year,MATCH(B946,'Data Export'!$B$6:$B$78,0),1),IF(E946=5,INDEX(ref_exp_dist,MATCH(B946,'Refined Petro Exp Dist'!$B$6:$B$78,0),MATCH(C946,'Refined Petro Exp Dist'!$AD$2:$BC$2,0))*INDEX(ref_exp_by_year,MATCH(B946,'Data Export'!$B$6:$B$78,0),1)))</f>
        <v>0</v>
      </c>
      <c r="E946">
        <v>4</v>
      </c>
      <c r="F946" t="s">
        <v>199</v>
      </c>
    </row>
    <row r="947" spans="1:6">
      <c r="A947" t="str">
        <f t="shared" si="14"/>
        <v>GenericE&amp;DtemplateCIandGOA</v>
      </c>
      <c r="B947">
        <v>37</v>
      </c>
      <c r="C947">
        <v>10</v>
      </c>
      <c r="D947" s="649">
        <f ca="1">IF(E947=4,INDEX(crude_exp_dist,MATCH(B947,'Crude Exp Dist'!$B$6:$B$78,0),MATCH(C947,'Crude Exp Dist'!$AD$2:$BC$2,0))*INDEX(crude_exp_by_year,MATCH(B947,'Data Export'!$B$6:$B$78,0),1),IF(E947=5,INDEX(ref_exp_dist,MATCH(B947,'Refined Petro Exp Dist'!$B$6:$B$78,0),MATCH(C947,'Refined Petro Exp Dist'!$AD$2:$BC$2,0))*INDEX(ref_exp_by_year,MATCH(B947,'Data Export'!$B$6:$B$78,0),1)))</f>
        <v>0</v>
      </c>
      <c r="E947">
        <v>4</v>
      </c>
      <c r="F947" t="s">
        <v>201</v>
      </c>
    </row>
    <row r="948" spans="1:6">
      <c r="A948" t="str">
        <f t="shared" si="14"/>
        <v>GenericE&amp;DtemplateCIandGOA</v>
      </c>
      <c r="B948">
        <v>37</v>
      </c>
      <c r="C948">
        <v>11</v>
      </c>
      <c r="D948" s="649">
        <f ca="1">IF(E948=4,INDEX(crude_exp_dist,MATCH(B948,'Crude Exp Dist'!$B$6:$B$78,0),MATCH(C948,'Crude Exp Dist'!$AD$2:$BC$2,0))*INDEX(crude_exp_by_year,MATCH(B948,'Data Export'!$B$6:$B$78,0),1),IF(E948=5,INDEX(ref_exp_dist,MATCH(B948,'Refined Petro Exp Dist'!$B$6:$B$78,0),MATCH(C948,'Refined Petro Exp Dist'!$AD$2:$BC$2,0))*INDEX(ref_exp_by_year,MATCH(B948,'Data Export'!$B$6:$B$78,0),1)))</f>
        <v>0</v>
      </c>
      <c r="E948">
        <v>4</v>
      </c>
      <c r="F948" t="s">
        <v>921</v>
      </c>
    </row>
    <row r="949" spans="1:6">
      <c r="A949" t="str">
        <f t="shared" si="14"/>
        <v>GenericE&amp;DtemplateCIandGOA</v>
      </c>
      <c r="B949">
        <v>37</v>
      </c>
      <c r="C949">
        <v>12</v>
      </c>
      <c r="D949" s="649">
        <f ca="1">IF(E949=4,INDEX(crude_exp_dist,MATCH(B949,'Crude Exp Dist'!$B$6:$B$78,0),MATCH(C949,'Crude Exp Dist'!$AD$2:$BC$2,0))*INDEX(crude_exp_by_year,MATCH(B949,'Data Export'!$B$6:$B$78,0),1),IF(E949=5,INDEX(ref_exp_dist,MATCH(B949,'Refined Petro Exp Dist'!$B$6:$B$78,0),MATCH(C949,'Refined Petro Exp Dist'!$AD$2:$BC$2,0))*INDEX(ref_exp_by_year,MATCH(B949,'Data Export'!$B$6:$B$78,0),1)))</f>
        <v>0</v>
      </c>
      <c r="E949">
        <v>4</v>
      </c>
      <c r="F949" t="s">
        <v>208</v>
      </c>
    </row>
    <row r="950" spans="1:6">
      <c r="A950" t="str">
        <f t="shared" si="14"/>
        <v>GenericE&amp;DtemplateCIandGOA</v>
      </c>
      <c r="B950">
        <v>37</v>
      </c>
      <c r="C950">
        <v>13</v>
      </c>
      <c r="D950" s="649">
        <f ca="1">IF(E950=4,INDEX(crude_exp_dist,MATCH(B950,'Crude Exp Dist'!$B$6:$B$78,0),MATCH(C950,'Crude Exp Dist'!$AD$2:$BC$2,0))*INDEX(crude_exp_by_year,MATCH(B950,'Data Export'!$B$6:$B$78,0),1),IF(E950=5,INDEX(ref_exp_dist,MATCH(B950,'Refined Petro Exp Dist'!$B$6:$B$78,0),MATCH(C950,'Refined Petro Exp Dist'!$AD$2:$BC$2,0))*INDEX(ref_exp_by_year,MATCH(B950,'Data Export'!$B$6:$B$78,0),1)))</f>
        <v>0</v>
      </c>
      <c r="E950">
        <v>4</v>
      </c>
      <c r="F950" t="s">
        <v>211</v>
      </c>
    </row>
    <row r="951" spans="1:6">
      <c r="A951" t="str">
        <f t="shared" si="14"/>
        <v>GenericE&amp;DtemplateCIandGOA</v>
      </c>
      <c r="B951">
        <v>37</v>
      </c>
      <c r="C951">
        <v>14</v>
      </c>
      <c r="D951" s="649">
        <f ca="1">IF(E951=4,INDEX(crude_exp_dist,MATCH(B951,'Crude Exp Dist'!$B$6:$B$78,0),MATCH(C951,'Crude Exp Dist'!$AD$2:$BC$2,0))*INDEX(crude_exp_by_year,MATCH(B951,'Data Export'!$B$6:$B$78,0),1),IF(E951=5,INDEX(ref_exp_dist,MATCH(B951,'Refined Petro Exp Dist'!$B$6:$B$78,0),MATCH(C951,'Refined Petro Exp Dist'!$AD$2:$BC$2,0))*INDEX(ref_exp_by_year,MATCH(B951,'Data Export'!$B$6:$B$78,0),1)))</f>
        <v>0</v>
      </c>
      <c r="E951">
        <v>4</v>
      </c>
      <c r="F951" t="s">
        <v>213</v>
      </c>
    </row>
    <row r="952" spans="1:6">
      <c r="A952" t="str">
        <f t="shared" si="14"/>
        <v>GenericE&amp;DtemplateCIandGOA</v>
      </c>
      <c r="B952">
        <v>37</v>
      </c>
      <c r="C952">
        <v>15</v>
      </c>
      <c r="D952" s="649">
        <f ca="1">IF(E952=4,INDEX(crude_exp_dist,MATCH(B952,'Crude Exp Dist'!$B$6:$B$78,0),MATCH(C952,'Crude Exp Dist'!$AD$2:$BC$2,0))*INDEX(crude_exp_by_year,MATCH(B952,'Data Export'!$B$6:$B$78,0),1),IF(E952=5,INDEX(ref_exp_dist,MATCH(B952,'Refined Petro Exp Dist'!$B$6:$B$78,0),MATCH(C952,'Refined Petro Exp Dist'!$AD$2:$BC$2,0))*INDEX(ref_exp_by_year,MATCH(B952,'Data Export'!$B$6:$B$78,0),1)))</f>
        <v>0</v>
      </c>
      <c r="E952">
        <v>4</v>
      </c>
      <c r="F952" t="s">
        <v>215</v>
      </c>
    </row>
    <row r="953" spans="1:6">
      <c r="A953" t="str">
        <f t="shared" si="14"/>
        <v>GenericE&amp;DtemplateCIandGOA</v>
      </c>
      <c r="B953">
        <v>37</v>
      </c>
      <c r="C953">
        <v>16</v>
      </c>
      <c r="D953" s="649">
        <f ca="1">IF(E953=4,INDEX(crude_exp_dist,MATCH(B953,'Crude Exp Dist'!$B$6:$B$78,0),MATCH(C953,'Crude Exp Dist'!$AD$2:$BC$2,0))*INDEX(crude_exp_by_year,MATCH(B953,'Data Export'!$B$6:$B$78,0),1),IF(E953=5,INDEX(ref_exp_dist,MATCH(B953,'Refined Petro Exp Dist'!$B$6:$B$78,0),MATCH(C953,'Refined Petro Exp Dist'!$AD$2:$BC$2,0))*INDEX(ref_exp_by_year,MATCH(B953,'Data Export'!$B$6:$B$78,0),1)))</f>
        <v>0</v>
      </c>
      <c r="E953">
        <v>4</v>
      </c>
      <c r="F953" t="s">
        <v>219</v>
      </c>
    </row>
    <row r="954" spans="1:6">
      <c r="A954" t="str">
        <f t="shared" si="14"/>
        <v>GenericE&amp;DtemplateCIandGOA</v>
      </c>
      <c r="B954">
        <v>37</v>
      </c>
      <c r="C954">
        <v>17</v>
      </c>
      <c r="D954" s="649">
        <f ca="1">IF(E954=4,INDEX(crude_exp_dist,MATCH(B954,'Crude Exp Dist'!$B$6:$B$78,0),MATCH(C954,'Crude Exp Dist'!$AD$2:$BC$2,0))*INDEX(crude_exp_by_year,MATCH(B954,'Data Export'!$B$6:$B$78,0),1),IF(E954=5,INDEX(ref_exp_dist,MATCH(B954,'Refined Petro Exp Dist'!$B$6:$B$78,0),MATCH(C954,'Refined Petro Exp Dist'!$AD$2:$BC$2,0))*INDEX(ref_exp_by_year,MATCH(B954,'Data Export'!$B$6:$B$78,0),1)))</f>
        <v>0</v>
      </c>
      <c r="E954">
        <v>4</v>
      </c>
      <c r="F954" t="s">
        <v>222</v>
      </c>
    </row>
    <row r="955" spans="1:6">
      <c r="A955" t="str">
        <f t="shared" si="14"/>
        <v>GenericE&amp;DtemplateCIandGOA</v>
      </c>
      <c r="B955">
        <v>37</v>
      </c>
      <c r="C955">
        <v>18</v>
      </c>
      <c r="D955" s="649">
        <f ca="1">IF(E955=4,INDEX(crude_exp_dist,MATCH(B955,'Crude Exp Dist'!$B$6:$B$78,0),MATCH(C955,'Crude Exp Dist'!$AD$2:$BC$2,0))*INDEX(crude_exp_by_year,MATCH(B955,'Data Export'!$B$6:$B$78,0),1),IF(E955=5,INDEX(ref_exp_dist,MATCH(B955,'Refined Petro Exp Dist'!$B$6:$B$78,0),MATCH(C955,'Refined Petro Exp Dist'!$AD$2:$BC$2,0))*INDEX(ref_exp_by_year,MATCH(B955,'Data Export'!$B$6:$B$78,0),1)))</f>
        <v>0</v>
      </c>
      <c r="E955">
        <v>4</v>
      </c>
      <c r="F955" t="s">
        <v>224</v>
      </c>
    </row>
    <row r="956" spans="1:6">
      <c r="A956" t="str">
        <f t="shared" si="14"/>
        <v>GenericE&amp;DtemplateCIandGOA</v>
      </c>
      <c r="B956">
        <v>37</v>
      </c>
      <c r="C956">
        <v>19</v>
      </c>
      <c r="D956" s="649">
        <f ca="1">IF(E956=4,INDEX(crude_exp_dist,MATCH(B956,'Crude Exp Dist'!$B$6:$B$78,0),MATCH(C956,'Crude Exp Dist'!$AD$2:$BC$2,0))*INDEX(crude_exp_by_year,MATCH(B956,'Data Export'!$B$6:$B$78,0),1),IF(E956=5,INDEX(ref_exp_dist,MATCH(B956,'Refined Petro Exp Dist'!$B$6:$B$78,0),MATCH(C956,'Refined Petro Exp Dist'!$AD$2:$BC$2,0))*INDEX(ref_exp_by_year,MATCH(B956,'Data Export'!$B$6:$B$78,0),1)))</f>
        <v>0</v>
      </c>
      <c r="E956">
        <v>4</v>
      </c>
      <c r="F956" t="s">
        <v>228</v>
      </c>
    </row>
    <row r="957" spans="1:6">
      <c r="A957" t="str">
        <f t="shared" si="14"/>
        <v>GenericE&amp;DtemplateCIandGOA</v>
      </c>
      <c r="B957">
        <v>37</v>
      </c>
      <c r="C957">
        <v>20</v>
      </c>
      <c r="D957" s="649">
        <f ca="1">IF(E957=4,INDEX(crude_exp_dist,MATCH(B957,'Crude Exp Dist'!$B$6:$B$78,0),MATCH(C957,'Crude Exp Dist'!$AD$2:$BC$2,0))*INDEX(crude_exp_by_year,MATCH(B957,'Data Export'!$B$6:$B$78,0),1),IF(E957=5,INDEX(ref_exp_dist,MATCH(B957,'Refined Petro Exp Dist'!$B$6:$B$78,0),MATCH(C957,'Refined Petro Exp Dist'!$AD$2:$BC$2,0))*INDEX(ref_exp_by_year,MATCH(B957,'Data Export'!$B$6:$B$78,0),1)))</f>
        <v>0</v>
      </c>
      <c r="E957">
        <v>4</v>
      </c>
      <c r="F957" t="s">
        <v>231</v>
      </c>
    </row>
    <row r="958" spans="1:6">
      <c r="A958" t="str">
        <f t="shared" si="14"/>
        <v>GenericE&amp;DtemplateCIandGOA</v>
      </c>
      <c r="B958">
        <v>37</v>
      </c>
      <c r="C958">
        <v>21</v>
      </c>
      <c r="D958" s="649">
        <f ca="1">IF(E958=4,INDEX(crude_exp_dist,MATCH(B958,'Crude Exp Dist'!$B$6:$B$78,0),MATCH(C958,'Crude Exp Dist'!$AD$2:$BC$2,0))*INDEX(crude_exp_by_year,MATCH(B958,'Data Export'!$B$6:$B$78,0),1),IF(E958=5,INDEX(ref_exp_dist,MATCH(B958,'Refined Petro Exp Dist'!$B$6:$B$78,0),MATCH(C958,'Refined Petro Exp Dist'!$AD$2:$BC$2,0))*INDEX(ref_exp_by_year,MATCH(B958,'Data Export'!$B$6:$B$78,0),1)))</f>
        <v>0</v>
      </c>
      <c r="E958">
        <v>4</v>
      </c>
      <c r="F958" t="s">
        <v>232</v>
      </c>
    </row>
    <row r="959" spans="1:6">
      <c r="A959" t="str">
        <f t="shared" si="14"/>
        <v>GenericE&amp;DtemplateCIandGOA</v>
      </c>
      <c r="B959">
        <v>37</v>
      </c>
      <c r="C959">
        <v>22</v>
      </c>
      <c r="D959" s="649">
        <f ca="1">IF(E959=4,INDEX(crude_exp_dist,MATCH(B959,'Crude Exp Dist'!$B$6:$B$78,0),MATCH(C959,'Crude Exp Dist'!$AD$2:$BC$2,0))*INDEX(crude_exp_by_year,MATCH(B959,'Data Export'!$B$6:$B$78,0),1),IF(E959=5,INDEX(ref_exp_dist,MATCH(B959,'Refined Petro Exp Dist'!$B$6:$B$78,0),MATCH(C959,'Refined Petro Exp Dist'!$AD$2:$BC$2,0))*INDEX(ref_exp_by_year,MATCH(B959,'Data Export'!$B$6:$B$78,0),1)))</f>
        <v>0</v>
      </c>
      <c r="E959">
        <v>4</v>
      </c>
      <c r="F959" t="s">
        <v>235</v>
      </c>
    </row>
    <row r="960" spans="1:6">
      <c r="A960" t="str">
        <f t="shared" si="14"/>
        <v>GenericE&amp;DtemplateCIandGOA</v>
      </c>
      <c r="B960">
        <v>37</v>
      </c>
      <c r="C960">
        <v>23</v>
      </c>
      <c r="D960" s="649">
        <f ca="1">IF(E960=4,INDEX(crude_exp_dist,MATCH(B960,'Crude Exp Dist'!$B$6:$B$78,0),MATCH(C960,'Crude Exp Dist'!$AD$2:$BC$2,0))*INDEX(crude_exp_by_year,MATCH(B960,'Data Export'!$B$6:$B$78,0),1),IF(E960=5,INDEX(ref_exp_dist,MATCH(B960,'Refined Petro Exp Dist'!$B$6:$B$78,0),MATCH(C960,'Refined Petro Exp Dist'!$AD$2:$BC$2,0))*INDEX(ref_exp_by_year,MATCH(B960,'Data Export'!$B$6:$B$78,0),1)))</f>
        <v>0</v>
      </c>
      <c r="E960">
        <v>4</v>
      </c>
      <c r="F960" t="s">
        <v>237</v>
      </c>
    </row>
    <row r="961" spans="1:6">
      <c r="A961" t="str">
        <f t="shared" si="14"/>
        <v>GenericE&amp;DtemplateCIandGOA</v>
      </c>
      <c r="B961">
        <v>37</v>
      </c>
      <c r="C961">
        <v>24</v>
      </c>
      <c r="D961" s="649">
        <f ca="1">IF(E961=4,INDEX(crude_exp_dist,MATCH(B961,'Crude Exp Dist'!$B$6:$B$78,0),MATCH(C961,'Crude Exp Dist'!$AD$2:$BC$2,0))*INDEX(crude_exp_by_year,MATCH(B961,'Data Export'!$B$6:$B$78,0),1),IF(E961=5,INDEX(ref_exp_dist,MATCH(B961,'Refined Petro Exp Dist'!$B$6:$B$78,0),MATCH(C961,'Refined Petro Exp Dist'!$AD$2:$BC$2,0))*INDEX(ref_exp_by_year,MATCH(B961,'Data Export'!$B$6:$B$78,0),1)))</f>
        <v>0</v>
      </c>
      <c r="E961">
        <v>4</v>
      </c>
      <c r="F961" t="s">
        <v>239</v>
      </c>
    </row>
    <row r="962" spans="1:6">
      <c r="A962" t="str">
        <f t="shared" ref="A962:A1025" si="15">scenario_name</f>
        <v>GenericE&amp;DtemplateCIandGOA</v>
      </c>
      <c r="B962">
        <v>37</v>
      </c>
      <c r="C962">
        <v>25</v>
      </c>
      <c r="D962" s="649">
        <f ca="1">IF(E962=4,INDEX(crude_exp_dist,MATCH(B962,'Crude Exp Dist'!$B$6:$B$78,0),MATCH(C962,'Crude Exp Dist'!$AD$2:$BC$2,0))*INDEX(crude_exp_by_year,MATCH(B962,'Data Export'!$B$6:$B$78,0),1),IF(E962=5,INDEX(ref_exp_dist,MATCH(B962,'Refined Petro Exp Dist'!$B$6:$B$78,0),MATCH(C962,'Refined Petro Exp Dist'!$AD$2:$BC$2,0))*INDEX(ref_exp_by_year,MATCH(B962,'Data Export'!$B$6:$B$78,0),1)))</f>
        <v>0</v>
      </c>
      <c r="E962">
        <v>4</v>
      </c>
      <c r="F962" t="s">
        <v>242</v>
      </c>
    </row>
    <row r="963" spans="1:6">
      <c r="A963" t="str">
        <f t="shared" si="15"/>
        <v>GenericE&amp;DtemplateCIandGOA</v>
      </c>
      <c r="B963">
        <v>37</v>
      </c>
      <c r="C963">
        <v>26</v>
      </c>
      <c r="D963" s="649">
        <f ca="1">IF(E963=4,INDEX(crude_exp_dist,MATCH(B963,'Crude Exp Dist'!$B$6:$B$78,0),MATCH(C963,'Crude Exp Dist'!$AD$2:$BC$2,0))*INDEX(crude_exp_by_year,MATCH(B963,'Data Export'!$B$6:$B$78,0),1),IF(E963=5,INDEX(ref_exp_dist,MATCH(B963,'Refined Petro Exp Dist'!$B$6:$B$78,0),MATCH(C963,'Refined Petro Exp Dist'!$AD$2:$BC$2,0))*INDEX(ref_exp_by_year,MATCH(B963,'Data Export'!$B$6:$B$78,0),1)))</f>
        <v>0</v>
      </c>
      <c r="E963">
        <v>4</v>
      </c>
      <c r="F963" t="s">
        <v>245</v>
      </c>
    </row>
    <row r="964" spans="1:6">
      <c r="A964" t="str">
        <f t="shared" si="15"/>
        <v>GenericE&amp;DtemplateCIandGOA</v>
      </c>
      <c r="B964">
        <v>38</v>
      </c>
      <c r="C964">
        <v>1</v>
      </c>
      <c r="D964" s="649">
        <f ca="1">IF(E964=4,INDEX(crude_exp_dist,MATCH(B964,'Crude Exp Dist'!$B$6:$B$78,0),MATCH(C964,'Crude Exp Dist'!$AD$2:$BC$2,0))*INDEX(crude_exp_by_year,MATCH(B964,'Data Export'!$B$6:$B$78,0),1),IF(E964=5,INDEX(ref_exp_dist,MATCH(B964,'Refined Petro Exp Dist'!$B$6:$B$78,0),MATCH(C964,'Refined Petro Exp Dist'!$AD$2:$BC$2,0))*INDEX(ref_exp_by_year,MATCH(B964,'Data Export'!$B$6:$B$78,0),1)))</f>
        <v>0</v>
      </c>
      <c r="E964">
        <v>4</v>
      </c>
      <c r="F964" t="s">
        <v>158</v>
      </c>
    </row>
    <row r="965" spans="1:6">
      <c r="A965" t="str">
        <f t="shared" si="15"/>
        <v>GenericE&amp;DtemplateCIandGOA</v>
      </c>
      <c r="B965">
        <v>38</v>
      </c>
      <c r="C965">
        <v>2</v>
      </c>
      <c r="D965" s="649">
        <f ca="1">IF(E965=4,INDEX(crude_exp_dist,MATCH(B965,'Crude Exp Dist'!$B$6:$B$78,0),MATCH(C965,'Crude Exp Dist'!$AD$2:$BC$2,0))*INDEX(crude_exp_by_year,MATCH(B965,'Data Export'!$B$6:$B$78,0),1),IF(E965=5,INDEX(ref_exp_dist,MATCH(B965,'Refined Petro Exp Dist'!$B$6:$B$78,0),MATCH(C965,'Refined Petro Exp Dist'!$AD$2:$BC$2,0))*INDEX(ref_exp_by_year,MATCH(B965,'Data Export'!$B$6:$B$78,0),1)))</f>
        <v>0</v>
      </c>
      <c r="E965">
        <v>4</v>
      </c>
      <c r="F965" t="s">
        <v>166</v>
      </c>
    </row>
    <row r="966" spans="1:6">
      <c r="A966" t="str">
        <f t="shared" si="15"/>
        <v>GenericE&amp;DtemplateCIandGOA</v>
      </c>
      <c r="B966">
        <v>38</v>
      </c>
      <c r="C966">
        <v>3</v>
      </c>
      <c r="D966" s="649">
        <f ca="1">IF(E966=4,INDEX(crude_exp_dist,MATCH(B966,'Crude Exp Dist'!$B$6:$B$78,0),MATCH(C966,'Crude Exp Dist'!$AD$2:$BC$2,0))*INDEX(crude_exp_by_year,MATCH(B966,'Data Export'!$B$6:$B$78,0),1),IF(E966=5,INDEX(ref_exp_dist,MATCH(B966,'Refined Petro Exp Dist'!$B$6:$B$78,0),MATCH(C966,'Refined Petro Exp Dist'!$AD$2:$BC$2,0))*INDEX(ref_exp_by_year,MATCH(B966,'Data Export'!$B$6:$B$78,0),1)))</f>
        <v>0</v>
      </c>
      <c r="E966">
        <v>4</v>
      </c>
      <c r="F966" t="s">
        <v>171</v>
      </c>
    </row>
    <row r="967" spans="1:6">
      <c r="A967" t="str">
        <f t="shared" si="15"/>
        <v>GenericE&amp;DtemplateCIandGOA</v>
      </c>
      <c r="B967">
        <v>38</v>
      </c>
      <c r="C967">
        <v>4</v>
      </c>
      <c r="D967" s="649">
        <f ca="1">IF(E967=4,INDEX(crude_exp_dist,MATCH(B967,'Crude Exp Dist'!$B$6:$B$78,0),MATCH(C967,'Crude Exp Dist'!$AD$2:$BC$2,0))*INDEX(crude_exp_by_year,MATCH(B967,'Data Export'!$B$6:$B$78,0),1),IF(E967=5,INDEX(ref_exp_dist,MATCH(B967,'Refined Petro Exp Dist'!$B$6:$B$78,0),MATCH(C967,'Refined Petro Exp Dist'!$AD$2:$BC$2,0))*INDEX(ref_exp_by_year,MATCH(B967,'Data Export'!$B$6:$B$78,0),1)))</f>
        <v>0</v>
      </c>
      <c r="E967">
        <v>4</v>
      </c>
      <c r="F967" t="s">
        <v>173</v>
      </c>
    </row>
    <row r="968" spans="1:6">
      <c r="A968" t="str">
        <f t="shared" si="15"/>
        <v>GenericE&amp;DtemplateCIandGOA</v>
      </c>
      <c r="B968">
        <v>38</v>
      </c>
      <c r="C968">
        <v>5</v>
      </c>
      <c r="D968" s="649">
        <f ca="1">IF(E968=4,INDEX(crude_exp_dist,MATCH(B968,'Crude Exp Dist'!$B$6:$B$78,0),MATCH(C968,'Crude Exp Dist'!$AD$2:$BC$2,0))*INDEX(crude_exp_by_year,MATCH(B968,'Data Export'!$B$6:$B$78,0),1),IF(E968=5,INDEX(ref_exp_dist,MATCH(B968,'Refined Petro Exp Dist'!$B$6:$B$78,0),MATCH(C968,'Refined Petro Exp Dist'!$AD$2:$BC$2,0))*INDEX(ref_exp_by_year,MATCH(B968,'Data Export'!$B$6:$B$78,0),1)))</f>
        <v>0</v>
      </c>
      <c r="E968">
        <v>4</v>
      </c>
      <c r="F968" t="s">
        <v>180</v>
      </c>
    </row>
    <row r="969" spans="1:6">
      <c r="A969" t="str">
        <f t="shared" si="15"/>
        <v>GenericE&amp;DtemplateCIandGOA</v>
      </c>
      <c r="B969">
        <v>38</v>
      </c>
      <c r="C969">
        <v>6</v>
      </c>
      <c r="D969" s="649">
        <f ca="1">IF(E969=4,INDEX(crude_exp_dist,MATCH(B969,'Crude Exp Dist'!$B$6:$B$78,0),MATCH(C969,'Crude Exp Dist'!$AD$2:$BC$2,0))*INDEX(crude_exp_by_year,MATCH(B969,'Data Export'!$B$6:$B$78,0),1),IF(E969=5,INDEX(ref_exp_dist,MATCH(B969,'Refined Petro Exp Dist'!$B$6:$B$78,0),MATCH(C969,'Refined Petro Exp Dist'!$AD$2:$BC$2,0))*INDEX(ref_exp_by_year,MATCH(B969,'Data Export'!$B$6:$B$78,0),1)))</f>
        <v>0</v>
      </c>
      <c r="E969">
        <v>4</v>
      </c>
      <c r="F969" t="s">
        <v>186</v>
      </c>
    </row>
    <row r="970" spans="1:6">
      <c r="A970" t="str">
        <f t="shared" si="15"/>
        <v>GenericE&amp;DtemplateCIandGOA</v>
      </c>
      <c r="B970">
        <v>38</v>
      </c>
      <c r="C970">
        <v>7</v>
      </c>
      <c r="D970" s="649">
        <f ca="1">IF(E970=4,INDEX(crude_exp_dist,MATCH(B970,'Crude Exp Dist'!$B$6:$B$78,0),MATCH(C970,'Crude Exp Dist'!$AD$2:$BC$2,0))*INDEX(crude_exp_by_year,MATCH(B970,'Data Export'!$B$6:$B$78,0),1),IF(E970=5,INDEX(ref_exp_dist,MATCH(B970,'Refined Petro Exp Dist'!$B$6:$B$78,0),MATCH(C970,'Refined Petro Exp Dist'!$AD$2:$BC$2,0))*INDEX(ref_exp_by_year,MATCH(B970,'Data Export'!$B$6:$B$78,0),1)))</f>
        <v>0</v>
      </c>
      <c r="E970">
        <v>4</v>
      </c>
      <c r="F970" t="s">
        <v>191</v>
      </c>
    </row>
    <row r="971" spans="1:6">
      <c r="A971" t="str">
        <f t="shared" si="15"/>
        <v>GenericE&amp;DtemplateCIandGOA</v>
      </c>
      <c r="B971">
        <v>38</v>
      </c>
      <c r="C971">
        <v>8</v>
      </c>
      <c r="D971" s="649">
        <f ca="1">IF(E971=4,INDEX(crude_exp_dist,MATCH(B971,'Crude Exp Dist'!$B$6:$B$78,0),MATCH(C971,'Crude Exp Dist'!$AD$2:$BC$2,0))*INDEX(crude_exp_by_year,MATCH(B971,'Data Export'!$B$6:$B$78,0),1),IF(E971=5,INDEX(ref_exp_dist,MATCH(B971,'Refined Petro Exp Dist'!$B$6:$B$78,0),MATCH(C971,'Refined Petro Exp Dist'!$AD$2:$BC$2,0))*INDEX(ref_exp_by_year,MATCH(B971,'Data Export'!$B$6:$B$78,0),1)))</f>
        <v>0</v>
      </c>
      <c r="E971">
        <v>4</v>
      </c>
      <c r="F971" t="s">
        <v>197</v>
      </c>
    </row>
    <row r="972" spans="1:6">
      <c r="A972" t="str">
        <f t="shared" si="15"/>
        <v>GenericE&amp;DtemplateCIandGOA</v>
      </c>
      <c r="B972">
        <v>38</v>
      </c>
      <c r="C972">
        <v>9</v>
      </c>
      <c r="D972" s="649">
        <f ca="1">IF(E972=4,INDEX(crude_exp_dist,MATCH(B972,'Crude Exp Dist'!$B$6:$B$78,0),MATCH(C972,'Crude Exp Dist'!$AD$2:$BC$2,0))*INDEX(crude_exp_by_year,MATCH(B972,'Data Export'!$B$6:$B$78,0),1),IF(E972=5,INDEX(ref_exp_dist,MATCH(B972,'Refined Petro Exp Dist'!$B$6:$B$78,0),MATCH(C972,'Refined Petro Exp Dist'!$AD$2:$BC$2,0))*INDEX(ref_exp_by_year,MATCH(B972,'Data Export'!$B$6:$B$78,0),1)))</f>
        <v>0</v>
      </c>
      <c r="E972">
        <v>4</v>
      </c>
      <c r="F972" t="s">
        <v>199</v>
      </c>
    </row>
    <row r="973" spans="1:6">
      <c r="A973" t="str">
        <f t="shared" si="15"/>
        <v>GenericE&amp;DtemplateCIandGOA</v>
      </c>
      <c r="B973">
        <v>38</v>
      </c>
      <c r="C973">
        <v>10</v>
      </c>
      <c r="D973" s="649">
        <f ca="1">IF(E973=4,INDEX(crude_exp_dist,MATCH(B973,'Crude Exp Dist'!$B$6:$B$78,0),MATCH(C973,'Crude Exp Dist'!$AD$2:$BC$2,0))*INDEX(crude_exp_by_year,MATCH(B973,'Data Export'!$B$6:$B$78,0),1),IF(E973=5,INDEX(ref_exp_dist,MATCH(B973,'Refined Petro Exp Dist'!$B$6:$B$78,0),MATCH(C973,'Refined Petro Exp Dist'!$AD$2:$BC$2,0))*INDEX(ref_exp_by_year,MATCH(B973,'Data Export'!$B$6:$B$78,0),1)))</f>
        <v>0</v>
      </c>
      <c r="E973">
        <v>4</v>
      </c>
      <c r="F973" t="s">
        <v>201</v>
      </c>
    </row>
    <row r="974" spans="1:6">
      <c r="A974" t="str">
        <f t="shared" si="15"/>
        <v>GenericE&amp;DtemplateCIandGOA</v>
      </c>
      <c r="B974">
        <v>38</v>
      </c>
      <c r="C974">
        <v>11</v>
      </c>
      <c r="D974" s="649">
        <f ca="1">IF(E974=4,INDEX(crude_exp_dist,MATCH(B974,'Crude Exp Dist'!$B$6:$B$78,0),MATCH(C974,'Crude Exp Dist'!$AD$2:$BC$2,0))*INDEX(crude_exp_by_year,MATCH(B974,'Data Export'!$B$6:$B$78,0),1),IF(E974=5,INDEX(ref_exp_dist,MATCH(B974,'Refined Petro Exp Dist'!$B$6:$B$78,0),MATCH(C974,'Refined Petro Exp Dist'!$AD$2:$BC$2,0))*INDEX(ref_exp_by_year,MATCH(B974,'Data Export'!$B$6:$B$78,0),1)))</f>
        <v>0</v>
      </c>
      <c r="E974">
        <v>4</v>
      </c>
      <c r="F974" t="s">
        <v>921</v>
      </c>
    </row>
    <row r="975" spans="1:6">
      <c r="A975" t="str">
        <f t="shared" si="15"/>
        <v>GenericE&amp;DtemplateCIandGOA</v>
      </c>
      <c r="B975">
        <v>38</v>
      </c>
      <c r="C975">
        <v>12</v>
      </c>
      <c r="D975" s="649">
        <f ca="1">IF(E975=4,INDEX(crude_exp_dist,MATCH(B975,'Crude Exp Dist'!$B$6:$B$78,0),MATCH(C975,'Crude Exp Dist'!$AD$2:$BC$2,0))*INDEX(crude_exp_by_year,MATCH(B975,'Data Export'!$B$6:$B$78,0),1),IF(E975=5,INDEX(ref_exp_dist,MATCH(B975,'Refined Petro Exp Dist'!$B$6:$B$78,0),MATCH(C975,'Refined Petro Exp Dist'!$AD$2:$BC$2,0))*INDEX(ref_exp_by_year,MATCH(B975,'Data Export'!$B$6:$B$78,0),1)))</f>
        <v>0</v>
      </c>
      <c r="E975">
        <v>4</v>
      </c>
      <c r="F975" t="s">
        <v>208</v>
      </c>
    </row>
    <row r="976" spans="1:6">
      <c r="A976" t="str">
        <f t="shared" si="15"/>
        <v>GenericE&amp;DtemplateCIandGOA</v>
      </c>
      <c r="B976">
        <v>38</v>
      </c>
      <c r="C976">
        <v>13</v>
      </c>
      <c r="D976" s="649">
        <f ca="1">IF(E976=4,INDEX(crude_exp_dist,MATCH(B976,'Crude Exp Dist'!$B$6:$B$78,0),MATCH(C976,'Crude Exp Dist'!$AD$2:$BC$2,0))*INDEX(crude_exp_by_year,MATCH(B976,'Data Export'!$B$6:$B$78,0),1),IF(E976=5,INDEX(ref_exp_dist,MATCH(B976,'Refined Petro Exp Dist'!$B$6:$B$78,0),MATCH(C976,'Refined Petro Exp Dist'!$AD$2:$BC$2,0))*INDEX(ref_exp_by_year,MATCH(B976,'Data Export'!$B$6:$B$78,0),1)))</f>
        <v>0</v>
      </c>
      <c r="E976">
        <v>4</v>
      </c>
      <c r="F976" t="s">
        <v>211</v>
      </c>
    </row>
    <row r="977" spans="1:6">
      <c r="A977" t="str">
        <f t="shared" si="15"/>
        <v>GenericE&amp;DtemplateCIandGOA</v>
      </c>
      <c r="B977">
        <v>38</v>
      </c>
      <c r="C977">
        <v>14</v>
      </c>
      <c r="D977" s="649">
        <f ca="1">IF(E977=4,INDEX(crude_exp_dist,MATCH(B977,'Crude Exp Dist'!$B$6:$B$78,0),MATCH(C977,'Crude Exp Dist'!$AD$2:$BC$2,0))*INDEX(crude_exp_by_year,MATCH(B977,'Data Export'!$B$6:$B$78,0),1),IF(E977=5,INDEX(ref_exp_dist,MATCH(B977,'Refined Petro Exp Dist'!$B$6:$B$78,0),MATCH(C977,'Refined Petro Exp Dist'!$AD$2:$BC$2,0))*INDEX(ref_exp_by_year,MATCH(B977,'Data Export'!$B$6:$B$78,0),1)))</f>
        <v>0</v>
      </c>
      <c r="E977">
        <v>4</v>
      </c>
      <c r="F977" t="s">
        <v>213</v>
      </c>
    </row>
    <row r="978" spans="1:6">
      <c r="A978" t="str">
        <f t="shared" si="15"/>
        <v>GenericE&amp;DtemplateCIandGOA</v>
      </c>
      <c r="B978">
        <v>38</v>
      </c>
      <c r="C978">
        <v>15</v>
      </c>
      <c r="D978" s="649">
        <f ca="1">IF(E978=4,INDEX(crude_exp_dist,MATCH(B978,'Crude Exp Dist'!$B$6:$B$78,0),MATCH(C978,'Crude Exp Dist'!$AD$2:$BC$2,0))*INDEX(crude_exp_by_year,MATCH(B978,'Data Export'!$B$6:$B$78,0),1),IF(E978=5,INDEX(ref_exp_dist,MATCH(B978,'Refined Petro Exp Dist'!$B$6:$B$78,0),MATCH(C978,'Refined Petro Exp Dist'!$AD$2:$BC$2,0))*INDEX(ref_exp_by_year,MATCH(B978,'Data Export'!$B$6:$B$78,0),1)))</f>
        <v>0</v>
      </c>
      <c r="E978">
        <v>4</v>
      </c>
      <c r="F978" t="s">
        <v>215</v>
      </c>
    </row>
    <row r="979" spans="1:6">
      <c r="A979" t="str">
        <f t="shared" si="15"/>
        <v>GenericE&amp;DtemplateCIandGOA</v>
      </c>
      <c r="B979">
        <v>38</v>
      </c>
      <c r="C979">
        <v>16</v>
      </c>
      <c r="D979" s="649">
        <f ca="1">IF(E979=4,INDEX(crude_exp_dist,MATCH(B979,'Crude Exp Dist'!$B$6:$B$78,0),MATCH(C979,'Crude Exp Dist'!$AD$2:$BC$2,0))*INDEX(crude_exp_by_year,MATCH(B979,'Data Export'!$B$6:$B$78,0),1),IF(E979=5,INDEX(ref_exp_dist,MATCH(B979,'Refined Petro Exp Dist'!$B$6:$B$78,0),MATCH(C979,'Refined Petro Exp Dist'!$AD$2:$BC$2,0))*INDEX(ref_exp_by_year,MATCH(B979,'Data Export'!$B$6:$B$78,0),1)))</f>
        <v>0</v>
      </c>
      <c r="E979">
        <v>4</v>
      </c>
      <c r="F979" t="s">
        <v>219</v>
      </c>
    </row>
    <row r="980" spans="1:6">
      <c r="A980" t="str">
        <f t="shared" si="15"/>
        <v>GenericE&amp;DtemplateCIandGOA</v>
      </c>
      <c r="B980">
        <v>38</v>
      </c>
      <c r="C980">
        <v>17</v>
      </c>
      <c r="D980" s="649">
        <f ca="1">IF(E980=4,INDEX(crude_exp_dist,MATCH(B980,'Crude Exp Dist'!$B$6:$B$78,0),MATCH(C980,'Crude Exp Dist'!$AD$2:$BC$2,0))*INDEX(crude_exp_by_year,MATCH(B980,'Data Export'!$B$6:$B$78,0),1),IF(E980=5,INDEX(ref_exp_dist,MATCH(B980,'Refined Petro Exp Dist'!$B$6:$B$78,0),MATCH(C980,'Refined Petro Exp Dist'!$AD$2:$BC$2,0))*INDEX(ref_exp_by_year,MATCH(B980,'Data Export'!$B$6:$B$78,0),1)))</f>
        <v>0</v>
      </c>
      <c r="E980">
        <v>4</v>
      </c>
      <c r="F980" t="s">
        <v>222</v>
      </c>
    </row>
    <row r="981" spans="1:6">
      <c r="A981" t="str">
        <f t="shared" si="15"/>
        <v>GenericE&amp;DtemplateCIandGOA</v>
      </c>
      <c r="B981">
        <v>38</v>
      </c>
      <c r="C981">
        <v>18</v>
      </c>
      <c r="D981" s="649">
        <f ca="1">IF(E981=4,INDEX(crude_exp_dist,MATCH(B981,'Crude Exp Dist'!$B$6:$B$78,0),MATCH(C981,'Crude Exp Dist'!$AD$2:$BC$2,0))*INDEX(crude_exp_by_year,MATCH(B981,'Data Export'!$B$6:$B$78,0),1),IF(E981=5,INDEX(ref_exp_dist,MATCH(B981,'Refined Petro Exp Dist'!$B$6:$B$78,0),MATCH(C981,'Refined Petro Exp Dist'!$AD$2:$BC$2,0))*INDEX(ref_exp_by_year,MATCH(B981,'Data Export'!$B$6:$B$78,0),1)))</f>
        <v>0</v>
      </c>
      <c r="E981">
        <v>4</v>
      </c>
      <c r="F981" t="s">
        <v>224</v>
      </c>
    </row>
    <row r="982" spans="1:6">
      <c r="A982" t="str">
        <f t="shared" si="15"/>
        <v>GenericE&amp;DtemplateCIandGOA</v>
      </c>
      <c r="B982">
        <v>38</v>
      </c>
      <c r="C982">
        <v>19</v>
      </c>
      <c r="D982" s="649">
        <f ca="1">IF(E982=4,INDEX(crude_exp_dist,MATCH(B982,'Crude Exp Dist'!$B$6:$B$78,0),MATCH(C982,'Crude Exp Dist'!$AD$2:$BC$2,0))*INDEX(crude_exp_by_year,MATCH(B982,'Data Export'!$B$6:$B$78,0),1),IF(E982=5,INDEX(ref_exp_dist,MATCH(B982,'Refined Petro Exp Dist'!$B$6:$B$78,0),MATCH(C982,'Refined Petro Exp Dist'!$AD$2:$BC$2,0))*INDEX(ref_exp_by_year,MATCH(B982,'Data Export'!$B$6:$B$78,0),1)))</f>
        <v>0</v>
      </c>
      <c r="E982">
        <v>4</v>
      </c>
      <c r="F982" t="s">
        <v>228</v>
      </c>
    </row>
    <row r="983" spans="1:6">
      <c r="A983" t="str">
        <f t="shared" si="15"/>
        <v>GenericE&amp;DtemplateCIandGOA</v>
      </c>
      <c r="B983">
        <v>38</v>
      </c>
      <c r="C983">
        <v>20</v>
      </c>
      <c r="D983" s="649">
        <f ca="1">IF(E983=4,INDEX(crude_exp_dist,MATCH(B983,'Crude Exp Dist'!$B$6:$B$78,0),MATCH(C983,'Crude Exp Dist'!$AD$2:$BC$2,0))*INDEX(crude_exp_by_year,MATCH(B983,'Data Export'!$B$6:$B$78,0),1),IF(E983=5,INDEX(ref_exp_dist,MATCH(B983,'Refined Petro Exp Dist'!$B$6:$B$78,0),MATCH(C983,'Refined Petro Exp Dist'!$AD$2:$BC$2,0))*INDEX(ref_exp_by_year,MATCH(B983,'Data Export'!$B$6:$B$78,0),1)))</f>
        <v>0</v>
      </c>
      <c r="E983">
        <v>4</v>
      </c>
      <c r="F983" t="s">
        <v>231</v>
      </c>
    </row>
    <row r="984" spans="1:6">
      <c r="A984" t="str">
        <f t="shared" si="15"/>
        <v>GenericE&amp;DtemplateCIandGOA</v>
      </c>
      <c r="B984">
        <v>38</v>
      </c>
      <c r="C984">
        <v>21</v>
      </c>
      <c r="D984" s="649">
        <f ca="1">IF(E984=4,INDEX(crude_exp_dist,MATCH(B984,'Crude Exp Dist'!$B$6:$B$78,0),MATCH(C984,'Crude Exp Dist'!$AD$2:$BC$2,0))*INDEX(crude_exp_by_year,MATCH(B984,'Data Export'!$B$6:$B$78,0),1),IF(E984=5,INDEX(ref_exp_dist,MATCH(B984,'Refined Petro Exp Dist'!$B$6:$B$78,0),MATCH(C984,'Refined Petro Exp Dist'!$AD$2:$BC$2,0))*INDEX(ref_exp_by_year,MATCH(B984,'Data Export'!$B$6:$B$78,0),1)))</f>
        <v>0</v>
      </c>
      <c r="E984">
        <v>4</v>
      </c>
      <c r="F984" t="s">
        <v>232</v>
      </c>
    </row>
    <row r="985" spans="1:6">
      <c r="A985" t="str">
        <f t="shared" si="15"/>
        <v>GenericE&amp;DtemplateCIandGOA</v>
      </c>
      <c r="B985">
        <v>38</v>
      </c>
      <c r="C985">
        <v>22</v>
      </c>
      <c r="D985" s="649">
        <f ca="1">IF(E985=4,INDEX(crude_exp_dist,MATCH(B985,'Crude Exp Dist'!$B$6:$B$78,0),MATCH(C985,'Crude Exp Dist'!$AD$2:$BC$2,0))*INDEX(crude_exp_by_year,MATCH(B985,'Data Export'!$B$6:$B$78,0),1),IF(E985=5,INDEX(ref_exp_dist,MATCH(B985,'Refined Petro Exp Dist'!$B$6:$B$78,0),MATCH(C985,'Refined Petro Exp Dist'!$AD$2:$BC$2,0))*INDEX(ref_exp_by_year,MATCH(B985,'Data Export'!$B$6:$B$78,0),1)))</f>
        <v>0</v>
      </c>
      <c r="E985">
        <v>4</v>
      </c>
      <c r="F985" t="s">
        <v>235</v>
      </c>
    </row>
    <row r="986" spans="1:6">
      <c r="A986" t="str">
        <f t="shared" si="15"/>
        <v>GenericE&amp;DtemplateCIandGOA</v>
      </c>
      <c r="B986">
        <v>38</v>
      </c>
      <c r="C986">
        <v>23</v>
      </c>
      <c r="D986" s="649">
        <f ca="1">IF(E986=4,INDEX(crude_exp_dist,MATCH(B986,'Crude Exp Dist'!$B$6:$B$78,0),MATCH(C986,'Crude Exp Dist'!$AD$2:$BC$2,0))*INDEX(crude_exp_by_year,MATCH(B986,'Data Export'!$B$6:$B$78,0),1),IF(E986=5,INDEX(ref_exp_dist,MATCH(B986,'Refined Petro Exp Dist'!$B$6:$B$78,0),MATCH(C986,'Refined Petro Exp Dist'!$AD$2:$BC$2,0))*INDEX(ref_exp_by_year,MATCH(B986,'Data Export'!$B$6:$B$78,0),1)))</f>
        <v>0</v>
      </c>
      <c r="E986">
        <v>4</v>
      </c>
      <c r="F986" t="s">
        <v>237</v>
      </c>
    </row>
    <row r="987" spans="1:6">
      <c r="A987" t="str">
        <f t="shared" si="15"/>
        <v>GenericE&amp;DtemplateCIandGOA</v>
      </c>
      <c r="B987">
        <v>38</v>
      </c>
      <c r="C987">
        <v>24</v>
      </c>
      <c r="D987" s="649">
        <f ca="1">IF(E987=4,INDEX(crude_exp_dist,MATCH(B987,'Crude Exp Dist'!$B$6:$B$78,0),MATCH(C987,'Crude Exp Dist'!$AD$2:$BC$2,0))*INDEX(crude_exp_by_year,MATCH(B987,'Data Export'!$B$6:$B$78,0),1),IF(E987=5,INDEX(ref_exp_dist,MATCH(B987,'Refined Petro Exp Dist'!$B$6:$B$78,0),MATCH(C987,'Refined Petro Exp Dist'!$AD$2:$BC$2,0))*INDEX(ref_exp_by_year,MATCH(B987,'Data Export'!$B$6:$B$78,0),1)))</f>
        <v>0</v>
      </c>
      <c r="E987">
        <v>4</v>
      </c>
      <c r="F987" t="s">
        <v>239</v>
      </c>
    </row>
    <row r="988" spans="1:6">
      <c r="A988" t="str">
        <f t="shared" si="15"/>
        <v>GenericE&amp;DtemplateCIandGOA</v>
      </c>
      <c r="B988">
        <v>38</v>
      </c>
      <c r="C988">
        <v>25</v>
      </c>
      <c r="D988" s="649">
        <f ca="1">IF(E988=4,INDEX(crude_exp_dist,MATCH(B988,'Crude Exp Dist'!$B$6:$B$78,0),MATCH(C988,'Crude Exp Dist'!$AD$2:$BC$2,0))*INDEX(crude_exp_by_year,MATCH(B988,'Data Export'!$B$6:$B$78,0),1),IF(E988=5,INDEX(ref_exp_dist,MATCH(B988,'Refined Petro Exp Dist'!$B$6:$B$78,0),MATCH(C988,'Refined Petro Exp Dist'!$AD$2:$BC$2,0))*INDEX(ref_exp_by_year,MATCH(B988,'Data Export'!$B$6:$B$78,0),1)))</f>
        <v>0</v>
      </c>
      <c r="E988">
        <v>4</v>
      </c>
      <c r="F988" t="s">
        <v>242</v>
      </c>
    </row>
    <row r="989" spans="1:6">
      <c r="A989" t="str">
        <f t="shared" si="15"/>
        <v>GenericE&amp;DtemplateCIandGOA</v>
      </c>
      <c r="B989">
        <v>38</v>
      </c>
      <c r="C989">
        <v>26</v>
      </c>
      <c r="D989" s="649">
        <f ca="1">IF(E989=4,INDEX(crude_exp_dist,MATCH(B989,'Crude Exp Dist'!$B$6:$B$78,0),MATCH(C989,'Crude Exp Dist'!$AD$2:$BC$2,0))*INDEX(crude_exp_by_year,MATCH(B989,'Data Export'!$B$6:$B$78,0),1),IF(E989=5,INDEX(ref_exp_dist,MATCH(B989,'Refined Petro Exp Dist'!$B$6:$B$78,0),MATCH(C989,'Refined Petro Exp Dist'!$AD$2:$BC$2,0))*INDEX(ref_exp_by_year,MATCH(B989,'Data Export'!$B$6:$B$78,0),1)))</f>
        <v>0</v>
      </c>
      <c r="E989">
        <v>4</v>
      </c>
      <c r="F989" t="s">
        <v>245</v>
      </c>
    </row>
    <row r="990" spans="1:6">
      <c r="A990" t="str">
        <f t="shared" si="15"/>
        <v>GenericE&amp;DtemplateCIandGOA</v>
      </c>
      <c r="B990">
        <v>39</v>
      </c>
      <c r="C990">
        <v>1</v>
      </c>
      <c r="D990" s="649">
        <f ca="1">IF(E990=4,INDEX(crude_exp_dist,MATCH(B990,'Crude Exp Dist'!$B$6:$B$78,0),MATCH(C990,'Crude Exp Dist'!$AD$2:$BC$2,0))*INDEX(crude_exp_by_year,MATCH(B990,'Data Export'!$B$6:$B$78,0),1),IF(E990=5,INDEX(ref_exp_dist,MATCH(B990,'Refined Petro Exp Dist'!$B$6:$B$78,0),MATCH(C990,'Refined Petro Exp Dist'!$AD$2:$BC$2,0))*INDEX(ref_exp_by_year,MATCH(B990,'Data Export'!$B$6:$B$78,0),1)))</f>
        <v>0</v>
      </c>
      <c r="E990">
        <v>4</v>
      </c>
      <c r="F990" t="s">
        <v>158</v>
      </c>
    </row>
    <row r="991" spans="1:6">
      <c r="A991" t="str">
        <f t="shared" si="15"/>
        <v>GenericE&amp;DtemplateCIandGOA</v>
      </c>
      <c r="B991">
        <v>39</v>
      </c>
      <c r="C991">
        <v>2</v>
      </c>
      <c r="D991" s="649">
        <f ca="1">IF(E991=4,INDEX(crude_exp_dist,MATCH(B991,'Crude Exp Dist'!$B$6:$B$78,0),MATCH(C991,'Crude Exp Dist'!$AD$2:$BC$2,0))*INDEX(crude_exp_by_year,MATCH(B991,'Data Export'!$B$6:$B$78,0),1),IF(E991=5,INDEX(ref_exp_dist,MATCH(B991,'Refined Petro Exp Dist'!$B$6:$B$78,0),MATCH(C991,'Refined Petro Exp Dist'!$AD$2:$BC$2,0))*INDEX(ref_exp_by_year,MATCH(B991,'Data Export'!$B$6:$B$78,0),1)))</f>
        <v>0</v>
      </c>
      <c r="E991">
        <v>4</v>
      </c>
      <c r="F991" t="s">
        <v>166</v>
      </c>
    </row>
    <row r="992" spans="1:6">
      <c r="A992" t="str">
        <f t="shared" si="15"/>
        <v>GenericE&amp;DtemplateCIandGOA</v>
      </c>
      <c r="B992">
        <v>39</v>
      </c>
      <c r="C992">
        <v>3</v>
      </c>
      <c r="D992" s="649">
        <f ca="1">IF(E992=4,INDEX(crude_exp_dist,MATCH(B992,'Crude Exp Dist'!$B$6:$B$78,0),MATCH(C992,'Crude Exp Dist'!$AD$2:$BC$2,0))*INDEX(crude_exp_by_year,MATCH(B992,'Data Export'!$B$6:$B$78,0),1),IF(E992=5,INDEX(ref_exp_dist,MATCH(B992,'Refined Petro Exp Dist'!$B$6:$B$78,0),MATCH(C992,'Refined Petro Exp Dist'!$AD$2:$BC$2,0))*INDEX(ref_exp_by_year,MATCH(B992,'Data Export'!$B$6:$B$78,0),1)))</f>
        <v>0</v>
      </c>
      <c r="E992">
        <v>4</v>
      </c>
      <c r="F992" t="s">
        <v>171</v>
      </c>
    </row>
    <row r="993" spans="1:6">
      <c r="A993" t="str">
        <f t="shared" si="15"/>
        <v>GenericE&amp;DtemplateCIandGOA</v>
      </c>
      <c r="B993">
        <v>39</v>
      </c>
      <c r="C993">
        <v>4</v>
      </c>
      <c r="D993" s="649">
        <f ca="1">IF(E993=4,INDEX(crude_exp_dist,MATCH(B993,'Crude Exp Dist'!$B$6:$B$78,0),MATCH(C993,'Crude Exp Dist'!$AD$2:$BC$2,0))*INDEX(crude_exp_by_year,MATCH(B993,'Data Export'!$B$6:$B$78,0),1),IF(E993=5,INDEX(ref_exp_dist,MATCH(B993,'Refined Petro Exp Dist'!$B$6:$B$78,0),MATCH(C993,'Refined Petro Exp Dist'!$AD$2:$BC$2,0))*INDEX(ref_exp_by_year,MATCH(B993,'Data Export'!$B$6:$B$78,0),1)))</f>
        <v>0</v>
      </c>
      <c r="E993">
        <v>4</v>
      </c>
      <c r="F993" t="s">
        <v>173</v>
      </c>
    </row>
    <row r="994" spans="1:6">
      <c r="A994" t="str">
        <f t="shared" si="15"/>
        <v>GenericE&amp;DtemplateCIandGOA</v>
      </c>
      <c r="B994">
        <v>39</v>
      </c>
      <c r="C994">
        <v>5</v>
      </c>
      <c r="D994" s="649">
        <f ca="1">IF(E994=4,INDEX(crude_exp_dist,MATCH(B994,'Crude Exp Dist'!$B$6:$B$78,0),MATCH(C994,'Crude Exp Dist'!$AD$2:$BC$2,0))*INDEX(crude_exp_by_year,MATCH(B994,'Data Export'!$B$6:$B$78,0),1),IF(E994=5,INDEX(ref_exp_dist,MATCH(B994,'Refined Petro Exp Dist'!$B$6:$B$78,0),MATCH(C994,'Refined Petro Exp Dist'!$AD$2:$BC$2,0))*INDEX(ref_exp_by_year,MATCH(B994,'Data Export'!$B$6:$B$78,0),1)))</f>
        <v>0</v>
      </c>
      <c r="E994">
        <v>4</v>
      </c>
      <c r="F994" t="s">
        <v>180</v>
      </c>
    </row>
    <row r="995" spans="1:6">
      <c r="A995" t="str">
        <f t="shared" si="15"/>
        <v>GenericE&amp;DtemplateCIandGOA</v>
      </c>
      <c r="B995">
        <v>39</v>
      </c>
      <c r="C995">
        <v>6</v>
      </c>
      <c r="D995" s="649">
        <f ca="1">IF(E995=4,INDEX(crude_exp_dist,MATCH(B995,'Crude Exp Dist'!$B$6:$B$78,0),MATCH(C995,'Crude Exp Dist'!$AD$2:$BC$2,0))*INDEX(crude_exp_by_year,MATCH(B995,'Data Export'!$B$6:$B$78,0),1),IF(E995=5,INDEX(ref_exp_dist,MATCH(B995,'Refined Petro Exp Dist'!$B$6:$B$78,0),MATCH(C995,'Refined Petro Exp Dist'!$AD$2:$BC$2,0))*INDEX(ref_exp_by_year,MATCH(B995,'Data Export'!$B$6:$B$78,0),1)))</f>
        <v>0</v>
      </c>
      <c r="E995">
        <v>4</v>
      </c>
      <c r="F995" t="s">
        <v>186</v>
      </c>
    </row>
    <row r="996" spans="1:6">
      <c r="A996" t="str">
        <f t="shared" si="15"/>
        <v>GenericE&amp;DtemplateCIandGOA</v>
      </c>
      <c r="B996">
        <v>39</v>
      </c>
      <c r="C996">
        <v>7</v>
      </c>
      <c r="D996" s="649">
        <f ca="1">IF(E996=4,INDEX(crude_exp_dist,MATCH(B996,'Crude Exp Dist'!$B$6:$B$78,0),MATCH(C996,'Crude Exp Dist'!$AD$2:$BC$2,0))*INDEX(crude_exp_by_year,MATCH(B996,'Data Export'!$B$6:$B$78,0),1),IF(E996=5,INDEX(ref_exp_dist,MATCH(B996,'Refined Petro Exp Dist'!$B$6:$B$78,0),MATCH(C996,'Refined Petro Exp Dist'!$AD$2:$BC$2,0))*INDEX(ref_exp_by_year,MATCH(B996,'Data Export'!$B$6:$B$78,0),1)))</f>
        <v>0</v>
      </c>
      <c r="E996">
        <v>4</v>
      </c>
      <c r="F996" t="s">
        <v>191</v>
      </c>
    </row>
    <row r="997" spans="1:6">
      <c r="A997" t="str">
        <f t="shared" si="15"/>
        <v>GenericE&amp;DtemplateCIandGOA</v>
      </c>
      <c r="B997">
        <v>39</v>
      </c>
      <c r="C997">
        <v>8</v>
      </c>
      <c r="D997" s="649">
        <f ca="1">IF(E997=4,INDEX(crude_exp_dist,MATCH(B997,'Crude Exp Dist'!$B$6:$B$78,0),MATCH(C997,'Crude Exp Dist'!$AD$2:$BC$2,0))*INDEX(crude_exp_by_year,MATCH(B997,'Data Export'!$B$6:$B$78,0),1),IF(E997=5,INDEX(ref_exp_dist,MATCH(B997,'Refined Petro Exp Dist'!$B$6:$B$78,0),MATCH(C997,'Refined Petro Exp Dist'!$AD$2:$BC$2,0))*INDEX(ref_exp_by_year,MATCH(B997,'Data Export'!$B$6:$B$78,0),1)))</f>
        <v>0</v>
      </c>
      <c r="E997">
        <v>4</v>
      </c>
      <c r="F997" t="s">
        <v>197</v>
      </c>
    </row>
    <row r="998" spans="1:6">
      <c r="A998" t="str">
        <f t="shared" si="15"/>
        <v>GenericE&amp;DtemplateCIandGOA</v>
      </c>
      <c r="B998">
        <v>39</v>
      </c>
      <c r="C998">
        <v>9</v>
      </c>
      <c r="D998" s="649">
        <f ca="1">IF(E998=4,INDEX(crude_exp_dist,MATCH(B998,'Crude Exp Dist'!$B$6:$B$78,0),MATCH(C998,'Crude Exp Dist'!$AD$2:$BC$2,0))*INDEX(crude_exp_by_year,MATCH(B998,'Data Export'!$B$6:$B$78,0),1),IF(E998=5,INDEX(ref_exp_dist,MATCH(B998,'Refined Petro Exp Dist'!$B$6:$B$78,0),MATCH(C998,'Refined Petro Exp Dist'!$AD$2:$BC$2,0))*INDEX(ref_exp_by_year,MATCH(B998,'Data Export'!$B$6:$B$78,0),1)))</f>
        <v>0</v>
      </c>
      <c r="E998">
        <v>4</v>
      </c>
      <c r="F998" t="s">
        <v>199</v>
      </c>
    </row>
    <row r="999" spans="1:6">
      <c r="A999" t="str">
        <f t="shared" si="15"/>
        <v>GenericE&amp;DtemplateCIandGOA</v>
      </c>
      <c r="B999">
        <v>39</v>
      </c>
      <c r="C999">
        <v>10</v>
      </c>
      <c r="D999" s="649">
        <f ca="1">IF(E999=4,INDEX(crude_exp_dist,MATCH(B999,'Crude Exp Dist'!$B$6:$B$78,0),MATCH(C999,'Crude Exp Dist'!$AD$2:$BC$2,0))*INDEX(crude_exp_by_year,MATCH(B999,'Data Export'!$B$6:$B$78,0),1),IF(E999=5,INDEX(ref_exp_dist,MATCH(B999,'Refined Petro Exp Dist'!$B$6:$B$78,0),MATCH(C999,'Refined Petro Exp Dist'!$AD$2:$BC$2,0))*INDEX(ref_exp_by_year,MATCH(B999,'Data Export'!$B$6:$B$78,0),1)))</f>
        <v>0</v>
      </c>
      <c r="E999">
        <v>4</v>
      </c>
      <c r="F999" t="s">
        <v>201</v>
      </c>
    </row>
    <row r="1000" spans="1:6">
      <c r="A1000" t="str">
        <f t="shared" si="15"/>
        <v>GenericE&amp;DtemplateCIandGOA</v>
      </c>
      <c r="B1000">
        <v>39</v>
      </c>
      <c r="C1000">
        <v>11</v>
      </c>
      <c r="D1000" s="649">
        <f ca="1">IF(E1000=4,INDEX(crude_exp_dist,MATCH(B1000,'Crude Exp Dist'!$B$6:$B$78,0),MATCH(C1000,'Crude Exp Dist'!$AD$2:$BC$2,0))*INDEX(crude_exp_by_year,MATCH(B1000,'Data Export'!$B$6:$B$78,0),1),IF(E1000=5,INDEX(ref_exp_dist,MATCH(B1000,'Refined Petro Exp Dist'!$B$6:$B$78,0),MATCH(C1000,'Refined Petro Exp Dist'!$AD$2:$BC$2,0))*INDEX(ref_exp_by_year,MATCH(B1000,'Data Export'!$B$6:$B$78,0),1)))</f>
        <v>0</v>
      </c>
      <c r="E1000">
        <v>4</v>
      </c>
      <c r="F1000" t="s">
        <v>921</v>
      </c>
    </row>
    <row r="1001" spans="1:6">
      <c r="A1001" t="str">
        <f t="shared" si="15"/>
        <v>GenericE&amp;DtemplateCIandGOA</v>
      </c>
      <c r="B1001">
        <v>39</v>
      </c>
      <c r="C1001">
        <v>12</v>
      </c>
      <c r="D1001" s="649">
        <f ca="1">IF(E1001=4,INDEX(crude_exp_dist,MATCH(B1001,'Crude Exp Dist'!$B$6:$B$78,0),MATCH(C1001,'Crude Exp Dist'!$AD$2:$BC$2,0))*INDEX(crude_exp_by_year,MATCH(B1001,'Data Export'!$B$6:$B$78,0),1),IF(E1001=5,INDEX(ref_exp_dist,MATCH(B1001,'Refined Petro Exp Dist'!$B$6:$B$78,0),MATCH(C1001,'Refined Petro Exp Dist'!$AD$2:$BC$2,0))*INDEX(ref_exp_by_year,MATCH(B1001,'Data Export'!$B$6:$B$78,0),1)))</f>
        <v>0</v>
      </c>
      <c r="E1001">
        <v>4</v>
      </c>
      <c r="F1001" t="s">
        <v>208</v>
      </c>
    </row>
    <row r="1002" spans="1:6">
      <c r="A1002" t="str">
        <f t="shared" si="15"/>
        <v>GenericE&amp;DtemplateCIandGOA</v>
      </c>
      <c r="B1002">
        <v>39</v>
      </c>
      <c r="C1002">
        <v>13</v>
      </c>
      <c r="D1002" s="649">
        <f ca="1">IF(E1002=4,INDEX(crude_exp_dist,MATCH(B1002,'Crude Exp Dist'!$B$6:$B$78,0),MATCH(C1002,'Crude Exp Dist'!$AD$2:$BC$2,0))*INDEX(crude_exp_by_year,MATCH(B1002,'Data Export'!$B$6:$B$78,0),1),IF(E1002=5,INDEX(ref_exp_dist,MATCH(B1002,'Refined Petro Exp Dist'!$B$6:$B$78,0),MATCH(C1002,'Refined Petro Exp Dist'!$AD$2:$BC$2,0))*INDEX(ref_exp_by_year,MATCH(B1002,'Data Export'!$B$6:$B$78,0),1)))</f>
        <v>0</v>
      </c>
      <c r="E1002">
        <v>4</v>
      </c>
      <c r="F1002" t="s">
        <v>211</v>
      </c>
    </row>
    <row r="1003" spans="1:6">
      <c r="A1003" t="str">
        <f t="shared" si="15"/>
        <v>GenericE&amp;DtemplateCIandGOA</v>
      </c>
      <c r="B1003">
        <v>39</v>
      </c>
      <c r="C1003">
        <v>14</v>
      </c>
      <c r="D1003" s="649">
        <f ca="1">IF(E1003=4,INDEX(crude_exp_dist,MATCH(B1003,'Crude Exp Dist'!$B$6:$B$78,0),MATCH(C1003,'Crude Exp Dist'!$AD$2:$BC$2,0))*INDEX(crude_exp_by_year,MATCH(B1003,'Data Export'!$B$6:$B$78,0),1),IF(E1003=5,INDEX(ref_exp_dist,MATCH(B1003,'Refined Petro Exp Dist'!$B$6:$B$78,0),MATCH(C1003,'Refined Petro Exp Dist'!$AD$2:$BC$2,0))*INDEX(ref_exp_by_year,MATCH(B1003,'Data Export'!$B$6:$B$78,0),1)))</f>
        <v>0</v>
      </c>
      <c r="E1003">
        <v>4</v>
      </c>
      <c r="F1003" t="s">
        <v>213</v>
      </c>
    </row>
    <row r="1004" spans="1:6">
      <c r="A1004" t="str">
        <f t="shared" si="15"/>
        <v>GenericE&amp;DtemplateCIandGOA</v>
      </c>
      <c r="B1004">
        <v>39</v>
      </c>
      <c r="C1004">
        <v>15</v>
      </c>
      <c r="D1004" s="649">
        <f ca="1">IF(E1004=4,INDEX(crude_exp_dist,MATCH(B1004,'Crude Exp Dist'!$B$6:$B$78,0),MATCH(C1004,'Crude Exp Dist'!$AD$2:$BC$2,0))*INDEX(crude_exp_by_year,MATCH(B1004,'Data Export'!$B$6:$B$78,0),1),IF(E1004=5,INDEX(ref_exp_dist,MATCH(B1004,'Refined Petro Exp Dist'!$B$6:$B$78,0),MATCH(C1004,'Refined Petro Exp Dist'!$AD$2:$BC$2,0))*INDEX(ref_exp_by_year,MATCH(B1004,'Data Export'!$B$6:$B$78,0),1)))</f>
        <v>0</v>
      </c>
      <c r="E1004">
        <v>4</v>
      </c>
      <c r="F1004" t="s">
        <v>215</v>
      </c>
    </row>
    <row r="1005" spans="1:6">
      <c r="A1005" t="str">
        <f t="shared" si="15"/>
        <v>GenericE&amp;DtemplateCIandGOA</v>
      </c>
      <c r="B1005">
        <v>39</v>
      </c>
      <c r="C1005">
        <v>16</v>
      </c>
      <c r="D1005" s="649">
        <f ca="1">IF(E1005=4,INDEX(crude_exp_dist,MATCH(B1005,'Crude Exp Dist'!$B$6:$B$78,0),MATCH(C1005,'Crude Exp Dist'!$AD$2:$BC$2,0))*INDEX(crude_exp_by_year,MATCH(B1005,'Data Export'!$B$6:$B$78,0),1),IF(E1005=5,INDEX(ref_exp_dist,MATCH(B1005,'Refined Petro Exp Dist'!$B$6:$B$78,0),MATCH(C1005,'Refined Petro Exp Dist'!$AD$2:$BC$2,0))*INDEX(ref_exp_by_year,MATCH(B1005,'Data Export'!$B$6:$B$78,0),1)))</f>
        <v>0</v>
      </c>
      <c r="E1005">
        <v>4</v>
      </c>
      <c r="F1005" t="s">
        <v>219</v>
      </c>
    </row>
    <row r="1006" spans="1:6">
      <c r="A1006" t="str">
        <f t="shared" si="15"/>
        <v>GenericE&amp;DtemplateCIandGOA</v>
      </c>
      <c r="B1006">
        <v>39</v>
      </c>
      <c r="C1006">
        <v>17</v>
      </c>
      <c r="D1006" s="649">
        <f ca="1">IF(E1006=4,INDEX(crude_exp_dist,MATCH(B1006,'Crude Exp Dist'!$B$6:$B$78,0),MATCH(C1006,'Crude Exp Dist'!$AD$2:$BC$2,0))*INDEX(crude_exp_by_year,MATCH(B1006,'Data Export'!$B$6:$B$78,0),1),IF(E1006=5,INDEX(ref_exp_dist,MATCH(B1006,'Refined Petro Exp Dist'!$B$6:$B$78,0),MATCH(C1006,'Refined Petro Exp Dist'!$AD$2:$BC$2,0))*INDEX(ref_exp_by_year,MATCH(B1006,'Data Export'!$B$6:$B$78,0),1)))</f>
        <v>0</v>
      </c>
      <c r="E1006">
        <v>4</v>
      </c>
      <c r="F1006" t="s">
        <v>222</v>
      </c>
    </row>
    <row r="1007" spans="1:6">
      <c r="A1007" t="str">
        <f t="shared" si="15"/>
        <v>GenericE&amp;DtemplateCIandGOA</v>
      </c>
      <c r="B1007">
        <v>39</v>
      </c>
      <c r="C1007">
        <v>18</v>
      </c>
      <c r="D1007" s="649">
        <f ca="1">IF(E1007=4,INDEX(crude_exp_dist,MATCH(B1007,'Crude Exp Dist'!$B$6:$B$78,0),MATCH(C1007,'Crude Exp Dist'!$AD$2:$BC$2,0))*INDEX(crude_exp_by_year,MATCH(B1007,'Data Export'!$B$6:$B$78,0),1),IF(E1007=5,INDEX(ref_exp_dist,MATCH(B1007,'Refined Petro Exp Dist'!$B$6:$B$78,0),MATCH(C1007,'Refined Petro Exp Dist'!$AD$2:$BC$2,0))*INDEX(ref_exp_by_year,MATCH(B1007,'Data Export'!$B$6:$B$78,0),1)))</f>
        <v>0</v>
      </c>
      <c r="E1007">
        <v>4</v>
      </c>
      <c r="F1007" t="s">
        <v>224</v>
      </c>
    </row>
    <row r="1008" spans="1:6">
      <c r="A1008" t="str">
        <f t="shared" si="15"/>
        <v>GenericE&amp;DtemplateCIandGOA</v>
      </c>
      <c r="B1008">
        <v>39</v>
      </c>
      <c r="C1008">
        <v>19</v>
      </c>
      <c r="D1008" s="649">
        <f ca="1">IF(E1008=4,INDEX(crude_exp_dist,MATCH(B1008,'Crude Exp Dist'!$B$6:$B$78,0),MATCH(C1008,'Crude Exp Dist'!$AD$2:$BC$2,0))*INDEX(crude_exp_by_year,MATCH(B1008,'Data Export'!$B$6:$B$78,0),1),IF(E1008=5,INDEX(ref_exp_dist,MATCH(B1008,'Refined Petro Exp Dist'!$B$6:$B$78,0),MATCH(C1008,'Refined Petro Exp Dist'!$AD$2:$BC$2,0))*INDEX(ref_exp_by_year,MATCH(B1008,'Data Export'!$B$6:$B$78,0),1)))</f>
        <v>0</v>
      </c>
      <c r="E1008">
        <v>4</v>
      </c>
      <c r="F1008" t="s">
        <v>228</v>
      </c>
    </row>
    <row r="1009" spans="1:6">
      <c r="A1009" t="str">
        <f t="shared" si="15"/>
        <v>GenericE&amp;DtemplateCIandGOA</v>
      </c>
      <c r="B1009">
        <v>39</v>
      </c>
      <c r="C1009">
        <v>20</v>
      </c>
      <c r="D1009" s="649">
        <f ca="1">IF(E1009=4,INDEX(crude_exp_dist,MATCH(B1009,'Crude Exp Dist'!$B$6:$B$78,0),MATCH(C1009,'Crude Exp Dist'!$AD$2:$BC$2,0))*INDEX(crude_exp_by_year,MATCH(B1009,'Data Export'!$B$6:$B$78,0),1),IF(E1009=5,INDEX(ref_exp_dist,MATCH(B1009,'Refined Petro Exp Dist'!$B$6:$B$78,0),MATCH(C1009,'Refined Petro Exp Dist'!$AD$2:$BC$2,0))*INDEX(ref_exp_by_year,MATCH(B1009,'Data Export'!$B$6:$B$78,0),1)))</f>
        <v>0</v>
      </c>
      <c r="E1009">
        <v>4</v>
      </c>
      <c r="F1009" t="s">
        <v>231</v>
      </c>
    </row>
    <row r="1010" spans="1:6">
      <c r="A1010" t="str">
        <f t="shared" si="15"/>
        <v>GenericE&amp;DtemplateCIandGOA</v>
      </c>
      <c r="B1010">
        <v>39</v>
      </c>
      <c r="C1010">
        <v>21</v>
      </c>
      <c r="D1010" s="649">
        <f ca="1">IF(E1010=4,INDEX(crude_exp_dist,MATCH(B1010,'Crude Exp Dist'!$B$6:$B$78,0),MATCH(C1010,'Crude Exp Dist'!$AD$2:$BC$2,0))*INDEX(crude_exp_by_year,MATCH(B1010,'Data Export'!$B$6:$B$78,0),1),IF(E1010=5,INDEX(ref_exp_dist,MATCH(B1010,'Refined Petro Exp Dist'!$B$6:$B$78,0),MATCH(C1010,'Refined Petro Exp Dist'!$AD$2:$BC$2,0))*INDEX(ref_exp_by_year,MATCH(B1010,'Data Export'!$B$6:$B$78,0),1)))</f>
        <v>0</v>
      </c>
      <c r="E1010">
        <v>4</v>
      </c>
      <c r="F1010" t="s">
        <v>232</v>
      </c>
    </row>
    <row r="1011" spans="1:6">
      <c r="A1011" t="str">
        <f t="shared" si="15"/>
        <v>GenericE&amp;DtemplateCIandGOA</v>
      </c>
      <c r="B1011">
        <v>39</v>
      </c>
      <c r="C1011">
        <v>22</v>
      </c>
      <c r="D1011" s="649">
        <f ca="1">IF(E1011=4,INDEX(crude_exp_dist,MATCH(B1011,'Crude Exp Dist'!$B$6:$B$78,0),MATCH(C1011,'Crude Exp Dist'!$AD$2:$BC$2,0))*INDEX(crude_exp_by_year,MATCH(B1011,'Data Export'!$B$6:$B$78,0),1),IF(E1011=5,INDEX(ref_exp_dist,MATCH(B1011,'Refined Petro Exp Dist'!$B$6:$B$78,0),MATCH(C1011,'Refined Petro Exp Dist'!$AD$2:$BC$2,0))*INDEX(ref_exp_by_year,MATCH(B1011,'Data Export'!$B$6:$B$78,0),1)))</f>
        <v>0</v>
      </c>
      <c r="E1011">
        <v>4</v>
      </c>
      <c r="F1011" t="s">
        <v>235</v>
      </c>
    </row>
    <row r="1012" spans="1:6">
      <c r="A1012" t="str">
        <f t="shared" si="15"/>
        <v>GenericE&amp;DtemplateCIandGOA</v>
      </c>
      <c r="B1012">
        <v>39</v>
      </c>
      <c r="C1012">
        <v>23</v>
      </c>
      <c r="D1012" s="649">
        <f ca="1">IF(E1012=4,INDEX(crude_exp_dist,MATCH(B1012,'Crude Exp Dist'!$B$6:$B$78,0),MATCH(C1012,'Crude Exp Dist'!$AD$2:$BC$2,0))*INDEX(crude_exp_by_year,MATCH(B1012,'Data Export'!$B$6:$B$78,0),1),IF(E1012=5,INDEX(ref_exp_dist,MATCH(B1012,'Refined Petro Exp Dist'!$B$6:$B$78,0),MATCH(C1012,'Refined Petro Exp Dist'!$AD$2:$BC$2,0))*INDEX(ref_exp_by_year,MATCH(B1012,'Data Export'!$B$6:$B$78,0),1)))</f>
        <v>0</v>
      </c>
      <c r="E1012">
        <v>4</v>
      </c>
      <c r="F1012" t="s">
        <v>237</v>
      </c>
    </row>
    <row r="1013" spans="1:6">
      <c r="A1013" t="str">
        <f t="shared" si="15"/>
        <v>GenericE&amp;DtemplateCIandGOA</v>
      </c>
      <c r="B1013">
        <v>39</v>
      </c>
      <c r="C1013">
        <v>24</v>
      </c>
      <c r="D1013" s="649">
        <f ca="1">IF(E1013=4,INDEX(crude_exp_dist,MATCH(B1013,'Crude Exp Dist'!$B$6:$B$78,0),MATCH(C1013,'Crude Exp Dist'!$AD$2:$BC$2,0))*INDEX(crude_exp_by_year,MATCH(B1013,'Data Export'!$B$6:$B$78,0),1),IF(E1013=5,INDEX(ref_exp_dist,MATCH(B1013,'Refined Petro Exp Dist'!$B$6:$B$78,0),MATCH(C1013,'Refined Petro Exp Dist'!$AD$2:$BC$2,0))*INDEX(ref_exp_by_year,MATCH(B1013,'Data Export'!$B$6:$B$78,0),1)))</f>
        <v>0</v>
      </c>
      <c r="E1013">
        <v>4</v>
      </c>
      <c r="F1013" t="s">
        <v>239</v>
      </c>
    </row>
    <row r="1014" spans="1:6">
      <c r="A1014" t="str">
        <f t="shared" si="15"/>
        <v>GenericE&amp;DtemplateCIandGOA</v>
      </c>
      <c r="B1014">
        <v>39</v>
      </c>
      <c r="C1014">
        <v>25</v>
      </c>
      <c r="D1014" s="649">
        <f ca="1">IF(E1014=4,INDEX(crude_exp_dist,MATCH(B1014,'Crude Exp Dist'!$B$6:$B$78,0),MATCH(C1014,'Crude Exp Dist'!$AD$2:$BC$2,0))*INDEX(crude_exp_by_year,MATCH(B1014,'Data Export'!$B$6:$B$78,0),1),IF(E1014=5,INDEX(ref_exp_dist,MATCH(B1014,'Refined Petro Exp Dist'!$B$6:$B$78,0),MATCH(C1014,'Refined Petro Exp Dist'!$AD$2:$BC$2,0))*INDEX(ref_exp_by_year,MATCH(B1014,'Data Export'!$B$6:$B$78,0),1)))</f>
        <v>0</v>
      </c>
      <c r="E1014">
        <v>4</v>
      </c>
      <c r="F1014" t="s">
        <v>242</v>
      </c>
    </row>
    <row r="1015" spans="1:6">
      <c r="A1015" t="str">
        <f t="shared" si="15"/>
        <v>GenericE&amp;DtemplateCIandGOA</v>
      </c>
      <c r="B1015">
        <v>39</v>
      </c>
      <c r="C1015">
        <v>26</v>
      </c>
      <c r="D1015" s="649">
        <f ca="1">IF(E1015=4,INDEX(crude_exp_dist,MATCH(B1015,'Crude Exp Dist'!$B$6:$B$78,0),MATCH(C1015,'Crude Exp Dist'!$AD$2:$BC$2,0))*INDEX(crude_exp_by_year,MATCH(B1015,'Data Export'!$B$6:$B$78,0),1),IF(E1015=5,INDEX(ref_exp_dist,MATCH(B1015,'Refined Petro Exp Dist'!$B$6:$B$78,0),MATCH(C1015,'Refined Petro Exp Dist'!$AD$2:$BC$2,0))*INDEX(ref_exp_by_year,MATCH(B1015,'Data Export'!$B$6:$B$78,0),1)))</f>
        <v>0</v>
      </c>
      <c r="E1015">
        <v>4</v>
      </c>
      <c r="F1015" t="s">
        <v>245</v>
      </c>
    </row>
    <row r="1016" spans="1:6">
      <c r="A1016" t="str">
        <f t="shared" si="15"/>
        <v>GenericE&amp;DtemplateCIandGOA</v>
      </c>
      <c r="B1016">
        <v>40</v>
      </c>
      <c r="C1016">
        <v>1</v>
      </c>
      <c r="D1016" s="649">
        <f ca="1">IF(E1016=4,INDEX(crude_exp_dist,MATCH(B1016,'Crude Exp Dist'!$B$6:$B$78,0),MATCH(C1016,'Crude Exp Dist'!$AD$2:$BC$2,0))*INDEX(crude_exp_by_year,MATCH(B1016,'Data Export'!$B$6:$B$78,0),1),IF(E1016=5,INDEX(ref_exp_dist,MATCH(B1016,'Refined Petro Exp Dist'!$B$6:$B$78,0),MATCH(C1016,'Refined Petro Exp Dist'!$AD$2:$BC$2,0))*INDEX(ref_exp_by_year,MATCH(B1016,'Data Export'!$B$6:$B$78,0),1)))</f>
        <v>0</v>
      </c>
      <c r="E1016">
        <v>4</v>
      </c>
      <c r="F1016" t="s">
        <v>158</v>
      </c>
    </row>
    <row r="1017" spans="1:6">
      <c r="A1017" t="str">
        <f t="shared" si="15"/>
        <v>GenericE&amp;DtemplateCIandGOA</v>
      </c>
      <c r="B1017">
        <v>40</v>
      </c>
      <c r="C1017">
        <v>2</v>
      </c>
      <c r="D1017" s="649">
        <f ca="1">IF(E1017=4,INDEX(crude_exp_dist,MATCH(B1017,'Crude Exp Dist'!$B$6:$B$78,0),MATCH(C1017,'Crude Exp Dist'!$AD$2:$BC$2,0))*INDEX(crude_exp_by_year,MATCH(B1017,'Data Export'!$B$6:$B$78,0),1),IF(E1017=5,INDEX(ref_exp_dist,MATCH(B1017,'Refined Petro Exp Dist'!$B$6:$B$78,0),MATCH(C1017,'Refined Petro Exp Dist'!$AD$2:$BC$2,0))*INDEX(ref_exp_by_year,MATCH(B1017,'Data Export'!$B$6:$B$78,0),1)))</f>
        <v>0</v>
      </c>
      <c r="E1017">
        <v>4</v>
      </c>
      <c r="F1017" t="s">
        <v>166</v>
      </c>
    </row>
    <row r="1018" spans="1:6">
      <c r="A1018" t="str">
        <f t="shared" si="15"/>
        <v>GenericE&amp;DtemplateCIandGOA</v>
      </c>
      <c r="B1018">
        <v>40</v>
      </c>
      <c r="C1018">
        <v>3</v>
      </c>
      <c r="D1018" s="649">
        <f ca="1">IF(E1018=4,INDEX(crude_exp_dist,MATCH(B1018,'Crude Exp Dist'!$B$6:$B$78,0),MATCH(C1018,'Crude Exp Dist'!$AD$2:$BC$2,0))*INDEX(crude_exp_by_year,MATCH(B1018,'Data Export'!$B$6:$B$78,0),1),IF(E1018=5,INDEX(ref_exp_dist,MATCH(B1018,'Refined Petro Exp Dist'!$B$6:$B$78,0),MATCH(C1018,'Refined Petro Exp Dist'!$AD$2:$BC$2,0))*INDEX(ref_exp_by_year,MATCH(B1018,'Data Export'!$B$6:$B$78,0),1)))</f>
        <v>0</v>
      </c>
      <c r="E1018">
        <v>4</v>
      </c>
      <c r="F1018" t="s">
        <v>171</v>
      </c>
    </row>
    <row r="1019" spans="1:6">
      <c r="A1019" t="str">
        <f t="shared" si="15"/>
        <v>GenericE&amp;DtemplateCIandGOA</v>
      </c>
      <c r="B1019">
        <v>40</v>
      </c>
      <c r="C1019">
        <v>4</v>
      </c>
      <c r="D1019" s="649">
        <f ca="1">IF(E1019=4,INDEX(crude_exp_dist,MATCH(B1019,'Crude Exp Dist'!$B$6:$B$78,0),MATCH(C1019,'Crude Exp Dist'!$AD$2:$BC$2,0))*INDEX(crude_exp_by_year,MATCH(B1019,'Data Export'!$B$6:$B$78,0),1),IF(E1019=5,INDEX(ref_exp_dist,MATCH(B1019,'Refined Petro Exp Dist'!$B$6:$B$78,0),MATCH(C1019,'Refined Petro Exp Dist'!$AD$2:$BC$2,0))*INDEX(ref_exp_by_year,MATCH(B1019,'Data Export'!$B$6:$B$78,0),1)))</f>
        <v>0</v>
      </c>
      <c r="E1019">
        <v>4</v>
      </c>
      <c r="F1019" t="s">
        <v>173</v>
      </c>
    </row>
    <row r="1020" spans="1:6">
      <c r="A1020" t="str">
        <f t="shared" si="15"/>
        <v>GenericE&amp;DtemplateCIandGOA</v>
      </c>
      <c r="B1020">
        <v>40</v>
      </c>
      <c r="C1020">
        <v>5</v>
      </c>
      <c r="D1020" s="649">
        <f ca="1">IF(E1020=4,INDEX(crude_exp_dist,MATCH(B1020,'Crude Exp Dist'!$B$6:$B$78,0),MATCH(C1020,'Crude Exp Dist'!$AD$2:$BC$2,0))*INDEX(crude_exp_by_year,MATCH(B1020,'Data Export'!$B$6:$B$78,0),1),IF(E1020=5,INDEX(ref_exp_dist,MATCH(B1020,'Refined Petro Exp Dist'!$B$6:$B$78,0),MATCH(C1020,'Refined Petro Exp Dist'!$AD$2:$BC$2,0))*INDEX(ref_exp_by_year,MATCH(B1020,'Data Export'!$B$6:$B$78,0),1)))</f>
        <v>0</v>
      </c>
      <c r="E1020">
        <v>4</v>
      </c>
      <c r="F1020" t="s">
        <v>180</v>
      </c>
    </row>
    <row r="1021" spans="1:6">
      <c r="A1021" t="str">
        <f t="shared" si="15"/>
        <v>GenericE&amp;DtemplateCIandGOA</v>
      </c>
      <c r="B1021">
        <v>40</v>
      </c>
      <c r="C1021">
        <v>6</v>
      </c>
      <c r="D1021" s="649">
        <f ca="1">IF(E1021=4,INDEX(crude_exp_dist,MATCH(B1021,'Crude Exp Dist'!$B$6:$B$78,0),MATCH(C1021,'Crude Exp Dist'!$AD$2:$BC$2,0))*INDEX(crude_exp_by_year,MATCH(B1021,'Data Export'!$B$6:$B$78,0),1),IF(E1021=5,INDEX(ref_exp_dist,MATCH(B1021,'Refined Petro Exp Dist'!$B$6:$B$78,0),MATCH(C1021,'Refined Petro Exp Dist'!$AD$2:$BC$2,0))*INDEX(ref_exp_by_year,MATCH(B1021,'Data Export'!$B$6:$B$78,0),1)))</f>
        <v>0</v>
      </c>
      <c r="E1021">
        <v>4</v>
      </c>
      <c r="F1021" t="s">
        <v>186</v>
      </c>
    </row>
    <row r="1022" spans="1:6">
      <c r="A1022" t="str">
        <f t="shared" si="15"/>
        <v>GenericE&amp;DtemplateCIandGOA</v>
      </c>
      <c r="B1022">
        <v>40</v>
      </c>
      <c r="C1022">
        <v>7</v>
      </c>
      <c r="D1022" s="649">
        <f ca="1">IF(E1022=4,INDEX(crude_exp_dist,MATCH(B1022,'Crude Exp Dist'!$B$6:$B$78,0),MATCH(C1022,'Crude Exp Dist'!$AD$2:$BC$2,0))*INDEX(crude_exp_by_year,MATCH(B1022,'Data Export'!$B$6:$B$78,0),1),IF(E1022=5,INDEX(ref_exp_dist,MATCH(B1022,'Refined Petro Exp Dist'!$B$6:$B$78,0),MATCH(C1022,'Refined Petro Exp Dist'!$AD$2:$BC$2,0))*INDEX(ref_exp_by_year,MATCH(B1022,'Data Export'!$B$6:$B$78,0),1)))</f>
        <v>0</v>
      </c>
      <c r="E1022">
        <v>4</v>
      </c>
      <c r="F1022" t="s">
        <v>191</v>
      </c>
    </row>
    <row r="1023" spans="1:6">
      <c r="A1023" t="str">
        <f t="shared" si="15"/>
        <v>GenericE&amp;DtemplateCIandGOA</v>
      </c>
      <c r="B1023">
        <v>40</v>
      </c>
      <c r="C1023">
        <v>8</v>
      </c>
      <c r="D1023" s="649">
        <f ca="1">IF(E1023=4,INDEX(crude_exp_dist,MATCH(B1023,'Crude Exp Dist'!$B$6:$B$78,0),MATCH(C1023,'Crude Exp Dist'!$AD$2:$BC$2,0))*INDEX(crude_exp_by_year,MATCH(B1023,'Data Export'!$B$6:$B$78,0),1),IF(E1023=5,INDEX(ref_exp_dist,MATCH(B1023,'Refined Petro Exp Dist'!$B$6:$B$78,0),MATCH(C1023,'Refined Petro Exp Dist'!$AD$2:$BC$2,0))*INDEX(ref_exp_by_year,MATCH(B1023,'Data Export'!$B$6:$B$78,0),1)))</f>
        <v>0</v>
      </c>
      <c r="E1023">
        <v>4</v>
      </c>
      <c r="F1023" t="s">
        <v>197</v>
      </c>
    </row>
    <row r="1024" spans="1:6">
      <c r="A1024" t="str">
        <f t="shared" si="15"/>
        <v>GenericE&amp;DtemplateCIandGOA</v>
      </c>
      <c r="B1024">
        <v>40</v>
      </c>
      <c r="C1024">
        <v>9</v>
      </c>
      <c r="D1024" s="649">
        <f ca="1">IF(E1024=4,INDEX(crude_exp_dist,MATCH(B1024,'Crude Exp Dist'!$B$6:$B$78,0),MATCH(C1024,'Crude Exp Dist'!$AD$2:$BC$2,0))*INDEX(crude_exp_by_year,MATCH(B1024,'Data Export'!$B$6:$B$78,0),1),IF(E1024=5,INDEX(ref_exp_dist,MATCH(B1024,'Refined Petro Exp Dist'!$B$6:$B$78,0),MATCH(C1024,'Refined Petro Exp Dist'!$AD$2:$BC$2,0))*INDEX(ref_exp_by_year,MATCH(B1024,'Data Export'!$B$6:$B$78,0),1)))</f>
        <v>0</v>
      </c>
      <c r="E1024">
        <v>4</v>
      </c>
      <c r="F1024" t="s">
        <v>199</v>
      </c>
    </row>
    <row r="1025" spans="1:6">
      <c r="A1025" t="str">
        <f t="shared" si="15"/>
        <v>GenericE&amp;DtemplateCIandGOA</v>
      </c>
      <c r="B1025">
        <v>40</v>
      </c>
      <c r="C1025">
        <v>10</v>
      </c>
      <c r="D1025" s="649">
        <f ca="1">IF(E1025=4,INDEX(crude_exp_dist,MATCH(B1025,'Crude Exp Dist'!$B$6:$B$78,0),MATCH(C1025,'Crude Exp Dist'!$AD$2:$BC$2,0))*INDEX(crude_exp_by_year,MATCH(B1025,'Data Export'!$B$6:$B$78,0),1),IF(E1025=5,INDEX(ref_exp_dist,MATCH(B1025,'Refined Petro Exp Dist'!$B$6:$B$78,0),MATCH(C1025,'Refined Petro Exp Dist'!$AD$2:$BC$2,0))*INDEX(ref_exp_by_year,MATCH(B1025,'Data Export'!$B$6:$B$78,0),1)))</f>
        <v>0</v>
      </c>
      <c r="E1025">
        <v>4</v>
      </c>
      <c r="F1025" t="s">
        <v>201</v>
      </c>
    </row>
    <row r="1026" spans="1:6">
      <c r="A1026" t="str">
        <f t="shared" ref="A1026:A1089" si="16">scenario_name</f>
        <v>GenericE&amp;DtemplateCIandGOA</v>
      </c>
      <c r="B1026">
        <v>40</v>
      </c>
      <c r="C1026">
        <v>11</v>
      </c>
      <c r="D1026" s="649">
        <f ca="1">IF(E1026=4,INDEX(crude_exp_dist,MATCH(B1026,'Crude Exp Dist'!$B$6:$B$78,0),MATCH(C1026,'Crude Exp Dist'!$AD$2:$BC$2,0))*INDEX(crude_exp_by_year,MATCH(B1026,'Data Export'!$B$6:$B$78,0),1),IF(E1026=5,INDEX(ref_exp_dist,MATCH(B1026,'Refined Petro Exp Dist'!$B$6:$B$78,0),MATCH(C1026,'Refined Petro Exp Dist'!$AD$2:$BC$2,0))*INDEX(ref_exp_by_year,MATCH(B1026,'Data Export'!$B$6:$B$78,0),1)))</f>
        <v>0</v>
      </c>
      <c r="E1026">
        <v>4</v>
      </c>
      <c r="F1026" t="s">
        <v>921</v>
      </c>
    </row>
    <row r="1027" spans="1:6">
      <c r="A1027" t="str">
        <f t="shared" si="16"/>
        <v>GenericE&amp;DtemplateCIandGOA</v>
      </c>
      <c r="B1027">
        <v>40</v>
      </c>
      <c r="C1027">
        <v>12</v>
      </c>
      <c r="D1027" s="649">
        <f ca="1">IF(E1027=4,INDEX(crude_exp_dist,MATCH(B1027,'Crude Exp Dist'!$B$6:$B$78,0),MATCH(C1027,'Crude Exp Dist'!$AD$2:$BC$2,0))*INDEX(crude_exp_by_year,MATCH(B1027,'Data Export'!$B$6:$B$78,0),1),IF(E1027=5,INDEX(ref_exp_dist,MATCH(B1027,'Refined Petro Exp Dist'!$B$6:$B$78,0),MATCH(C1027,'Refined Petro Exp Dist'!$AD$2:$BC$2,0))*INDEX(ref_exp_by_year,MATCH(B1027,'Data Export'!$B$6:$B$78,0),1)))</f>
        <v>0</v>
      </c>
      <c r="E1027">
        <v>4</v>
      </c>
      <c r="F1027" t="s">
        <v>208</v>
      </c>
    </row>
    <row r="1028" spans="1:6">
      <c r="A1028" t="str">
        <f t="shared" si="16"/>
        <v>GenericE&amp;DtemplateCIandGOA</v>
      </c>
      <c r="B1028">
        <v>40</v>
      </c>
      <c r="C1028">
        <v>13</v>
      </c>
      <c r="D1028" s="649">
        <f ca="1">IF(E1028=4,INDEX(crude_exp_dist,MATCH(B1028,'Crude Exp Dist'!$B$6:$B$78,0),MATCH(C1028,'Crude Exp Dist'!$AD$2:$BC$2,0))*INDEX(crude_exp_by_year,MATCH(B1028,'Data Export'!$B$6:$B$78,0),1),IF(E1028=5,INDEX(ref_exp_dist,MATCH(B1028,'Refined Petro Exp Dist'!$B$6:$B$78,0),MATCH(C1028,'Refined Petro Exp Dist'!$AD$2:$BC$2,0))*INDEX(ref_exp_by_year,MATCH(B1028,'Data Export'!$B$6:$B$78,0),1)))</f>
        <v>0</v>
      </c>
      <c r="E1028">
        <v>4</v>
      </c>
      <c r="F1028" t="s">
        <v>211</v>
      </c>
    </row>
    <row r="1029" spans="1:6">
      <c r="A1029" t="str">
        <f t="shared" si="16"/>
        <v>GenericE&amp;DtemplateCIandGOA</v>
      </c>
      <c r="B1029">
        <v>40</v>
      </c>
      <c r="C1029">
        <v>14</v>
      </c>
      <c r="D1029" s="649">
        <f ca="1">IF(E1029=4,INDEX(crude_exp_dist,MATCH(B1029,'Crude Exp Dist'!$B$6:$B$78,0),MATCH(C1029,'Crude Exp Dist'!$AD$2:$BC$2,0))*INDEX(crude_exp_by_year,MATCH(B1029,'Data Export'!$B$6:$B$78,0),1),IF(E1029=5,INDEX(ref_exp_dist,MATCH(B1029,'Refined Petro Exp Dist'!$B$6:$B$78,0),MATCH(C1029,'Refined Petro Exp Dist'!$AD$2:$BC$2,0))*INDEX(ref_exp_by_year,MATCH(B1029,'Data Export'!$B$6:$B$78,0),1)))</f>
        <v>0</v>
      </c>
      <c r="E1029">
        <v>4</v>
      </c>
      <c r="F1029" t="s">
        <v>213</v>
      </c>
    </row>
    <row r="1030" spans="1:6">
      <c r="A1030" t="str">
        <f t="shared" si="16"/>
        <v>GenericE&amp;DtemplateCIandGOA</v>
      </c>
      <c r="B1030">
        <v>40</v>
      </c>
      <c r="C1030">
        <v>15</v>
      </c>
      <c r="D1030" s="649">
        <f ca="1">IF(E1030=4,INDEX(crude_exp_dist,MATCH(B1030,'Crude Exp Dist'!$B$6:$B$78,0),MATCH(C1030,'Crude Exp Dist'!$AD$2:$BC$2,0))*INDEX(crude_exp_by_year,MATCH(B1030,'Data Export'!$B$6:$B$78,0),1),IF(E1030=5,INDEX(ref_exp_dist,MATCH(B1030,'Refined Petro Exp Dist'!$B$6:$B$78,0),MATCH(C1030,'Refined Petro Exp Dist'!$AD$2:$BC$2,0))*INDEX(ref_exp_by_year,MATCH(B1030,'Data Export'!$B$6:$B$78,0),1)))</f>
        <v>0</v>
      </c>
      <c r="E1030">
        <v>4</v>
      </c>
      <c r="F1030" t="s">
        <v>215</v>
      </c>
    </row>
    <row r="1031" spans="1:6">
      <c r="A1031" t="str">
        <f t="shared" si="16"/>
        <v>GenericE&amp;DtemplateCIandGOA</v>
      </c>
      <c r="B1031">
        <v>40</v>
      </c>
      <c r="C1031">
        <v>16</v>
      </c>
      <c r="D1031" s="649">
        <f ca="1">IF(E1031=4,INDEX(crude_exp_dist,MATCH(B1031,'Crude Exp Dist'!$B$6:$B$78,0),MATCH(C1031,'Crude Exp Dist'!$AD$2:$BC$2,0))*INDEX(crude_exp_by_year,MATCH(B1031,'Data Export'!$B$6:$B$78,0),1),IF(E1031=5,INDEX(ref_exp_dist,MATCH(B1031,'Refined Petro Exp Dist'!$B$6:$B$78,0),MATCH(C1031,'Refined Petro Exp Dist'!$AD$2:$BC$2,0))*INDEX(ref_exp_by_year,MATCH(B1031,'Data Export'!$B$6:$B$78,0),1)))</f>
        <v>0</v>
      </c>
      <c r="E1031">
        <v>4</v>
      </c>
      <c r="F1031" t="s">
        <v>219</v>
      </c>
    </row>
    <row r="1032" spans="1:6">
      <c r="A1032" t="str">
        <f t="shared" si="16"/>
        <v>GenericE&amp;DtemplateCIandGOA</v>
      </c>
      <c r="B1032">
        <v>40</v>
      </c>
      <c r="C1032">
        <v>17</v>
      </c>
      <c r="D1032" s="649">
        <f ca="1">IF(E1032=4,INDEX(crude_exp_dist,MATCH(B1032,'Crude Exp Dist'!$B$6:$B$78,0),MATCH(C1032,'Crude Exp Dist'!$AD$2:$BC$2,0))*INDEX(crude_exp_by_year,MATCH(B1032,'Data Export'!$B$6:$B$78,0),1),IF(E1032=5,INDEX(ref_exp_dist,MATCH(B1032,'Refined Petro Exp Dist'!$B$6:$B$78,0),MATCH(C1032,'Refined Petro Exp Dist'!$AD$2:$BC$2,0))*INDEX(ref_exp_by_year,MATCH(B1032,'Data Export'!$B$6:$B$78,0),1)))</f>
        <v>0</v>
      </c>
      <c r="E1032">
        <v>4</v>
      </c>
      <c r="F1032" t="s">
        <v>222</v>
      </c>
    </row>
    <row r="1033" spans="1:6">
      <c r="A1033" t="str">
        <f t="shared" si="16"/>
        <v>GenericE&amp;DtemplateCIandGOA</v>
      </c>
      <c r="B1033">
        <v>40</v>
      </c>
      <c r="C1033">
        <v>18</v>
      </c>
      <c r="D1033" s="649">
        <f ca="1">IF(E1033=4,INDEX(crude_exp_dist,MATCH(B1033,'Crude Exp Dist'!$B$6:$B$78,0),MATCH(C1033,'Crude Exp Dist'!$AD$2:$BC$2,0))*INDEX(crude_exp_by_year,MATCH(B1033,'Data Export'!$B$6:$B$78,0),1),IF(E1033=5,INDEX(ref_exp_dist,MATCH(B1033,'Refined Petro Exp Dist'!$B$6:$B$78,0),MATCH(C1033,'Refined Petro Exp Dist'!$AD$2:$BC$2,0))*INDEX(ref_exp_by_year,MATCH(B1033,'Data Export'!$B$6:$B$78,0),1)))</f>
        <v>0</v>
      </c>
      <c r="E1033">
        <v>4</v>
      </c>
      <c r="F1033" t="s">
        <v>224</v>
      </c>
    </row>
    <row r="1034" spans="1:6">
      <c r="A1034" t="str">
        <f t="shared" si="16"/>
        <v>GenericE&amp;DtemplateCIandGOA</v>
      </c>
      <c r="B1034">
        <v>40</v>
      </c>
      <c r="C1034">
        <v>19</v>
      </c>
      <c r="D1034" s="649">
        <f ca="1">IF(E1034=4,INDEX(crude_exp_dist,MATCH(B1034,'Crude Exp Dist'!$B$6:$B$78,0),MATCH(C1034,'Crude Exp Dist'!$AD$2:$BC$2,0))*INDEX(crude_exp_by_year,MATCH(B1034,'Data Export'!$B$6:$B$78,0),1),IF(E1034=5,INDEX(ref_exp_dist,MATCH(B1034,'Refined Petro Exp Dist'!$B$6:$B$78,0),MATCH(C1034,'Refined Petro Exp Dist'!$AD$2:$BC$2,0))*INDEX(ref_exp_by_year,MATCH(B1034,'Data Export'!$B$6:$B$78,0),1)))</f>
        <v>0</v>
      </c>
      <c r="E1034">
        <v>4</v>
      </c>
      <c r="F1034" t="s">
        <v>228</v>
      </c>
    </row>
    <row r="1035" spans="1:6">
      <c r="A1035" t="str">
        <f t="shared" si="16"/>
        <v>GenericE&amp;DtemplateCIandGOA</v>
      </c>
      <c r="B1035">
        <v>40</v>
      </c>
      <c r="C1035">
        <v>20</v>
      </c>
      <c r="D1035" s="649">
        <f ca="1">IF(E1035=4,INDEX(crude_exp_dist,MATCH(B1035,'Crude Exp Dist'!$B$6:$B$78,0),MATCH(C1035,'Crude Exp Dist'!$AD$2:$BC$2,0))*INDEX(crude_exp_by_year,MATCH(B1035,'Data Export'!$B$6:$B$78,0),1),IF(E1035=5,INDEX(ref_exp_dist,MATCH(B1035,'Refined Petro Exp Dist'!$B$6:$B$78,0),MATCH(C1035,'Refined Petro Exp Dist'!$AD$2:$BC$2,0))*INDEX(ref_exp_by_year,MATCH(B1035,'Data Export'!$B$6:$B$78,0),1)))</f>
        <v>0</v>
      </c>
      <c r="E1035">
        <v>4</v>
      </c>
      <c r="F1035" t="s">
        <v>231</v>
      </c>
    </row>
    <row r="1036" spans="1:6">
      <c r="A1036" t="str">
        <f t="shared" si="16"/>
        <v>GenericE&amp;DtemplateCIandGOA</v>
      </c>
      <c r="B1036">
        <v>40</v>
      </c>
      <c r="C1036">
        <v>21</v>
      </c>
      <c r="D1036" s="649">
        <f ca="1">IF(E1036=4,INDEX(crude_exp_dist,MATCH(B1036,'Crude Exp Dist'!$B$6:$B$78,0),MATCH(C1036,'Crude Exp Dist'!$AD$2:$BC$2,0))*INDEX(crude_exp_by_year,MATCH(B1036,'Data Export'!$B$6:$B$78,0),1),IF(E1036=5,INDEX(ref_exp_dist,MATCH(B1036,'Refined Petro Exp Dist'!$B$6:$B$78,0),MATCH(C1036,'Refined Petro Exp Dist'!$AD$2:$BC$2,0))*INDEX(ref_exp_by_year,MATCH(B1036,'Data Export'!$B$6:$B$78,0),1)))</f>
        <v>0</v>
      </c>
      <c r="E1036">
        <v>4</v>
      </c>
      <c r="F1036" t="s">
        <v>232</v>
      </c>
    </row>
    <row r="1037" spans="1:6">
      <c r="A1037" t="str">
        <f t="shared" si="16"/>
        <v>GenericE&amp;DtemplateCIandGOA</v>
      </c>
      <c r="B1037">
        <v>40</v>
      </c>
      <c r="C1037">
        <v>22</v>
      </c>
      <c r="D1037" s="649">
        <f ca="1">IF(E1037=4,INDEX(crude_exp_dist,MATCH(B1037,'Crude Exp Dist'!$B$6:$B$78,0),MATCH(C1037,'Crude Exp Dist'!$AD$2:$BC$2,0))*INDEX(crude_exp_by_year,MATCH(B1037,'Data Export'!$B$6:$B$78,0),1),IF(E1037=5,INDEX(ref_exp_dist,MATCH(B1037,'Refined Petro Exp Dist'!$B$6:$B$78,0),MATCH(C1037,'Refined Petro Exp Dist'!$AD$2:$BC$2,0))*INDEX(ref_exp_by_year,MATCH(B1037,'Data Export'!$B$6:$B$78,0),1)))</f>
        <v>0</v>
      </c>
      <c r="E1037">
        <v>4</v>
      </c>
      <c r="F1037" t="s">
        <v>235</v>
      </c>
    </row>
    <row r="1038" spans="1:6">
      <c r="A1038" t="str">
        <f t="shared" si="16"/>
        <v>GenericE&amp;DtemplateCIandGOA</v>
      </c>
      <c r="B1038">
        <v>40</v>
      </c>
      <c r="C1038">
        <v>23</v>
      </c>
      <c r="D1038" s="649">
        <f ca="1">IF(E1038=4,INDEX(crude_exp_dist,MATCH(B1038,'Crude Exp Dist'!$B$6:$B$78,0),MATCH(C1038,'Crude Exp Dist'!$AD$2:$BC$2,0))*INDEX(crude_exp_by_year,MATCH(B1038,'Data Export'!$B$6:$B$78,0),1),IF(E1038=5,INDEX(ref_exp_dist,MATCH(B1038,'Refined Petro Exp Dist'!$B$6:$B$78,0),MATCH(C1038,'Refined Petro Exp Dist'!$AD$2:$BC$2,0))*INDEX(ref_exp_by_year,MATCH(B1038,'Data Export'!$B$6:$B$78,0),1)))</f>
        <v>0</v>
      </c>
      <c r="E1038">
        <v>4</v>
      </c>
      <c r="F1038" t="s">
        <v>237</v>
      </c>
    </row>
    <row r="1039" spans="1:6">
      <c r="A1039" t="str">
        <f t="shared" si="16"/>
        <v>GenericE&amp;DtemplateCIandGOA</v>
      </c>
      <c r="B1039">
        <v>40</v>
      </c>
      <c r="C1039">
        <v>24</v>
      </c>
      <c r="D1039" s="649">
        <f ca="1">IF(E1039=4,INDEX(crude_exp_dist,MATCH(B1039,'Crude Exp Dist'!$B$6:$B$78,0),MATCH(C1039,'Crude Exp Dist'!$AD$2:$BC$2,0))*INDEX(crude_exp_by_year,MATCH(B1039,'Data Export'!$B$6:$B$78,0),1),IF(E1039=5,INDEX(ref_exp_dist,MATCH(B1039,'Refined Petro Exp Dist'!$B$6:$B$78,0),MATCH(C1039,'Refined Petro Exp Dist'!$AD$2:$BC$2,0))*INDEX(ref_exp_by_year,MATCH(B1039,'Data Export'!$B$6:$B$78,0),1)))</f>
        <v>0</v>
      </c>
      <c r="E1039">
        <v>4</v>
      </c>
      <c r="F1039" t="s">
        <v>239</v>
      </c>
    </row>
    <row r="1040" spans="1:6">
      <c r="A1040" t="str">
        <f t="shared" si="16"/>
        <v>GenericE&amp;DtemplateCIandGOA</v>
      </c>
      <c r="B1040">
        <v>40</v>
      </c>
      <c r="C1040">
        <v>25</v>
      </c>
      <c r="D1040" s="649">
        <f ca="1">IF(E1040=4,INDEX(crude_exp_dist,MATCH(B1040,'Crude Exp Dist'!$B$6:$B$78,0),MATCH(C1040,'Crude Exp Dist'!$AD$2:$BC$2,0))*INDEX(crude_exp_by_year,MATCH(B1040,'Data Export'!$B$6:$B$78,0),1),IF(E1040=5,INDEX(ref_exp_dist,MATCH(B1040,'Refined Petro Exp Dist'!$B$6:$B$78,0),MATCH(C1040,'Refined Petro Exp Dist'!$AD$2:$BC$2,0))*INDEX(ref_exp_by_year,MATCH(B1040,'Data Export'!$B$6:$B$78,0),1)))</f>
        <v>0</v>
      </c>
      <c r="E1040">
        <v>4</v>
      </c>
      <c r="F1040" t="s">
        <v>242</v>
      </c>
    </row>
    <row r="1041" spans="1:6">
      <c r="A1041" t="str">
        <f t="shared" si="16"/>
        <v>GenericE&amp;DtemplateCIandGOA</v>
      </c>
      <c r="B1041">
        <v>40</v>
      </c>
      <c r="C1041">
        <v>26</v>
      </c>
      <c r="D1041" s="649">
        <f ca="1">IF(E1041=4,INDEX(crude_exp_dist,MATCH(B1041,'Crude Exp Dist'!$B$6:$B$78,0),MATCH(C1041,'Crude Exp Dist'!$AD$2:$BC$2,0))*INDEX(crude_exp_by_year,MATCH(B1041,'Data Export'!$B$6:$B$78,0),1),IF(E1041=5,INDEX(ref_exp_dist,MATCH(B1041,'Refined Petro Exp Dist'!$B$6:$B$78,0),MATCH(C1041,'Refined Petro Exp Dist'!$AD$2:$BC$2,0))*INDEX(ref_exp_by_year,MATCH(B1041,'Data Export'!$B$6:$B$78,0),1)))</f>
        <v>0</v>
      </c>
      <c r="E1041">
        <v>4</v>
      </c>
      <c r="F1041" t="s">
        <v>245</v>
      </c>
    </row>
    <row r="1042" spans="1:6">
      <c r="A1042" t="str">
        <f t="shared" si="16"/>
        <v>GenericE&amp;DtemplateCIandGOA</v>
      </c>
      <c r="B1042">
        <v>41</v>
      </c>
      <c r="C1042">
        <v>1</v>
      </c>
      <c r="D1042" s="649">
        <f ca="1">IF(E1042=4,INDEX(crude_exp_dist,MATCH(B1042,'Crude Exp Dist'!$B$6:$B$78,0),MATCH(C1042,'Crude Exp Dist'!$AD$2:$BC$2,0))*INDEX(crude_exp_by_year,MATCH(B1042,'Data Export'!$B$6:$B$78,0),1),IF(E1042=5,INDEX(ref_exp_dist,MATCH(B1042,'Refined Petro Exp Dist'!$B$6:$B$78,0),MATCH(C1042,'Refined Petro Exp Dist'!$AD$2:$BC$2,0))*INDEX(ref_exp_by_year,MATCH(B1042,'Data Export'!$B$6:$B$78,0),1)))</f>
        <v>0</v>
      </c>
      <c r="E1042">
        <v>4</v>
      </c>
      <c r="F1042" t="s">
        <v>158</v>
      </c>
    </row>
    <row r="1043" spans="1:6">
      <c r="A1043" t="str">
        <f t="shared" si="16"/>
        <v>GenericE&amp;DtemplateCIandGOA</v>
      </c>
      <c r="B1043">
        <v>41</v>
      </c>
      <c r="C1043">
        <v>2</v>
      </c>
      <c r="D1043" s="649">
        <f ca="1">IF(E1043=4,INDEX(crude_exp_dist,MATCH(B1043,'Crude Exp Dist'!$B$6:$B$78,0),MATCH(C1043,'Crude Exp Dist'!$AD$2:$BC$2,0))*INDEX(crude_exp_by_year,MATCH(B1043,'Data Export'!$B$6:$B$78,0),1),IF(E1043=5,INDEX(ref_exp_dist,MATCH(B1043,'Refined Petro Exp Dist'!$B$6:$B$78,0),MATCH(C1043,'Refined Petro Exp Dist'!$AD$2:$BC$2,0))*INDEX(ref_exp_by_year,MATCH(B1043,'Data Export'!$B$6:$B$78,0),1)))</f>
        <v>0</v>
      </c>
      <c r="E1043">
        <v>4</v>
      </c>
      <c r="F1043" t="s">
        <v>166</v>
      </c>
    </row>
    <row r="1044" spans="1:6">
      <c r="A1044" t="str">
        <f t="shared" si="16"/>
        <v>GenericE&amp;DtemplateCIandGOA</v>
      </c>
      <c r="B1044">
        <v>41</v>
      </c>
      <c r="C1044">
        <v>3</v>
      </c>
      <c r="D1044" s="649">
        <f ca="1">IF(E1044=4,INDEX(crude_exp_dist,MATCH(B1044,'Crude Exp Dist'!$B$6:$B$78,0),MATCH(C1044,'Crude Exp Dist'!$AD$2:$BC$2,0))*INDEX(crude_exp_by_year,MATCH(B1044,'Data Export'!$B$6:$B$78,0),1),IF(E1044=5,INDEX(ref_exp_dist,MATCH(B1044,'Refined Petro Exp Dist'!$B$6:$B$78,0),MATCH(C1044,'Refined Petro Exp Dist'!$AD$2:$BC$2,0))*INDEX(ref_exp_by_year,MATCH(B1044,'Data Export'!$B$6:$B$78,0),1)))</f>
        <v>0</v>
      </c>
      <c r="E1044">
        <v>4</v>
      </c>
      <c r="F1044" t="s">
        <v>171</v>
      </c>
    </row>
    <row r="1045" spans="1:6">
      <c r="A1045" t="str">
        <f t="shared" si="16"/>
        <v>GenericE&amp;DtemplateCIandGOA</v>
      </c>
      <c r="B1045">
        <v>41</v>
      </c>
      <c r="C1045">
        <v>4</v>
      </c>
      <c r="D1045" s="649">
        <f ca="1">IF(E1045=4,INDEX(crude_exp_dist,MATCH(B1045,'Crude Exp Dist'!$B$6:$B$78,0),MATCH(C1045,'Crude Exp Dist'!$AD$2:$BC$2,0))*INDEX(crude_exp_by_year,MATCH(B1045,'Data Export'!$B$6:$B$78,0),1),IF(E1045=5,INDEX(ref_exp_dist,MATCH(B1045,'Refined Petro Exp Dist'!$B$6:$B$78,0),MATCH(C1045,'Refined Petro Exp Dist'!$AD$2:$BC$2,0))*INDEX(ref_exp_by_year,MATCH(B1045,'Data Export'!$B$6:$B$78,0),1)))</f>
        <v>0</v>
      </c>
      <c r="E1045">
        <v>4</v>
      </c>
      <c r="F1045" t="s">
        <v>173</v>
      </c>
    </row>
    <row r="1046" spans="1:6">
      <c r="A1046" t="str">
        <f t="shared" si="16"/>
        <v>GenericE&amp;DtemplateCIandGOA</v>
      </c>
      <c r="B1046">
        <v>41</v>
      </c>
      <c r="C1046">
        <v>5</v>
      </c>
      <c r="D1046" s="649">
        <f ca="1">IF(E1046=4,INDEX(crude_exp_dist,MATCH(B1046,'Crude Exp Dist'!$B$6:$B$78,0),MATCH(C1046,'Crude Exp Dist'!$AD$2:$BC$2,0))*INDEX(crude_exp_by_year,MATCH(B1046,'Data Export'!$B$6:$B$78,0),1),IF(E1046=5,INDEX(ref_exp_dist,MATCH(B1046,'Refined Petro Exp Dist'!$B$6:$B$78,0),MATCH(C1046,'Refined Petro Exp Dist'!$AD$2:$BC$2,0))*INDEX(ref_exp_by_year,MATCH(B1046,'Data Export'!$B$6:$B$78,0),1)))</f>
        <v>0</v>
      </c>
      <c r="E1046">
        <v>4</v>
      </c>
      <c r="F1046" t="s">
        <v>180</v>
      </c>
    </row>
    <row r="1047" spans="1:6">
      <c r="A1047" t="str">
        <f t="shared" si="16"/>
        <v>GenericE&amp;DtemplateCIandGOA</v>
      </c>
      <c r="B1047">
        <v>41</v>
      </c>
      <c r="C1047">
        <v>6</v>
      </c>
      <c r="D1047" s="649">
        <f ca="1">IF(E1047=4,INDEX(crude_exp_dist,MATCH(B1047,'Crude Exp Dist'!$B$6:$B$78,0),MATCH(C1047,'Crude Exp Dist'!$AD$2:$BC$2,0))*INDEX(crude_exp_by_year,MATCH(B1047,'Data Export'!$B$6:$B$78,0),1),IF(E1047=5,INDEX(ref_exp_dist,MATCH(B1047,'Refined Petro Exp Dist'!$B$6:$B$78,0),MATCH(C1047,'Refined Petro Exp Dist'!$AD$2:$BC$2,0))*INDEX(ref_exp_by_year,MATCH(B1047,'Data Export'!$B$6:$B$78,0),1)))</f>
        <v>0</v>
      </c>
      <c r="E1047">
        <v>4</v>
      </c>
      <c r="F1047" t="s">
        <v>186</v>
      </c>
    </row>
    <row r="1048" spans="1:6">
      <c r="A1048" t="str">
        <f t="shared" si="16"/>
        <v>GenericE&amp;DtemplateCIandGOA</v>
      </c>
      <c r="B1048">
        <v>41</v>
      </c>
      <c r="C1048">
        <v>7</v>
      </c>
      <c r="D1048" s="649">
        <f ca="1">IF(E1048=4,INDEX(crude_exp_dist,MATCH(B1048,'Crude Exp Dist'!$B$6:$B$78,0),MATCH(C1048,'Crude Exp Dist'!$AD$2:$BC$2,0))*INDEX(crude_exp_by_year,MATCH(B1048,'Data Export'!$B$6:$B$78,0),1),IF(E1048=5,INDEX(ref_exp_dist,MATCH(B1048,'Refined Petro Exp Dist'!$B$6:$B$78,0),MATCH(C1048,'Refined Petro Exp Dist'!$AD$2:$BC$2,0))*INDEX(ref_exp_by_year,MATCH(B1048,'Data Export'!$B$6:$B$78,0),1)))</f>
        <v>0</v>
      </c>
      <c r="E1048">
        <v>4</v>
      </c>
      <c r="F1048" t="s">
        <v>191</v>
      </c>
    </row>
    <row r="1049" spans="1:6">
      <c r="A1049" t="str">
        <f t="shared" si="16"/>
        <v>GenericE&amp;DtemplateCIandGOA</v>
      </c>
      <c r="B1049">
        <v>41</v>
      </c>
      <c r="C1049">
        <v>8</v>
      </c>
      <c r="D1049" s="649">
        <f ca="1">IF(E1049=4,INDEX(crude_exp_dist,MATCH(B1049,'Crude Exp Dist'!$B$6:$B$78,0),MATCH(C1049,'Crude Exp Dist'!$AD$2:$BC$2,0))*INDEX(crude_exp_by_year,MATCH(B1049,'Data Export'!$B$6:$B$78,0),1),IF(E1049=5,INDEX(ref_exp_dist,MATCH(B1049,'Refined Petro Exp Dist'!$B$6:$B$78,0),MATCH(C1049,'Refined Petro Exp Dist'!$AD$2:$BC$2,0))*INDEX(ref_exp_by_year,MATCH(B1049,'Data Export'!$B$6:$B$78,0),1)))</f>
        <v>0</v>
      </c>
      <c r="E1049">
        <v>4</v>
      </c>
      <c r="F1049" t="s">
        <v>197</v>
      </c>
    </row>
    <row r="1050" spans="1:6">
      <c r="A1050" t="str">
        <f t="shared" si="16"/>
        <v>GenericE&amp;DtemplateCIandGOA</v>
      </c>
      <c r="B1050">
        <v>41</v>
      </c>
      <c r="C1050">
        <v>9</v>
      </c>
      <c r="D1050" s="649">
        <f ca="1">IF(E1050=4,INDEX(crude_exp_dist,MATCH(B1050,'Crude Exp Dist'!$B$6:$B$78,0),MATCH(C1050,'Crude Exp Dist'!$AD$2:$BC$2,0))*INDEX(crude_exp_by_year,MATCH(B1050,'Data Export'!$B$6:$B$78,0),1),IF(E1050=5,INDEX(ref_exp_dist,MATCH(B1050,'Refined Petro Exp Dist'!$B$6:$B$78,0),MATCH(C1050,'Refined Petro Exp Dist'!$AD$2:$BC$2,0))*INDEX(ref_exp_by_year,MATCH(B1050,'Data Export'!$B$6:$B$78,0),1)))</f>
        <v>0</v>
      </c>
      <c r="E1050">
        <v>4</v>
      </c>
      <c r="F1050" t="s">
        <v>199</v>
      </c>
    </row>
    <row r="1051" spans="1:6">
      <c r="A1051" t="str">
        <f t="shared" si="16"/>
        <v>GenericE&amp;DtemplateCIandGOA</v>
      </c>
      <c r="B1051">
        <v>41</v>
      </c>
      <c r="C1051">
        <v>10</v>
      </c>
      <c r="D1051" s="649">
        <f ca="1">IF(E1051=4,INDEX(crude_exp_dist,MATCH(B1051,'Crude Exp Dist'!$B$6:$B$78,0),MATCH(C1051,'Crude Exp Dist'!$AD$2:$BC$2,0))*INDEX(crude_exp_by_year,MATCH(B1051,'Data Export'!$B$6:$B$78,0),1),IF(E1051=5,INDEX(ref_exp_dist,MATCH(B1051,'Refined Petro Exp Dist'!$B$6:$B$78,0),MATCH(C1051,'Refined Petro Exp Dist'!$AD$2:$BC$2,0))*INDEX(ref_exp_by_year,MATCH(B1051,'Data Export'!$B$6:$B$78,0),1)))</f>
        <v>0</v>
      </c>
      <c r="E1051">
        <v>4</v>
      </c>
      <c r="F1051" t="s">
        <v>201</v>
      </c>
    </row>
    <row r="1052" spans="1:6">
      <c r="A1052" t="str">
        <f t="shared" si="16"/>
        <v>GenericE&amp;DtemplateCIandGOA</v>
      </c>
      <c r="B1052">
        <v>41</v>
      </c>
      <c r="C1052">
        <v>11</v>
      </c>
      <c r="D1052" s="649">
        <f ca="1">IF(E1052=4,INDEX(crude_exp_dist,MATCH(B1052,'Crude Exp Dist'!$B$6:$B$78,0),MATCH(C1052,'Crude Exp Dist'!$AD$2:$BC$2,0))*INDEX(crude_exp_by_year,MATCH(B1052,'Data Export'!$B$6:$B$78,0),1),IF(E1052=5,INDEX(ref_exp_dist,MATCH(B1052,'Refined Petro Exp Dist'!$B$6:$B$78,0),MATCH(C1052,'Refined Petro Exp Dist'!$AD$2:$BC$2,0))*INDEX(ref_exp_by_year,MATCH(B1052,'Data Export'!$B$6:$B$78,0),1)))</f>
        <v>0</v>
      </c>
      <c r="E1052">
        <v>4</v>
      </c>
      <c r="F1052" t="s">
        <v>921</v>
      </c>
    </row>
    <row r="1053" spans="1:6">
      <c r="A1053" t="str">
        <f t="shared" si="16"/>
        <v>GenericE&amp;DtemplateCIandGOA</v>
      </c>
      <c r="B1053">
        <v>41</v>
      </c>
      <c r="C1053">
        <v>12</v>
      </c>
      <c r="D1053" s="649">
        <f ca="1">IF(E1053=4,INDEX(crude_exp_dist,MATCH(B1053,'Crude Exp Dist'!$B$6:$B$78,0),MATCH(C1053,'Crude Exp Dist'!$AD$2:$BC$2,0))*INDEX(crude_exp_by_year,MATCH(B1053,'Data Export'!$B$6:$B$78,0),1),IF(E1053=5,INDEX(ref_exp_dist,MATCH(B1053,'Refined Petro Exp Dist'!$B$6:$B$78,0),MATCH(C1053,'Refined Petro Exp Dist'!$AD$2:$BC$2,0))*INDEX(ref_exp_by_year,MATCH(B1053,'Data Export'!$B$6:$B$78,0),1)))</f>
        <v>0</v>
      </c>
      <c r="E1053">
        <v>4</v>
      </c>
      <c r="F1053" t="s">
        <v>208</v>
      </c>
    </row>
    <row r="1054" spans="1:6">
      <c r="A1054" t="str">
        <f t="shared" si="16"/>
        <v>GenericE&amp;DtemplateCIandGOA</v>
      </c>
      <c r="B1054">
        <v>41</v>
      </c>
      <c r="C1054">
        <v>13</v>
      </c>
      <c r="D1054" s="649">
        <f ca="1">IF(E1054=4,INDEX(crude_exp_dist,MATCH(B1054,'Crude Exp Dist'!$B$6:$B$78,0),MATCH(C1054,'Crude Exp Dist'!$AD$2:$BC$2,0))*INDEX(crude_exp_by_year,MATCH(B1054,'Data Export'!$B$6:$B$78,0),1),IF(E1054=5,INDEX(ref_exp_dist,MATCH(B1054,'Refined Petro Exp Dist'!$B$6:$B$78,0),MATCH(C1054,'Refined Petro Exp Dist'!$AD$2:$BC$2,0))*INDEX(ref_exp_by_year,MATCH(B1054,'Data Export'!$B$6:$B$78,0),1)))</f>
        <v>0</v>
      </c>
      <c r="E1054">
        <v>4</v>
      </c>
      <c r="F1054" t="s">
        <v>211</v>
      </c>
    </row>
    <row r="1055" spans="1:6">
      <c r="A1055" t="str">
        <f t="shared" si="16"/>
        <v>GenericE&amp;DtemplateCIandGOA</v>
      </c>
      <c r="B1055">
        <v>41</v>
      </c>
      <c r="C1055">
        <v>14</v>
      </c>
      <c r="D1055" s="649">
        <f ca="1">IF(E1055=4,INDEX(crude_exp_dist,MATCH(B1055,'Crude Exp Dist'!$B$6:$B$78,0),MATCH(C1055,'Crude Exp Dist'!$AD$2:$BC$2,0))*INDEX(crude_exp_by_year,MATCH(B1055,'Data Export'!$B$6:$B$78,0),1),IF(E1055=5,INDEX(ref_exp_dist,MATCH(B1055,'Refined Petro Exp Dist'!$B$6:$B$78,0),MATCH(C1055,'Refined Petro Exp Dist'!$AD$2:$BC$2,0))*INDEX(ref_exp_by_year,MATCH(B1055,'Data Export'!$B$6:$B$78,0),1)))</f>
        <v>0</v>
      </c>
      <c r="E1055">
        <v>4</v>
      </c>
      <c r="F1055" t="s">
        <v>213</v>
      </c>
    </row>
    <row r="1056" spans="1:6">
      <c r="A1056" t="str">
        <f t="shared" si="16"/>
        <v>GenericE&amp;DtemplateCIandGOA</v>
      </c>
      <c r="B1056">
        <v>41</v>
      </c>
      <c r="C1056">
        <v>15</v>
      </c>
      <c r="D1056" s="649">
        <f ca="1">IF(E1056=4,INDEX(crude_exp_dist,MATCH(B1056,'Crude Exp Dist'!$B$6:$B$78,0),MATCH(C1056,'Crude Exp Dist'!$AD$2:$BC$2,0))*INDEX(crude_exp_by_year,MATCH(B1056,'Data Export'!$B$6:$B$78,0),1),IF(E1056=5,INDEX(ref_exp_dist,MATCH(B1056,'Refined Petro Exp Dist'!$B$6:$B$78,0),MATCH(C1056,'Refined Petro Exp Dist'!$AD$2:$BC$2,0))*INDEX(ref_exp_by_year,MATCH(B1056,'Data Export'!$B$6:$B$78,0),1)))</f>
        <v>0</v>
      </c>
      <c r="E1056">
        <v>4</v>
      </c>
      <c r="F1056" t="s">
        <v>215</v>
      </c>
    </row>
    <row r="1057" spans="1:6">
      <c r="A1057" t="str">
        <f t="shared" si="16"/>
        <v>GenericE&amp;DtemplateCIandGOA</v>
      </c>
      <c r="B1057">
        <v>41</v>
      </c>
      <c r="C1057">
        <v>16</v>
      </c>
      <c r="D1057" s="649">
        <f ca="1">IF(E1057=4,INDEX(crude_exp_dist,MATCH(B1057,'Crude Exp Dist'!$B$6:$B$78,0),MATCH(C1057,'Crude Exp Dist'!$AD$2:$BC$2,0))*INDEX(crude_exp_by_year,MATCH(B1057,'Data Export'!$B$6:$B$78,0),1),IF(E1057=5,INDEX(ref_exp_dist,MATCH(B1057,'Refined Petro Exp Dist'!$B$6:$B$78,0),MATCH(C1057,'Refined Petro Exp Dist'!$AD$2:$BC$2,0))*INDEX(ref_exp_by_year,MATCH(B1057,'Data Export'!$B$6:$B$78,0),1)))</f>
        <v>0</v>
      </c>
      <c r="E1057">
        <v>4</v>
      </c>
      <c r="F1057" t="s">
        <v>219</v>
      </c>
    </row>
    <row r="1058" spans="1:6">
      <c r="A1058" t="str">
        <f t="shared" si="16"/>
        <v>GenericE&amp;DtemplateCIandGOA</v>
      </c>
      <c r="B1058">
        <v>41</v>
      </c>
      <c r="C1058">
        <v>17</v>
      </c>
      <c r="D1058" s="649">
        <f ca="1">IF(E1058=4,INDEX(crude_exp_dist,MATCH(B1058,'Crude Exp Dist'!$B$6:$B$78,0),MATCH(C1058,'Crude Exp Dist'!$AD$2:$BC$2,0))*INDEX(crude_exp_by_year,MATCH(B1058,'Data Export'!$B$6:$B$78,0),1),IF(E1058=5,INDEX(ref_exp_dist,MATCH(B1058,'Refined Petro Exp Dist'!$B$6:$B$78,0),MATCH(C1058,'Refined Petro Exp Dist'!$AD$2:$BC$2,0))*INDEX(ref_exp_by_year,MATCH(B1058,'Data Export'!$B$6:$B$78,0),1)))</f>
        <v>0</v>
      </c>
      <c r="E1058">
        <v>4</v>
      </c>
      <c r="F1058" t="s">
        <v>222</v>
      </c>
    </row>
    <row r="1059" spans="1:6">
      <c r="A1059" t="str">
        <f t="shared" si="16"/>
        <v>GenericE&amp;DtemplateCIandGOA</v>
      </c>
      <c r="B1059">
        <v>41</v>
      </c>
      <c r="C1059">
        <v>18</v>
      </c>
      <c r="D1059" s="649">
        <f ca="1">IF(E1059=4,INDEX(crude_exp_dist,MATCH(B1059,'Crude Exp Dist'!$B$6:$B$78,0),MATCH(C1059,'Crude Exp Dist'!$AD$2:$BC$2,0))*INDEX(crude_exp_by_year,MATCH(B1059,'Data Export'!$B$6:$B$78,0),1),IF(E1059=5,INDEX(ref_exp_dist,MATCH(B1059,'Refined Petro Exp Dist'!$B$6:$B$78,0),MATCH(C1059,'Refined Petro Exp Dist'!$AD$2:$BC$2,0))*INDEX(ref_exp_by_year,MATCH(B1059,'Data Export'!$B$6:$B$78,0),1)))</f>
        <v>0</v>
      </c>
      <c r="E1059">
        <v>4</v>
      </c>
      <c r="F1059" t="s">
        <v>224</v>
      </c>
    </row>
    <row r="1060" spans="1:6">
      <c r="A1060" t="str">
        <f t="shared" si="16"/>
        <v>GenericE&amp;DtemplateCIandGOA</v>
      </c>
      <c r="B1060">
        <v>41</v>
      </c>
      <c r="C1060">
        <v>19</v>
      </c>
      <c r="D1060" s="649">
        <f ca="1">IF(E1060=4,INDEX(crude_exp_dist,MATCH(B1060,'Crude Exp Dist'!$B$6:$B$78,0),MATCH(C1060,'Crude Exp Dist'!$AD$2:$BC$2,0))*INDEX(crude_exp_by_year,MATCH(B1060,'Data Export'!$B$6:$B$78,0),1),IF(E1060=5,INDEX(ref_exp_dist,MATCH(B1060,'Refined Petro Exp Dist'!$B$6:$B$78,0),MATCH(C1060,'Refined Petro Exp Dist'!$AD$2:$BC$2,0))*INDEX(ref_exp_by_year,MATCH(B1060,'Data Export'!$B$6:$B$78,0),1)))</f>
        <v>0</v>
      </c>
      <c r="E1060">
        <v>4</v>
      </c>
      <c r="F1060" t="s">
        <v>228</v>
      </c>
    </row>
    <row r="1061" spans="1:6">
      <c r="A1061" t="str">
        <f t="shared" si="16"/>
        <v>GenericE&amp;DtemplateCIandGOA</v>
      </c>
      <c r="B1061">
        <v>41</v>
      </c>
      <c r="C1061">
        <v>20</v>
      </c>
      <c r="D1061" s="649">
        <f ca="1">IF(E1061=4,INDEX(crude_exp_dist,MATCH(B1061,'Crude Exp Dist'!$B$6:$B$78,0),MATCH(C1061,'Crude Exp Dist'!$AD$2:$BC$2,0))*INDEX(crude_exp_by_year,MATCH(B1061,'Data Export'!$B$6:$B$78,0),1),IF(E1061=5,INDEX(ref_exp_dist,MATCH(B1061,'Refined Petro Exp Dist'!$B$6:$B$78,0),MATCH(C1061,'Refined Petro Exp Dist'!$AD$2:$BC$2,0))*INDEX(ref_exp_by_year,MATCH(B1061,'Data Export'!$B$6:$B$78,0),1)))</f>
        <v>0</v>
      </c>
      <c r="E1061">
        <v>4</v>
      </c>
      <c r="F1061" t="s">
        <v>231</v>
      </c>
    </row>
    <row r="1062" spans="1:6">
      <c r="A1062" t="str">
        <f t="shared" si="16"/>
        <v>GenericE&amp;DtemplateCIandGOA</v>
      </c>
      <c r="B1062">
        <v>41</v>
      </c>
      <c r="C1062">
        <v>21</v>
      </c>
      <c r="D1062" s="649">
        <f ca="1">IF(E1062=4,INDEX(crude_exp_dist,MATCH(B1062,'Crude Exp Dist'!$B$6:$B$78,0),MATCH(C1062,'Crude Exp Dist'!$AD$2:$BC$2,0))*INDEX(crude_exp_by_year,MATCH(B1062,'Data Export'!$B$6:$B$78,0),1),IF(E1062=5,INDEX(ref_exp_dist,MATCH(B1062,'Refined Petro Exp Dist'!$B$6:$B$78,0),MATCH(C1062,'Refined Petro Exp Dist'!$AD$2:$BC$2,0))*INDEX(ref_exp_by_year,MATCH(B1062,'Data Export'!$B$6:$B$78,0),1)))</f>
        <v>0</v>
      </c>
      <c r="E1062">
        <v>4</v>
      </c>
      <c r="F1062" t="s">
        <v>232</v>
      </c>
    </row>
    <row r="1063" spans="1:6">
      <c r="A1063" t="str">
        <f t="shared" si="16"/>
        <v>GenericE&amp;DtemplateCIandGOA</v>
      </c>
      <c r="B1063">
        <v>41</v>
      </c>
      <c r="C1063">
        <v>22</v>
      </c>
      <c r="D1063" s="649">
        <f ca="1">IF(E1063=4,INDEX(crude_exp_dist,MATCH(B1063,'Crude Exp Dist'!$B$6:$B$78,0),MATCH(C1063,'Crude Exp Dist'!$AD$2:$BC$2,0))*INDEX(crude_exp_by_year,MATCH(B1063,'Data Export'!$B$6:$B$78,0),1),IF(E1063=5,INDEX(ref_exp_dist,MATCH(B1063,'Refined Petro Exp Dist'!$B$6:$B$78,0),MATCH(C1063,'Refined Petro Exp Dist'!$AD$2:$BC$2,0))*INDEX(ref_exp_by_year,MATCH(B1063,'Data Export'!$B$6:$B$78,0),1)))</f>
        <v>0</v>
      </c>
      <c r="E1063">
        <v>4</v>
      </c>
      <c r="F1063" t="s">
        <v>235</v>
      </c>
    </row>
    <row r="1064" spans="1:6">
      <c r="A1064" t="str">
        <f t="shared" si="16"/>
        <v>GenericE&amp;DtemplateCIandGOA</v>
      </c>
      <c r="B1064">
        <v>41</v>
      </c>
      <c r="C1064">
        <v>23</v>
      </c>
      <c r="D1064" s="649">
        <f ca="1">IF(E1064=4,INDEX(crude_exp_dist,MATCH(B1064,'Crude Exp Dist'!$B$6:$B$78,0),MATCH(C1064,'Crude Exp Dist'!$AD$2:$BC$2,0))*INDEX(crude_exp_by_year,MATCH(B1064,'Data Export'!$B$6:$B$78,0),1),IF(E1064=5,INDEX(ref_exp_dist,MATCH(B1064,'Refined Petro Exp Dist'!$B$6:$B$78,0),MATCH(C1064,'Refined Petro Exp Dist'!$AD$2:$BC$2,0))*INDEX(ref_exp_by_year,MATCH(B1064,'Data Export'!$B$6:$B$78,0),1)))</f>
        <v>0</v>
      </c>
      <c r="E1064">
        <v>4</v>
      </c>
      <c r="F1064" t="s">
        <v>237</v>
      </c>
    </row>
    <row r="1065" spans="1:6">
      <c r="A1065" t="str">
        <f t="shared" si="16"/>
        <v>GenericE&amp;DtemplateCIandGOA</v>
      </c>
      <c r="B1065">
        <v>41</v>
      </c>
      <c r="C1065">
        <v>24</v>
      </c>
      <c r="D1065" s="649">
        <f ca="1">IF(E1065=4,INDEX(crude_exp_dist,MATCH(B1065,'Crude Exp Dist'!$B$6:$B$78,0),MATCH(C1065,'Crude Exp Dist'!$AD$2:$BC$2,0))*INDEX(crude_exp_by_year,MATCH(B1065,'Data Export'!$B$6:$B$78,0),1),IF(E1065=5,INDEX(ref_exp_dist,MATCH(B1065,'Refined Petro Exp Dist'!$B$6:$B$78,0),MATCH(C1065,'Refined Petro Exp Dist'!$AD$2:$BC$2,0))*INDEX(ref_exp_by_year,MATCH(B1065,'Data Export'!$B$6:$B$78,0),1)))</f>
        <v>0</v>
      </c>
      <c r="E1065">
        <v>4</v>
      </c>
      <c r="F1065" t="s">
        <v>239</v>
      </c>
    </row>
    <row r="1066" spans="1:6">
      <c r="A1066" t="str">
        <f t="shared" si="16"/>
        <v>GenericE&amp;DtemplateCIandGOA</v>
      </c>
      <c r="B1066">
        <v>41</v>
      </c>
      <c r="C1066">
        <v>25</v>
      </c>
      <c r="D1066" s="649">
        <f ca="1">IF(E1066=4,INDEX(crude_exp_dist,MATCH(B1066,'Crude Exp Dist'!$B$6:$B$78,0),MATCH(C1066,'Crude Exp Dist'!$AD$2:$BC$2,0))*INDEX(crude_exp_by_year,MATCH(B1066,'Data Export'!$B$6:$B$78,0),1),IF(E1066=5,INDEX(ref_exp_dist,MATCH(B1066,'Refined Petro Exp Dist'!$B$6:$B$78,0),MATCH(C1066,'Refined Petro Exp Dist'!$AD$2:$BC$2,0))*INDEX(ref_exp_by_year,MATCH(B1066,'Data Export'!$B$6:$B$78,0),1)))</f>
        <v>0</v>
      </c>
      <c r="E1066">
        <v>4</v>
      </c>
      <c r="F1066" t="s">
        <v>242</v>
      </c>
    </row>
    <row r="1067" spans="1:6">
      <c r="A1067" t="str">
        <f t="shared" si="16"/>
        <v>GenericE&amp;DtemplateCIandGOA</v>
      </c>
      <c r="B1067">
        <v>41</v>
      </c>
      <c r="C1067">
        <v>26</v>
      </c>
      <c r="D1067" s="649">
        <f ca="1">IF(E1067=4,INDEX(crude_exp_dist,MATCH(B1067,'Crude Exp Dist'!$B$6:$B$78,0),MATCH(C1067,'Crude Exp Dist'!$AD$2:$BC$2,0))*INDEX(crude_exp_by_year,MATCH(B1067,'Data Export'!$B$6:$B$78,0),1),IF(E1067=5,INDEX(ref_exp_dist,MATCH(B1067,'Refined Petro Exp Dist'!$B$6:$B$78,0),MATCH(C1067,'Refined Petro Exp Dist'!$AD$2:$BC$2,0))*INDEX(ref_exp_by_year,MATCH(B1067,'Data Export'!$B$6:$B$78,0),1)))</f>
        <v>0</v>
      </c>
      <c r="E1067">
        <v>4</v>
      </c>
      <c r="F1067" t="s">
        <v>245</v>
      </c>
    </row>
    <row r="1068" spans="1:6">
      <c r="A1068" t="str">
        <f t="shared" si="16"/>
        <v>GenericE&amp;DtemplateCIandGOA</v>
      </c>
      <c r="B1068">
        <v>42</v>
      </c>
      <c r="C1068">
        <v>1</v>
      </c>
      <c r="D1068" s="649">
        <f ca="1">IF(E1068=4,INDEX(crude_exp_dist,MATCH(B1068,'Crude Exp Dist'!$B$6:$B$78,0),MATCH(C1068,'Crude Exp Dist'!$AD$2:$BC$2,0))*INDEX(crude_exp_by_year,MATCH(B1068,'Data Export'!$B$6:$B$78,0),1),IF(E1068=5,INDEX(ref_exp_dist,MATCH(B1068,'Refined Petro Exp Dist'!$B$6:$B$78,0),MATCH(C1068,'Refined Petro Exp Dist'!$AD$2:$BC$2,0))*INDEX(ref_exp_by_year,MATCH(B1068,'Data Export'!$B$6:$B$78,0),1)))</f>
        <v>0</v>
      </c>
      <c r="E1068">
        <v>4</v>
      </c>
      <c r="F1068" t="s">
        <v>158</v>
      </c>
    </row>
    <row r="1069" spans="1:6">
      <c r="A1069" t="str">
        <f t="shared" si="16"/>
        <v>GenericE&amp;DtemplateCIandGOA</v>
      </c>
      <c r="B1069">
        <v>42</v>
      </c>
      <c r="C1069">
        <v>2</v>
      </c>
      <c r="D1069" s="649">
        <f ca="1">IF(E1069=4,INDEX(crude_exp_dist,MATCH(B1069,'Crude Exp Dist'!$B$6:$B$78,0),MATCH(C1069,'Crude Exp Dist'!$AD$2:$BC$2,0))*INDEX(crude_exp_by_year,MATCH(B1069,'Data Export'!$B$6:$B$78,0),1),IF(E1069=5,INDEX(ref_exp_dist,MATCH(B1069,'Refined Petro Exp Dist'!$B$6:$B$78,0),MATCH(C1069,'Refined Petro Exp Dist'!$AD$2:$BC$2,0))*INDEX(ref_exp_by_year,MATCH(B1069,'Data Export'!$B$6:$B$78,0),1)))</f>
        <v>0</v>
      </c>
      <c r="E1069">
        <v>4</v>
      </c>
      <c r="F1069" t="s">
        <v>166</v>
      </c>
    </row>
    <row r="1070" spans="1:6">
      <c r="A1070" t="str">
        <f t="shared" si="16"/>
        <v>GenericE&amp;DtemplateCIandGOA</v>
      </c>
      <c r="B1070">
        <v>42</v>
      </c>
      <c r="C1070">
        <v>3</v>
      </c>
      <c r="D1070" s="649">
        <f ca="1">IF(E1070=4,INDEX(crude_exp_dist,MATCH(B1070,'Crude Exp Dist'!$B$6:$B$78,0),MATCH(C1070,'Crude Exp Dist'!$AD$2:$BC$2,0))*INDEX(crude_exp_by_year,MATCH(B1070,'Data Export'!$B$6:$B$78,0),1),IF(E1070=5,INDEX(ref_exp_dist,MATCH(B1070,'Refined Petro Exp Dist'!$B$6:$B$78,0),MATCH(C1070,'Refined Petro Exp Dist'!$AD$2:$BC$2,0))*INDEX(ref_exp_by_year,MATCH(B1070,'Data Export'!$B$6:$B$78,0),1)))</f>
        <v>0</v>
      </c>
      <c r="E1070">
        <v>4</v>
      </c>
      <c r="F1070" t="s">
        <v>171</v>
      </c>
    </row>
    <row r="1071" spans="1:6">
      <c r="A1071" t="str">
        <f t="shared" si="16"/>
        <v>GenericE&amp;DtemplateCIandGOA</v>
      </c>
      <c r="B1071">
        <v>42</v>
      </c>
      <c r="C1071">
        <v>4</v>
      </c>
      <c r="D1071" s="649">
        <f ca="1">IF(E1071=4,INDEX(crude_exp_dist,MATCH(B1071,'Crude Exp Dist'!$B$6:$B$78,0),MATCH(C1071,'Crude Exp Dist'!$AD$2:$BC$2,0))*INDEX(crude_exp_by_year,MATCH(B1071,'Data Export'!$B$6:$B$78,0),1),IF(E1071=5,INDEX(ref_exp_dist,MATCH(B1071,'Refined Petro Exp Dist'!$B$6:$B$78,0),MATCH(C1071,'Refined Petro Exp Dist'!$AD$2:$BC$2,0))*INDEX(ref_exp_by_year,MATCH(B1071,'Data Export'!$B$6:$B$78,0),1)))</f>
        <v>0</v>
      </c>
      <c r="E1071">
        <v>4</v>
      </c>
      <c r="F1071" t="s">
        <v>173</v>
      </c>
    </row>
    <row r="1072" spans="1:6">
      <c r="A1072" t="str">
        <f t="shared" si="16"/>
        <v>GenericE&amp;DtemplateCIandGOA</v>
      </c>
      <c r="B1072">
        <v>42</v>
      </c>
      <c r="C1072">
        <v>5</v>
      </c>
      <c r="D1072" s="649">
        <f ca="1">IF(E1072=4,INDEX(crude_exp_dist,MATCH(B1072,'Crude Exp Dist'!$B$6:$B$78,0),MATCH(C1072,'Crude Exp Dist'!$AD$2:$BC$2,0))*INDEX(crude_exp_by_year,MATCH(B1072,'Data Export'!$B$6:$B$78,0),1),IF(E1072=5,INDEX(ref_exp_dist,MATCH(B1072,'Refined Petro Exp Dist'!$B$6:$B$78,0),MATCH(C1072,'Refined Petro Exp Dist'!$AD$2:$BC$2,0))*INDEX(ref_exp_by_year,MATCH(B1072,'Data Export'!$B$6:$B$78,0),1)))</f>
        <v>0</v>
      </c>
      <c r="E1072">
        <v>4</v>
      </c>
      <c r="F1072" t="s">
        <v>180</v>
      </c>
    </row>
    <row r="1073" spans="1:6">
      <c r="A1073" t="str">
        <f t="shared" si="16"/>
        <v>GenericE&amp;DtemplateCIandGOA</v>
      </c>
      <c r="B1073">
        <v>42</v>
      </c>
      <c r="C1073">
        <v>6</v>
      </c>
      <c r="D1073" s="649">
        <f ca="1">IF(E1073=4,INDEX(crude_exp_dist,MATCH(B1073,'Crude Exp Dist'!$B$6:$B$78,0),MATCH(C1073,'Crude Exp Dist'!$AD$2:$BC$2,0))*INDEX(crude_exp_by_year,MATCH(B1073,'Data Export'!$B$6:$B$78,0),1),IF(E1073=5,INDEX(ref_exp_dist,MATCH(B1073,'Refined Petro Exp Dist'!$B$6:$B$78,0),MATCH(C1073,'Refined Petro Exp Dist'!$AD$2:$BC$2,0))*INDEX(ref_exp_by_year,MATCH(B1073,'Data Export'!$B$6:$B$78,0),1)))</f>
        <v>0</v>
      </c>
      <c r="E1073">
        <v>4</v>
      </c>
      <c r="F1073" t="s">
        <v>186</v>
      </c>
    </row>
    <row r="1074" spans="1:6">
      <c r="A1074" t="str">
        <f t="shared" si="16"/>
        <v>GenericE&amp;DtemplateCIandGOA</v>
      </c>
      <c r="B1074">
        <v>42</v>
      </c>
      <c r="C1074">
        <v>7</v>
      </c>
      <c r="D1074" s="649">
        <f ca="1">IF(E1074=4,INDEX(crude_exp_dist,MATCH(B1074,'Crude Exp Dist'!$B$6:$B$78,0),MATCH(C1074,'Crude Exp Dist'!$AD$2:$BC$2,0))*INDEX(crude_exp_by_year,MATCH(B1074,'Data Export'!$B$6:$B$78,0),1),IF(E1074=5,INDEX(ref_exp_dist,MATCH(B1074,'Refined Petro Exp Dist'!$B$6:$B$78,0),MATCH(C1074,'Refined Petro Exp Dist'!$AD$2:$BC$2,0))*INDEX(ref_exp_by_year,MATCH(B1074,'Data Export'!$B$6:$B$78,0),1)))</f>
        <v>0</v>
      </c>
      <c r="E1074">
        <v>4</v>
      </c>
      <c r="F1074" t="s">
        <v>191</v>
      </c>
    </row>
    <row r="1075" spans="1:6">
      <c r="A1075" t="str">
        <f t="shared" si="16"/>
        <v>GenericE&amp;DtemplateCIandGOA</v>
      </c>
      <c r="B1075">
        <v>42</v>
      </c>
      <c r="C1075">
        <v>8</v>
      </c>
      <c r="D1075" s="649">
        <f ca="1">IF(E1075=4,INDEX(crude_exp_dist,MATCH(B1075,'Crude Exp Dist'!$B$6:$B$78,0),MATCH(C1075,'Crude Exp Dist'!$AD$2:$BC$2,0))*INDEX(crude_exp_by_year,MATCH(B1075,'Data Export'!$B$6:$B$78,0),1),IF(E1075=5,INDEX(ref_exp_dist,MATCH(B1075,'Refined Petro Exp Dist'!$B$6:$B$78,0),MATCH(C1075,'Refined Petro Exp Dist'!$AD$2:$BC$2,0))*INDEX(ref_exp_by_year,MATCH(B1075,'Data Export'!$B$6:$B$78,0),1)))</f>
        <v>0</v>
      </c>
      <c r="E1075">
        <v>4</v>
      </c>
      <c r="F1075" t="s">
        <v>197</v>
      </c>
    </row>
    <row r="1076" spans="1:6">
      <c r="A1076" t="str">
        <f t="shared" si="16"/>
        <v>GenericE&amp;DtemplateCIandGOA</v>
      </c>
      <c r="B1076">
        <v>42</v>
      </c>
      <c r="C1076">
        <v>9</v>
      </c>
      <c r="D1076" s="649">
        <f ca="1">IF(E1076=4,INDEX(crude_exp_dist,MATCH(B1076,'Crude Exp Dist'!$B$6:$B$78,0),MATCH(C1076,'Crude Exp Dist'!$AD$2:$BC$2,0))*INDEX(crude_exp_by_year,MATCH(B1076,'Data Export'!$B$6:$B$78,0),1),IF(E1076=5,INDEX(ref_exp_dist,MATCH(B1076,'Refined Petro Exp Dist'!$B$6:$B$78,0),MATCH(C1076,'Refined Petro Exp Dist'!$AD$2:$BC$2,0))*INDEX(ref_exp_by_year,MATCH(B1076,'Data Export'!$B$6:$B$78,0),1)))</f>
        <v>0</v>
      </c>
      <c r="E1076">
        <v>4</v>
      </c>
      <c r="F1076" t="s">
        <v>199</v>
      </c>
    </row>
    <row r="1077" spans="1:6">
      <c r="A1077" t="str">
        <f t="shared" si="16"/>
        <v>GenericE&amp;DtemplateCIandGOA</v>
      </c>
      <c r="B1077">
        <v>42</v>
      </c>
      <c r="C1077">
        <v>10</v>
      </c>
      <c r="D1077" s="649">
        <f ca="1">IF(E1077=4,INDEX(crude_exp_dist,MATCH(B1077,'Crude Exp Dist'!$B$6:$B$78,0),MATCH(C1077,'Crude Exp Dist'!$AD$2:$BC$2,0))*INDEX(crude_exp_by_year,MATCH(B1077,'Data Export'!$B$6:$B$78,0),1),IF(E1077=5,INDEX(ref_exp_dist,MATCH(B1077,'Refined Petro Exp Dist'!$B$6:$B$78,0),MATCH(C1077,'Refined Petro Exp Dist'!$AD$2:$BC$2,0))*INDEX(ref_exp_by_year,MATCH(B1077,'Data Export'!$B$6:$B$78,0),1)))</f>
        <v>0</v>
      </c>
      <c r="E1077">
        <v>4</v>
      </c>
      <c r="F1077" t="s">
        <v>201</v>
      </c>
    </row>
    <row r="1078" spans="1:6">
      <c r="A1078" t="str">
        <f t="shared" si="16"/>
        <v>GenericE&amp;DtemplateCIandGOA</v>
      </c>
      <c r="B1078">
        <v>42</v>
      </c>
      <c r="C1078">
        <v>11</v>
      </c>
      <c r="D1078" s="649">
        <f ca="1">IF(E1078=4,INDEX(crude_exp_dist,MATCH(B1078,'Crude Exp Dist'!$B$6:$B$78,0),MATCH(C1078,'Crude Exp Dist'!$AD$2:$BC$2,0))*INDEX(crude_exp_by_year,MATCH(B1078,'Data Export'!$B$6:$B$78,0),1),IF(E1078=5,INDEX(ref_exp_dist,MATCH(B1078,'Refined Petro Exp Dist'!$B$6:$B$78,0),MATCH(C1078,'Refined Petro Exp Dist'!$AD$2:$BC$2,0))*INDEX(ref_exp_by_year,MATCH(B1078,'Data Export'!$B$6:$B$78,0),1)))</f>
        <v>0</v>
      </c>
      <c r="E1078">
        <v>4</v>
      </c>
      <c r="F1078" t="s">
        <v>921</v>
      </c>
    </row>
    <row r="1079" spans="1:6">
      <c r="A1079" t="str">
        <f t="shared" si="16"/>
        <v>GenericE&amp;DtemplateCIandGOA</v>
      </c>
      <c r="B1079">
        <v>42</v>
      </c>
      <c r="C1079">
        <v>12</v>
      </c>
      <c r="D1079" s="649">
        <f ca="1">IF(E1079=4,INDEX(crude_exp_dist,MATCH(B1079,'Crude Exp Dist'!$B$6:$B$78,0),MATCH(C1079,'Crude Exp Dist'!$AD$2:$BC$2,0))*INDEX(crude_exp_by_year,MATCH(B1079,'Data Export'!$B$6:$B$78,0),1),IF(E1079=5,INDEX(ref_exp_dist,MATCH(B1079,'Refined Petro Exp Dist'!$B$6:$B$78,0),MATCH(C1079,'Refined Petro Exp Dist'!$AD$2:$BC$2,0))*INDEX(ref_exp_by_year,MATCH(B1079,'Data Export'!$B$6:$B$78,0),1)))</f>
        <v>0</v>
      </c>
      <c r="E1079">
        <v>4</v>
      </c>
      <c r="F1079" t="s">
        <v>208</v>
      </c>
    </row>
    <row r="1080" spans="1:6">
      <c r="A1080" t="str">
        <f t="shared" si="16"/>
        <v>GenericE&amp;DtemplateCIandGOA</v>
      </c>
      <c r="B1080">
        <v>42</v>
      </c>
      <c r="C1080">
        <v>13</v>
      </c>
      <c r="D1080" s="649">
        <f ca="1">IF(E1080=4,INDEX(crude_exp_dist,MATCH(B1080,'Crude Exp Dist'!$B$6:$B$78,0),MATCH(C1080,'Crude Exp Dist'!$AD$2:$BC$2,0))*INDEX(crude_exp_by_year,MATCH(B1080,'Data Export'!$B$6:$B$78,0),1),IF(E1080=5,INDEX(ref_exp_dist,MATCH(B1080,'Refined Petro Exp Dist'!$B$6:$B$78,0),MATCH(C1080,'Refined Petro Exp Dist'!$AD$2:$BC$2,0))*INDEX(ref_exp_by_year,MATCH(B1080,'Data Export'!$B$6:$B$78,0),1)))</f>
        <v>0</v>
      </c>
      <c r="E1080">
        <v>4</v>
      </c>
      <c r="F1080" t="s">
        <v>211</v>
      </c>
    </row>
    <row r="1081" spans="1:6">
      <c r="A1081" t="str">
        <f t="shared" si="16"/>
        <v>GenericE&amp;DtemplateCIandGOA</v>
      </c>
      <c r="B1081">
        <v>42</v>
      </c>
      <c r="C1081">
        <v>14</v>
      </c>
      <c r="D1081" s="649">
        <f ca="1">IF(E1081=4,INDEX(crude_exp_dist,MATCH(B1081,'Crude Exp Dist'!$B$6:$B$78,0),MATCH(C1081,'Crude Exp Dist'!$AD$2:$BC$2,0))*INDEX(crude_exp_by_year,MATCH(B1081,'Data Export'!$B$6:$B$78,0),1),IF(E1081=5,INDEX(ref_exp_dist,MATCH(B1081,'Refined Petro Exp Dist'!$B$6:$B$78,0),MATCH(C1081,'Refined Petro Exp Dist'!$AD$2:$BC$2,0))*INDEX(ref_exp_by_year,MATCH(B1081,'Data Export'!$B$6:$B$78,0),1)))</f>
        <v>0</v>
      </c>
      <c r="E1081">
        <v>4</v>
      </c>
      <c r="F1081" t="s">
        <v>213</v>
      </c>
    </row>
    <row r="1082" spans="1:6">
      <c r="A1082" t="str">
        <f t="shared" si="16"/>
        <v>GenericE&amp;DtemplateCIandGOA</v>
      </c>
      <c r="B1082">
        <v>42</v>
      </c>
      <c r="C1082">
        <v>15</v>
      </c>
      <c r="D1082" s="649">
        <f ca="1">IF(E1082=4,INDEX(crude_exp_dist,MATCH(B1082,'Crude Exp Dist'!$B$6:$B$78,0),MATCH(C1082,'Crude Exp Dist'!$AD$2:$BC$2,0))*INDEX(crude_exp_by_year,MATCH(B1082,'Data Export'!$B$6:$B$78,0),1),IF(E1082=5,INDEX(ref_exp_dist,MATCH(B1082,'Refined Petro Exp Dist'!$B$6:$B$78,0),MATCH(C1082,'Refined Petro Exp Dist'!$AD$2:$BC$2,0))*INDEX(ref_exp_by_year,MATCH(B1082,'Data Export'!$B$6:$B$78,0),1)))</f>
        <v>0</v>
      </c>
      <c r="E1082">
        <v>4</v>
      </c>
      <c r="F1082" t="s">
        <v>215</v>
      </c>
    </row>
    <row r="1083" spans="1:6">
      <c r="A1083" t="str">
        <f t="shared" si="16"/>
        <v>GenericE&amp;DtemplateCIandGOA</v>
      </c>
      <c r="B1083">
        <v>42</v>
      </c>
      <c r="C1083">
        <v>16</v>
      </c>
      <c r="D1083" s="649">
        <f ca="1">IF(E1083=4,INDEX(crude_exp_dist,MATCH(B1083,'Crude Exp Dist'!$B$6:$B$78,0),MATCH(C1083,'Crude Exp Dist'!$AD$2:$BC$2,0))*INDEX(crude_exp_by_year,MATCH(B1083,'Data Export'!$B$6:$B$78,0),1),IF(E1083=5,INDEX(ref_exp_dist,MATCH(B1083,'Refined Petro Exp Dist'!$B$6:$B$78,0),MATCH(C1083,'Refined Petro Exp Dist'!$AD$2:$BC$2,0))*INDEX(ref_exp_by_year,MATCH(B1083,'Data Export'!$B$6:$B$78,0),1)))</f>
        <v>0</v>
      </c>
      <c r="E1083">
        <v>4</v>
      </c>
      <c r="F1083" t="s">
        <v>219</v>
      </c>
    </row>
    <row r="1084" spans="1:6">
      <c r="A1084" t="str">
        <f t="shared" si="16"/>
        <v>GenericE&amp;DtemplateCIandGOA</v>
      </c>
      <c r="B1084">
        <v>42</v>
      </c>
      <c r="C1084">
        <v>17</v>
      </c>
      <c r="D1084" s="649">
        <f ca="1">IF(E1084=4,INDEX(crude_exp_dist,MATCH(B1084,'Crude Exp Dist'!$B$6:$B$78,0),MATCH(C1084,'Crude Exp Dist'!$AD$2:$BC$2,0))*INDEX(crude_exp_by_year,MATCH(B1084,'Data Export'!$B$6:$B$78,0),1),IF(E1084=5,INDEX(ref_exp_dist,MATCH(B1084,'Refined Petro Exp Dist'!$B$6:$B$78,0),MATCH(C1084,'Refined Petro Exp Dist'!$AD$2:$BC$2,0))*INDEX(ref_exp_by_year,MATCH(B1084,'Data Export'!$B$6:$B$78,0),1)))</f>
        <v>0</v>
      </c>
      <c r="E1084">
        <v>4</v>
      </c>
      <c r="F1084" t="s">
        <v>222</v>
      </c>
    </row>
    <row r="1085" spans="1:6">
      <c r="A1085" t="str">
        <f t="shared" si="16"/>
        <v>GenericE&amp;DtemplateCIandGOA</v>
      </c>
      <c r="B1085">
        <v>42</v>
      </c>
      <c r="C1085">
        <v>18</v>
      </c>
      <c r="D1085" s="649">
        <f ca="1">IF(E1085=4,INDEX(crude_exp_dist,MATCH(B1085,'Crude Exp Dist'!$B$6:$B$78,0),MATCH(C1085,'Crude Exp Dist'!$AD$2:$BC$2,0))*INDEX(crude_exp_by_year,MATCH(B1085,'Data Export'!$B$6:$B$78,0),1),IF(E1085=5,INDEX(ref_exp_dist,MATCH(B1085,'Refined Petro Exp Dist'!$B$6:$B$78,0),MATCH(C1085,'Refined Petro Exp Dist'!$AD$2:$BC$2,0))*INDEX(ref_exp_by_year,MATCH(B1085,'Data Export'!$B$6:$B$78,0),1)))</f>
        <v>0</v>
      </c>
      <c r="E1085">
        <v>4</v>
      </c>
      <c r="F1085" t="s">
        <v>224</v>
      </c>
    </row>
    <row r="1086" spans="1:6">
      <c r="A1086" t="str">
        <f t="shared" si="16"/>
        <v>GenericE&amp;DtemplateCIandGOA</v>
      </c>
      <c r="B1086">
        <v>42</v>
      </c>
      <c r="C1086">
        <v>19</v>
      </c>
      <c r="D1086" s="649">
        <f ca="1">IF(E1086=4,INDEX(crude_exp_dist,MATCH(B1086,'Crude Exp Dist'!$B$6:$B$78,0),MATCH(C1086,'Crude Exp Dist'!$AD$2:$BC$2,0))*INDEX(crude_exp_by_year,MATCH(B1086,'Data Export'!$B$6:$B$78,0),1),IF(E1086=5,INDEX(ref_exp_dist,MATCH(B1086,'Refined Petro Exp Dist'!$B$6:$B$78,0),MATCH(C1086,'Refined Petro Exp Dist'!$AD$2:$BC$2,0))*INDEX(ref_exp_by_year,MATCH(B1086,'Data Export'!$B$6:$B$78,0),1)))</f>
        <v>0</v>
      </c>
      <c r="E1086">
        <v>4</v>
      </c>
      <c r="F1086" t="s">
        <v>228</v>
      </c>
    </row>
    <row r="1087" spans="1:6">
      <c r="A1087" t="str">
        <f t="shared" si="16"/>
        <v>GenericE&amp;DtemplateCIandGOA</v>
      </c>
      <c r="B1087">
        <v>42</v>
      </c>
      <c r="C1087">
        <v>20</v>
      </c>
      <c r="D1087" s="649">
        <f ca="1">IF(E1087=4,INDEX(crude_exp_dist,MATCH(B1087,'Crude Exp Dist'!$B$6:$B$78,0),MATCH(C1087,'Crude Exp Dist'!$AD$2:$BC$2,0))*INDEX(crude_exp_by_year,MATCH(B1087,'Data Export'!$B$6:$B$78,0),1),IF(E1087=5,INDEX(ref_exp_dist,MATCH(B1087,'Refined Petro Exp Dist'!$B$6:$B$78,0),MATCH(C1087,'Refined Petro Exp Dist'!$AD$2:$BC$2,0))*INDEX(ref_exp_by_year,MATCH(B1087,'Data Export'!$B$6:$B$78,0),1)))</f>
        <v>0</v>
      </c>
      <c r="E1087">
        <v>4</v>
      </c>
      <c r="F1087" t="s">
        <v>231</v>
      </c>
    </row>
    <row r="1088" spans="1:6">
      <c r="A1088" t="str">
        <f t="shared" si="16"/>
        <v>GenericE&amp;DtemplateCIandGOA</v>
      </c>
      <c r="B1088">
        <v>42</v>
      </c>
      <c r="C1088">
        <v>21</v>
      </c>
      <c r="D1088" s="649">
        <f ca="1">IF(E1088=4,INDEX(crude_exp_dist,MATCH(B1088,'Crude Exp Dist'!$B$6:$B$78,0),MATCH(C1088,'Crude Exp Dist'!$AD$2:$BC$2,0))*INDEX(crude_exp_by_year,MATCH(B1088,'Data Export'!$B$6:$B$78,0),1),IF(E1088=5,INDEX(ref_exp_dist,MATCH(B1088,'Refined Petro Exp Dist'!$B$6:$B$78,0),MATCH(C1088,'Refined Petro Exp Dist'!$AD$2:$BC$2,0))*INDEX(ref_exp_by_year,MATCH(B1088,'Data Export'!$B$6:$B$78,0),1)))</f>
        <v>0</v>
      </c>
      <c r="E1088">
        <v>4</v>
      </c>
      <c r="F1088" t="s">
        <v>232</v>
      </c>
    </row>
    <row r="1089" spans="1:6">
      <c r="A1089" t="str">
        <f t="shared" si="16"/>
        <v>GenericE&amp;DtemplateCIandGOA</v>
      </c>
      <c r="B1089">
        <v>42</v>
      </c>
      <c r="C1089">
        <v>22</v>
      </c>
      <c r="D1089" s="649">
        <f ca="1">IF(E1089=4,INDEX(crude_exp_dist,MATCH(B1089,'Crude Exp Dist'!$B$6:$B$78,0),MATCH(C1089,'Crude Exp Dist'!$AD$2:$BC$2,0))*INDEX(crude_exp_by_year,MATCH(B1089,'Data Export'!$B$6:$B$78,0),1),IF(E1089=5,INDEX(ref_exp_dist,MATCH(B1089,'Refined Petro Exp Dist'!$B$6:$B$78,0),MATCH(C1089,'Refined Petro Exp Dist'!$AD$2:$BC$2,0))*INDEX(ref_exp_by_year,MATCH(B1089,'Data Export'!$B$6:$B$78,0),1)))</f>
        <v>0</v>
      </c>
      <c r="E1089">
        <v>4</v>
      </c>
      <c r="F1089" t="s">
        <v>235</v>
      </c>
    </row>
    <row r="1090" spans="1:6">
      <c r="A1090" t="str">
        <f t="shared" ref="A1090:A1153" si="17">scenario_name</f>
        <v>GenericE&amp;DtemplateCIandGOA</v>
      </c>
      <c r="B1090">
        <v>42</v>
      </c>
      <c r="C1090">
        <v>23</v>
      </c>
      <c r="D1090" s="649">
        <f ca="1">IF(E1090=4,INDEX(crude_exp_dist,MATCH(B1090,'Crude Exp Dist'!$B$6:$B$78,0),MATCH(C1090,'Crude Exp Dist'!$AD$2:$BC$2,0))*INDEX(crude_exp_by_year,MATCH(B1090,'Data Export'!$B$6:$B$78,0),1),IF(E1090=5,INDEX(ref_exp_dist,MATCH(B1090,'Refined Petro Exp Dist'!$B$6:$B$78,0),MATCH(C1090,'Refined Petro Exp Dist'!$AD$2:$BC$2,0))*INDEX(ref_exp_by_year,MATCH(B1090,'Data Export'!$B$6:$B$78,0),1)))</f>
        <v>0</v>
      </c>
      <c r="E1090">
        <v>4</v>
      </c>
      <c r="F1090" t="s">
        <v>237</v>
      </c>
    </row>
    <row r="1091" spans="1:6">
      <c r="A1091" t="str">
        <f t="shared" si="17"/>
        <v>GenericE&amp;DtemplateCIandGOA</v>
      </c>
      <c r="B1091">
        <v>42</v>
      </c>
      <c r="C1091">
        <v>24</v>
      </c>
      <c r="D1091" s="649">
        <f ca="1">IF(E1091=4,INDEX(crude_exp_dist,MATCH(B1091,'Crude Exp Dist'!$B$6:$B$78,0),MATCH(C1091,'Crude Exp Dist'!$AD$2:$BC$2,0))*INDEX(crude_exp_by_year,MATCH(B1091,'Data Export'!$B$6:$B$78,0),1),IF(E1091=5,INDEX(ref_exp_dist,MATCH(B1091,'Refined Petro Exp Dist'!$B$6:$B$78,0),MATCH(C1091,'Refined Petro Exp Dist'!$AD$2:$BC$2,0))*INDEX(ref_exp_by_year,MATCH(B1091,'Data Export'!$B$6:$B$78,0),1)))</f>
        <v>0</v>
      </c>
      <c r="E1091">
        <v>4</v>
      </c>
      <c r="F1091" t="s">
        <v>239</v>
      </c>
    </row>
    <row r="1092" spans="1:6">
      <c r="A1092" t="str">
        <f t="shared" si="17"/>
        <v>GenericE&amp;DtemplateCIandGOA</v>
      </c>
      <c r="B1092">
        <v>42</v>
      </c>
      <c r="C1092">
        <v>25</v>
      </c>
      <c r="D1092" s="649">
        <f ca="1">IF(E1092=4,INDEX(crude_exp_dist,MATCH(B1092,'Crude Exp Dist'!$B$6:$B$78,0),MATCH(C1092,'Crude Exp Dist'!$AD$2:$BC$2,0))*INDEX(crude_exp_by_year,MATCH(B1092,'Data Export'!$B$6:$B$78,0),1),IF(E1092=5,INDEX(ref_exp_dist,MATCH(B1092,'Refined Petro Exp Dist'!$B$6:$B$78,0),MATCH(C1092,'Refined Petro Exp Dist'!$AD$2:$BC$2,0))*INDEX(ref_exp_by_year,MATCH(B1092,'Data Export'!$B$6:$B$78,0),1)))</f>
        <v>0</v>
      </c>
      <c r="E1092">
        <v>4</v>
      </c>
      <c r="F1092" t="s">
        <v>242</v>
      </c>
    </row>
    <row r="1093" spans="1:6">
      <c r="A1093" t="str">
        <f t="shared" si="17"/>
        <v>GenericE&amp;DtemplateCIandGOA</v>
      </c>
      <c r="B1093">
        <v>42</v>
      </c>
      <c r="C1093">
        <v>26</v>
      </c>
      <c r="D1093" s="649">
        <f ca="1">IF(E1093=4,INDEX(crude_exp_dist,MATCH(B1093,'Crude Exp Dist'!$B$6:$B$78,0),MATCH(C1093,'Crude Exp Dist'!$AD$2:$BC$2,0))*INDEX(crude_exp_by_year,MATCH(B1093,'Data Export'!$B$6:$B$78,0),1),IF(E1093=5,INDEX(ref_exp_dist,MATCH(B1093,'Refined Petro Exp Dist'!$B$6:$B$78,0),MATCH(C1093,'Refined Petro Exp Dist'!$AD$2:$BC$2,0))*INDEX(ref_exp_by_year,MATCH(B1093,'Data Export'!$B$6:$B$78,0),1)))</f>
        <v>0</v>
      </c>
      <c r="E1093">
        <v>4</v>
      </c>
      <c r="F1093" t="s">
        <v>245</v>
      </c>
    </row>
    <row r="1094" spans="1:6">
      <c r="A1094" t="str">
        <f t="shared" si="17"/>
        <v>GenericE&amp;DtemplateCIandGOA</v>
      </c>
      <c r="B1094">
        <v>43</v>
      </c>
      <c r="C1094">
        <v>1</v>
      </c>
      <c r="D1094" s="649">
        <f ca="1">IF(E1094=4,INDEX(crude_exp_dist,MATCH(B1094,'Crude Exp Dist'!$B$6:$B$78,0),MATCH(C1094,'Crude Exp Dist'!$AD$2:$BC$2,0))*INDEX(crude_exp_by_year,MATCH(B1094,'Data Export'!$B$6:$B$78,0),1),IF(E1094=5,INDEX(ref_exp_dist,MATCH(B1094,'Refined Petro Exp Dist'!$B$6:$B$78,0),MATCH(C1094,'Refined Petro Exp Dist'!$AD$2:$BC$2,0))*INDEX(ref_exp_by_year,MATCH(B1094,'Data Export'!$B$6:$B$78,0),1)))</f>
        <v>0</v>
      </c>
      <c r="E1094">
        <v>4</v>
      </c>
      <c r="F1094" t="s">
        <v>158</v>
      </c>
    </row>
    <row r="1095" spans="1:6">
      <c r="A1095" t="str">
        <f t="shared" si="17"/>
        <v>GenericE&amp;DtemplateCIandGOA</v>
      </c>
      <c r="B1095">
        <v>43</v>
      </c>
      <c r="C1095">
        <v>2</v>
      </c>
      <c r="D1095" s="649">
        <f ca="1">IF(E1095=4,INDEX(crude_exp_dist,MATCH(B1095,'Crude Exp Dist'!$B$6:$B$78,0),MATCH(C1095,'Crude Exp Dist'!$AD$2:$BC$2,0))*INDEX(crude_exp_by_year,MATCH(B1095,'Data Export'!$B$6:$B$78,0),1),IF(E1095=5,INDEX(ref_exp_dist,MATCH(B1095,'Refined Petro Exp Dist'!$B$6:$B$78,0),MATCH(C1095,'Refined Petro Exp Dist'!$AD$2:$BC$2,0))*INDEX(ref_exp_by_year,MATCH(B1095,'Data Export'!$B$6:$B$78,0),1)))</f>
        <v>0</v>
      </c>
      <c r="E1095">
        <v>4</v>
      </c>
      <c r="F1095" t="s">
        <v>166</v>
      </c>
    </row>
    <row r="1096" spans="1:6">
      <c r="A1096" t="str">
        <f t="shared" si="17"/>
        <v>GenericE&amp;DtemplateCIandGOA</v>
      </c>
      <c r="B1096">
        <v>43</v>
      </c>
      <c r="C1096">
        <v>3</v>
      </c>
      <c r="D1096" s="649">
        <f ca="1">IF(E1096=4,INDEX(crude_exp_dist,MATCH(B1096,'Crude Exp Dist'!$B$6:$B$78,0),MATCH(C1096,'Crude Exp Dist'!$AD$2:$BC$2,0))*INDEX(crude_exp_by_year,MATCH(B1096,'Data Export'!$B$6:$B$78,0),1),IF(E1096=5,INDEX(ref_exp_dist,MATCH(B1096,'Refined Petro Exp Dist'!$B$6:$B$78,0),MATCH(C1096,'Refined Petro Exp Dist'!$AD$2:$BC$2,0))*INDEX(ref_exp_by_year,MATCH(B1096,'Data Export'!$B$6:$B$78,0),1)))</f>
        <v>0</v>
      </c>
      <c r="E1096">
        <v>4</v>
      </c>
      <c r="F1096" t="s">
        <v>171</v>
      </c>
    </row>
    <row r="1097" spans="1:6">
      <c r="A1097" t="str">
        <f t="shared" si="17"/>
        <v>GenericE&amp;DtemplateCIandGOA</v>
      </c>
      <c r="B1097">
        <v>43</v>
      </c>
      <c r="C1097">
        <v>4</v>
      </c>
      <c r="D1097" s="649">
        <f ca="1">IF(E1097=4,INDEX(crude_exp_dist,MATCH(B1097,'Crude Exp Dist'!$B$6:$B$78,0),MATCH(C1097,'Crude Exp Dist'!$AD$2:$BC$2,0))*INDEX(crude_exp_by_year,MATCH(B1097,'Data Export'!$B$6:$B$78,0),1),IF(E1097=5,INDEX(ref_exp_dist,MATCH(B1097,'Refined Petro Exp Dist'!$B$6:$B$78,0),MATCH(C1097,'Refined Petro Exp Dist'!$AD$2:$BC$2,0))*INDEX(ref_exp_by_year,MATCH(B1097,'Data Export'!$B$6:$B$78,0),1)))</f>
        <v>0</v>
      </c>
      <c r="E1097">
        <v>4</v>
      </c>
      <c r="F1097" t="s">
        <v>173</v>
      </c>
    </row>
    <row r="1098" spans="1:6">
      <c r="A1098" t="str">
        <f t="shared" si="17"/>
        <v>GenericE&amp;DtemplateCIandGOA</v>
      </c>
      <c r="B1098">
        <v>43</v>
      </c>
      <c r="C1098">
        <v>5</v>
      </c>
      <c r="D1098" s="649">
        <f ca="1">IF(E1098=4,INDEX(crude_exp_dist,MATCH(B1098,'Crude Exp Dist'!$B$6:$B$78,0),MATCH(C1098,'Crude Exp Dist'!$AD$2:$BC$2,0))*INDEX(crude_exp_by_year,MATCH(B1098,'Data Export'!$B$6:$B$78,0),1),IF(E1098=5,INDEX(ref_exp_dist,MATCH(B1098,'Refined Petro Exp Dist'!$B$6:$B$78,0),MATCH(C1098,'Refined Petro Exp Dist'!$AD$2:$BC$2,0))*INDEX(ref_exp_by_year,MATCH(B1098,'Data Export'!$B$6:$B$78,0),1)))</f>
        <v>0</v>
      </c>
      <c r="E1098">
        <v>4</v>
      </c>
      <c r="F1098" t="s">
        <v>180</v>
      </c>
    </row>
    <row r="1099" spans="1:6">
      <c r="A1099" t="str">
        <f t="shared" si="17"/>
        <v>GenericE&amp;DtemplateCIandGOA</v>
      </c>
      <c r="B1099">
        <v>43</v>
      </c>
      <c r="C1099">
        <v>6</v>
      </c>
      <c r="D1099" s="649">
        <f ca="1">IF(E1099=4,INDEX(crude_exp_dist,MATCH(B1099,'Crude Exp Dist'!$B$6:$B$78,0),MATCH(C1099,'Crude Exp Dist'!$AD$2:$BC$2,0))*INDEX(crude_exp_by_year,MATCH(B1099,'Data Export'!$B$6:$B$78,0),1),IF(E1099=5,INDEX(ref_exp_dist,MATCH(B1099,'Refined Petro Exp Dist'!$B$6:$B$78,0),MATCH(C1099,'Refined Petro Exp Dist'!$AD$2:$BC$2,0))*INDEX(ref_exp_by_year,MATCH(B1099,'Data Export'!$B$6:$B$78,0),1)))</f>
        <v>0</v>
      </c>
      <c r="E1099">
        <v>4</v>
      </c>
      <c r="F1099" t="s">
        <v>186</v>
      </c>
    </row>
    <row r="1100" spans="1:6">
      <c r="A1100" t="str">
        <f t="shared" si="17"/>
        <v>GenericE&amp;DtemplateCIandGOA</v>
      </c>
      <c r="B1100">
        <v>43</v>
      </c>
      <c r="C1100">
        <v>7</v>
      </c>
      <c r="D1100" s="649">
        <f ca="1">IF(E1100=4,INDEX(crude_exp_dist,MATCH(B1100,'Crude Exp Dist'!$B$6:$B$78,0),MATCH(C1100,'Crude Exp Dist'!$AD$2:$BC$2,0))*INDEX(crude_exp_by_year,MATCH(B1100,'Data Export'!$B$6:$B$78,0),1),IF(E1100=5,INDEX(ref_exp_dist,MATCH(B1100,'Refined Petro Exp Dist'!$B$6:$B$78,0),MATCH(C1100,'Refined Petro Exp Dist'!$AD$2:$BC$2,0))*INDEX(ref_exp_by_year,MATCH(B1100,'Data Export'!$B$6:$B$78,0),1)))</f>
        <v>0</v>
      </c>
      <c r="E1100">
        <v>4</v>
      </c>
      <c r="F1100" t="s">
        <v>191</v>
      </c>
    </row>
    <row r="1101" spans="1:6">
      <c r="A1101" t="str">
        <f t="shared" si="17"/>
        <v>GenericE&amp;DtemplateCIandGOA</v>
      </c>
      <c r="B1101">
        <v>43</v>
      </c>
      <c r="C1101">
        <v>8</v>
      </c>
      <c r="D1101" s="649">
        <f ca="1">IF(E1101=4,INDEX(crude_exp_dist,MATCH(B1101,'Crude Exp Dist'!$B$6:$B$78,0),MATCH(C1101,'Crude Exp Dist'!$AD$2:$BC$2,0))*INDEX(crude_exp_by_year,MATCH(B1101,'Data Export'!$B$6:$B$78,0),1),IF(E1101=5,INDEX(ref_exp_dist,MATCH(B1101,'Refined Petro Exp Dist'!$B$6:$B$78,0),MATCH(C1101,'Refined Petro Exp Dist'!$AD$2:$BC$2,0))*INDEX(ref_exp_by_year,MATCH(B1101,'Data Export'!$B$6:$B$78,0),1)))</f>
        <v>0</v>
      </c>
      <c r="E1101">
        <v>4</v>
      </c>
      <c r="F1101" t="s">
        <v>197</v>
      </c>
    </row>
    <row r="1102" spans="1:6">
      <c r="A1102" t="str">
        <f t="shared" si="17"/>
        <v>GenericE&amp;DtemplateCIandGOA</v>
      </c>
      <c r="B1102">
        <v>43</v>
      </c>
      <c r="C1102">
        <v>9</v>
      </c>
      <c r="D1102" s="649">
        <f ca="1">IF(E1102=4,INDEX(crude_exp_dist,MATCH(B1102,'Crude Exp Dist'!$B$6:$B$78,0),MATCH(C1102,'Crude Exp Dist'!$AD$2:$BC$2,0))*INDEX(crude_exp_by_year,MATCH(B1102,'Data Export'!$B$6:$B$78,0),1),IF(E1102=5,INDEX(ref_exp_dist,MATCH(B1102,'Refined Petro Exp Dist'!$B$6:$B$78,0),MATCH(C1102,'Refined Petro Exp Dist'!$AD$2:$BC$2,0))*INDEX(ref_exp_by_year,MATCH(B1102,'Data Export'!$B$6:$B$78,0),1)))</f>
        <v>0</v>
      </c>
      <c r="E1102">
        <v>4</v>
      </c>
      <c r="F1102" t="s">
        <v>199</v>
      </c>
    </row>
    <row r="1103" spans="1:6">
      <c r="A1103" t="str">
        <f t="shared" si="17"/>
        <v>GenericE&amp;DtemplateCIandGOA</v>
      </c>
      <c r="B1103">
        <v>43</v>
      </c>
      <c r="C1103">
        <v>10</v>
      </c>
      <c r="D1103" s="649">
        <f ca="1">IF(E1103=4,INDEX(crude_exp_dist,MATCH(B1103,'Crude Exp Dist'!$B$6:$B$78,0),MATCH(C1103,'Crude Exp Dist'!$AD$2:$BC$2,0))*INDEX(crude_exp_by_year,MATCH(B1103,'Data Export'!$B$6:$B$78,0),1),IF(E1103=5,INDEX(ref_exp_dist,MATCH(B1103,'Refined Petro Exp Dist'!$B$6:$B$78,0),MATCH(C1103,'Refined Petro Exp Dist'!$AD$2:$BC$2,0))*INDEX(ref_exp_by_year,MATCH(B1103,'Data Export'!$B$6:$B$78,0),1)))</f>
        <v>0</v>
      </c>
      <c r="E1103">
        <v>4</v>
      </c>
      <c r="F1103" t="s">
        <v>201</v>
      </c>
    </row>
    <row r="1104" spans="1:6">
      <c r="A1104" t="str">
        <f t="shared" si="17"/>
        <v>GenericE&amp;DtemplateCIandGOA</v>
      </c>
      <c r="B1104">
        <v>43</v>
      </c>
      <c r="C1104">
        <v>11</v>
      </c>
      <c r="D1104" s="649">
        <f ca="1">IF(E1104=4,INDEX(crude_exp_dist,MATCH(B1104,'Crude Exp Dist'!$B$6:$B$78,0),MATCH(C1104,'Crude Exp Dist'!$AD$2:$BC$2,0))*INDEX(crude_exp_by_year,MATCH(B1104,'Data Export'!$B$6:$B$78,0),1),IF(E1104=5,INDEX(ref_exp_dist,MATCH(B1104,'Refined Petro Exp Dist'!$B$6:$B$78,0),MATCH(C1104,'Refined Petro Exp Dist'!$AD$2:$BC$2,0))*INDEX(ref_exp_by_year,MATCH(B1104,'Data Export'!$B$6:$B$78,0),1)))</f>
        <v>0</v>
      </c>
      <c r="E1104">
        <v>4</v>
      </c>
      <c r="F1104" t="s">
        <v>921</v>
      </c>
    </row>
    <row r="1105" spans="1:6">
      <c r="A1105" t="str">
        <f t="shared" si="17"/>
        <v>GenericE&amp;DtemplateCIandGOA</v>
      </c>
      <c r="B1105">
        <v>43</v>
      </c>
      <c r="C1105">
        <v>12</v>
      </c>
      <c r="D1105" s="649">
        <f ca="1">IF(E1105=4,INDEX(crude_exp_dist,MATCH(B1105,'Crude Exp Dist'!$B$6:$B$78,0),MATCH(C1105,'Crude Exp Dist'!$AD$2:$BC$2,0))*INDEX(crude_exp_by_year,MATCH(B1105,'Data Export'!$B$6:$B$78,0),1),IF(E1105=5,INDEX(ref_exp_dist,MATCH(B1105,'Refined Petro Exp Dist'!$B$6:$B$78,0),MATCH(C1105,'Refined Petro Exp Dist'!$AD$2:$BC$2,0))*INDEX(ref_exp_by_year,MATCH(B1105,'Data Export'!$B$6:$B$78,0),1)))</f>
        <v>0</v>
      </c>
      <c r="E1105">
        <v>4</v>
      </c>
      <c r="F1105" t="s">
        <v>208</v>
      </c>
    </row>
    <row r="1106" spans="1:6">
      <c r="A1106" t="str">
        <f t="shared" si="17"/>
        <v>GenericE&amp;DtemplateCIandGOA</v>
      </c>
      <c r="B1106">
        <v>43</v>
      </c>
      <c r="C1106">
        <v>13</v>
      </c>
      <c r="D1106" s="649">
        <f ca="1">IF(E1106=4,INDEX(crude_exp_dist,MATCH(B1106,'Crude Exp Dist'!$B$6:$B$78,0),MATCH(C1106,'Crude Exp Dist'!$AD$2:$BC$2,0))*INDEX(crude_exp_by_year,MATCH(B1106,'Data Export'!$B$6:$B$78,0),1),IF(E1106=5,INDEX(ref_exp_dist,MATCH(B1106,'Refined Petro Exp Dist'!$B$6:$B$78,0),MATCH(C1106,'Refined Petro Exp Dist'!$AD$2:$BC$2,0))*INDEX(ref_exp_by_year,MATCH(B1106,'Data Export'!$B$6:$B$78,0),1)))</f>
        <v>0</v>
      </c>
      <c r="E1106">
        <v>4</v>
      </c>
      <c r="F1106" t="s">
        <v>211</v>
      </c>
    </row>
    <row r="1107" spans="1:6">
      <c r="A1107" t="str">
        <f t="shared" si="17"/>
        <v>GenericE&amp;DtemplateCIandGOA</v>
      </c>
      <c r="B1107">
        <v>43</v>
      </c>
      <c r="C1107">
        <v>14</v>
      </c>
      <c r="D1107" s="649">
        <f ca="1">IF(E1107=4,INDEX(crude_exp_dist,MATCH(B1107,'Crude Exp Dist'!$B$6:$B$78,0),MATCH(C1107,'Crude Exp Dist'!$AD$2:$BC$2,0))*INDEX(crude_exp_by_year,MATCH(B1107,'Data Export'!$B$6:$B$78,0),1),IF(E1107=5,INDEX(ref_exp_dist,MATCH(B1107,'Refined Petro Exp Dist'!$B$6:$B$78,0),MATCH(C1107,'Refined Petro Exp Dist'!$AD$2:$BC$2,0))*INDEX(ref_exp_by_year,MATCH(B1107,'Data Export'!$B$6:$B$78,0),1)))</f>
        <v>0</v>
      </c>
      <c r="E1107">
        <v>4</v>
      </c>
      <c r="F1107" t="s">
        <v>213</v>
      </c>
    </row>
    <row r="1108" spans="1:6">
      <c r="A1108" t="str">
        <f t="shared" si="17"/>
        <v>GenericE&amp;DtemplateCIandGOA</v>
      </c>
      <c r="B1108">
        <v>43</v>
      </c>
      <c r="C1108">
        <v>15</v>
      </c>
      <c r="D1108" s="649">
        <f ca="1">IF(E1108=4,INDEX(crude_exp_dist,MATCH(B1108,'Crude Exp Dist'!$B$6:$B$78,0),MATCH(C1108,'Crude Exp Dist'!$AD$2:$BC$2,0))*INDEX(crude_exp_by_year,MATCH(B1108,'Data Export'!$B$6:$B$78,0),1),IF(E1108=5,INDEX(ref_exp_dist,MATCH(B1108,'Refined Petro Exp Dist'!$B$6:$B$78,0),MATCH(C1108,'Refined Petro Exp Dist'!$AD$2:$BC$2,0))*INDEX(ref_exp_by_year,MATCH(B1108,'Data Export'!$B$6:$B$78,0),1)))</f>
        <v>0</v>
      </c>
      <c r="E1108">
        <v>4</v>
      </c>
      <c r="F1108" t="s">
        <v>215</v>
      </c>
    </row>
    <row r="1109" spans="1:6">
      <c r="A1109" t="str">
        <f t="shared" si="17"/>
        <v>GenericE&amp;DtemplateCIandGOA</v>
      </c>
      <c r="B1109">
        <v>43</v>
      </c>
      <c r="C1109">
        <v>16</v>
      </c>
      <c r="D1109" s="649">
        <f ca="1">IF(E1109=4,INDEX(crude_exp_dist,MATCH(B1109,'Crude Exp Dist'!$B$6:$B$78,0),MATCH(C1109,'Crude Exp Dist'!$AD$2:$BC$2,0))*INDEX(crude_exp_by_year,MATCH(B1109,'Data Export'!$B$6:$B$78,0),1),IF(E1109=5,INDEX(ref_exp_dist,MATCH(B1109,'Refined Petro Exp Dist'!$B$6:$B$78,0),MATCH(C1109,'Refined Petro Exp Dist'!$AD$2:$BC$2,0))*INDEX(ref_exp_by_year,MATCH(B1109,'Data Export'!$B$6:$B$78,0),1)))</f>
        <v>0</v>
      </c>
      <c r="E1109">
        <v>4</v>
      </c>
      <c r="F1109" t="s">
        <v>219</v>
      </c>
    </row>
    <row r="1110" spans="1:6">
      <c r="A1110" t="str">
        <f t="shared" si="17"/>
        <v>GenericE&amp;DtemplateCIandGOA</v>
      </c>
      <c r="B1110">
        <v>43</v>
      </c>
      <c r="C1110">
        <v>17</v>
      </c>
      <c r="D1110" s="649">
        <f ca="1">IF(E1110=4,INDEX(crude_exp_dist,MATCH(B1110,'Crude Exp Dist'!$B$6:$B$78,0),MATCH(C1110,'Crude Exp Dist'!$AD$2:$BC$2,0))*INDEX(crude_exp_by_year,MATCH(B1110,'Data Export'!$B$6:$B$78,0),1),IF(E1110=5,INDEX(ref_exp_dist,MATCH(B1110,'Refined Petro Exp Dist'!$B$6:$B$78,0),MATCH(C1110,'Refined Petro Exp Dist'!$AD$2:$BC$2,0))*INDEX(ref_exp_by_year,MATCH(B1110,'Data Export'!$B$6:$B$78,0),1)))</f>
        <v>0</v>
      </c>
      <c r="E1110">
        <v>4</v>
      </c>
      <c r="F1110" t="s">
        <v>222</v>
      </c>
    </row>
    <row r="1111" spans="1:6">
      <c r="A1111" t="str">
        <f t="shared" si="17"/>
        <v>GenericE&amp;DtemplateCIandGOA</v>
      </c>
      <c r="B1111">
        <v>43</v>
      </c>
      <c r="C1111">
        <v>18</v>
      </c>
      <c r="D1111" s="649">
        <f ca="1">IF(E1111=4,INDEX(crude_exp_dist,MATCH(B1111,'Crude Exp Dist'!$B$6:$B$78,0),MATCH(C1111,'Crude Exp Dist'!$AD$2:$BC$2,0))*INDEX(crude_exp_by_year,MATCH(B1111,'Data Export'!$B$6:$B$78,0),1),IF(E1111=5,INDEX(ref_exp_dist,MATCH(B1111,'Refined Petro Exp Dist'!$B$6:$B$78,0),MATCH(C1111,'Refined Petro Exp Dist'!$AD$2:$BC$2,0))*INDEX(ref_exp_by_year,MATCH(B1111,'Data Export'!$B$6:$B$78,0),1)))</f>
        <v>0</v>
      </c>
      <c r="E1111">
        <v>4</v>
      </c>
      <c r="F1111" t="s">
        <v>224</v>
      </c>
    </row>
    <row r="1112" spans="1:6">
      <c r="A1112" t="str">
        <f t="shared" si="17"/>
        <v>GenericE&amp;DtemplateCIandGOA</v>
      </c>
      <c r="B1112">
        <v>43</v>
      </c>
      <c r="C1112">
        <v>19</v>
      </c>
      <c r="D1112" s="649">
        <f ca="1">IF(E1112=4,INDEX(crude_exp_dist,MATCH(B1112,'Crude Exp Dist'!$B$6:$B$78,0),MATCH(C1112,'Crude Exp Dist'!$AD$2:$BC$2,0))*INDEX(crude_exp_by_year,MATCH(B1112,'Data Export'!$B$6:$B$78,0),1),IF(E1112=5,INDEX(ref_exp_dist,MATCH(B1112,'Refined Petro Exp Dist'!$B$6:$B$78,0),MATCH(C1112,'Refined Petro Exp Dist'!$AD$2:$BC$2,0))*INDEX(ref_exp_by_year,MATCH(B1112,'Data Export'!$B$6:$B$78,0),1)))</f>
        <v>0</v>
      </c>
      <c r="E1112">
        <v>4</v>
      </c>
      <c r="F1112" t="s">
        <v>228</v>
      </c>
    </row>
    <row r="1113" spans="1:6">
      <c r="A1113" t="str">
        <f t="shared" si="17"/>
        <v>GenericE&amp;DtemplateCIandGOA</v>
      </c>
      <c r="B1113">
        <v>43</v>
      </c>
      <c r="C1113">
        <v>20</v>
      </c>
      <c r="D1113" s="649">
        <f ca="1">IF(E1113=4,INDEX(crude_exp_dist,MATCH(B1113,'Crude Exp Dist'!$B$6:$B$78,0),MATCH(C1113,'Crude Exp Dist'!$AD$2:$BC$2,0))*INDEX(crude_exp_by_year,MATCH(B1113,'Data Export'!$B$6:$B$78,0),1),IF(E1113=5,INDEX(ref_exp_dist,MATCH(B1113,'Refined Petro Exp Dist'!$B$6:$B$78,0),MATCH(C1113,'Refined Petro Exp Dist'!$AD$2:$BC$2,0))*INDEX(ref_exp_by_year,MATCH(B1113,'Data Export'!$B$6:$B$78,0),1)))</f>
        <v>0</v>
      </c>
      <c r="E1113">
        <v>4</v>
      </c>
      <c r="F1113" t="s">
        <v>231</v>
      </c>
    </row>
    <row r="1114" spans="1:6">
      <c r="A1114" t="str">
        <f t="shared" si="17"/>
        <v>GenericE&amp;DtemplateCIandGOA</v>
      </c>
      <c r="B1114">
        <v>43</v>
      </c>
      <c r="C1114">
        <v>21</v>
      </c>
      <c r="D1114" s="649">
        <f ca="1">IF(E1114=4,INDEX(crude_exp_dist,MATCH(B1114,'Crude Exp Dist'!$B$6:$B$78,0),MATCH(C1114,'Crude Exp Dist'!$AD$2:$BC$2,0))*INDEX(crude_exp_by_year,MATCH(B1114,'Data Export'!$B$6:$B$78,0),1),IF(E1114=5,INDEX(ref_exp_dist,MATCH(B1114,'Refined Petro Exp Dist'!$B$6:$B$78,0),MATCH(C1114,'Refined Petro Exp Dist'!$AD$2:$BC$2,0))*INDEX(ref_exp_by_year,MATCH(B1114,'Data Export'!$B$6:$B$78,0),1)))</f>
        <v>0</v>
      </c>
      <c r="E1114">
        <v>4</v>
      </c>
      <c r="F1114" t="s">
        <v>232</v>
      </c>
    </row>
    <row r="1115" spans="1:6">
      <c r="A1115" t="str">
        <f t="shared" si="17"/>
        <v>GenericE&amp;DtemplateCIandGOA</v>
      </c>
      <c r="B1115">
        <v>43</v>
      </c>
      <c r="C1115">
        <v>22</v>
      </c>
      <c r="D1115" s="649">
        <f ca="1">IF(E1115=4,INDEX(crude_exp_dist,MATCH(B1115,'Crude Exp Dist'!$B$6:$B$78,0),MATCH(C1115,'Crude Exp Dist'!$AD$2:$BC$2,0))*INDEX(crude_exp_by_year,MATCH(B1115,'Data Export'!$B$6:$B$78,0),1),IF(E1115=5,INDEX(ref_exp_dist,MATCH(B1115,'Refined Petro Exp Dist'!$B$6:$B$78,0),MATCH(C1115,'Refined Petro Exp Dist'!$AD$2:$BC$2,0))*INDEX(ref_exp_by_year,MATCH(B1115,'Data Export'!$B$6:$B$78,0),1)))</f>
        <v>0</v>
      </c>
      <c r="E1115">
        <v>4</v>
      </c>
      <c r="F1115" t="s">
        <v>235</v>
      </c>
    </row>
    <row r="1116" spans="1:6">
      <c r="A1116" t="str">
        <f t="shared" si="17"/>
        <v>GenericE&amp;DtemplateCIandGOA</v>
      </c>
      <c r="B1116">
        <v>43</v>
      </c>
      <c r="C1116">
        <v>23</v>
      </c>
      <c r="D1116" s="649">
        <f ca="1">IF(E1116=4,INDEX(crude_exp_dist,MATCH(B1116,'Crude Exp Dist'!$B$6:$B$78,0),MATCH(C1116,'Crude Exp Dist'!$AD$2:$BC$2,0))*INDEX(crude_exp_by_year,MATCH(B1116,'Data Export'!$B$6:$B$78,0),1),IF(E1116=5,INDEX(ref_exp_dist,MATCH(B1116,'Refined Petro Exp Dist'!$B$6:$B$78,0),MATCH(C1116,'Refined Petro Exp Dist'!$AD$2:$BC$2,0))*INDEX(ref_exp_by_year,MATCH(B1116,'Data Export'!$B$6:$B$78,0),1)))</f>
        <v>0</v>
      </c>
      <c r="E1116">
        <v>4</v>
      </c>
      <c r="F1116" t="s">
        <v>237</v>
      </c>
    </row>
    <row r="1117" spans="1:6">
      <c r="A1117" t="str">
        <f t="shared" si="17"/>
        <v>GenericE&amp;DtemplateCIandGOA</v>
      </c>
      <c r="B1117">
        <v>43</v>
      </c>
      <c r="C1117">
        <v>24</v>
      </c>
      <c r="D1117" s="649">
        <f ca="1">IF(E1117=4,INDEX(crude_exp_dist,MATCH(B1117,'Crude Exp Dist'!$B$6:$B$78,0),MATCH(C1117,'Crude Exp Dist'!$AD$2:$BC$2,0))*INDEX(crude_exp_by_year,MATCH(B1117,'Data Export'!$B$6:$B$78,0),1),IF(E1117=5,INDEX(ref_exp_dist,MATCH(B1117,'Refined Petro Exp Dist'!$B$6:$B$78,0),MATCH(C1117,'Refined Petro Exp Dist'!$AD$2:$BC$2,0))*INDEX(ref_exp_by_year,MATCH(B1117,'Data Export'!$B$6:$B$78,0),1)))</f>
        <v>0</v>
      </c>
      <c r="E1117">
        <v>4</v>
      </c>
      <c r="F1117" t="s">
        <v>239</v>
      </c>
    </row>
    <row r="1118" spans="1:6">
      <c r="A1118" t="str">
        <f t="shared" si="17"/>
        <v>GenericE&amp;DtemplateCIandGOA</v>
      </c>
      <c r="B1118">
        <v>43</v>
      </c>
      <c r="C1118">
        <v>25</v>
      </c>
      <c r="D1118" s="649">
        <f ca="1">IF(E1118=4,INDEX(crude_exp_dist,MATCH(B1118,'Crude Exp Dist'!$B$6:$B$78,0),MATCH(C1118,'Crude Exp Dist'!$AD$2:$BC$2,0))*INDEX(crude_exp_by_year,MATCH(B1118,'Data Export'!$B$6:$B$78,0),1),IF(E1118=5,INDEX(ref_exp_dist,MATCH(B1118,'Refined Petro Exp Dist'!$B$6:$B$78,0),MATCH(C1118,'Refined Petro Exp Dist'!$AD$2:$BC$2,0))*INDEX(ref_exp_by_year,MATCH(B1118,'Data Export'!$B$6:$B$78,0),1)))</f>
        <v>0</v>
      </c>
      <c r="E1118">
        <v>4</v>
      </c>
      <c r="F1118" t="s">
        <v>242</v>
      </c>
    </row>
    <row r="1119" spans="1:6">
      <c r="A1119" t="str">
        <f t="shared" si="17"/>
        <v>GenericE&amp;DtemplateCIandGOA</v>
      </c>
      <c r="B1119">
        <v>43</v>
      </c>
      <c r="C1119">
        <v>26</v>
      </c>
      <c r="D1119" s="649">
        <f ca="1">IF(E1119=4,INDEX(crude_exp_dist,MATCH(B1119,'Crude Exp Dist'!$B$6:$B$78,0),MATCH(C1119,'Crude Exp Dist'!$AD$2:$BC$2,0))*INDEX(crude_exp_by_year,MATCH(B1119,'Data Export'!$B$6:$B$78,0),1),IF(E1119=5,INDEX(ref_exp_dist,MATCH(B1119,'Refined Petro Exp Dist'!$B$6:$B$78,0),MATCH(C1119,'Refined Petro Exp Dist'!$AD$2:$BC$2,0))*INDEX(ref_exp_by_year,MATCH(B1119,'Data Export'!$B$6:$B$78,0),1)))</f>
        <v>0</v>
      </c>
      <c r="E1119">
        <v>4</v>
      </c>
      <c r="F1119" t="s">
        <v>245</v>
      </c>
    </row>
    <row r="1120" spans="1:6">
      <c r="A1120" t="str">
        <f t="shared" si="17"/>
        <v>GenericE&amp;DtemplateCIandGOA</v>
      </c>
      <c r="B1120">
        <v>44</v>
      </c>
      <c r="C1120">
        <v>1</v>
      </c>
      <c r="D1120" s="649">
        <f ca="1">IF(E1120=4,INDEX(crude_exp_dist,MATCH(B1120,'Crude Exp Dist'!$B$6:$B$78,0),MATCH(C1120,'Crude Exp Dist'!$AD$2:$BC$2,0))*INDEX(crude_exp_by_year,MATCH(B1120,'Data Export'!$B$6:$B$78,0),1),IF(E1120=5,INDEX(ref_exp_dist,MATCH(B1120,'Refined Petro Exp Dist'!$B$6:$B$78,0),MATCH(C1120,'Refined Petro Exp Dist'!$AD$2:$BC$2,0))*INDEX(ref_exp_by_year,MATCH(B1120,'Data Export'!$B$6:$B$78,0),1)))</f>
        <v>0</v>
      </c>
      <c r="E1120">
        <v>4</v>
      </c>
      <c r="F1120" t="s">
        <v>158</v>
      </c>
    </row>
    <row r="1121" spans="1:6">
      <c r="A1121" t="str">
        <f t="shared" si="17"/>
        <v>GenericE&amp;DtemplateCIandGOA</v>
      </c>
      <c r="B1121">
        <v>44</v>
      </c>
      <c r="C1121">
        <v>2</v>
      </c>
      <c r="D1121" s="649">
        <f ca="1">IF(E1121=4,INDEX(crude_exp_dist,MATCH(B1121,'Crude Exp Dist'!$B$6:$B$78,0),MATCH(C1121,'Crude Exp Dist'!$AD$2:$BC$2,0))*INDEX(crude_exp_by_year,MATCH(B1121,'Data Export'!$B$6:$B$78,0),1),IF(E1121=5,INDEX(ref_exp_dist,MATCH(B1121,'Refined Petro Exp Dist'!$B$6:$B$78,0),MATCH(C1121,'Refined Petro Exp Dist'!$AD$2:$BC$2,0))*INDEX(ref_exp_by_year,MATCH(B1121,'Data Export'!$B$6:$B$78,0),1)))</f>
        <v>0</v>
      </c>
      <c r="E1121">
        <v>4</v>
      </c>
      <c r="F1121" t="s">
        <v>166</v>
      </c>
    </row>
    <row r="1122" spans="1:6">
      <c r="A1122" t="str">
        <f t="shared" si="17"/>
        <v>GenericE&amp;DtemplateCIandGOA</v>
      </c>
      <c r="B1122">
        <v>44</v>
      </c>
      <c r="C1122">
        <v>3</v>
      </c>
      <c r="D1122" s="649">
        <f ca="1">IF(E1122=4,INDEX(crude_exp_dist,MATCH(B1122,'Crude Exp Dist'!$B$6:$B$78,0),MATCH(C1122,'Crude Exp Dist'!$AD$2:$BC$2,0))*INDEX(crude_exp_by_year,MATCH(B1122,'Data Export'!$B$6:$B$78,0),1),IF(E1122=5,INDEX(ref_exp_dist,MATCH(B1122,'Refined Petro Exp Dist'!$B$6:$B$78,0),MATCH(C1122,'Refined Petro Exp Dist'!$AD$2:$BC$2,0))*INDEX(ref_exp_by_year,MATCH(B1122,'Data Export'!$B$6:$B$78,0),1)))</f>
        <v>0</v>
      </c>
      <c r="E1122">
        <v>4</v>
      </c>
      <c r="F1122" t="s">
        <v>171</v>
      </c>
    </row>
    <row r="1123" spans="1:6">
      <c r="A1123" t="str">
        <f t="shared" si="17"/>
        <v>GenericE&amp;DtemplateCIandGOA</v>
      </c>
      <c r="B1123">
        <v>44</v>
      </c>
      <c r="C1123">
        <v>4</v>
      </c>
      <c r="D1123" s="649">
        <f ca="1">IF(E1123=4,INDEX(crude_exp_dist,MATCH(B1123,'Crude Exp Dist'!$B$6:$B$78,0),MATCH(C1123,'Crude Exp Dist'!$AD$2:$BC$2,0))*INDEX(crude_exp_by_year,MATCH(B1123,'Data Export'!$B$6:$B$78,0),1),IF(E1123=5,INDEX(ref_exp_dist,MATCH(B1123,'Refined Petro Exp Dist'!$B$6:$B$78,0),MATCH(C1123,'Refined Petro Exp Dist'!$AD$2:$BC$2,0))*INDEX(ref_exp_by_year,MATCH(B1123,'Data Export'!$B$6:$B$78,0),1)))</f>
        <v>0</v>
      </c>
      <c r="E1123">
        <v>4</v>
      </c>
      <c r="F1123" t="s">
        <v>173</v>
      </c>
    </row>
    <row r="1124" spans="1:6">
      <c r="A1124" t="str">
        <f t="shared" si="17"/>
        <v>GenericE&amp;DtemplateCIandGOA</v>
      </c>
      <c r="B1124">
        <v>44</v>
      </c>
      <c r="C1124">
        <v>5</v>
      </c>
      <c r="D1124" s="649">
        <f ca="1">IF(E1124=4,INDEX(crude_exp_dist,MATCH(B1124,'Crude Exp Dist'!$B$6:$B$78,0),MATCH(C1124,'Crude Exp Dist'!$AD$2:$BC$2,0))*INDEX(crude_exp_by_year,MATCH(B1124,'Data Export'!$B$6:$B$78,0),1),IF(E1124=5,INDEX(ref_exp_dist,MATCH(B1124,'Refined Petro Exp Dist'!$B$6:$B$78,0),MATCH(C1124,'Refined Petro Exp Dist'!$AD$2:$BC$2,0))*INDEX(ref_exp_by_year,MATCH(B1124,'Data Export'!$B$6:$B$78,0),1)))</f>
        <v>0</v>
      </c>
      <c r="E1124">
        <v>4</v>
      </c>
      <c r="F1124" t="s">
        <v>180</v>
      </c>
    </row>
    <row r="1125" spans="1:6">
      <c r="A1125" t="str">
        <f t="shared" si="17"/>
        <v>GenericE&amp;DtemplateCIandGOA</v>
      </c>
      <c r="B1125">
        <v>44</v>
      </c>
      <c r="C1125">
        <v>6</v>
      </c>
      <c r="D1125" s="649">
        <f ca="1">IF(E1125=4,INDEX(crude_exp_dist,MATCH(B1125,'Crude Exp Dist'!$B$6:$B$78,0),MATCH(C1125,'Crude Exp Dist'!$AD$2:$BC$2,0))*INDEX(crude_exp_by_year,MATCH(B1125,'Data Export'!$B$6:$B$78,0),1),IF(E1125=5,INDEX(ref_exp_dist,MATCH(B1125,'Refined Petro Exp Dist'!$B$6:$B$78,0),MATCH(C1125,'Refined Petro Exp Dist'!$AD$2:$BC$2,0))*INDEX(ref_exp_by_year,MATCH(B1125,'Data Export'!$B$6:$B$78,0),1)))</f>
        <v>0</v>
      </c>
      <c r="E1125">
        <v>4</v>
      </c>
      <c r="F1125" t="s">
        <v>186</v>
      </c>
    </row>
    <row r="1126" spans="1:6">
      <c r="A1126" t="str">
        <f t="shared" si="17"/>
        <v>GenericE&amp;DtemplateCIandGOA</v>
      </c>
      <c r="B1126">
        <v>44</v>
      </c>
      <c r="C1126">
        <v>7</v>
      </c>
      <c r="D1126" s="649">
        <f ca="1">IF(E1126=4,INDEX(crude_exp_dist,MATCH(B1126,'Crude Exp Dist'!$B$6:$B$78,0),MATCH(C1126,'Crude Exp Dist'!$AD$2:$BC$2,0))*INDEX(crude_exp_by_year,MATCH(B1126,'Data Export'!$B$6:$B$78,0),1),IF(E1126=5,INDEX(ref_exp_dist,MATCH(B1126,'Refined Petro Exp Dist'!$B$6:$B$78,0),MATCH(C1126,'Refined Petro Exp Dist'!$AD$2:$BC$2,0))*INDEX(ref_exp_by_year,MATCH(B1126,'Data Export'!$B$6:$B$78,0),1)))</f>
        <v>0</v>
      </c>
      <c r="E1126">
        <v>4</v>
      </c>
      <c r="F1126" t="s">
        <v>191</v>
      </c>
    </row>
    <row r="1127" spans="1:6">
      <c r="A1127" t="str">
        <f t="shared" si="17"/>
        <v>GenericE&amp;DtemplateCIandGOA</v>
      </c>
      <c r="B1127">
        <v>44</v>
      </c>
      <c r="C1127">
        <v>8</v>
      </c>
      <c r="D1127" s="649">
        <f ca="1">IF(E1127=4,INDEX(crude_exp_dist,MATCH(B1127,'Crude Exp Dist'!$B$6:$B$78,0),MATCH(C1127,'Crude Exp Dist'!$AD$2:$BC$2,0))*INDEX(crude_exp_by_year,MATCH(B1127,'Data Export'!$B$6:$B$78,0),1),IF(E1127=5,INDEX(ref_exp_dist,MATCH(B1127,'Refined Petro Exp Dist'!$B$6:$B$78,0),MATCH(C1127,'Refined Petro Exp Dist'!$AD$2:$BC$2,0))*INDEX(ref_exp_by_year,MATCH(B1127,'Data Export'!$B$6:$B$78,0),1)))</f>
        <v>0</v>
      </c>
      <c r="E1127">
        <v>4</v>
      </c>
      <c r="F1127" t="s">
        <v>197</v>
      </c>
    </row>
    <row r="1128" spans="1:6">
      <c r="A1128" t="str">
        <f t="shared" si="17"/>
        <v>GenericE&amp;DtemplateCIandGOA</v>
      </c>
      <c r="B1128">
        <v>44</v>
      </c>
      <c r="C1128">
        <v>9</v>
      </c>
      <c r="D1128" s="649">
        <f ca="1">IF(E1128=4,INDEX(crude_exp_dist,MATCH(B1128,'Crude Exp Dist'!$B$6:$B$78,0),MATCH(C1128,'Crude Exp Dist'!$AD$2:$BC$2,0))*INDEX(crude_exp_by_year,MATCH(B1128,'Data Export'!$B$6:$B$78,0),1),IF(E1128=5,INDEX(ref_exp_dist,MATCH(B1128,'Refined Petro Exp Dist'!$B$6:$B$78,0),MATCH(C1128,'Refined Petro Exp Dist'!$AD$2:$BC$2,0))*INDEX(ref_exp_by_year,MATCH(B1128,'Data Export'!$B$6:$B$78,0),1)))</f>
        <v>0</v>
      </c>
      <c r="E1128">
        <v>4</v>
      </c>
      <c r="F1128" t="s">
        <v>199</v>
      </c>
    </row>
    <row r="1129" spans="1:6">
      <c r="A1129" t="str">
        <f t="shared" si="17"/>
        <v>GenericE&amp;DtemplateCIandGOA</v>
      </c>
      <c r="B1129">
        <v>44</v>
      </c>
      <c r="C1129">
        <v>10</v>
      </c>
      <c r="D1129" s="649">
        <f ca="1">IF(E1129=4,INDEX(crude_exp_dist,MATCH(B1129,'Crude Exp Dist'!$B$6:$B$78,0),MATCH(C1129,'Crude Exp Dist'!$AD$2:$BC$2,0))*INDEX(crude_exp_by_year,MATCH(B1129,'Data Export'!$B$6:$B$78,0),1),IF(E1129=5,INDEX(ref_exp_dist,MATCH(B1129,'Refined Petro Exp Dist'!$B$6:$B$78,0),MATCH(C1129,'Refined Petro Exp Dist'!$AD$2:$BC$2,0))*INDEX(ref_exp_by_year,MATCH(B1129,'Data Export'!$B$6:$B$78,0),1)))</f>
        <v>0</v>
      </c>
      <c r="E1129">
        <v>4</v>
      </c>
      <c r="F1129" t="s">
        <v>201</v>
      </c>
    </row>
    <row r="1130" spans="1:6">
      <c r="A1130" t="str">
        <f t="shared" si="17"/>
        <v>GenericE&amp;DtemplateCIandGOA</v>
      </c>
      <c r="B1130">
        <v>44</v>
      </c>
      <c r="C1130">
        <v>11</v>
      </c>
      <c r="D1130" s="649">
        <f ca="1">IF(E1130=4,INDEX(crude_exp_dist,MATCH(B1130,'Crude Exp Dist'!$B$6:$B$78,0),MATCH(C1130,'Crude Exp Dist'!$AD$2:$BC$2,0))*INDEX(crude_exp_by_year,MATCH(B1130,'Data Export'!$B$6:$B$78,0),1),IF(E1130=5,INDEX(ref_exp_dist,MATCH(B1130,'Refined Petro Exp Dist'!$B$6:$B$78,0),MATCH(C1130,'Refined Petro Exp Dist'!$AD$2:$BC$2,0))*INDEX(ref_exp_by_year,MATCH(B1130,'Data Export'!$B$6:$B$78,0),1)))</f>
        <v>0</v>
      </c>
      <c r="E1130">
        <v>4</v>
      </c>
      <c r="F1130" t="s">
        <v>921</v>
      </c>
    </row>
    <row r="1131" spans="1:6">
      <c r="A1131" t="str">
        <f t="shared" si="17"/>
        <v>GenericE&amp;DtemplateCIandGOA</v>
      </c>
      <c r="B1131">
        <v>44</v>
      </c>
      <c r="C1131">
        <v>12</v>
      </c>
      <c r="D1131" s="649">
        <f ca="1">IF(E1131=4,INDEX(crude_exp_dist,MATCH(B1131,'Crude Exp Dist'!$B$6:$B$78,0),MATCH(C1131,'Crude Exp Dist'!$AD$2:$BC$2,0))*INDEX(crude_exp_by_year,MATCH(B1131,'Data Export'!$B$6:$B$78,0),1),IF(E1131=5,INDEX(ref_exp_dist,MATCH(B1131,'Refined Petro Exp Dist'!$B$6:$B$78,0),MATCH(C1131,'Refined Petro Exp Dist'!$AD$2:$BC$2,0))*INDEX(ref_exp_by_year,MATCH(B1131,'Data Export'!$B$6:$B$78,0),1)))</f>
        <v>0</v>
      </c>
      <c r="E1131">
        <v>4</v>
      </c>
      <c r="F1131" t="s">
        <v>208</v>
      </c>
    </row>
    <row r="1132" spans="1:6">
      <c r="A1132" t="str">
        <f t="shared" si="17"/>
        <v>GenericE&amp;DtemplateCIandGOA</v>
      </c>
      <c r="B1132">
        <v>44</v>
      </c>
      <c r="C1132">
        <v>13</v>
      </c>
      <c r="D1132" s="649">
        <f ca="1">IF(E1132=4,INDEX(crude_exp_dist,MATCH(B1132,'Crude Exp Dist'!$B$6:$B$78,0),MATCH(C1132,'Crude Exp Dist'!$AD$2:$BC$2,0))*INDEX(crude_exp_by_year,MATCH(B1132,'Data Export'!$B$6:$B$78,0),1),IF(E1132=5,INDEX(ref_exp_dist,MATCH(B1132,'Refined Petro Exp Dist'!$B$6:$B$78,0),MATCH(C1132,'Refined Petro Exp Dist'!$AD$2:$BC$2,0))*INDEX(ref_exp_by_year,MATCH(B1132,'Data Export'!$B$6:$B$78,0),1)))</f>
        <v>0</v>
      </c>
      <c r="E1132">
        <v>4</v>
      </c>
      <c r="F1132" t="s">
        <v>211</v>
      </c>
    </row>
    <row r="1133" spans="1:6">
      <c r="A1133" t="str">
        <f t="shared" si="17"/>
        <v>GenericE&amp;DtemplateCIandGOA</v>
      </c>
      <c r="B1133">
        <v>44</v>
      </c>
      <c r="C1133">
        <v>14</v>
      </c>
      <c r="D1133" s="649">
        <f ca="1">IF(E1133=4,INDEX(crude_exp_dist,MATCH(B1133,'Crude Exp Dist'!$B$6:$B$78,0),MATCH(C1133,'Crude Exp Dist'!$AD$2:$BC$2,0))*INDEX(crude_exp_by_year,MATCH(B1133,'Data Export'!$B$6:$B$78,0),1),IF(E1133=5,INDEX(ref_exp_dist,MATCH(B1133,'Refined Petro Exp Dist'!$B$6:$B$78,0),MATCH(C1133,'Refined Petro Exp Dist'!$AD$2:$BC$2,0))*INDEX(ref_exp_by_year,MATCH(B1133,'Data Export'!$B$6:$B$78,0),1)))</f>
        <v>0</v>
      </c>
      <c r="E1133">
        <v>4</v>
      </c>
      <c r="F1133" t="s">
        <v>213</v>
      </c>
    </row>
    <row r="1134" spans="1:6">
      <c r="A1134" t="str">
        <f t="shared" si="17"/>
        <v>GenericE&amp;DtemplateCIandGOA</v>
      </c>
      <c r="B1134">
        <v>44</v>
      </c>
      <c r="C1134">
        <v>15</v>
      </c>
      <c r="D1134" s="649">
        <f ca="1">IF(E1134=4,INDEX(crude_exp_dist,MATCH(B1134,'Crude Exp Dist'!$B$6:$B$78,0),MATCH(C1134,'Crude Exp Dist'!$AD$2:$BC$2,0))*INDEX(crude_exp_by_year,MATCH(B1134,'Data Export'!$B$6:$B$78,0),1),IF(E1134=5,INDEX(ref_exp_dist,MATCH(B1134,'Refined Petro Exp Dist'!$B$6:$B$78,0),MATCH(C1134,'Refined Petro Exp Dist'!$AD$2:$BC$2,0))*INDEX(ref_exp_by_year,MATCH(B1134,'Data Export'!$B$6:$B$78,0),1)))</f>
        <v>0</v>
      </c>
      <c r="E1134">
        <v>4</v>
      </c>
      <c r="F1134" t="s">
        <v>215</v>
      </c>
    </row>
    <row r="1135" spans="1:6">
      <c r="A1135" t="str">
        <f t="shared" si="17"/>
        <v>GenericE&amp;DtemplateCIandGOA</v>
      </c>
      <c r="B1135">
        <v>44</v>
      </c>
      <c r="C1135">
        <v>16</v>
      </c>
      <c r="D1135" s="649">
        <f ca="1">IF(E1135=4,INDEX(crude_exp_dist,MATCH(B1135,'Crude Exp Dist'!$B$6:$B$78,0),MATCH(C1135,'Crude Exp Dist'!$AD$2:$BC$2,0))*INDEX(crude_exp_by_year,MATCH(B1135,'Data Export'!$B$6:$B$78,0),1),IF(E1135=5,INDEX(ref_exp_dist,MATCH(B1135,'Refined Petro Exp Dist'!$B$6:$B$78,0),MATCH(C1135,'Refined Petro Exp Dist'!$AD$2:$BC$2,0))*INDEX(ref_exp_by_year,MATCH(B1135,'Data Export'!$B$6:$B$78,0),1)))</f>
        <v>0</v>
      </c>
      <c r="E1135">
        <v>4</v>
      </c>
      <c r="F1135" t="s">
        <v>219</v>
      </c>
    </row>
    <row r="1136" spans="1:6">
      <c r="A1136" t="str">
        <f t="shared" si="17"/>
        <v>GenericE&amp;DtemplateCIandGOA</v>
      </c>
      <c r="B1136">
        <v>44</v>
      </c>
      <c r="C1136">
        <v>17</v>
      </c>
      <c r="D1136" s="649">
        <f ca="1">IF(E1136=4,INDEX(crude_exp_dist,MATCH(B1136,'Crude Exp Dist'!$B$6:$B$78,0),MATCH(C1136,'Crude Exp Dist'!$AD$2:$BC$2,0))*INDEX(crude_exp_by_year,MATCH(B1136,'Data Export'!$B$6:$B$78,0),1),IF(E1136=5,INDEX(ref_exp_dist,MATCH(B1136,'Refined Petro Exp Dist'!$B$6:$B$78,0),MATCH(C1136,'Refined Petro Exp Dist'!$AD$2:$BC$2,0))*INDEX(ref_exp_by_year,MATCH(B1136,'Data Export'!$B$6:$B$78,0),1)))</f>
        <v>0</v>
      </c>
      <c r="E1136">
        <v>4</v>
      </c>
      <c r="F1136" t="s">
        <v>222</v>
      </c>
    </row>
    <row r="1137" spans="1:6">
      <c r="A1137" t="str">
        <f t="shared" si="17"/>
        <v>GenericE&amp;DtemplateCIandGOA</v>
      </c>
      <c r="B1137">
        <v>44</v>
      </c>
      <c r="C1137">
        <v>18</v>
      </c>
      <c r="D1137" s="649">
        <f ca="1">IF(E1137=4,INDEX(crude_exp_dist,MATCH(B1137,'Crude Exp Dist'!$B$6:$B$78,0),MATCH(C1137,'Crude Exp Dist'!$AD$2:$BC$2,0))*INDEX(crude_exp_by_year,MATCH(B1137,'Data Export'!$B$6:$B$78,0),1),IF(E1137=5,INDEX(ref_exp_dist,MATCH(B1137,'Refined Petro Exp Dist'!$B$6:$B$78,0),MATCH(C1137,'Refined Petro Exp Dist'!$AD$2:$BC$2,0))*INDEX(ref_exp_by_year,MATCH(B1137,'Data Export'!$B$6:$B$78,0),1)))</f>
        <v>0</v>
      </c>
      <c r="E1137">
        <v>4</v>
      </c>
      <c r="F1137" t="s">
        <v>224</v>
      </c>
    </row>
    <row r="1138" spans="1:6">
      <c r="A1138" t="str">
        <f t="shared" si="17"/>
        <v>GenericE&amp;DtemplateCIandGOA</v>
      </c>
      <c r="B1138">
        <v>44</v>
      </c>
      <c r="C1138">
        <v>19</v>
      </c>
      <c r="D1138" s="649">
        <f ca="1">IF(E1138=4,INDEX(crude_exp_dist,MATCH(B1138,'Crude Exp Dist'!$B$6:$B$78,0),MATCH(C1138,'Crude Exp Dist'!$AD$2:$BC$2,0))*INDEX(crude_exp_by_year,MATCH(B1138,'Data Export'!$B$6:$B$78,0),1),IF(E1138=5,INDEX(ref_exp_dist,MATCH(B1138,'Refined Petro Exp Dist'!$B$6:$B$78,0),MATCH(C1138,'Refined Petro Exp Dist'!$AD$2:$BC$2,0))*INDEX(ref_exp_by_year,MATCH(B1138,'Data Export'!$B$6:$B$78,0),1)))</f>
        <v>0</v>
      </c>
      <c r="E1138">
        <v>4</v>
      </c>
      <c r="F1138" t="s">
        <v>228</v>
      </c>
    </row>
    <row r="1139" spans="1:6">
      <c r="A1139" t="str">
        <f t="shared" si="17"/>
        <v>GenericE&amp;DtemplateCIandGOA</v>
      </c>
      <c r="B1139">
        <v>44</v>
      </c>
      <c r="C1139">
        <v>20</v>
      </c>
      <c r="D1139" s="649">
        <f ca="1">IF(E1139=4,INDEX(crude_exp_dist,MATCH(B1139,'Crude Exp Dist'!$B$6:$B$78,0),MATCH(C1139,'Crude Exp Dist'!$AD$2:$BC$2,0))*INDEX(crude_exp_by_year,MATCH(B1139,'Data Export'!$B$6:$B$78,0),1),IF(E1139=5,INDEX(ref_exp_dist,MATCH(B1139,'Refined Petro Exp Dist'!$B$6:$B$78,0),MATCH(C1139,'Refined Petro Exp Dist'!$AD$2:$BC$2,0))*INDEX(ref_exp_by_year,MATCH(B1139,'Data Export'!$B$6:$B$78,0),1)))</f>
        <v>0</v>
      </c>
      <c r="E1139">
        <v>4</v>
      </c>
      <c r="F1139" t="s">
        <v>231</v>
      </c>
    </row>
    <row r="1140" spans="1:6">
      <c r="A1140" t="str">
        <f t="shared" si="17"/>
        <v>GenericE&amp;DtemplateCIandGOA</v>
      </c>
      <c r="B1140">
        <v>44</v>
      </c>
      <c r="C1140">
        <v>21</v>
      </c>
      <c r="D1140" s="649">
        <f ca="1">IF(E1140=4,INDEX(crude_exp_dist,MATCH(B1140,'Crude Exp Dist'!$B$6:$B$78,0),MATCH(C1140,'Crude Exp Dist'!$AD$2:$BC$2,0))*INDEX(crude_exp_by_year,MATCH(B1140,'Data Export'!$B$6:$B$78,0),1),IF(E1140=5,INDEX(ref_exp_dist,MATCH(B1140,'Refined Petro Exp Dist'!$B$6:$B$78,0),MATCH(C1140,'Refined Petro Exp Dist'!$AD$2:$BC$2,0))*INDEX(ref_exp_by_year,MATCH(B1140,'Data Export'!$B$6:$B$78,0),1)))</f>
        <v>0</v>
      </c>
      <c r="E1140">
        <v>4</v>
      </c>
      <c r="F1140" t="s">
        <v>232</v>
      </c>
    </row>
    <row r="1141" spans="1:6">
      <c r="A1141" t="str">
        <f t="shared" si="17"/>
        <v>GenericE&amp;DtemplateCIandGOA</v>
      </c>
      <c r="B1141">
        <v>44</v>
      </c>
      <c r="C1141">
        <v>22</v>
      </c>
      <c r="D1141" s="649">
        <f ca="1">IF(E1141=4,INDEX(crude_exp_dist,MATCH(B1141,'Crude Exp Dist'!$B$6:$B$78,0),MATCH(C1141,'Crude Exp Dist'!$AD$2:$BC$2,0))*INDEX(crude_exp_by_year,MATCH(B1141,'Data Export'!$B$6:$B$78,0),1),IF(E1141=5,INDEX(ref_exp_dist,MATCH(B1141,'Refined Petro Exp Dist'!$B$6:$B$78,0),MATCH(C1141,'Refined Petro Exp Dist'!$AD$2:$BC$2,0))*INDEX(ref_exp_by_year,MATCH(B1141,'Data Export'!$B$6:$B$78,0),1)))</f>
        <v>0</v>
      </c>
      <c r="E1141">
        <v>4</v>
      </c>
      <c r="F1141" t="s">
        <v>235</v>
      </c>
    </row>
    <row r="1142" spans="1:6">
      <c r="A1142" t="str">
        <f t="shared" si="17"/>
        <v>GenericE&amp;DtemplateCIandGOA</v>
      </c>
      <c r="B1142">
        <v>44</v>
      </c>
      <c r="C1142">
        <v>23</v>
      </c>
      <c r="D1142" s="649">
        <f ca="1">IF(E1142=4,INDEX(crude_exp_dist,MATCH(B1142,'Crude Exp Dist'!$B$6:$B$78,0),MATCH(C1142,'Crude Exp Dist'!$AD$2:$BC$2,0))*INDEX(crude_exp_by_year,MATCH(B1142,'Data Export'!$B$6:$B$78,0),1),IF(E1142=5,INDEX(ref_exp_dist,MATCH(B1142,'Refined Petro Exp Dist'!$B$6:$B$78,0),MATCH(C1142,'Refined Petro Exp Dist'!$AD$2:$BC$2,0))*INDEX(ref_exp_by_year,MATCH(B1142,'Data Export'!$B$6:$B$78,0),1)))</f>
        <v>0</v>
      </c>
      <c r="E1142">
        <v>4</v>
      </c>
      <c r="F1142" t="s">
        <v>237</v>
      </c>
    </row>
    <row r="1143" spans="1:6">
      <c r="A1143" t="str">
        <f t="shared" si="17"/>
        <v>GenericE&amp;DtemplateCIandGOA</v>
      </c>
      <c r="B1143">
        <v>44</v>
      </c>
      <c r="C1143">
        <v>24</v>
      </c>
      <c r="D1143" s="649">
        <f ca="1">IF(E1143=4,INDEX(crude_exp_dist,MATCH(B1143,'Crude Exp Dist'!$B$6:$B$78,0),MATCH(C1143,'Crude Exp Dist'!$AD$2:$BC$2,0))*INDEX(crude_exp_by_year,MATCH(B1143,'Data Export'!$B$6:$B$78,0),1),IF(E1143=5,INDEX(ref_exp_dist,MATCH(B1143,'Refined Petro Exp Dist'!$B$6:$B$78,0),MATCH(C1143,'Refined Petro Exp Dist'!$AD$2:$BC$2,0))*INDEX(ref_exp_by_year,MATCH(B1143,'Data Export'!$B$6:$B$78,0),1)))</f>
        <v>0</v>
      </c>
      <c r="E1143">
        <v>4</v>
      </c>
      <c r="F1143" t="s">
        <v>239</v>
      </c>
    </row>
    <row r="1144" spans="1:6">
      <c r="A1144" t="str">
        <f t="shared" si="17"/>
        <v>GenericE&amp;DtemplateCIandGOA</v>
      </c>
      <c r="B1144">
        <v>44</v>
      </c>
      <c r="C1144">
        <v>25</v>
      </c>
      <c r="D1144" s="649">
        <f ca="1">IF(E1144=4,INDEX(crude_exp_dist,MATCH(B1144,'Crude Exp Dist'!$B$6:$B$78,0),MATCH(C1144,'Crude Exp Dist'!$AD$2:$BC$2,0))*INDEX(crude_exp_by_year,MATCH(B1144,'Data Export'!$B$6:$B$78,0),1),IF(E1144=5,INDEX(ref_exp_dist,MATCH(B1144,'Refined Petro Exp Dist'!$B$6:$B$78,0),MATCH(C1144,'Refined Petro Exp Dist'!$AD$2:$BC$2,0))*INDEX(ref_exp_by_year,MATCH(B1144,'Data Export'!$B$6:$B$78,0),1)))</f>
        <v>0</v>
      </c>
      <c r="E1144">
        <v>4</v>
      </c>
      <c r="F1144" t="s">
        <v>242</v>
      </c>
    </row>
    <row r="1145" spans="1:6">
      <c r="A1145" t="str">
        <f t="shared" si="17"/>
        <v>GenericE&amp;DtemplateCIandGOA</v>
      </c>
      <c r="B1145">
        <v>44</v>
      </c>
      <c r="C1145">
        <v>26</v>
      </c>
      <c r="D1145" s="649">
        <f ca="1">IF(E1145=4,INDEX(crude_exp_dist,MATCH(B1145,'Crude Exp Dist'!$B$6:$B$78,0),MATCH(C1145,'Crude Exp Dist'!$AD$2:$BC$2,0))*INDEX(crude_exp_by_year,MATCH(B1145,'Data Export'!$B$6:$B$78,0),1),IF(E1145=5,INDEX(ref_exp_dist,MATCH(B1145,'Refined Petro Exp Dist'!$B$6:$B$78,0),MATCH(C1145,'Refined Petro Exp Dist'!$AD$2:$BC$2,0))*INDEX(ref_exp_by_year,MATCH(B1145,'Data Export'!$B$6:$B$78,0),1)))</f>
        <v>0</v>
      </c>
      <c r="E1145">
        <v>4</v>
      </c>
      <c r="F1145" t="s">
        <v>245</v>
      </c>
    </row>
    <row r="1146" spans="1:6">
      <c r="A1146" t="str">
        <f t="shared" si="17"/>
        <v>GenericE&amp;DtemplateCIandGOA</v>
      </c>
      <c r="B1146">
        <v>45</v>
      </c>
      <c r="C1146">
        <v>1</v>
      </c>
      <c r="D1146" s="649">
        <f ca="1">IF(E1146=4,INDEX(crude_exp_dist,MATCH(B1146,'Crude Exp Dist'!$B$6:$B$78,0),MATCH(C1146,'Crude Exp Dist'!$AD$2:$BC$2,0))*INDEX(crude_exp_by_year,MATCH(B1146,'Data Export'!$B$6:$B$78,0),1),IF(E1146=5,INDEX(ref_exp_dist,MATCH(B1146,'Refined Petro Exp Dist'!$B$6:$B$78,0),MATCH(C1146,'Refined Petro Exp Dist'!$AD$2:$BC$2,0))*INDEX(ref_exp_by_year,MATCH(B1146,'Data Export'!$B$6:$B$78,0),1)))</f>
        <v>0</v>
      </c>
      <c r="E1146">
        <v>4</v>
      </c>
      <c r="F1146" t="s">
        <v>158</v>
      </c>
    </row>
    <row r="1147" spans="1:6">
      <c r="A1147" t="str">
        <f t="shared" si="17"/>
        <v>GenericE&amp;DtemplateCIandGOA</v>
      </c>
      <c r="B1147">
        <v>45</v>
      </c>
      <c r="C1147">
        <v>2</v>
      </c>
      <c r="D1147" s="649">
        <f ca="1">IF(E1147=4,INDEX(crude_exp_dist,MATCH(B1147,'Crude Exp Dist'!$B$6:$B$78,0),MATCH(C1147,'Crude Exp Dist'!$AD$2:$BC$2,0))*INDEX(crude_exp_by_year,MATCH(B1147,'Data Export'!$B$6:$B$78,0),1),IF(E1147=5,INDEX(ref_exp_dist,MATCH(B1147,'Refined Petro Exp Dist'!$B$6:$B$78,0),MATCH(C1147,'Refined Petro Exp Dist'!$AD$2:$BC$2,0))*INDEX(ref_exp_by_year,MATCH(B1147,'Data Export'!$B$6:$B$78,0),1)))</f>
        <v>0</v>
      </c>
      <c r="E1147">
        <v>4</v>
      </c>
      <c r="F1147" t="s">
        <v>166</v>
      </c>
    </row>
    <row r="1148" spans="1:6">
      <c r="A1148" t="str">
        <f t="shared" si="17"/>
        <v>GenericE&amp;DtemplateCIandGOA</v>
      </c>
      <c r="B1148">
        <v>45</v>
      </c>
      <c r="C1148">
        <v>3</v>
      </c>
      <c r="D1148" s="649">
        <f ca="1">IF(E1148=4,INDEX(crude_exp_dist,MATCH(B1148,'Crude Exp Dist'!$B$6:$B$78,0),MATCH(C1148,'Crude Exp Dist'!$AD$2:$BC$2,0))*INDEX(crude_exp_by_year,MATCH(B1148,'Data Export'!$B$6:$B$78,0),1),IF(E1148=5,INDEX(ref_exp_dist,MATCH(B1148,'Refined Petro Exp Dist'!$B$6:$B$78,0),MATCH(C1148,'Refined Petro Exp Dist'!$AD$2:$BC$2,0))*INDEX(ref_exp_by_year,MATCH(B1148,'Data Export'!$B$6:$B$78,0),1)))</f>
        <v>0</v>
      </c>
      <c r="E1148">
        <v>4</v>
      </c>
      <c r="F1148" t="s">
        <v>171</v>
      </c>
    </row>
    <row r="1149" spans="1:6">
      <c r="A1149" t="str">
        <f t="shared" si="17"/>
        <v>GenericE&amp;DtemplateCIandGOA</v>
      </c>
      <c r="B1149">
        <v>45</v>
      </c>
      <c r="C1149">
        <v>4</v>
      </c>
      <c r="D1149" s="649">
        <f ca="1">IF(E1149=4,INDEX(crude_exp_dist,MATCH(B1149,'Crude Exp Dist'!$B$6:$B$78,0),MATCH(C1149,'Crude Exp Dist'!$AD$2:$BC$2,0))*INDEX(crude_exp_by_year,MATCH(B1149,'Data Export'!$B$6:$B$78,0),1),IF(E1149=5,INDEX(ref_exp_dist,MATCH(B1149,'Refined Petro Exp Dist'!$B$6:$B$78,0),MATCH(C1149,'Refined Petro Exp Dist'!$AD$2:$BC$2,0))*INDEX(ref_exp_by_year,MATCH(B1149,'Data Export'!$B$6:$B$78,0),1)))</f>
        <v>0</v>
      </c>
      <c r="E1149">
        <v>4</v>
      </c>
      <c r="F1149" t="s">
        <v>173</v>
      </c>
    </row>
    <row r="1150" spans="1:6">
      <c r="A1150" t="str">
        <f t="shared" si="17"/>
        <v>GenericE&amp;DtemplateCIandGOA</v>
      </c>
      <c r="B1150">
        <v>45</v>
      </c>
      <c r="C1150">
        <v>5</v>
      </c>
      <c r="D1150" s="649">
        <f ca="1">IF(E1150=4,INDEX(crude_exp_dist,MATCH(B1150,'Crude Exp Dist'!$B$6:$B$78,0),MATCH(C1150,'Crude Exp Dist'!$AD$2:$BC$2,0))*INDEX(crude_exp_by_year,MATCH(B1150,'Data Export'!$B$6:$B$78,0),1),IF(E1150=5,INDEX(ref_exp_dist,MATCH(B1150,'Refined Petro Exp Dist'!$B$6:$B$78,0),MATCH(C1150,'Refined Petro Exp Dist'!$AD$2:$BC$2,0))*INDEX(ref_exp_by_year,MATCH(B1150,'Data Export'!$B$6:$B$78,0),1)))</f>
        <v>0</v>
      </c>
      <c r="E1150">
        <v>4</v>
      </c>
      <c r="F1150" t="s">
        <v>180</v>
      </c>
    </row>
    <row r="1151" spans="1:6">
      <c r="A1151" t="str">
        <f t="shared" si="17"/>
        <v>GenericE&amp;DtemplateCIandGOA</v>
      </c>
      <c r="B1151">
        <v>45</v>
      </c>
      <c r="C1151">
        <v>6</v>
      </c>
      <c r="D1151" s="649">
        <f ca="1">IF(E1151=4,INDEX(crude_exp_dist,MATCH(B1151,'Crude Exp Dist'!$B$6:$B$78,0),MATCH(C1151,'Crude Exp Dist'!$AD$2:$BC$2,0))*INDEX(crude_exp_by_year,MATCH(B1151,'Data Export'!$B$6:$B$78,0),1),IF(E1151=5,INDEX(ref_exp_dist,MATCH(B1151,'Refined Petro Exp Dist'!$B$6:$B$78,0),MATCH(C1151,'Refined Petro Exp Dist'!$AD$2:$BC$2,0))*INDEX(ref_exp_by_year,MATCH(B1151,'Data Export'!$B$6:$B$78,0),1)))</f>
        <v>0</v>
      </c>
      <c r="E1151">
        <v>4</v>
      </c>
      <c r="F1151" t="s">
        <v>186</v>
      </c>
    </row>
    <row r="1152" spans="1:6">
      <c r="A1152" t="str">
        <f t="shared" si="17"/>
        <v>GenericE&amp;DtemplateCIandGOA</v>
      </c>
      <c r="B1152">
        <v>45</v>
      </c>
      <c r="C1152">
        <v>7</v>
      </c>
      <c r="D1152" s="649">
        <f ca="1">IF(E1152=4,INDEX(crude_exp_dist,MATCH(B1152,'Crude Exp Dist'!$B$6:$B$78,0),MATCH(C1152,'Crude Exp Dist'!$AD$2:$BC$2,0))*INDEX(crude_exp_by_year,MATCH(B1152,'Data Export'!$B$6:$B$78,0),1),IF(E1152=5,INDEX(ref_exp_dist,MATCH(B1152,'Refined Petro Exp Dist'!$B$6:$B$78,0),MATCH(C1152,'Refined Petro Exp Dist'!$AD$2:$BC$2,0))*INDEX(ref_exp_by_year,MATCH(B1152,'Data Export'!$B$6:$B$78,0),1)))</f>
        <v>0</v>
      </c>
      <c r="E1152">
        <v>4</v>
      </c>
      <c r="F1152" t="s">
        <v>191</v>
      </c>
    </row>
    <row r="1153" spans="1:6">
      <c r="A1153" t="str">
        <f t="shared" si="17"/>
        <v>GenericE&amp;DtemplateCIandGOA</v>
      </c>
      <c r="B1153">
        <v>45</v>
      </c>
      <c r="C1153">
        <v>8</v>
      </c>
      <c r="D1153" s="649">
        <f ca="1">IF(E1153=4,INDEX(crude_exp_dist,MATCH(B1153,'Crude Exp Dist'!$B$6:$B$78,0),MATCH(C1153,'Crude Exp Dist'!$AD$2:$BC$2,0))*INDEX(crude_exp_by_year,MATCH(B1153,'Data Export'!$B$6:$B$78,0),1),IF(E1153=5,INDEX(ref_exp_dist,MATCH(B1153,'Refined Petro Exp Dist'!$B$6:$B$78,0),MATCH(C1153,'Refined Petro Exp Dist'!$AD$2:$BC$2,0))*INDEX(ref_exp_by_year,MATCH(B1153,'Data Export'!$B$6:$B$78,0),1)))</f>
        <v>0</v>
      </c>
      <c r="E1153">
        <v>4</v>
      </c>
      <c r="F1153" t="s">
        <v>197</v>
      </c>
    </row>
    <row r="1154" spans="1:6">
      <c r="A1154" t="str">
        <f t="shared" ref="A1154:A1217" si="18">scenario_name</f>
        <v>GenericE&amp;DtemplateCIandGOA</v>
      </c>
      <c r="B1154">
        <v>45</v>
      </c>
      <c r="C1154">
        <v>9</v>
      </c>
      <c r="D1154" s="649">
        <f ca="1">IF(E1154=4,INDEX(crude_exp_dist,MATCH(B1154,'Crude Exp Dist'!$B$6:$B$78,0),MATCH(C1154,'Crude Exp Dist'!$AD$2:$BC$2,0))*INDEX(crude_exp_by_year,MATCH(B1154,'Data Export'!$B$6:$B$78,0),1),IF(E1154=5,INDEX(ref_exp_dist,MATCH(B1154,'Refined Petro Exp Dist'!$B$6:$B$78,0),MATCH(C1154,'Refined Petro Exp Dist'!$AD$2:$BC$2,0))*INDEX(ref_exp_by_year,MATCH(B1154,'Data Export'!$B$6:$B$78,0),1)))</f>
        <v>0</v>
      </c>
      <c r="E1154">
        <v>4</v>
      </c>
      <c r="F1154" t="s">
        <v>199</v>
      </c>
    </row>
    <row r="1155" spans="1:6">
      <c r="A1155" t="str">
        <f t="shared" si="18"/>
        <v>GenericE&amp;DtemplateCIandGOA</v>
      </c>
      <c r="B1155">
        <v>45</v>
      </c>
      <c r="C1155">
        <v>10</v>
      </c>
      <c r="D1155" s="649">
        <f ca="1">IF(E1155=4,INDEX(crude_exp_dist,MATCH(B1155,'Crude Exp Dist'!$B$6:$B$78,0),MATCH(C1155,'Crude Exp Dist'!$AD$2:$BC$2,0))*INDEX(crude_exp_by_year,MATCH(B1155,'Data Export'!$B$6:$B$78,0),1),IF(E1155=5,INDEX(ref_exp_dist,MATCH(B1155,'Refined Petro Exp Dist'!$B$6:$B$78,0),MATCH(C1155,'Refined Petro Exp Dist'!$AD$2:$BC$2,0))*INDEX(ref_exp_by_year,MATCH(B1155,'Data Export'!$B$6:$B$78,0),1)))</f>
        <v>0</v>
      </c>
      <c r="E1155">
        <v>4</v>
      </c>
      <c r="F1155" t="s">
        <v>201</v>
      </c>
    </row>
    <row r="1156" spans="1:6">
      <c r="A1156" t="str">
        <f t="shared" si="18"/>
        <v>GenericE&amp;DtemplateCIandGOA</v>
      </c>
      <c r="B1156">
        <v>45</v>
      </c>
      <c r="C1156">
        <v>11</v>
      </c>
      <c r="D1156" s="649">
        <f ca="1">IF(E1156=4,INDEX(crude_exp_dist,MATCH(B1156,'Crude Exp Dist'!$B$6:$B$78,0),MATCH(C1156,'Crude Exp Dist'!$AD$2:$BC$2,0))*INDEX(crude_exp_by_year,MATCH(B1156,'Data Export'!$B$6:$B$78,0),1),IF(E1156=5,INDEX(ref_exp_dist,MATCH(B1156,'Refined Petro Exp Dist'!$B$6:$B$78,0),MATCH(C1156,'Refined Petro Exp Dist'!$AD$2:$BC$2,0))*INDEX(ref_exp_by_year,MATCH(B1156,'Data Export'!$B$6:$B$78,0),1)))</f>
        <v>0</v>
      </c>
      <c r="E1156">
        <v>4</v>
      </c>
      <c r="F1156" t="s">
        <v>921</v>
      </c>
    </row>
    <row r="1157" spans="1:6">
      <c r="A1157" t="str">
        <f t="shared" si="18"/>
        <v>GenericE&amp;DtemplateCIandGOA</v>
      </c>
      <c r="B1157">
        <v>45</v>
      </c>
      <c r="C1157">
        <v>12</v>
      </c>
      <c r="D1157" s="649">
        <f ca="1">IF(E1157=4,INDEX(crude_exp_dist,MATCH(B1157,'Crude Exp Dist'!$B$6:$B$78,0),MATCH(C1157,'Crude Exp Dist'!$AD$2:$BC$2,0))*INDEX(crude_exp_by_year,MATCH(B1157,'Data Export'!$B$6:$B$78,0),1),IF(E1157=5,INDEX(ref_exp_dist,MATCH(B1157,'Refined Petro Exp Dist'!$B$6:$B$78,0),MATCH(C1157,'Refined Petro Exp Dist'!$AD$2:$BC$2,0))*INDEX(ref_exp_by_year,MATCH(B1157,'Data Export'!$B$6:$B$78,0),1)))</f>
        <v>0</v>
      </c>
      <c r="E1157">
        <v>4</v>
      </c>
      <c r="F1157" t="s">
        <v>208</v>
      </c>
    </row>
    <row r="1158" spans="1:6">
      <c r="A1158" t="str">
        <f t="shared" si="18"/>
        <v>GenericE&amp;DtemplateCIandGOA</v>
      </c>
      <c r="B1158">
        <v>45</v>
      </c>
      <c r="C1158">
        <v>13</v>
      </c>
      <c r="D1158" s="649">
        <f ca="1">IF(E1158=4,INDEX(crude_exp_dist,MATCH(B1158,'Crude Exp Dist'!$B$6:$B$78,0),MATCH(C1158,'Crude Exp Dist'!$AD$2:$BC$2,0))*INDEX(crude_exp_by_year,MATCH(B1158,'Data Export'!$B$6:$B$78,0),1),IF(E1158=5,INDEX(ref_exp_dist,MATCH(B1158,'Refined Petro Exp Dist'!$B$6:$B$78,0),MATCH(C1158,'Refined Petro Exp Dist'!$AD$2:$BC$2,0))*INDEX(ref_exp_by_year,MATCH(B1158,'Data Export'!$B$6:$B$78,0),1)))</f>
        <v>0</v>
      </c>
      <c r="E1158">
        <v>4</v>
      </c>
      <c r="F1158" t="s">
        <v>211</v>
      </c>
    </row>
    <row r="1159" spans="1:6">
      <c r="A1159" t="str">
        <f t="shared" si="18"/>
        <v>GenericE&amp;DtemplateCIandGOA</v>
      </c>
      <c r="B1159">
        <v>45</v>
      </c>
      <c r="C1159">
        <v>14</v>
      </c>
      <c r="D1159" s="649">
        <f ca="1">IF(E1159=4,INDEX(crude_exp_dist,MATCH(B1159,'Crude Exp Dist'!$B$6:$B$78,0),MATCH(C1159,'Crude Exp Dist'!$AD$2:$BC$2,0))*INDEX(crude_exp_by_year,MATCH(B1159,'Data Export'!$B$6:$B$78,0),1),IF(E1159=5,INDEX(ref_exp_dist,MATCH(B1159,'Refined Petro Exp Dist'!$B$6:$B$78,0),MATCH(C1159,'Refined Petro Exp Dist'!$AD$2:$BC$2,0))*INDEX(ref_exp_by_year,MATCH(B1159,'Data Export'!$B$6:$B$78,0),1)))</f>
        <v>0</v>
      </c>
      <c r="E1159">
        <v>4</v>
      </c>
      <c r="F1159" t="s">
        <v>213</v>
      </c>
    </row>
    <row r="1160" spans="1:6">
      <c r="A1160" t="str">
        <f t="shared" si="18"/>
        <v>GenericE&amp;DtemplateCIandGOA</v>
      </c>
      <c r="B1160">
        <v>45</v>
      </c>
      <c r="C1160">
        <v>15</v>
      </c>
      <c r="D1160" s="649">
        <f ca="1">IF(E1160=4,INDEX(crude_exp_dist,MATCH(B1160,'Crude Exp Dist'!$B$6:$B$78,0),MATCH(C1160,'Crude Exp Dist'!$AD$2:$BC$2,0))*INDEX(crude_exp_by_year,MATCH(B1160,'Data Export'!$B$6:$B$78,0),1),IF(E1160=5,INDEX(ref_exp_dist,MATCH(B1160,'Refined Petro Exp Dist'!$B$6:$B$78,0),MATCH(C1160,'Refined Petro Exp Dist'!$AD$2:$BC$2,0))*INDEX(ref_exp_by_year,MATCH(B1160,'Data Export'!$B$6:$B$78,0),1)))</f>
        <v>0</v>
      </c>
      <c r="E1160">
        <v>4</v>
      </c>
      <c r="F1160" t="s">
        <v>215</v>
      </c>
    </row>
    <row r="1161" spans="1:6">
      <c r="A1161" t="str">
        <f t="shared" si="18"/>
        <v>GenericE&amp;DtemplateCIandGOA</v>
      </c>
      <c r="B1161">
        <v>45</v>
      </c>
      <c r="C1161">
        <v>16</v>
      </c>
      <c r="D1161" s="649">
        <f ca="1">IF(E1161=4,INDEX(crude_exp_dist,MATCH(B1161,'Crude Exp Dist'!$B$6:$B$78,0),MATCH(C1161,'Crude Exp Dist'!$AD$2:$BC$2,0))*INDEX(crude_exp_by_year,MATCH(B1161,'Data Export'!$B$6:$B$78,0),1),IF(E1161=5,INDEX(ref_exp_dist,MATCH(B1161,'Refined Petro Exp Dist'!$B$6:$B$78,0),MATCH(C1161,'Refined Petro Exp Dist'!$AD$2:$BC$2,0))*INDEX(ref_exp_by_year,MATCH(B1161,'Data Export'!$B$6:$B$78,0),1)))</f>
        <v>0</v>
      </c>
      <c r="E1161">
        <v>4</v>
      </c>
      <c r="F1161" t="s">
        <v>219</v>
      </c>
    </row>
    <row r="1162" spans="1:6">
      <c r="A1162" t="str">
        <f t="shared" si="18"/>
        <v>GenericE&amp;DtemplateCIandGOA</v>
      </c>
      <c r="B1162">
        <v>45</v>
      </c>
      <c r="C1162">
        <v>17</v>
      </c>
      <c r="D1162" s="649">
        <f ca="1">IF(E1162=4,INDEX(crude_exp_dist,MATCH(B1162,'Crude Exp Dist'!$B$6:$B$78,0),MATCH(C1162,'Crude Exp Dist'!$AD$2:$BC$2,0))*INDEX(crude_exp_by_year,MATCH(B1162,'Data Export'!$B$6:$B$78,0),1),IF(E1162=5,INDEX(ref_exp_dist,MATCH(B1162,'Refined Petro Exp Dist'!$B$6:$B$78,0),MATCH(C1162,'Refined Petro Exp Dist'!$AD$2:$BC$2,0))*INDEX(ref_exp_by_year,MATCH(B1162,'Data Export'!$B$6:$B$78,0),1)))</f>
        <v>0</v>
      </c>
      <c r="E1162">
        <v>4</v>
      </c>
      <c r="F1162" t="s">
        <v>222</v>
      </c>
    </row>
    <row r="1163" spans="1:6">
      <c r="A1163" t="str">
        <f t="shared" si="18"/>
        <v>GenericE&amp;DtemplateCIandGOA</v>
      </c>
      <c r="B1163">
        <v>45</v>
      </c>
      <c r="C1163">
        <v>18</v>
      </c>
      <c r="D1163" s="649">
        <f ca="1">IF(E1163=4,INDEX(crude_exp_dist,MATCH(B1163,'Crude Exp Dist'!$B$6:$B$78,0),MATCH(C1163,'Crude Exp Dist'!$AD$2:$BC$2,0))*INDEX(crude_exp_by_year,MATCH(B1163,'Data Export'!$B$6:$B$78,0),1),IF(E1163=5,INDEX(ref_exp_dist,MATCH(B1163,'Refined Petro Exp Dist'!$B$6:$B$78,0),MATCH(C1163,'Refined Petro Exp Dist'!$AD$2:$BC$2,0))*INDEX(ref_exp_by_year,MATCH(B1163,'Data Export'!$B$6:$B$78,0),1)))</f>
        <v>0</v>
      </c>
      <c r="E1163">
        <v>4</v>
      </c>
      <c r="F1163" t="s">
        <v>224</v>
      </c>
    </row>
    <row r="1164" spans="1:6">
      <c r="A1164" t="str">
        <f t="shared" si="18"/>
        <v>GenericE&amp;DtemplateCIandGOA</v>
      </c>
      <c r="B1164">
        <v>45</v>
      </c>
      <c r="C1164">
        <v>19</v>
      </c>
      <c r="D1164" s="649">
        <f ca="1">IF(E1164=4,INDEX(crude_exp_dist,MATCH(B1164,'Crude Exp Dist'!$B$6:$B$78,0),MATCH(C1164,'Crude Exp Dist'!$AD$2:$BC$2,0))*INDEX(crude_exp_by_year,MATCH(B1164,'Data Export'!$B$6:$B$78,0),1),IF(E1164=5,INDEX(ref_exp_dist,MATCH(B1164,'Refined Petro Exp Dist'!$B$6:$B$78,0),MATCH(C1164,'Refined Petro Exp Dist'!$AD$2:$BC$2,0))*INDEX(ref_exp_by_year,MATCH(B1164,'Data Export'!$B$6:$B$78,0),1)))</f>
        <v>0</v>
      </c>
      <c r="E1164">
        <v>4</v>
      </c>
      <c r="F1164" t="s">
        <v>228</v>
      </c>
    </row>
    <row r="1165" spans="1:6">
      <c r="A1165" t="str">
        <f t="shared" si="18"/>
        <v>GenericE&amp;DtemplateCIandGOA</v>
      </c>
      <c r="B1165">
        <v>45</v>
      </c>
      <c r="C1165">
        <v>20</v>
      </c>
      <c r="D1165" s="649">
        <f ca="1">IF(E1165=4,INDEX(crude_exp_dist,MATCH(B1165,'Crude Exp Dist'!$B$6:$B$78,0),MATCH(C1165,'Crude Exp Dist'!$AD$2:$BC$2,0))*INDEX(crude_exp_by_year,MATCH(B1165,'Data Export'!$B$6:$B$78,0),1),IF(E1165=5,INDEX(ref_exp_dist,MATCH(B1165,'Refined Petro Exp Dist'!$B$6:$B$78,0),MATCH(C1165,'Refined Petro Exp Dist'!$AD$2:$BC$2,0))*INDEX(ref_exp_by_year,MATCH(B1165,'Data Export'!$B$6:$B$78,0),1)))</f>
        <v>0</v>
      </c>
      <c r="E1165">
        <v>4</v>
      </c>
      <c r="F1165" t="s">
        <v>231</v>
      </c>
    </row>
    <row r="1166" spans="1:6">
      <c r="A1166" t="str">
        <f t="shared" si="18"/>
        <v>GenericE&amp;DtemplateCIandGOA</v>
      </c>
      <c r="B1166">
        <v>45</v>
      </c>
      <c r="C1166">
        <v>21</v>
      </c>
      <c r="D1166" s="649">
        <f ca="1">IF(E1166=4,INDEX(crude_exp_dist,MATCH(B1166,'Crude Exp Dist'!$B$6:$B$78,0),MATCH(C1166,'Crude Exp Dist'!$AD$2:$BC$2,0))*INDEX(crude_exp_by_year,MATCH(B1166,'Data Export'!$B$6:$B$78,0),1),IF(E1166=5,INDEX(ref_exp_dist,MATCH(B1166,'Refined Petro Exp Dist'!$B$6:$B$78,0),MATCH(C1166,'Refined Petro Exp Dist'!$AD$2:$BC$2,0))*INDEX(ref_exp_by_year,MATCH(B1166,'Data Export'!$B$6:$B$78,0),1)))</f>
        <v>0</v>
      </c>
      <c r="E1166">
        <v>4</v>
      </c>
      <c r="F1166" t="s">
        <v>232</v>
      </c>
    </row>
    <row r="1167" spans="1:6">
      <c r="A1167" t="str">
        <f t="shared" si="18"/>
        <v>GenericE&amp;DtemplateCIandGOA</v>
      </c>
      <c r="B1167">
        <v>45</v>
      </c>
      <c r="C1167">
        <v>22</v>
      </c>
      <c r="D1167" s="649">
        <f ca="1">IF(E1167=4,INDEX(crude_exp_dist,MATCH(B1167,'Crude Exp Dist'!$B$6:$B$78,0),MATCH(C1167,'Crude Exp Dist'!$AD$2:$BC$2,0))*INDEX(crude_exp_by_year,MATCH(B1167,'Data Export'!$B$6:$B$78,0),1),IF(E1167=5,INDEX(ref_exp_dist,MATCH(B1167,'Refined Petro Exp Dist'!$B$6:$B$78,0),MATCH(C1167,'Refined Petro Exp Dist'!$AD$2:$BC$2,0))*INDEX(ref_exp_by_year,MATCH(B1167,'Data Export'!$B$6:$B$78,0),1)))</f>
        <v>0</v>
      </c>
      <c r="E1167">
        <v>4</v>
      </c>
      <c r="F1167" t="s">
        <v>235</v>
      </c>
    </row>
    <row r="1168" spans="1:6">
      <c r="A1168" t="str">
        <f t="shared" si="18"/>
        <v>GenericE&amp;DtemplateCIandGOA</v>
      </c>
      <c r="B1168">
        <v>45</v>
      </c>
      <c r="C1168">
        <v>23</v>
      </c>
      <c r="D1168" s="649">
        <f ca="1">IF(E1168=4,INDEX(crude_exp_dist,MATCH(B1168,'Crude Exp Dist'!$B$6:$B$78,0),MATCH(C1168,'Crude Exp Dist'!$AD$2:$BC$2,0))*INDEX(crude_exp_by_year,MATCH(B1168,'Data Export'!$B$6:$B$78,0),1),IF(E1168=5,INDEX(ref_exp_dist,MATCH(B1168,'Refined Petro Exp Dist'!$B$6:$B$78,0),MATCH(C1168,'Refined Petro Exp Dist'!$AD$2:$BC$2,0))*INDEX(ref_exp_by_year,MATCH(B1168,'Data Export'!$B$6:$B$78,0),1)))</f>
        <v>0</v>
      </c>
      <c r="E1168">
        <v>4</v>
      </c>
      <c r="F1168" t="s">
        <v>237</v>
      </c>
    </row>
    <row r="1169" spans="1:6">
      <c r="A1169" t="str">
        <f t="shared" si="18"/>
        <v>GenericE&amp;DtemplateCIandGOA</v>
      </c>
      <c r="B1169">
        <v>45</v>
      </c>
      <c r="C1169">
        <v>24</v>
      </c>
      <c r="D1169" s="649">
        <f ca="1">IF(E1169=4,INDEX(crude_exp_dist,MATCH(B1169,'Crude Exp Dist'!$B$6:$B$78,0),MATCH(C1169,'Crude Exp Dist'!$AD$2:$BC$2,0))*INDEX(crude_exp_by_year,MATCH(B1169,'Data Export'!$B$6:$B$78,0),1),IF(E1169=5,INDEX(ref_exp_dist,MATCH(B1169,'Refined Petro Exp Dist'!$B$6:$B$78,0),MATCH(C1169,'Refined Petro Exp Dist'!$AD$2:$BC$2,0))*INDEX(ref_exp_by_year,MATCH(B1169,'Data Export'!$B$6:$B$78,0),1)))</f>
        <v>0</v>
      </c>
      <c r="E1169">
        <v>4</v>
      </c>
      <c r="F1169" t="s">
        <v>239</v>
      </c>
    </row>
    <row r="1170" spans="1:6">
      <c r="A1170" t="str">
        <f t="shared" si="18"/>
        <v>GenericE&amp;DtemplateCIandGOA</v>
      </c>
      <c r="B1170">
        <v>45</v>
      </c>
      <c r="C1170">
        <v>25</v>
      </c>
      <c r="D1170" s="649">
        <f ca="1">IF(E1170=4,INDEX(crude_exp_dist,MATCH(B1170,'Crude Exp Dist'!$B$6:$B$78,0),MATCH(C1170,'Crude Exp Dist'!$AD$2:$BC$2,0))*INDEX(crude_exp_by_year,MATCH(B1170,'Data Export'!$B$6:$B$78,0),1),IF(E1170=5,INDEX(ref_exp_dist,MATCH(B1170,'Refined Petro Exp Dist'!$B$6:$B$78,0),MATCH(C1170,'Refined Petro Exp Dist'!$AD$2:$BC$2,0))*INDEX(ref_exp_by_year,MATCH(B1170,'Data Export'!$B$6:$B$78,0),1)))</f>
        <v>0</v>
      </c>
      <c r="E1170">
        <v>4</v>
      </c>
      <c r="F1170" t="s">
        <v>242</v>
      </c>
    </row>
    <row r="1171" spans="1:6">
      <c r="A1171" t="str">
        <f t="shared" si="18"/>
        <v>GenericE&amp;DtemplateCIandGOA</v>
      </c>
      <c r="B1171">
        <v>45</v>
      </c>
      <c r="C1171">
        <v>26</v>
      </c>
      <c r="D1171" s="649">
        <f ca="1">IF(E1171=4,INDEX(crude_exp_dist,MATCH(B1171,'Crude Exp Dist'!$B$6:$B$78,0),MATCH(C1171,'Crude Exp Dist'!$AD$2:$BC$2,0))*INDEX(crude_exp_by_year,MATCH(B1171,'Data Export'!$B$6:$B$78,0),1),IF(E1171=5,INDEX(ref_exp_dist,MATCH(B1171,'Refined Petro Exp Dist'!$B$6:$B$78,0),MATCH(C1171,'Refined Petro Exp Dist'!$AD$2:$BC$2,0))*INDEX(ref_exp_by_year,MATCH(B1171,'Data Export'!$B$6:$B$78,0),1)))</f>
        <v>0</v>
      </c>
      <c r="E1171">
        <v>4</v>
      </c>
      <c r="F1171" t="s">
        <v>245</v>
      </c>
    </row>
    <row r="1172" spans="1:6">
      <c r="A1172" t="str">
        <f t="shared" si="18"/>
        <v>GenericE&amp;DtemplateCIandGOA</v>
      </c>
      <c r="B1172">
        <v>46</v>
      </c>
      <c r="C1172">
        <v>1</v>
      </c>
      <c r="D1172" s="649">
        <f ca="1">IF(E1172=4,INDEX(crude_exp_dist,MATCH(B1172,'Crude Exp Dist'!$B$6:$B$78,0),MATCH(C1172,'Crude Exp Dist'!$AD$2:$BC$2,0))*INDEX(crude_exp_by_year,MATCH(B1172,'Data Export'!$B$6:$B$78,0),1),IF(E1172=5,INDEX(ref_exp_dist,MATCH(B1172,'Refined Petro Exp Dist'!$B$6:$B$78,0),MATCH(C1172,'Refined Petro Exp Dist'!$AD$2:$BC$2,0))*INDEX(ref_exp_by_year,MATCH(B1172,'Data Export'!$B$6:$B$78,0),1)))</f>
        <v>0</v>
      </c>
      <c r="E1172">
        <v>4</v>
      </c>
      <c r="F1172" t="s">
        <v>158</v>
      </c>
    </row>
    <row r="1173" spans="1:6">
      <c r="A1173" t="str">
        <f t="shared" si="18"/>
        <v>GenericE&amp;DtemplateCIandGOA</v>
      </c>
      <c r="B1173">
        <v>46</v>
      </c>
      <c r="C1173">
        <v>2</v>
      </c>
      <c r="D1173" s="649">
        <f ca="1">IF(E1173=4,INDEX(crude_exp_dist,MATCH(B1173,'Crude Exp Dist'!$B$6:$B$78,0),MATCH(C1173,'Crude Exp Dist'!$AD$2:$BC$2,0))*INDEX(crude_exp_by_year,MATCH(B1173,'Data Export'!$B$6:$B$78,0),1),IF(E1173=5,INDEX(ref_exp_dist,MATCH(B1173,'Refined Petro Exp Dist'!$B$6:$B$78,0),MATCH(C1173,'Refined Petro Exp Dist'!$AD$2:$BC$2,0))*INDEX(ref_exp_by_year,MATCH(B1173,'Data Export'!$B$6:$B$78,0),1)))</f>
        <v>0</v>
      </c>
      <c r="E1173">
        <v>4</v>
      </c>
      <c r="F1173" t="s">
        <v>166</v>
      </c>
    </row>
    <row r="1174" spans="1:6">
      <c r="A1174" t="str">
        <f t="shared" si="18"/>
        <v>GenericE&amp;DtemplateCIandGOA</v>
      </c>
      <c r="B1174">
        <v>46</v>
      </c>
      <c r="C1174">
        <v>3</v>
      </c>
      <c r="D1174" s="649">
        <f ca="1">IF(E1174=4,INDEX(crude_exp_dist,MATCH(B1174,'Crude Exp Dist'!$B$6:$B$78,0),MATCH(C1174,'Crude Exp Dist'!$AD$2:$BC$2,0))*INDEX(crude_exp_by_year,MATCH(B1174,'Data Export'!$B$6:$B$78,0),1),IF(E1174=5,INDEX(ref_exp_dist,MATCH(B1174,'Refined Petro Exp Dist'!$B$6:$B$78,0),MATCH(C1174,'Refined Petro Exp Dist'!$AD$2:$BC$2,0))*INDEX(ref_exp_by_year,MATCH(B1174,'Data Export'!$B$6:$B$78,0),1)))</f>
        <v>0</v>
      </c>
      <c r="E1174">
        <v>4</v>
      </c>
      <c r="F1174" t="s">
        <v>171</v>
      </c>
    </row>
    <row r="1175" spans="1:6">
      <c r="A1175" t="str">
        <f t="shared" si="18"/>
        <v>GenericE&amp;DtemplateCIandGOA</v>
      </c>
      <c r="B1175">
        <v>46</v>
      </c>
      <c r="C1175">
        <v>4</v>
      </c>
      <c r="D1175" s="649">
        <f ca="1">IF(E1175=4,INDEX(crude_exp_dist,MATCH(B1175,'Crude Exp Dist'!$B$6:$B$78,0),MATCH(C1175,'Crude Exp Dist'!$AD$2:$BC$2,0))*INDEX(crude_exp_by_year,MATCH(B1175,'Data Export'!$B$6:$B$78,0),1),IF(E1175=5,INDEX(ref_exp_dist,MATCH(B1175,'Refined Petro Exp Dist'!$B$6:$B$78,0),MATCH(C1175,'Refined Petro Exp Dist'!$AD$2:$BC$2,0))*INDEX(ref_exp_by_year,MATCH(B1175,'Data Export'!$B$6:$B$78,0),1)))</f>
        <v>0</v>
      </c>
      <c r="E1175">
        <v>4</v>
      </c>
      <c r="F1175" t="s">
        <v>173</v>
      </c>
    </row>
    <row r="1176" spans="1:6">
      <c r="A1176" t="str">
        <f t="shared" si="18"/>
        <v>GenericE&amp;DtemplateCIandGOA</v>
      </c>
      <c r="B1176">
        <v>46</v>
      </c>
      <c r="C1176">
        <v>5</v>
      </c>
      <c r="D1176" s="649">
        <f ca="1">IF(E1176=4,INDEX(crude_exp_dist,MATCH(B1176,'Crude Exp Dist'!$B$6:$B$78,0),MATCH(C1176,'Crude Exp Dist'!$AD$2:$BC$2,0))*INDEX(crude_exp_by_year,MATCH(B1176,'Data Export'!$B$6:$B$78,0),1),IF(E1176=5,INDEX(ref_exp_dist,MATCH(B1176,'Refined Petro Exp Dist'!$B$6:$B$78,0),MATCH(C1176,'Refined Petro Exp Dist'!$AD$2:$BC$2,0))*INDEX(ref_exp_by_year,MATCH(B1176,'Data Export'!$B$6:$B$78,0),1)))</f>
        <v>0</v>
      </c>
      <c r="E1176">
        <v>4</v>
      </c>
      <c r="F1176" t="s">
        <v>180</v>
      </c>
    </row>
    <row r="1177" spans="1:6">
      <c r="A1177" t="str">
        <f t="shared" si="18"/>
        <v>GenericE&amp;DtemplateCIandGOA</v>
      </c>
      <c r="B1177">
        <v>46</v>
      </c>
      <c r="C1177">
        <v>6</v>
      </c>
      <c r="D1177" s="649">
        <f ca="1">IF(E1177=4,INDEX(crude_exp_dist,MATCH(B1177,'Crude Exp Dist'!$B$6:$B$78,0),MATCH(C1177,'Crude Exp Dist'!$AD$2:$BC$2,0))*INDEX(crude_exp_by_year,MATCH(B1177,'Data Export'!$B$6:$B$78,0),1),IF(E1177=5,INDEX(ref_exp_dist,MATCH(B1177,'Refined Petro Exp Dist'!$B$6:$B$78,0),MATCH(C1177,'Refined Petro Exp Dist'!$AD$2:$BC$2,0))*INDEX(ref_exp_by_year,MATCH(B1177,'Data Export'!$B$6:$B$78,0),1)))</f>
        <v>0</v>
      </c>
      <c r="E1177">
        <v>4</v>
      </c>
      <c r="F1177" t="s">
        <v>186</v>
      </c>
    </row>
    <row r="1178" spans="1:6">
      <c r="A1178" t="str">
        <f t="shared" si="18"/>
        <v>GenericE&amp;DtemplateCIandGOA</v>
      </c>
      <c r="B1178">
        <v>46</v>
      </c>
      <c r="C1178">
        <v>7</v>
      </c>
      <c r="D1178" s="649">
        <f ca="1">IF(E1178=4,INDEX(crude_exp_dist,MATCH(B1178,'Crude Exp Dist'!$B$6:$B$78,0),MATCH(C1178,'Crude Exp Dist'!$AD$2:$BC$2,0))*INDEX(crude_exp_by_year,MATCH(B1178,'Data Export'!$B$6:$B$78,0),1),IF(E1178=5,INDEX(ref_exp_dist,MATCH(B1178,'Refined Petro Exp Dist'!$B$6:$B$78,0),MATCH(C1178,'Refined Petro Exp Dist'!$AD$2:$BC$2,0))*INDEX(ref_exp_by_year,MATCH(B1178,'Data Export'!$B$6:$B$78,0),1)))</f>
        <v>0</v>
      </c>
      <c r="E1178">
        <v>4</v>
      </c>
      <c r="F1178" t="s">
        <v>191</v>
      </c>
    </row>
    <row r="1179" spans="1:6">
      <c r="A1179" t="str">
        <f t="shared" si="18"/>
        <v>GenericE&amp;DtemplateCIandGOA</v>
      </c>
      <c r="B1179">
        <v>46</v>
      </c>
      <c r="C1179">
        <v>8</v>
      </c>
      <c r="D1179" s="649">
        <f ca="1">IF(E1179=4,INDEX(crude_exp_dist,MATCH(B1179,'Crude Exp Dist'!$B$6:$B$78,0),MATCH(C1179,'Crude Exp Dist'!$AD$2:$BC$2,0))*INDEX(crude_exp_by_year,MATCH(B1179,'Data Export'!$B$6:$B$78,0),1),IF(E1179=5,INDEX(ref_exp_dist,MATCH(B1179,'Refined Petro Exp Dist'!$B$6:$B$78,0),MATCH(C1179,'Refined Petro Exp Dist'!$AD$2:$BC$2,0))*INDEX(ref_exp_by_year,MATCH(B1179,'Data Export'!$B$6:$B$78,0),1)))</f>
        <v>0</v>
      </c>
      <c r="E1179">
        <v>4</v>
      </c>
      <c r="F1179" t="s">
        <v>197</v>
      </c>
    </row>
    <row r="1180" spans="1:6">
      <c r="A1180" t="str">
        <f t="shared" si="18"/>
        <v>GenericE&amp;DtemplateCIandGOA</v>
      </c>
      <c r="B1180">
        <v>46</v>
      </c>
      <c r="C1180">
        <v>9</v>
      </c>
      <c r="D1180" s="649">
        <f ca="1">IF(E1180=4,INDEX(crude_exp_dist,MATCH(B1180,'Crude Exp Dist'!$B$6:$B$78,0),MATCH(C1180,'Crude Exp Dist'!$AD$2:$BC$2,0))*INDEX(crude_exp_by_year,MATCH(B1180,'Data Export'!$B$6:$B$78,0),1),IF(E1180=5,INDEX(ref_exp_dist,MATCH(B1180,'Refined Petro Exp Dist'!$B$6:$B$78,0),MATCH(C1180,'Refined Petro Exp Dist'!$AD$2:$BC$2,0))*INDEX(ref_exp_by_year,MATCH(B1180,'Data Export'!$B$6:$B$78,0),1)))</f>
        <v>0</v>
      </c>
      <c r="E1180">
        <v>4</v>
      </c>
      <c r="F1180" t="s">
        <v>199</v>
      </c>
    </row>
    <row r="1181" spans="1:6">
      <c r="A1181" t="str">
        <f t="shared" si="18"/>
        <v>GenericE&amp;DtemplateCIandGOA</v>
      </c>
      <c r="B1181">
        <v>46</v>
      </c>
      <c r="C1181">
        <v>10</v>
      </c>
      <c r="D1181" s="649">
        <f ca="1">IF(E1181=4,INDEX(crude_exp_dist,MATCH(B1181,'Crude Exp Dist'!$B$6:$B$78,0),MATCH(C1181,'Crude Exp Dist'!$AD$2:$BC$2,0))*INDEX(crude_exp_by_year,MATCH(B1181,'Data Export'!$B$6:$B$78,0),1),IF(E1181=5,INDEX(ref_exp_dist,MATCH(B1181,'Refined Petro Exp Dist'!$B$6:$B$78,0),MATCH(C1181,'Refined Petro Exp Dist'!$AD$2:$BC$2,0))*INDEX(ref_exp_by_year,MATCH(B1181,'Data Export'!$B$6:$B$78,0),1)))</f>
        <v>0</v>
      </c>
      <c r="E1181">
        <v>4</v>
      </c>
      <c r="F1181" t="s">
        <v>201</v>
      </c>
    </row>
    <row r="1182" spans="1:6">
      <c r="A1182" t="str">
        <f t="shared" si="18"/>
        <v>GenericE&amp;DtemplateCIandGOA</v>
      </c>
      <c r="B1182">
        <v>46</v>
      </c>
      <c r="C1182">
        <v>11</v>
      </c>
      <c r="D1182" s="649">
        <f ca="1">IF(E1182=4,INDEX(crude_exp_dist,MATCH(B1182,'Crude Exp Dist'!$B$6:$B$78,0),MATCH(C1182,'Crude Exp Dist'!$AD$2:$BC$2,0))*INDEX(crude_exp_by_year,MATCH(B1182,'Data Export'!$B$6:$B$78,0),1),IF(E1182=5,INDEX(ref_exp_dist,MATCH(B1182,'Refined Petro Exp Dist'!$B$6:$B$78,0),MATCH(C1182,'Refined Petro Exp Dist'!$AD$2:$BC$2,0))*INDEX(ref_exp_by_year,MATCH(B1182,'Data Export'!$B$6:$B$78,0),1)))</f>
        <v>0</v>
      </c>
      <c r="E1182">
        <v>4</v>
      </c>
      <c r="F1182" t="s">
        <v>921</v>
      </c>
    </row>
    <row r="1183" spans="1:6">
      <c r="A1183" t="str">
        <f t="shared" si="18"/>
        <v>GenericE&amp;DtemplateCIandGOA</v>
      </c>
      <c r="B1183">
        <v>46</v>
      </c>
      <c r="C1183">
        <v>12</v>
      </c>
      <c r="D1183" s="649">
        <f ca="1">IF(E1183=4,INDEX(crude_exp_dist,MATCH(B1183,'Crude Exp Dist'!$B$6:$B$78,0),MATCH(C1183,'Crude Exp Dist'!$AD$2:$BC$2,0))*INDEX(crude_exp_by_year,MATCH(B1183,'Data Export'!$B$6:$B$78,0),1),IF(E1183=5,INDEX(ref_exp_dist,MATCH(B1183,'Refined Petro Exp Dist'!$B$6:$B$78,0),MATCH(C1183,'Refined Petro Exp Dist'!$AD$2:$BC$2,0))*INDEX(ref_exp_by_year,MATCH(B1183,'Data Export'!$B$6:$B$78,0),1)))</f>
        <v>0</v>
      </c>
      <c r="E1183">
        <v>4</v>
      </c>
      <c r="F1183" t="s">
        <v>208</v>
      </c>
    </row>
    <row r="1184" spans="1:6">
      <c r="A1184" t="str">
        <f t="shared" si="18"/>
        <v>GenericE&amp;DtemplateCIandGOA</v>
      </c>
      <c r="B1184">
        <v>46</v>
      </c>
      <c r="C1184">
        <v>13</v>
      </c>
      <c r="D1184" s="649">
        <f ca="1">IF(E1184=4,INDEX(crude_exp_dist,MATCH(B1184,'Crude Exp Dist'!$B$6:$B$78,0),MATCH(C1184,'Crude Exp Dist'!$AD$2:$BC$2,0))*INDEX(crude_exp_by_year,MATCH(B1184,'Data Export'!$B$6:$B$78,0),1),IF(E1184=5,INDEX(ref_exp_dist,MATCH(B1184,'Refined Petro Exp Dist'!$B$6:$B$78,0),MATCH(C1184,'Refined Petro Exp Dist'!$AD$2:$BC$2,0))*INDEX(ref_exp_by_year,MATCH(B1184,'Data Export'!$B$6:$B$78,0),1)))</f>
        <v>0</v>
      </c>
      <c r="E1184">
        <v>4</v>
      </c>
      <c r="F1184" t="s">
        <v>211</v>
      </c>
    </row>
    <row r="1185" spans="1:6">
      <c r="A1185" t="str">
        <f t="shared" si="18"/>
        <v>GenericE&amp;DtemplateCIandGOA</v>
      </c>
      <c r="B1185">
        <v>46</v>
      </c>
      <c r="C1185">
        <v>14</v>
      </c>
      <c r="D1185" s="649">
        <f ca="1">IF(E1185=4,INDEX(crude_exp_dist,MATCH(B1185,'Crude Exp Dist'!$B$6:$B$78,0),MATCH(C1185,'Crude Exp Dist'!$AD$2:$BC$2,0))*INDEX(crude_exp_by_year,MATCH(B1185,'Data Export'!$B$6:$B$78,0),1),IF(E1185=5,INDEX(ref_exp_dist,MATCH(B1185,'Refined Petro Exp Dist'!$B$6:$B$78,0),MATCH(C1185,'Refined Petro Exp Dist'!$AD$2:$BC$2,0))*INDEX(ref_exp_by_year,MATCH(B1185,'Data Export'!$B$6:$B$78,0),1)))</f>
        <v>0</v>
      </c>
      <c r="E1185">
        <v>4</v>
      </c>
      <c r="F1185" t="s">
        <v>213</v>
      </c>
    </row>
    <row r="1186" spans="1:6">
      <c r="A1186" t="str">
        <f t="shared" si="18"/>
        <v>GenericE&amp;DtemplateCIandGOA</v>
      </c>
      <c r="B1186">
        <v>46</v>
      </c>
      <c r="C1186">
        <v>15</v>
      </c>
      <c r="D1186" s="649">
        <f ca="1">IF(E1186=4,INDEX(crude_exp_dist,MATCH(B1186,'Crude Exp Dist'!$B$6:$B$78,0),MATCH(C1186,'Crude Exp Dist'!$AD$2:$BC$2,0))*INDEX(crude_exp_by_year,MATCH(B1186,'Data Export'!$B$6:$B$78,0),1),IF(E1186=5,INDEX(ref_exp_dist,MATCH(B1186,'Refined Petro Exp Dist'!$B$6:$B$78,0),MATCH(C1186,'Refined Petro Exp Dist'!$AD$2:$BC$2,0))*INDEX(ref_exp_by_year,MATCH(B1186,'Data Export'!$B$6:$B$78,0),1)))</f>
        <v>0</v>
      </c>
      <c r="E1186">
        <v>4</v>
      </c>
      <c r="F1186" t="s">
        <v>215</v>
      </c>
    </row>
    <row r="1187" spans="1:6">
      <c r="A1187" t="str">
        <f t="shared" si="18"/>
        <v>GenericE&amp;DtemplateCIandGOA</v>
      </c>
      <c r="B1187">
        <v>46</v>
      </c>
      <c r="C1187">
        <v>16</v>
      </c>
      <c r="D1187" s="649">
        <f ca="1">IF(E1187=4,INDEX(crude_exp_dist,MATCH(B1187,'Crude Exp Dist'!$B$6:$B$78,0),MATCH(C1187,'Crude Exp Dist'!$AD$2:$BC$2,0))*INDEX(crude_exp_by_year,MATCH(B1187,'Data Export'!$B$6:$B$78,0),1),IF(E1187=5,INDEX(ref_exp_dist,MATCH(B1187,'Refined Petro Exp Dist'!$B$6:$B$78,0),MATCH(C1187,'Refined Petro Exp Dist'!$AD$2:$BC$2,0))*INDEX(ref_exp_by_year,MATCH(B1187,'Data Export'!$B$6:$B$78,0),1)))</f>
        <v>0</v>
      </c>
      <c r="E1187">
        <v>4</v>
      </c>
      <c r="F1187" t="s">
        <v>219</v>
      </c>
    </row>
    <row r="1188" spans="1:6">
      <c r="A1188" t="str">
        <f t="shared" si="18"/>
        <v>GenericE&amp;DtemplateCIandGOA</v>
      </c>
      <c r="B1188">
        <v>46</v>
      </c>
      <c r="C1188">
        <v>17</v>
      </c>
      <c r="D1188" s="649">
        <f ca="1">IF(E1188=4,INDEX(crude_exp_dist,MATCH(B1188,'Crude Exp Dist'!$B$6:$B$78,0),MATCH(C1188,'Crude Exp Dist'!$AD$2:$BC$2,0))*INDEX(crude_exp_by_year,MATCH(B1188,'Data Export'!$B$6:$B$78,0),1),IF(E1188=5,INDEX(ref_exp_dist,MATCH(B1188,'Refined Petro Exp Dist'!$B$6:$B$78,0),MATCH(C1188,'Refined Petro Exp Dist'!$AD$2:$BC$2,0))*INDEX(ref_exp_by_year,MATCH(B1188,'Data Export'!$B$6:$B$78,0),1)))</f>
        <v>0</v>
      </c>
      <c r="E1188">
        <v>4</v>
      </c>
      <c r="F1188" t="s">
        <v>222</v>
      </c>
    </row>
    <row r="1189" spans="1:6">
      <c r="A1189" t="str">
        <f t="shared" si="18"/>
        <v>GenericE&amp;DtemplateCIandGOA</v>
      </c>
      <c r="B1189">
        <v>46</v>
      </c>
      <c r="C1189">
        <v>18</v>
      </c>
      <c r="D1189" s="649">
        <f ca="1">IF(E1189=4,INDEX(crude_exp_dist,MATCH(B1189,'Crude Exp Dist'!$B$6:$B$78,0),MATCH(C1189,'Crude Exp Dist'!$AD$2:$BC$2,0))*INDEX(crude_exp_by_year,MATCH(B1189,'Data Export'!$B$6:$B$78,0),1),IF(E1189=5,INDEX(ref_exp_dist,MATCH(B1189,'Refined Petro Exp Dist'!$B$6:$B$78,0),MATCH(C1189,'Refined Petro Exp Dist'!$AD$2:$BC$2,0))*INDEX(ref_exp_by_year,MATCH(B1189,'Data Export'!$B$6:$B$78,0),1)))</f>
        <v>0</v>
      </c>
      <c r="E1189">
        <v>4</v>
      </c>
      <c r="F1189" t="s">
        <v>224</v>
      </c>
    </row>
    <row r="1190" spans="1:6">
      <c r="A1190" t="str">
        <f t="shared" si="18"/>
        <v>GenericE&amp;DtemplateCIandGOA</v>
      </c>
      <c r="B1190">
        <v>46</v>
      </c>
      <c r="C1190">
        <v>19</v>
      </c>
      <c r="D1190" s="649">
        <f ca="1">IF(E1190=4,INDEX(crude_exp_dist,MATCH(B1190,'Crude Exp Dist'!$B$6:$B$78,0),MATCH(C1190,'Crude Exp Dist'!$AD$2:$BC$2,0))*INDEX(crude_exp_by_year,MATCH(B1190,'Data Export'!$B$6:$B$78,0),1),IF(E1190=5,INDEX(ref_exp_dist,MATCH(B1190,'Refined Petro Exp Dist'!$B$6:$B$78,0),MATCH(C1190,'Refined Petro Exp Dist'!$AD$2:$BC$2,0))*INDEX(ref_exp_by_year,MATCH(B1190,'Data Export'!$B$6:$B$78,0),1)))</f>
        <v>0</v>
      </c>
      <c r="E1190">
        <v>4</v>
      </c>
      <c r="F1190" t="s">
        <v>228</v>
      </c>
    </row>
    <row r="1191" spans="1:6">
      <c r="A1191" t="str">
        <f t="shared" si="18"/>
        <v>GenericE&amp;DtemplateCIandGOA</v>
      </c>
      <c r="B1191">
        <v>46</v>
      </c>
      <c r="C1191">
        <v>20</v>
      </c>
      <c r="D1191" s="649">
        <f ca="1">IF(E1191=4,INDEX(crude_exp_dist,MATCH(B1191,'Crude Exp Dist'!$B$6:$B$78,0),MATCH(C1191,'Crude Exp Dist'!$AD$2:$BC$2,0))*INDEX(crude_exp_by_year,MATCH(B1191,'Data Export'!$B$6:$B$78,0),1),IF(E1191=5,INDEX(ref_exp_dist,MATCH(B1191,'Refined Petro Exp Dist'!$B$6:$B$78,0),MATCH(C1191,'Refined Petro Exp Dist'!$AD$2:$BC$2,0))*INDEX(ref_exp_by_year,MATCH(B1191,'Data Export'!$B$6:$B$78,0),1)))</f>
        <v>0</v>
      </c>
      <c r="E1191">
        <v>4</v>
      </c>
      <c r="F1191" t="s">
        <v>231</v>
      </c>
    </row>
    <row r="1192" spans="1:6">
      <c r="A1192" t="str">
        <f t="shared" si="18"/>
        <v>GenericE&amp;DtemplateCIandGOA</v>
      </c>
      <c r="B1192">
        <v>46</v>
      </c>
      <c r="C1192">
        <v>21</v>
      </c>
      <c r="D1192" s="649">
        <f ca="1">IF(E1192=4,INDEX(crude_exp_dist,MATCH(B1192,'Crude Exp Dist'!$B$6:$B$78,0),MATCH(C1192,'Crude Exp Dist'!$AD$2:$BC$2,0))*INDEX(crude_exp_by_year,MATCH(B1192,'Data Export'!$B$6:$B$78,0),1),IF(E1192=5,INDEX(ref_exp_dist,MATCH(B1192,'Refined Petro Exp Dist'!$B$6:$B$78,0),MATCH(C1192,'Refined Petro Exp Dist'!$AD$2:$BC$2,0))*INDEX(ref_exp_by_year,MATCH(B1192,'Data Export'!$B$6:$B$78,0),1)))</f>
        <v>0</v>
      </c>
      <c r="E1192">
        <v>4</v>
      </c>
      <c r="F1192" t="s">
        <v>232</v>
      </c>
    </row>
    <row r="1193" spans="1:6">
      <c r="A1193" t="str">
        <f t="shared" si="18"/>
        <v>GenericE&amp;DtemplateCIandGOA</v>
      </c>
      <c r="B1193">
        <v>46</v>
      </c>
      <c r="C1193">
        <v>22</v>
      </c>
      <c r="D1193" s="649">
        <f ca="1">IF(E1193=4,INDEX(crude_exp_dist,MATCH(B1193,'Crude Exp Dist'!$B$6:$B$78,0),MATCH(C1193,'Crude Exp Dist'!$AD$2:$BC$2,0))*INDEX(crude_exp_by_year,MATCH(B1193,'Data Export'!$B$6:$B$78,0),1),IF(E1193=5,INDEX(ref_exp_dist,MATCH(B1193,'Refined Petro Exp Dist'!$B$6:$B$78,0),MATCH(C1193,'Refined Petro Exp Dist'!$AD$2:$BC$2,0))*INDEX(ref_exp_by_year,MATCH(B1193,'Data Export'!$B$6:$B$78,0),1)))</f>
        <v>0</v>
      </c>
      <c r="E1193">
        <v>4</v>
      </c>
      <c r="F1193" t="s">
        <v>235</v>
      </c>
    </row>
    <row r="1194" spans="1:6">
      <c r="A1194" t="str">
        <f t="shared" si="18"/>
        <v>GenericE&amp;DtemplateCIandGOA</v>
      </c>
      <c r="B1194">
        <v>46</v>
      </c>
      <c r="C1194">
        <v>23</v>
      </c>
      <c r="D1194" s="649">
        <f ca="1">IF(E1194=4,INDEX(crude_exp_dist,MATCH(B1194,'Crude Exp Dist'!$B$6:$B$78,0),MATCH(C1194,'Crude Exp Dist'!$AD$2:$BC$2,0))*INDEX(crude_exp_by_year,MATCH(B1194,'Data Export'!$B$6:$B$78,0),1),IF(E1194=5,INDEX(ref_exp_dist,MATCH(B1194,'Refined Petro Exp Dist'!$B$6:$B$78,0),MATCH(C1194,'Refined Petro Exp Dist'!$AD$2:$BC$2,0))*INDEX(ref_exp_by_year,MATCH(B1194,'Data Export'!$B$6:$B$78,0),1)))</f>
        <v>0</v>
      </c>
      <c r="E1194">
        <v>4</v>
      </c>
      <c r="F1194" t="s">
        <v>237</v>
      </c>
    </row>
    <row r="1195" spans="1:6">
      <c r="A1195" t="str">
        <f t="shared" si="18"/>
        <v>GenericE&amp;DtemplateCIandGOA</v>
      </c>
      <c r="B1195">
        <v>46</v>
      </c>
      <c r="C1195">
        <v>24</v>
      </c>
      <c r="D1195" s="649">
        <f ca="1">IF(E1195=4,INDEX(crude_exp_dist,MATCH(B1195,'Crude Exp Dist'!$B$6:$B$78,0),MATCH(C1195,'Crude Exp Dist'!$AD$2:$BC$2,0))*INDEX(crude_exp_by_year,MATCH(B1195,'Data Export'!$B$6:$B$78,0),1),IF(E1195=5,INDEX(ref_exp_dist,MATCH(B1195,'Refined Petro Exp Dist'!$B$6:$B$78,0),MATCH(C1195,'Refined Petro Exp Dist'!$AD$2:$BC$2,0))*INDEX(ref_exp_by_year,MATCH(B1195,'Data Export'!$B$6:$B$78,0),1)))</f>
        <v>0</v>
      </c>
      <c r="E1195">
        <v>4</v>
      </c>
      <c r="F1195" t="s">
        <v>239</v>
      </c>
    </row>
    <row r="1196" spans="1:6">
      <c r="A1196" t="str">
        <f t="shared" si="18"/>
        <v>GenericE&amp;DtemplateCIandGOA</v>
      </c>
      <c r="B1196">
        <v>46</v>
      </c>
      <c r="C1196">
        <v>25</v>
      </c>
      <c r="D1196" s="649">
        <f ca="1">IF(E1196=4,INDEX(crude_exp_dist,MATCH(B1196,'Crude Exp Dist'!$B$6:$B$78,0),MATCH(C1196,'Crude Exp Dist'!$AD$2:$BC$2,0))*INDEX(crude_exp_by_year,MATCH(B1196,'Data Export'!$B$6:$B$78,0),1),IF(E1196=5,INDEX(ref_exp_dist,MATCH(B1196,'Refined Petro Exp Dist'!$B$6:$B$78,0),MATCH(C1196,'Refined Petro Exp Dist'!$AD$2:$BC$2,0))*INDEX(ref_exp_by_year,MATCH(B1196,'Data Export'!$B$6:$B$78,0),1)))</f>
        <v>0</v>
      </c>
      <c r="E1196">
        <v>4</v>
      </c>
      <c r="F1196" t="s">
        <v>242</v>
      </c>
    </row>
    <row r="1197" spans="1:6">
      <c r="A1197" t="str">
        <f t="shared" si="18"/>
        <v>GenericE&amp;DtemplateCIandGOA</v>
      </c>
      <c r="B1197">
        <v>46</v>
      </c>
      <c r="C1197">
        <v>26</v>
      </c>
      <c r="D1197" s="649">
        <f ca="1">IF(E1197=4,INDEX(crude_exp_dist,MATCH(B1197,'Crude Exp Dist'!$B$6:$B$78,0),MATCH(C1197,'Crude Exp Dist'!$AD$2:$BC$2,0))*INDEX(crude_exp_by_year,MATCH(B1197,'Data Export'!$B$6:$B$78,0),1),IF(E1197=5,INDEX(ref_exp_dist,MATCH(B1197,'Refined Petro Exp Dist'!$B$6:$B$78,0),MATCH(C1197,'Refined Petro Exp Dist'!$AD$2:$BC$2,0))*INDEX(ref_exp_by_year,MATCH(B1197,'Data Export'!$B$6:$B$78,0),1)))</f>
        <v>0</v>
      </c>
      <c r="E1197">
        <v>4</v>
      </c>
      <c r="F1197" t="s">
        <v>245</v>
      </c>
    </row>
    <row r="1198" spans="1:6">
      <c r="A1198" t="str">
        <f t="shared" si="18"/>
        <v>GenericE&amp;DtemplateCIandGOA</v>
      </c>
      <c r="B1198">
        <v>47</v>
      </c>
      <c r="C1198">
        <v>1</v>
      </c>
      <c r="D1198" s="649">
        <f ca="1">IF(E1198=4,INDEX(crude_exp_dist,MATCH(B1198,'Crude Exp Dist'!$B$6:$B$78,0),MATCH(C1198,'Crude Exp Dist'!$AD$2:$BC$2,0))*INDEX(crude_exp_by_year,MATCH(B1198,'Data Export'!$B$6:$B$78,0),1),IF(E1198=5,INDEX(ref_exp_dist,MATCH(B1198,'Refined Petro Exp Dist'!$B$6:$B$78,0),MATCH(C1198,'Refined Petro Exp Dist'!$AD$2:$BC$2,0))*INDEX(ref_exp_by_year,MATCH(B1198,'Data Export'!$B$6:$B$78,0),1)))</f>
        <v>0</v>
      </c>
      <c r="E1198">
        <v>4</v>
      </c>
      <c r="F1198" t="s">
        <v>158</v>
      </c>
    </row>
    <row r="1199" spans="1:6">
      <c r="A1199" t="str">
        <f t="shared" si="18"/>
        <v>GenericE&amp;DtemplateCIandGOA</v>
      </c>
      <c r="B1199">
        <v>47</v>
      </c>
      <c r="C1199">
        <v>2</v>
      </c>
      <c r="D1199" s="649">
        <f ca="1">IF(E1199=4,INDEX(crude_exp_dist,MATCH(B1199,'Crude Exp Dist'!$B$6:$B$78,0),MATCH(C1199,'Crude Exp Dist'!$AD$2:$BC$2,0))*INDEX(crude_exp_by_year,MATCH(B1199,'Data Export'!$B$6:$B$78,0),1),IF(E1199=5,INDEX(ref_exp_dist,MATCH(B1199,'Refined Petro Exp Dist'!$B$6:$B$78,0),MATCH(C1199,'Refined Petro Exp Dist'!$AD$2:$BC$2,0))*INDEX(ref_exp_by_year,MATCH(B1199,'Data Export'!$B$6:$B$78,0),1)))</f>
        <v>0</v>
      </c>
      <c r="E1199">
        <v>4</v>
      </c>
      <c r="F1199" t="s">
        <v>166</v>
      </c>
    </row>
    <row r="1200" spans="1:6">
      <c r="A1200" t="str">
        <f t="shared" si="18"/>
        <v>GenericE&amp;DtemplateCIandGOA</v>
      </c>
      <c r="B1200">
        <v>47</v>
      </c>
      <c r="C1200">
        <v>3</v>
      </c>
      <c r="D1200" s="649">
        <f ca="1">IF(E1200=4,INDEX(crude_exp_dist,MATCH(B1200,'Crude Exp Dist'!$B$6:$B$78,0),MATCH(C1200,'Crude Exp Dist'!$AD$2:$BC$2,0))*INDEX(crude_exp_by_year,MATCH(B1200,'Data Export'!$B$6:$B$78,0),1),IF(E1200=5,INDEX(ref_exp_dist,MATCH(B1200,'Refined Petro Exp Dist'!$B$6:$B$78,0),MATCH(C1200,'Refined Petro Exp Dist'!$AD$2:$BC$2,0))*INDEX(ref_exp_by_year,MATCH(B1200,'Data Export'!$B$6:$B$78,0),1)))</f>
        <v>0</v>
      </c>
      <c r="E1200">
        <v>4</v>
      </c>
      <c r="F1200" t="s">
        <v>171</v>
      </c>
    </row>
    <row r="1201" spans="1:6">
      <c r="A1201" t="str">
        <f t="shared" si="18"/>
        <v>GenericE&amp;DtemplateCIandGOA</v>
      </c>
      <c r="B1201">
        <v>47</v>
      </c>
      <c r="C1201">
        <v>4</v>
      </c>
      <c r="D1201" s="649">
        <f ca="1">IF(E1201=4,INDEX(crude_exp_dist,MATCH(B1201,'Crude Exp Dist'!$B$6:$B$78,0),MATCH(C1201,'Crude Exp Dist'!$AD$2:$BC$2,0))*INDEX(crude_exp_by_year,MATCH(B1201,'Data Export'!$B$6:$B$78,0),1),IF(E1201=5,INDEX(ref_exp_dist,MATCH(B1201,'Refined Petro Exp Dist'!$B$6:$B$78,0),MATCH(C1201,'Refined Petro Exp Dist'!$AD$2:$BC$2,0))*INDEX(ref_exp_by_year,MATCH(B1201,'Data Export'!$B$6:$B$78,0),1)))</f>
        <v>0</v>
      </c>
      <c r="E1201">
        <v>4</v>
      </c>
      <c r="F1201" t="s">
        <v>173</v>
      </c>
    </row>
    <row r="1202" spans="1:6">
      <c r="A1202" t="str">
        <f t="shared" si="18"/>
        <v>GenericE&amp;DtemplateCIandGOA</v>
      </c>
      <c r="B1202">
        <v>47</v>
      </c>
      <c r="C1202">
        <v>5</v>
      </c>
      <c r="D1202" s="649">
        <f ca="1">IF(E1202=4,INDEX(crude_exp_dist,MATCH(B1202,'Crude Exp Dist'!$B$6:$B$78,0),MATCH(C1202,'Crude Exp Dist'!$AD$2:$BC$2,0))*INDEX(crude_exp_by_year,MATCH(B1202,'Data Export'!$B$6:$B$78,0),1),IF(E1202=5,INDEX(ref_exp_dist,MATCH(B1202,'Refined Petro Exp Dist'!$B$6:$B$78,0),MATCH(C1202,'Refined Petro Exp Dist'!$AD$2:$BC$2,0))*INDEX(ref_exp_by_year,MATCH(B1202,'Data Export'!$B$6:$B$78,0),1)))</f>
        <v>0</v>
      </c>
      <c r="E1202">
        <v>4</v>
      </c>
      <c r="F1202" t="s">
        <v>180</v>
      </c>
    </row>
    <row r="1203" spans="1:6">
      <c r="A1203" t="str">
        <f t="shared" si="18"/>
        <v>GenericE&amp;DtemplateCIandGOA</v>
      </c>
      <c r="B1203">
        <v>47</v>
      </c>
      <c r="C1203">
        <v>6</v>
      </c>
      <c r="D1203" s="649">
        <f ca="1">IF(E1203=4,INDEX(crude_exp_dist,MATCH(B1203,'Crude Exp Dist'!$B$6:$B$78,0),MATCH(C1203,'Crude Exp Dist'!$AD$2:$BC$2,0))*INDEX(crude_exp_by_year,MATCH(B1203,'Data Export'!$B$6:$B$78,0),1),IF(E1203=5,INDEX(ref_exp_dist,MATCH(B1203,'Refined Petro Exp Dist'!$B$6:$B$78,0),MATCH(C1203,'Refined Petro Exp Dist'!$AD$2:$BC$2,0))*INDEX(ref_exp_by_year,MATCH(B1203,'Data Export'!$B$6:$B$78,0),1)))</f>
        <v>0</v>
      </c>
      <c r="E1203">
        <v>4</v>
      </c>
      <c r="F1203" t="s">
        <v>186</v>
      </c>
    </row>
    <row r="1204" spans="1:6">
      <c r="A1204" t="str">
        <f t="shared" si="18"/>
        <v>GenericE&amp;DtemplateCIandGOA</v>
      </c>
      <c r="B1204">
        <v>47</v>
      </c>
      <c r="C1204">
        <v>7</v>
      </c>
      <c r="D1204" s="649">
        <f ca="1">IF(E1204=4,INDEX(crude_exp_dist,MATCH(B1204,'Crude Exp Dist'!$B$6:$B$78,0),MATCH(C1204,'Crude Exp Dist'!$AD$2:$BC$2,0))*INDEX(crude_exp_by_year,MATCH(B1204,'Data Export'!$B$6:$B$78,0),1),IF(E1204=5,INDEX(ref_exp_dist,MATCH(B1204,'Refined Petro Exp Dist'!$B$6:$B$78,0),MATCH(C1204,'Refined Petro Exp Dist'!$AD$2:$BC$2,0))*INDEX(ref_exp_by_year,MATCH(B1204,'Data Export'!$B$6:$B$78,0),1)))</f>
        <v>0</v>
      </c>
      <c r="E1204">
        <v>4</v>
      </c>
      <c r="F1204" t="s">
        <v>191</v>
      </c>
    </row>
    <row r="1205" spans="1:6">
      <c r="A1205" t="str">
        <f t="shared" si="18"/>
        <v>GenericE&amp;DtemplateCIandGOA</v>
      </c>
      <c r="B1205">
        <v>47</v>
      </c>
      <c r="C1205">
        <v>8</v>
      </c>
      <c r="D1205" s="649">
        <f ca="1">IF(E1205=4,INDEX(crude_exp_dist,MATCH(B1205,'Crude Exp Dist'!$B$6:$B$78,0),MATCH(C1205,'Crude Exp Dist'!$AD$2:$BC$2,0))*INDEX(crude_exp_by_year,MATCH(B1205,'Data Export'!$B$6:$B$78,0),1),IF(E1205=5,INDEX(ref_exp_dist,MATCH(B1205,'Refined Petro Exp Dist'!$B$6:$B$78,0),MATCH(C1205,'Refined Petro Exp Dist'!$AD$2:$BC$2,0))*INDEX(ref_exp_by_year,MATCH(B1205,'Data Export'!$B$6:$B$78,0),1)))</f>
        <v>0</v>
      </c>
      <c r="E1205">
        <v>4</v>
      </c>
      <c r="F1205" t="s">
        <v>197</v>
      </c>
    </row>
    <row r="1206" spans="1:6">
      <c r="A1206" t="str">
        <f t="shared" si="18"/>
        <v>GenericE&amp;DtemplateCIandGOA</v>
      </c>
      <c r="B1206">
        <v>47</v>
      </c>
      <c r="C1206">
        <v>9</v>
      </c>
      <c r="D1206" s="649">
        <f ca="1">IF(E1206=4,INDEX(crude_exp_dist,MATCH(B1206,'Crude Exp Dist'!$B$6:$B$78,0),MATCH(C1206,'Crude Exp Dist'!$AD$2:$BC$2,0))*INDEX(crude_exp_by_year,MATCH(B1206,'Data Export'!$B$6:$B$78,0),1),IF(E1206=5,INDEX(ref_exp_dist,MATCH(B1206,'Refined Petro Exp Dist'!$B$6:$B$78,0),MATCH(C1206,'Refined Petro Exp Dist'!$AD$2:$BC$2,0))*INDEX(ref_exp_by_year,MATCH(B1206,'Data Export'!$B$6:$B$78,0),1)))</f>
        <v>0</v>
      </c>
      <c r="E1206">
        <v>4</v>
      </c>
      <c r="F1206" t="s">
        <v>199</v>
      </c>
    </row>
    <row r="1207" spans="1:6">
      <c r="A1207" t="str">
        <f t="shared" si="18"/>
        <v>GenericE&amp;DtemplateCIandGOA</v>
      </c>
      <c r="B1207">
        <v>47</v>
      </c>
      <c r="C1207">
        <v>10</v>
      </c>
      <c r="D1207" s="649">
        <f ca="1">IF(E1207=4,INDEX(crude_exp_dist,MATCH(B1207,'Crude Exp Dist'!$B$6:$B$78,0),MATCH(C1207,'Crude Exp Dist'!$AD$2:$BC$2,0))*INDEX(crude_exp_by_year,MATCH(B1207,'Data Export'!$B$6:$B$78,0),1),IF(E1207=5,INDEX(ref_exp_dist,MATCH(B1207,'Refined Petro Exp Dist'!$B$6:$B$78,0),MATCH(C1207,'Refined Petro Exp Dist'!$AD$2:$BC$2,0))*INDEX(ref_exp_by_year,MATCH(B1207,'Data Export'!$B$6:$B$78,0),1)))</f>
        <v>0</v>
      </c>
      <c r="E1207">
        <v>4</v>
      </c>
      <c r="F1207" t="s">
        <v>201</v>
      </c>
    </row>
    <row r="1208" spans="1:6">
      <c r="A1208" t="str">
        <f t="shared" si="18"/>
        <v>GenericE&amp;DtemplateCIandGOA</v>
      </c>
      <c r="B1208">
        <v>47</v>
      </c>
      <c r="C1208">
        <v>11</v>
      </c>
      <c r="D1208" s="649">
        <f ca="1">IF(E1208=4,INDEX(crude_exp_dist,MATCH(B1208,'Crude Exp Dist'!$B$6:$B$78,0),MATCH(C1208,'Crude Exp Dist'!$AD$2:$BC$2,0))*INDEX(crude_exp_by_year,MATCH(B1208,'Data Export'!$B$6:$B$78,0),1),IF(E1208=5,INDEX(ref_exp_dist,MATCH(B1208,'Refined Petro Exp Dist'!$B$6:$B$78,0),MATCH(C1208,'Refined Petro Exp Dist'!$AD$2:$BC$2,0))*INDEX(ref_exp_by_year,MATCH(B1208,'Data Export'!$B$6:$B$78,0),1)))</f>
        <v>0</v>
      </c>
      <c r="E1208">
        <v>4</v>
      </c>
      <c r="F1208" t="s">
        <v>921</v>
      </c>
    </row>
    <row r="1209" spans="1:6">
      <c r="A1209" t="str">
        <f t="shared" si="18"/>
        <v>GenericE&amp;DtemplateCIandGOA</v>
      </c>
      <c r="B1209">
        <v>47</v>
      </c>
      <c r="C1209">
        <v>12</v>
      </c>
      <c r="D1209" s="649">
        <f ca="1">IF(E1209=4,INDEX(crude_exp_dist,MATCH(B1209,'Crude Exp Dist'!$B$6:$B$78,0),MATCH(C1209,'Crude Exp Dist'!$AD$2:$BC$2,0))*INDEX(crude_exp_by_year,MATCH(B1209,'Data Export'!$B$6:$B$78,0),1),IF(E1209=5,INDEX(ref_exp_dist,MATCH(B1209,'Refined Petro Exp Dist'!$B$6:$B$78,0),MATCH(C1209,'Refined Petro Exp Dist'!$AD$2:$BC$2,0))*INDEX(ref_exp_by_year,MATCH(B1209,'Data Export'!$B$6:$B$78,0),1)))</f>
        <v>0</v>
      </c>
      <c r="E1209">
        <v>4</v>
      </c>
      <c r="F1209" t="s">
        <v>208</v>
      </c>
    </row>
    <row r="1210" spans="1:6">
      <c r="A1210" t="str">
        <f t="shared" si="18"/>
        <v>GenericE&amp;DtemplateCIandGOA</v>
      </c>
      <c r="B1210">
        <v>47</v>
      </c>
      <c r="C1210">
        <v>13</v>
      </c>
      <c r="D1210" s="649">
        <f ca="1">IF(E1210=4,INDEX(crude_exp_dist,MATCH(B1210,'Crude Exp Dist'!$B$6:$B$78,0),MATCH(C1210,'Crude Exp Dist'!$AD$2:$BC$2,0))*INDEX(crude_exp_by_year,MATCH(B1210,'Data Export'!$B$6:$B$78,0),1),IF(E1210=5,INDEX(ref_exp_dist,MATCH(B1210,'Refined Petro Exp Dist'!$B$6:$B$78,0),MATCH(C1210,'Refined Petro Exp Dist'!$AD$2:$BC$2,0))*INDEX(ref_exp_by_year,MATCH(B1210,'Data Export'!$B$6:$B$78,0),1)))</f>
        <v>0</v>
      </c>
      <c r="E1210">
        <v>4</v>
      </c>
      <c r="F1210" t="s">
        <v>211</v>
      </c>
    </row>
    <row r="1211" spans="1:6">
      <c r="A1211" t="str">
        <f t="shared" si="18"/>
        <v>GenericE&amp;DtemplateCIandGOA</v>
      </c>
      <c r="B1211">
        <v>47</v>
      </c>
      <c r="C1211">
        <v>14</v>
      </c>
      <c r="D1211" s="649">
        <f ca="1">IF(E1211=4,INDEX(crude_exp_dist,MATCH(B1211,'Crude Exp Dist'!$B$6:$B$78,0),MATCH(C1211,'Crude Exp Dist'!$AD$2:$BC$2,0))*INDEX(crude_exp_by_year,MATCH(B1211,'Data Export'!$B$6:$B$78,0),1),IF(E1211=5,INDEX(ref_exp_dist,MATCH(B1211,'Refined Petro Exp Dist'!$B$6:$B$78,0),MATCH(C1211,'Refined Petro Exp Dist'!$AD$2:$BC$2,0))*INDEX(ref_exp_by_year,MATCH(B1211,'Data Export'!$B$6:$B$78,0),1)))</f>
        <v>0</v>
      </c>
      <c r="E1211">
        <v>4</v>
      </c>
      <c r="F1211" t="s">
        <v>213</v>
      </c>
    </row>
    <row r="1212" spans="1:6">
      <c r="A1212" t="str">
        <f t="shared" si="18"/>
        <v>GenericE&amp;DtemplateCIandGOA</v>
      </c>
      <c r="B1212">
        <v>47</v>
      </c>
      <c r="C1212">
        <v>15</v>
      </c>
      <c r="D1212" s="649">
        <f ca="1">IF(E1212=4,INDEX(crude_exp_dist,MATCH(B1212,'Crude Exp Dist'!$B$6:$B$78,0),MATCH(C1212,'Crude Exp Dist'!$AD$2:$BC$2,0))*INDEX(crude_exp_by_year,MATCH(B1212,'Data Export'!$B$6:$B$78,0),1),IF(E1212=5,INDEX(ref_exp_dist,MATCH(B1212,'Refined Petro Exp Dist'!$B$6:$B$78,0),MATCH(C1212,'Refined Petro Exp Dist'!$AD$2:$BC$2,0))*INDEX(ref_exp_by_year,MATCH(B1212,'Data Export'!$B$6:$B$78,0),1)))</f>
        <v>0</v>
      </c>
      <c r="E1212">
        <v>4</v>
      </c>
      <c r="F1212" t="s">
        <v>215</v>
      </c>
    </row>
    <row r="1213" spans="1:6">
      <c r="A1213" t="str">
        <f t="shared" si="18"/>
        <v>GenericE&amp;DtemplateCIandGOA</v>
      </c>
      <c r="B1213">
        <v>47</v>
      </c>
      <c r="C1213">
        <v>16</v>
      </c>
      <c r="D1213" s="649">
        <f ca="1">IF(E1213=4,INDEX(crude_exp_dist,MATCH(B1213,'Crude Exp Dist'!$B$6:$B$78,0),MATCH(C1213,'Crude Exp Dist'!$AD$2:$BC$2,0))*INDEX(crude_exp_by_year,MATCH(B1213,'Data Export'!$B$6:$B$78,0),1),IF(E1213=5,INDEX(ref_exp_dist,MATCH(B1213,'Refined Petro Exp Dist'!$B$6:$B$78,0),MATCH(C1213,'Refined Petro Exp Dist'!$AD$2:$BC$2,0))*INDEX(ref_exp_by_year,MATCH(B1213,'Data Export'!$B$6:$B$78,0),1)))</f>
        <v>0</v>
      </c>
      <c r="E1213">
        <v>4</v>
      </c>
      <c r="F1213" t="s">
        <v>219</v>
      </c>
    </row>
    <row r="1214" spans="1:6">
      <c r="A1214" t="str">
        <f t="shared" si="18"/>
        <v>GenericE&amp;DtemplateCIandGOA</v>
      </c>
      <c r="B1214">
        <v>47</v>
      </c>
      <c r="C1214">
        <v>17</v>
      </c>
      <c r="D1214" s="649">
        <f ca="1">IF(E1214=4,INDEX(crude_exp_dist,MATCH(B1214,'Crude Exp Dist'!$B$6:$B$78,0),MATCH(C1214,'Crude Exp Dist'!$AD$2:$BC$2,0))*INDEX(crude_exp_by_year,MATCH(B1214,'Data Export'!$B$6:$B$78,0),1),IF(E1214=5,INDEX(ref_exp_dist,MATCH(B1214,'Refined Petro Exp Dist'!$B$6:$B$78,0),MATCH(C1214,'Refined Petro Exp Dist'!$AD$2:$BC$2,0))*INDEX(ref_exp_by_year,MATCH(B1214,'Data Export'!$B$6:$B$78,0),1)))</f>
        <v>0</v>
      </c>
      <c r="E1214">
        <v>4</v>
      </c>
      <c r="F1214" t="s">
        <v>222</v>
      </c>
    </row>
    <row r="1215" spans="1:6">
      <c r="A1215" t="str">
        <f t="shared" si="18"/>
        <v>GenericE&amp;DtemplateCIandGOA</v>
      </c>
      <c r="B1215">
        <v>47</v>
      </c>
      <c r="C1215">
        <v>18</v>
      </c>
      <c r="D1215" s="649">
        <f ca="1">IF(E1215=4,INDEX(crude_exp_dist,MATCH(B1215,'Crude Exp Dist'!$B$6:$B$78,0),MATCH(C1215,'Crude Exp Dist'!$AD$2:$BC$2,0))*INDEX(crude_exp_by_year,MATCH(B1215,'Data Export'!$B$6:$B$78,0),1),IF(E1215=5,INDEX(ref_exp_dist,MATCH(B1215,'Refined Petro Exp Dist'!$B$6:$B$78,0),MATCH(C1215,'Refined Petro Exp Dist'!$AD$2:$BC$2,0))*INDEX(ref_exp_by_year,MATCH(B1215,'Data Export'!$B$6:$B$78,0),1)))</f>
        <v>0</v>
      </c>
      <c r="E1215">
        <v>4</v>
      </c>
      <c r="F1215" t="s">
        <v>224</v>
      </c>
    </row>
    <row r="1216" spans="1:6">
      <c r="A1216" t="str">
        <f t="shared" si="18"/>
        <v>GenericE&amp;DtemplateCIandGOA</v>
      </c>
      <c r="B1216">
        <v>47</v>
      </c>
      <c r="C1216">
        <v>19</v>
      </c>
      <c r="D1216" s="649">
        <f ca="1">IF(E1216=4,INDEX(crude_exp_dist,MATCH(B1216,'Crude Exp Dist'!$B$6:$B$78,0),MATCH(C1216,'Crude Exp Dist'!$AD$2:$BC$2,0))*INDEX(crude_exp_by_year,MATCH(B1216,'Data Export'!$B$6:$B$78,0),1),IF(E1216=5,INDEX(ref_exp_dist,MATCH(B1216,'Refined Petro Exp Dist'!$B$6:$B$78,0),MATCH(C1216,'Refined Petro Exp Dist'!$AD$2:$BC$2,0))*INDEX(ref_exp_by_year,MATCH(B1216,'Data Export'!$B$6:$B$78,0),1)))</f>
        <v>0</v>
      </c>
      <c r="E1216">
        <v>4</v>
      </c>
      <c r="F1216" t="s">
        <v>228</v>
      </c>
    </row>
    <row r="1217" spans="1:6">
      <c r="A1217" t="str">
        <f t="shared" si="18"/>
        <v>GenericE&amp;DtemplateCIandGOA</v>
      </c>
      <c r="B1217">
        <v>47</v>
      </c>
      <c r="C1217">
        <v>20</v>
      </c>
      <c r="D1217" s="649">
        <f ca="1">IF(E1217=4,INDEX(crude_exp_dist,MATCH(B1217,'Crude Exp Dist'!$B$6:$B$78,0),MATCH(C1217,'Crude Exp Dist'!$AD$2:$BC$2,0))*INDEX(crude_exp_by_year,MATCH(B1217,'Data Export'!$B$6:$B$78,0),1),IF(E1217=5,INDEX(ref_exp_dist,MATCH(B1217,'Refined Petro Exp Dist'!$B$6:$B$78,0),MATCH(C1217,'Refined Petro Exp Dist'!$AD$2:$BC$2,0))*INDEX(ref_exp_by_year,MATCH(B1217,'Data Export'!$B$6:$B$78,0),1)))</f>
        <v>0</v>
      </c>
      <c r="E1217">
        <v>4</v>
      </c>
      <c r="F1217" t="s">
        <v>231</v>
      </c>
    </row>
    <row r="1218" spans="1:6">
      <c r="A1218" t="str">
        <f t="shared" ref="A1218:A1281" si="19">scenario_name</f>
        <v>GenericE&amp;DtemplateCIandGOA</v>
      </c>
      <c r="B1218">
        <v>47</v>
      </c>
      <c r="C1218">
        <v>21</v>
      </c>
      <c r="D1218" s="649">
        <f ca="1">IF(E1218=4,INDEX(crude_exp_dist,MATCH(B1218,'Crude Exp Dist'!$B$6:$B$78,0),MATCH(C1218,'Crude Exp Dist'!$AD$2:$BC$2,0))*INDEX(crude_exp_by_year,MATCH(B1218,'Data Export'!$B$6:$B$78,0),1),IF(E1218=5,INDEX(ref_exp_dist,MATCH(B1218,'Refined Petro Exp Dist'!$B$6:$B$78,0),MATCH(C1218,'Refined Petro Exp Dist'!$AD$2:$BC$2,0))*INDEX(ref_exp_by_year,MATCH(B1218,'Data Export'!$B$6:$B$78,0),1)))</f>
        <v>0</v>
      </c>
      <c r="E1218">
        <v>4</v>
      </c>
      <c r="F1218" t="s">
        <v>232</v>
      </c>
    </row>
    <row r="1219" spans="1:6">
      <c r="A1219" t="str">
        <f t="shared" si="19"/>
        <v>GenericE&amp;DtemplateCIandGOA</v>
      </c>
      <c r="B1219">
        <v>47</v>
      </c>
      <c r="C1219">
        <v>22</v>
      </c>
      <c r="D1219" s="649">
        <f ca="1">IF(E1219=4,INDEX(crude_exp_dist,MATCH(B1219,'Crude Exp Dist'!$B$6:$B$78,0),MATCH(C1219,'Crude Exp Dist'!$AD$2:$BC$2,0))*INDEX(crude_exp_by_year,MATCH(B1219,'Data Export'!$B$6:$B$78,0),1),IF(E1219=5,INDEX(ref_exp_dist,MATCH(B1219,'Refined Petro Exp Dist'!$B$6:$B$78,0),MATCH(C1219,'Refined Petro Exp Dist'!$AD$2:$BC$2,0))*INDEX(ref_exp_by_year,MATCH(B1219,'Data Export'!$B$6:$B$78,0),1)))</f>
        <v>0</v>
      </c>
      <c r="E1219">
        <v>4</v>
      </c>
      <c r="F1219" t="s">
        <v>235</v>
      </c>
    </row>
    <row r="1220" spans="1:6">
      <c r="A1220" t="str">
        <f t="shared" si="19"/>
        <v>GenericE&amp;DtemplateCIandGOA</v>
      </c>
      <c r="B1220">
        <v>47</v>
      </c>
      <c r="C1220">
        <v>23</v>
      </c>
      <c r="D1220" s="649">
        <f ca="1">IF(E1220=4,INDEX(crude_exp_dist,MATCH(B1220,'Crude Exp Dist'!$B$6:$B$78,0),MATCH(C1220,'Crude Exp Dist'!$AD$2:$BC$2,0))*INDEX(crude_exp_by_year,MATCH(B1220,'Data Export'!$B$6:$B$78,0),1),IF(E1220=5,INDEX(ref_exp_dist,MATCH(B1220,'Refined Petro Exp Dist'!$B$6:$B$78,0),MATCH(C1220,'Refined Petro Exp Dist'!$AD$2:$BC$2,0))*INDEX(ref_exp_by_year,MATCH(B1220,'Data Export'!$B$6:$B$78,0),1)))</f>
        <v>0</v>
      </c>
      <c r="E1220">
        <v>4</v>
      </c>
      <c r="F1220" t="s">
        <v>237</v>
      </c>
    </row>
    <row r="1221" spans="1:6">
      <c r="A1221" t="str">
        <f t="shared" si="19"/>
        <v>GenericE&amp;DtemplateCIandGOA</v>
      </c>
      <c r="B1221">
        <v>47</v>
      </c>
      <c r="C1221">
        <v>24</v>
      </c>
      <c r="D1221" s="649">
        <f ca="1">IF(E1221=4,INDEX(crude_exp_dist,MATCH(B1221,'Crude Exp Dist'!$B$6:$B$78,0),MATCH(C1221,'Crude Exp Dist'!$AD$2:$BC$2,0))*INDEX(crude_exp_by_year,MATCH(B1221,'Data Export'!$B$6:$B$78,0),1),IF(E1221=5,INDEX(ref_exp_dist,MATCH(B1221,'Refined Petro Exp Dist'!$B$6:$B$78,0),MATCH(C1221,'Refined Petro Exp Dist'!$AD$2:$BC$2,0))*INDEX(ref_exp_by_year,MATCH(B1221,'Data Export'!$B$6:$B$78,0),1)))</f>
        <v>0</v>
      </c>
      <c r="E1221">
        <v>4</v>
      </c>
      <c r="F1221" t="s">
        <v>239</v>
      </c>
    </row>
    <row r="1222" spans="1:6">
      <c r="A1222" t="str">
        <f t="shared" si="19"/>
        <v>GenericE&amp;DtemplateCIandGOA</v>
      </c>
      <c r="B1222">
        <v>47</v>
      </c>
      <c r="C1222">
        <v>25</v>
      </c>
      <c r="D1222" s="649">
        <f ca="1">IF(E1222=4,INDEX(crude_exp_dist,MATCH(B1222,'Crude Exp Dist'!$B$6:$B$78,0),MATCH(C1222,'Crude Exp Dist'!$AD$2:$BC$2,0))*INDEX(crude_exp_by_year,MATCH(B1222,'Data Export'!$B$6:$B$78,0),1),IF(E1222=5,INDEX(ref_exp_dist,MATCH(B1222,'Refined Petro Exp Dist'!$B$6:$B$78,0),MATCH(C1222,'Refined Petro Exp Dist'!$AD$2:$BC$2,0))*INDEX(ref_exp_by_year,MATCH(B1222,'Data Export'!$B$6:$B$78,0),1)))</f>
        <v>0</v>
      </c>
      <c r="E1222">
        <v>4</v>
      </c>
      <c r="F1222" t="s">
        <v>242</v>
      </c>
    </row>
    <row r="1223" spans="1:6">
      <c r="A1223" t="str">
        <f t="shared" si="19"/>
        <v>GenericE&amp;DtemplateCIandGOA</v>
      </c>
      <c r="B1223">
        <v>47</v>
      </c>
      <c r="C1223">
        <v>26</v>
      </c>
      <c r="D1223" s="649">
        <f ca="1">IF(E1223=4,INDEX(crude_exp_dist,MATCH(B1223,'Crude Exp Dist'!$B$6:$B$78,0),MATCH(C1223,'Crude Exp Dist'!$AD$2:$BC$2,0))*INDEX(crude_exp_by_year,MATCH(B1223,'Data Export'!$B$6:$B$78,0),1),IF(E1223=5,INDEX(ref_exp_dist,MATCH(B1223,'Refined Petro Exp Dist'!$B$6:$B$78,0),MATCH(C1223,'Refined Petro Exp Dist'!$AD$2:$BC$2,0))*INDEX(ref_exp_by_year,MATCH(B1223,'Data Export'!$B$6:$B$78,0),1)))</f>
        <v>0</v>
      </c>
      <c r="E1223">
        <v>4</v>
      </c>
      <c r="F1223" t="s">
        <v>245</v>
      </c>
    </row>
    <row r="1224" spans="1:6">
      <c r="A1224" t="str">
        <f t="shared" si="19"/>
        <v>GenericE&amp;DtemplateCIandGOA</v>
      </c>
      <c r="B1224">
        <v>48</v>
      </c>
      <c r="C1224">
        <v>1</v>
      </c>
      <c r="D1224" s="649">
        <f ca="1">IF(E1224=4,INDEX(crude_exp_dist,MATCH(B1224,'Crude Exp Dist'!$B$6:$B$78,0),MATCH(C1224,'Crude Exp Dist'!$AD$2:$BC$2,0))*INDEX(crude_exp_by_year,MATCH(B1224,'Data Export'!$B$6:$B$78,0),1),IF(E1224=5,INDEX(ref_exp_dist,MATCH(B1224,'Refined Petro Exp Dist'!$B$6:$B$78,0),MATCH(C1224,'Refined Petro Exp Dist'!$AD$2:$BC$2,0))*INDEX(ref_exp_by_year,MATCH(B1224,'Data Export'!$B$6:$B$78,0),1)))</f>
        <v>0</v>
      </c>
      <c r="E1224">
        <v>4</v>
      </c>
      <c r="F1224" t="s">
        <v>158</v>
      </c>
    </row>
    <row r="1225" spans="1:6">
      <c r="A1225" t="str">
        <f t="shared" si="19"/>
        <v>GenericE&amp;DtemplateCIandGOA</v>
      </c>
      <c r="B1225">
        <v>48</v>
      </c>
      <c r="C1225">
        <v>2</v>
      </c>
      <c r="D1225" s="649">
        <f ca="1">IF(E1225=4,INDEX(crude_exp_dist,MATCH(B1225,'Crude Exp Dist'!$B$6:$B$78,0),MATCH(C1225,'Crude Exp Dist'!$AD$2:$BC$2,0))*INDEX(crude_exp_by_year,MATCH(B1225,'Data Export'!$B$6:$B$78,0),1),IF(E1225=5,INDEX(ref_exp_dist,MATCH(B1225,'Refined Petro Exp Dist'!$B$6:$B$78,0),MATCH(C1225,'Refined Petro Exp Dist'!$AD$2:$BC$2,0))*INDEX(ref_exp_by_year,MATCH(B1225,'Data Export'!$B$6:$B$78,0),1)))</f>
        <v>0</v>
      </c>
      <c r="E1225">
        <v>4</v>
      </c>
      <c r="F1225" t="s">
        <v>166</v>
      </c>
    </row>
    <row r="1226" spans="1:6">
      <c r="A1226" t="str">
        <f t="shared" si="19"/>
        <v>GenericE&amp;DtemplateCIandGOA</v>
      </c>
      <c r="B1226">
        <v>48</v>
      </c>
      <c r="C1226">
        <v>3</v>
      </c>
      <c r="D1226" s="649">
        <f ca="1">IF(E1226=4,INDEX(crude_exp_dist,MATCH(B1226,'Crude Exp Dist'!$B$6:$B$78,0),MATCH(C1226,'Crude Exp Dist'!$AD$2:$BC$2,0))*INDEX(crude_exp_by_year,MATCH(B1226,'Data Export'!$B$6:$B$78,0),1),IF(E1226=5,INDEX(ref_exp_dist,MATCH(B1226,'Refined Petro Exp Dist'!$B$6:$B$78,0),MATCH(C1226,'Refined Petro Exp Dist'!$AD$2:$BC$2,0))*INDEX(ref_exp_by_year,MATCH(B1226,'Data Export'!$B$6:$B$78,0),1)))</f>
        <v>0</v>
      </c>
      <c r="E1226">
        <v>4</v>
      </c>
      <c r="F1226" t="s">
        <v>171</v>
      </c>
    </row>
    <row r="1227" spans="1:6">
      <c r="A1227" t="str">
        <f t="shared" si="19"/>
        <v>GenericE&amp;DtemplateCIandGOA</v>
      </c>
      <c r="B1227">
        <v>48</v>
      </c>
      <c r="C1227">
        <v>4</v>
      </c>
      <c r="D1227" s="649">
        <f ca="1">IF(E1227=4,INDEX(crude_exp_dist,MATCH(B1227,'Crude Exp Dist'!$B$6:$B$78,0),MATCH(C1227,'Crude Exp Dist'!$AD$2:$BC$2,0))*INDEX(crude_exp_by_year,MATCH(B1227,'Data Export'!$B$6:$B$78,0),1),IF(E1227=5,INDEX(ref_exp_dist,MATCH(B1227,'Refined Petro Exp Dist'!$B$6:$B$78,0),MATCH(C1227,'Refined Petro Exp Dist'!$AD$2:$BC$2,0))*INDEX(ref_exp_by_year,MATCH(B1227,'Data Export'!$B$6:$B$78,0),1)))</f>
        <v>0</v>
      </c>
      <c r="E1227">
        <v>4</v>
      </c>
      <c r="F1227" t="s">
        <v>173</v>
      </c>
    </row>
    <row r="1228" spans="1:6">
      <c r="A1228" t="str">
        <f t="shared" si="19"/>
        <v>GenericE&amp;DtemplateCIandGOA</v>
      </c>
      <c r="B1228">
        <v>48</v>
      </c>
      <c r="C1228">
        <v>5</v>
      </c>
      <c r="D1228" s="649">
        <f ca="1">IF(E1228=4,INDEX(crude_exp_dist,MATCH(B1228,'Crude Exp Dist'!$B$6:$B$78,0),MATCH(C1228,'Crude Exp Dist'!$AD$2:$BC$2,0))*INDEX(crude_exp_by_year,MATCH(B1228,'Data Export'!$B$6:$B$78,0),1),IF(E1228=5,INDEX(ref_exp_dist,MATCH(B1228,'Refined Petro Exp Dist'!$B$6:$B$78,0),MATCH(C1228,'Refined Petro Exp Dist'!$AD$2:$BC$2,0))*INDEX(ref_exp_by_year,MATCH(B1228,'Data Export'!$B$6:$B$78,0),1)))</f>
        <v>0</v>
      </c>
      <c r="E1228">
        <v>4</v>
      </c>
      <c r="F1228" t="s">
        <v>180</v>
      </c>
    </row>
    <row r="1229" spans="1:6">
      <c r="A1229" t="str">
        <f t="shared" si="19"/>
        <v>GenericE&amp;DtemplateCIandGOA</v>
      </c>
      <c r="B1229">
        <v>48</v>
      </c>
      <c r="C1229">
        <v>6</v>
      </c>
      <c r="D1229" s="649">
        <f ca="1">IF(E1229=4,INDEX(crude_exp_dist,MATCH(B1229,'Crude Exp Dist'!$B$6:$B$78,0),MATCH(C1229,'Crude Exp Dist'!$AD$2:$BC$2,0))*INDEX(crude_exp_by_year,MATCH(B1229,'Data Export'!$B$6:$B$78,0),1),IF(E1229=5,INDEX(ref_exp_dist,MATCH(B1229,'Refined Petro Exp Dist'!$B$6:$B$78,0),MATCH(C1229,'Refined Petro Exp Dist'!$AD$2:$BC$2,0))*INDEX(ref_exp_by_year,MATCH(B1229,'Data Export'!$B$6:$B$78,0),1)))</f>
        <v>0</v>
      </c>
      <c r="E1229">
        <v>4</v>
      </c>
      <c r="F1229" t="s">
        <v>186</v>
      </c>
    </row>
    <row r="1230" spans="1:6">
      <c r="A1230" t="str">
        <f t="shared" si="19"/>
        <v>GenericE&amp;DtemplateCIandGOA</v>
      </c>
      <c r="B1230">
        <v>48</v>
      </c>
      <c r="C1230">
        <v>7</v>
      </c>
      <c r="D1230" s="649">
        <f ca="1">IF(E1230=4,INDEX(crude_exp_dist,MATCH(B1230,'Crude Exp Dist'!$B$6:$B$78,0),MATCH(C1230,'Crude Exp Dist'!$AD$2:$BC$2,0))*INDEX(crude_exp_by_year,MATCH(B1230,'Data Export'!$B$6:$B$78,0),1),IF(E1230=5,INDEX(ref_exp_dist,MATCH(B1230,'Refined Petro Exp Dist'!$B$6:$B$78,0),MATCH(C1230,'Refined Petro Exp Dist'!$AD$2:$BC$2,0))*INDEX(ref_exp_by_year,MATCH(B1230,'Data Export'!$B$6:$B$78,0),1)))</f>
        <v>0</v>
      </c>
      <c r="E1230">
        <v>4</v>
      </c>
      <c r="F1230" t="s">
        <v>191</v>
      </c>
    </row>
    <row r="1231" spans="1:6">
      <c r="A1231" t="str">
        <f t="shared" si="19"/>
        <v>GenericE&amp;DtemplateCIandGOA</v>
      </c>
      <c r="B1231">
        <v>48</v>
      </c>
      <c r="C1231">
        <v>8</v>
      </c>
      <c r="D1231" s="649">
        <f ca="1">IF(E1231=4,INDEX(crude_exp_dist,MATCH(B1231,'Crude Exp Dist'!$B$6:$B$78,0),MATCH(C1231,'Crude Exp Dist'!$AD$2:$BC$2,0))*INDEX(crude_exp_by_year,MATCH(B1231,'Data Export'!$B$6:$B$78,0),1),IF(E1231=5,INDEX(ref_exp_dist,MATCH(B1231,'Refined Petro Exp Dist'!$B$6:$B$78,0),MATCH(C1231,'Refined Petro Exp Dist'!$AD$2:$BC$2,0))*INDEX(ref_exp_by_year,MATCH(B1231,'Data Export'!$B$6:$B$78,0),1)))</f>
        <v>0</v>
      </c>
      <c r="E1231">
        <v>4</v>
      </c>
      <c r="F1231" t="s">
        <v>197</v>
      </c>
    </row>
    <row r="1232" spans="1:6">
      <c r="A1232" t="str">
        <f t="shared" si="19"/>
        <v>GenericE&amp;DtemplateCIandGOA</v>
      </c>
      <c r="B1232">
        <v>48</v>
      </c>
      <c r="C1232">
        <v>9</v>
      </c>
      <c r="D1232" s="649">
        <f ca="1">IF(E1232=4,INDEX(crude_exp_dist,MATCH(B1232,'Crude Exp Dist'!$B$6:$B$78,0),MATCH(C1232,'Crude Exp Dist'!$AD$2:$BC$2,0))*INDEX(crude_exp_by_year,MATCH(B1232,'Data Export'!$B$6:$B$78,0),1),IF(E1232=5,INDEX(ref_exp_dist,MATCH(B1232,'Refined Petro Exp Dist'!$B$6:$B$78,0),MATCH(C1232,'Refined Petro Exp Dist'!$AD$2:$BC$2,0))*INDEX(ref_exp_by_year,MATCH(B1232,'Data Export'!$B$6:$B$78,0),1)))</f>
        <v>0</v>
      </c>
      <c r="E1232">
        <v>4</v>
      </c>
      <c r="F1232" t="s">
        <v>199</v>
      </c>
    </row>
    <row r="1233" spans="1:6">
      <c r="A1233" t="str">
        <f t="shared" si="19"/>
        <v>GenericE&amp;DtemplateCIandGOA</v>
      </c>
      <c r="B1233">
        <v>48</v>
      </c>
      <c r="C1233">
        <v>10</v>
      </c>
      <c r="D1233" s="649">
        <f ca="1">IF(E1233=4,INDEX(crude_exp_dist,MATCH(B1233,'Crude Exp Dist'!$B$6:$B$78,0),MATCH(C1233,'Crude Exp Dist'!$AD$2:$BC$2,0))*INDEX(crude_exp_by_year,MATCH(B1233,'Data Export'!$B$6:$B$78,0),1),IF(E1233=5,INDEX(ref_exp_dist,MATCH(B1233,'Refined Petro Exp Dist'!$B$6:$B$78,0),MATCH(C1233,'Refined Petro Exp Dist'!$AD$2:$BC$2,0))*INDEX(ref_exp_by_year,MATCH(B1233,'Data Export'!$B$6:$B$78,0),1)))</f>
        <v>0</v>
      </c>
      <c r="E1233">
        <v>4</v>
      </c>
      <c r="F1233" t="s">
        <v>201</v>
      </c>
    </row>
    <row r="1234" spans="1:6">
      <c r="A1234" t="str">
        <f t="shared" si="19"/>
        <v>GenericE&amp;DtemplateCIandGOA</v>
      </c>
      <c r="B1234">
        <v>48</v>
      </c>
      <c r="C1234">
        <v>11</v>
      </c>
      <c r="D1234" s="649">
        <f ca="1">IF(E1234=4,INDEX(crude_exp_dist,MATCH(B1234,'Crude Exp Dist'!$B$6:$B$78,0),MATCH(C1234,'Crude Exp Dist'!$AD$2:$BC$2,0))*INDEX(crude_exp_by_year,MATCH(B1234,'Data Export'!$B$6:$B$78,0),1),IF(E1234=5,INDEX(ref_exp_dist,MATCH(B1234,'Refined Petro Exp Dist'!$B$6:$B$78,0),MATCH(C1234,'Refined Petro Exp Dist'!$AD$2:$BC$2,0))*INDEX(ref_exp_by_year,MATCH(B1234,'Data Export'!$B$6:$B$78,0),1)))</f>
        <v>0</v>
      </c>
      <c r="E1234">
        <v>4</v>
      </c>
      <c r="F1234" t="s">
        <v>921</v>
      </c>
    </row>
    <row r="1235" spans="1:6">
      <c r="A1235" t="str">
        <f t="shared" si="19"/>
        <v>GenericE&amp;DtemplateCIandGOA</v>
      </c>
      <c r="B1235">
        <v>48</v>
      </c>
      <c r="C1235">
        <v>12</v>
      </c>
      <c r="D1235" s="649">
        <f ca="1">IF(E1235=4,INDEX(crude_exp_dist,MATCH(B1235,'Crude Exp Dist'!$B$6:$B$78,0),MATCH(C1235,'Crude Exp Dist'!$AD$2:$BC$2,0))*INDEX(crude_exp_by_year,MATCH(B1235,'Data Export'!$B$6:$B$78,0),1),IF(E1235=5,INDEX(ref_exp_dist,MATCH(B1235,'Refined Petro Exp Dist'!$B$6:$B$78,0),MATCH(C1235,'Refined Petro Exp Dist'!$AD$2:$BC$2,0))*INDEX(ref_exp_by_year,MATCH(B1235,'Data Export'!$B$6:$B$78,0),1)))</f>
        <v>0</v>
      </c>
      <c r="E1235">
        <v>4</v>
      </c>
      <c r="F1235" t="s">
        <v>208</v>
      </c>
    </row>
    <row r="1236" spans="1:6">
      <c r="A1236" t="str">
        <f t="shared" si="19"/>
        <v>GenericE&amp;DtemplateCIandGOA</v>
      </c>
      <c r="B1236">
        <v>48</v>
      </c>
      <c r="C1236">
        <v>13</v>
      </c>
      <c r="D1236" s="649">
        <f ca="1">IF(E1236=4,INDEX(crude_exp_dist,MATCH(B1236,'Crude Exp Dist'!$B$6:$B$78,0),MATCH(C1236,'Crude Exp Dist'!$AD$2:$BC$2,0))*INDEX(crude_exp_by_year,MATCH(B1236,'Data Export'!$B$6:$B$78,0),1),IF(E1236=5,INDEX(ref_exp_dist,MATCH(B1236,'Refined Petro Exp Dist'!$B$6:$B$78,0),MATCH(C1236,'Refined Petro Exp Dist'!$AD$2:$BC$2,0))*INDEX(ref_exp_by_year,MATCH(B1236,'Data Export'!$B$6:$B$78,0),1)))</f>
        <v>0</v>
      </c>
      <c r="E1236">
        <v>4</v>
      </c>
      <c r="F1236" t="s">
        <v>211</v>
      </c>
    </row>
    <row r="1237" spans="1:6">
      <c r="A1237" t="str">
        <f t="shared" si="19"/>
        <v>GenericE&amp;DtemplateCIandGOA</v>
      </c>
      <c r="B1237">
        <v>48</v>
      </c>
      <c r="C1237">
        <v>14</v>
      </c>
      <c r="D1237" s="649">
        <f ca="1">IF(E1237=4,INDEX(crude_exp_dist,MATCH(B1237,'Crude Exp Dist'!$B$6:$B$78,0),MATCH(C1237,'Crude Exp Dist'!$AD$2:$BC$2,0))*INDEX(crude_exp_by_year,MATCH(B1237,'Data Export'!$B$6:$B$78,0),1),IF(E1237=5,INDEX(ref_exp_dist,MATCH(B1237,'Refined Petro Exp Dist'!$B$6:$B$78,0),MATCH(C1237,'Refined Petro Exp Dist'!$AD$2:$BC$2,0))*INDEX(ref_exp_by_year,MATCH(B1237,'Data Export'!$B$6:$B$78,0),1)))</f>
        <v>0</v>
      </c>
      <c r="E1237">
        <v>4</v>
      </c>
      <c r="F1237" t="s">
        <v>213</v>
      </c>
    </row>
    <row r="1238" spans="1:6">
      <c r="A1238" t="str">
        <f t="shared" si="19"/>
        <v>GenericE&amp;DtemplateCIandGOA</v>
      </c>
      <c r="B1238">
        <v>48</v>
      </c>
      <c r="C1238">
        <v>15</v>
      </c>
      <c r="D1238" s="649">
        <f ca="1">IF(E1238=4,INDEX(crude_exp_dist,MATCH(B1238,'Crude Exp Dist'!$B$6:$B$78,0),MATCH(C1238,'Crude Exp Dist'!$AD$2:$BC$2,0))*INDEX(crude_exp_by_year,MATCH(B1238,'Data Export'!$B$6:$B$78,0),1),IF(E1238=5,INDEX(ref_exp_dist,MATCH(B1238,'Refined Petro Exp Dist'!$B$6:$B$78,0),MATCH(C1238,'Refined Petro Exp Dist'!$AD$2:$BC$2,0))*INDEX(ref_exp_by_year,MATCH(B1238,'Data Export'!$B$6:$B$78,0),1)))</f>
        <v>0</v>
      </c>
      <c r="E1238">
        <v>4</v>
      </c>
      <c r="F1238" t="s">
        <v>215</v>
      </c>
    </row>
    <row r="1239" spans="1:6">
      <c r="A1239" t="str">
        <f t="shared" si="19"/>
        <v>GenericE&amp;DtemplateCIandGOA</v>
      </c>
      <c r="B1239">
        <v>48</v>
      </c>
      <c r="C1239">
        <v>16</v>
      </c>
      <c r="D1239" s="649">
        <f ca="1">IF(E1239=4,INDEX(crude_exp_dist,MATCH(B1239,'Crude Exp Dist'!$B$6:$B$78,0),MATCH(C1239,'Crude Exp Dist'!$AD$2:$BC$2,0))*INDEX(crude_exp_by_year,MATCH(B1239,'Data Export'!$B$6:$B$78,0),1),IF(E1239=5,INDEX(ref_exp_dist,MATCH(B1239,'Refined Petro Exp Dist'!$B$6:$B$78,0),MATCH(C1239,'Refined Petro Exp Dist'!$AD$2:$BC$2,0))*INDEX(ref_exp_by_year,MATCH(B1239,'Data Export'!$B$6:$B$78,0),1)))</f>
        <v>0</v>
      </c>
      <c r="E1239">
        <v>4</v>
      </c>
      <c r="F1239" t="s">
        <v>219</v>
      </c>
    </row>
    <row r="1240" spans="1:6">
      <c r="A1240" t="str">
        <f t="shared" si="19"/>
        <v>GenericE&amp;DtemplateCIandGOA</v>
      </c>
      <c r="B1240">
        <v>48</v>
      </c>
      <c r="C1240">
        <v>17</v>
      </c>
      <c r="D1240" s="649">
        <f ca="1">IF(E1240=4,INDEX(crude_exp_dist,MATCH(B1240,'Crude Exp Dist'!$B$6:$B$78,0),MATCH(C1240,'Crude Exp Dist'!$AD$2:$BC$2,0))*INDEX(crude_exp_by_year,MATCH(B1240,'Data Export'!$B$6:$B$78,0),1),IF(E1240=5,INDEX(ref_exp_dist,MATCH(B1240,'Refined Petro Exp Dist'!$B$6:$B$78,0),MATCH(C1240,'Refined Petro Exp Dist'!$AD$2:$BC$2,0))*INDEX(ref_exp_by_year,MATCH(B1240,'Data Export'!$B$6:$B$78,0),1)))</f>
        <v>0</v>
      </c>
      <c r="E1240">
        <v>4</v>
      </c>
      <c r="F1240" t="s">
        <v>222</v>
      </c>
    </row>
    <row r="1241" spans="1:6">
      <c r="A1241" t="str">
        <f t="shared" si="19"/>
        <v>GenericE&amp;DtemplateCIandGOA</v>
      </c>
      <c r="B1241">
        <v>48</v>
      </c>
      <c r="C1241">
        <v>18</v>
      </c>
      <c r="D1241" s="649">
        <f ca="1">IF(E1241=4,INDEX(crude_exp_dist,MATCH(B1241,'Crude Exp Dist'!$B$6:$B$78,0),MATCH(C1241,'Crude Exp Dist'!$AD$2:$BC$2,0))*INDEX(crude_exp_by_year,MATCH(B1241,'Data Export'!$B$6:$B$78,0),1),IF(E1241=5,INDEX(ref_exp_dist,MATCH(B1241,'Refined Petro Exp Dist'!$B$6:$B$78,0),MATCH(C1241,'Refined Petro Exp Dist'!$AD$2:$BC$2,0))*INDEX(ref_exp_by_year,MATCH(B1241,'Data Export'!$B$6:$B$78,0),1)))</f>
        <v>0</v>
      </c>
      <c r="E1241">
        <v>4</v>
      </c>
      <c r="F1241" t="s">
        <v>224</v>
      </c>
    </row>
    <row r="1242" spans="1:6">
      <c r="A1242" t="str">
        <f t="shared" si="19"/>
        <v>GenericE&amp;DtemplateCIandGOA</v>
      </c>
      <c r="B1242">
        <v>48</v>
      </c>
      <c r="C1242">
        <v>19</v>
      </c>
      <c r="D1242" s="649">
        <f ca="1">IF(E1242=4,INDEX(crude_exp_dist,MATCH(B1242,'Crude Exp Dist'!$B$6:$B$78,0),MATCH(C1242,'Crude Exp Dist'!$AD$2:$BC$2,0))*INDEX(crude_exp_by_year,MATCH(B1242,'Data Export'!$B$6:$B$78,0),1),IF(E1242=5,INDEX(ref_exp_dist,MATCH(B1242,'Refined Petro Exp Dist'!$B$6:$B$78,0),MATCH(C1242,'Refined Petro Exp Dist'!$AD$2:$BC$2,0))*INDEX(ref_exp_by_year,MATCH(B1242,'Data Export'!$B$6:$B$78,0),1)))</f>
        <v>0</v>
      </c>
      <c r="E1242">
        <v>4</v>
      </c>
      <c r="F1242" t="s">
        <v>228</v>
      </c>
    </row>
    <row r="1243" spans="1:6">
      <c r="A1243" t="str">
        <f t="shared" si="19"/>
        <v>GenericE&amp;DtemplateCIandGOA</v>
      </c>
      <c r="B1243">
        <v>48</v>
      </c>
      <c r="C1243">
        <v>20</v>
      </c>
      <c r="D1243" s="649">
        <f ca="1">IF(E1243=4,INDEX(crude_exp_dist,MATCH(B1243,'Crude Exp Dist'!$B$6:$B$78,0),MATCH(C1243,'Crude Exp Dist'!$AD$2:$BC$2,0))*INDEX(crude_exp_by_year,MATCH(B1243,'Data Export'!$B$6:$B$78,0),1),IF(E1243=5,INDEX(ref_exp_dist,MATCH(B1243,'Refined Petro Exp Dist'!$B$6:$B$78,0),MATCH(C1243,'Refined Petro Exp Dist'!$AD$2:$BC$2,0))*INDEX(ref_exp_by_year,MATCH(B1243,'Data Export'!$B$6:$B$78,0),1)))</f>
        <v>0</v>
      </c>
      <c r="E1243">
        <v>4</v>
      </c>
      <c r="F1243" t="s">
        <v>231</v>
      </c>
    </row>
    <row r="1244" spans="1:6">
      <c r="A1244" t="str">
        <f t="shared" si="19"/>
        <v>GenericE&amp;DtemplateCIandGOA</v>
      </c>
      <c r="B1244">
        <v>48</v>
      </c>
      <c r="C1244">
        <v>21</v>
      </c>
      <c r="D1244" s="649">
        <f ca="1">IF(E1244=4,INDEX(crude_exp_dist,MATCH(B1244,'Crude Exp Dist'!$B$6:$B$78,0),MATCH(C1244,'Crude Exp Dist'!$AD$2:$BC$2,0))*INDEX(crude_exp_by_year,MATCH(B1244,'Data Export'!$B$6:$B$78,0),1),IF(E1244=5,INDEX(ref_exp_dist,MATCH(B1244,'Refined Petro Exp Dist'!$B$6:$B$78,0),MATCH(C1244,'Refined Petro Exp Dist'!$AD$2:$BC$2,0))*INDEX(ref_exp_by_year,MATCH(B1244,'Data Export'!$B$6:$B$78,0),1)))</f>
        <v>0</v>
      </c>
      <c r="E1244">
        <v>4</v>
      </c>
      <c r="F1244" t="s">
        <v>232</v>
      </c>
    </row>
    <row r="1245" spans="1:6">
      <c r="A1245" t="str">
        <f t="shared" si="19"/>
        <v>GenericE&amp;DtemplateCIandGOA</v>
      </c>
      <c r="B1245">
        <v>48</v>
      </c>
      <c r="C1245">
        <v>22</v>
      </c>
      <c r="D1245" s="649">
        <f ca="1">IF(E1245=4,INDEX(crude_exp_dist,MATCH(B1245,'Crude Exp Dist'!$B$6:$B$78,0),MATCH(C1245,'Crude Exp Dist'!$AD$2:$BC$2,0))*INDEX(crude_exp_by_year,MATCH(B1245,'Data Export'!$B$6:$B$78,0),1),IF(E1245=5,INDEX(ref_exp_dist,MATCH(B1245,'Refined Petro Exp Dist'!$B$6:$B$78,0),MATCH(C1245,'Refined Petro Exp Dist'!$AD$2:$BC$2,0))*INDEX(ref_exp_by_year,MATCH(B1245,'Data Export'!$B$6:$B$78,0),1)))</f>
        <v>0</v>
      </c>
      <c r="E1245">
        <v>4</v>
      </c>
      <c r="F1245" t="s">
        <v>235</v>
      </c>
    </row>
    <row r="1246" spans="1:6">
      <c r="A1246" t="str">
        <f t="shared" si="19"/>
        <v>GenericE&amp;DtemplateCIandGOA</v>
      </c>
      <c r="B1246">
        <v>48</v>
      </c>
      <c r="C1246">
        <v>23</v>
      </c>
      <c r="D1246" s="649">
        <f ca="1">IF(E1246=4,INDEX(crude_exp_dist,MATCH(B1246,'Crude Exp Dist'!$B$6:$B$78,0),MATCH(C1246,'Crude Exp Dist'!$AD$2:$BC$2,0))*INDEX(crude_exp_by_year,MATCH(B1246,'Data Export'!$B$6:$B$78,0),1),IF(E1246=5,INDEX(ref_exp_dist,MATCH(B1246,'Refined Petro Exp Dist'!$B$6:$B$78,0),MATCH(C1246,'Refined Petro Exp Dist'!$AD$2:$BC$2,0))*INDEX(ref_exp_by_year,MATCH(B1246,'Data Export'!$B$6:$B$78,0),1)))</f>
        <v>0</v>
      </c>
      <c r="E1246">
        <v>4</v>
      </c>
      <c r="F1246" t="s">
        <v>237</v>
      </c>
    </row>
    <row r="1247" spans="1:6">
      <c r="A1247" t="str">
        <f t="shared" si="19"/>
        <v>GenericE&amp;DtemplateCIandGOA</v>
      </c>
      <c r="B1247">
        <v>48</v>
      </c>
      <c r="C1247">
        <v>24</v>
      </c>
      <c r="D1247" s="649">
        <f ca="1">IF(E1247=4,INDEX(crude_exp_dist,MATCH(B1247,'Crude Exp Dist'!$B$6:$B$78,0),MATCH(C1247,'Crude Exp Dist'!$AD$2:$BC$2,0))*INDEX(crude_exp_by_year,MATCH(B1247,'Data Export'!$B$6:$B$78,0),1),IF(E1247=5,INDEX(ref_exp_dist,MATCH(B1247,'Refined Petro Exp Dist'!$B$6:$B$78,0),MATCH(C1247,'Refined Petro Exp Dist'!$AD$2:$BC$2,0))*INDEX(ref_exp_by_year,MATCH(B1247,'Data Export'!$B$6:$B$78,0),1)))</f>
        <v>0</v>
      </c>
      <c r="E1247">
        <v>4</v>
      </c>
      <c r="F1247" t="s">
        <v>239</v>
      </c>
    </row>
    <row r="1248" spans="1:6">
      <c r="A1248" t="str">
        <f t="shared" si="19"/>
        <v>GenericE&amp;DtemplateCIandGOA</v>
      </c>
      <c r="B1248">
        <v>48</v>
      </c>
      <c r="C1248">
        <v>25</v>
      </c>
      <c r="D1248" s="649">
        <f ca="1">IF(E1248=4,INDEX(crude_exp_dist,MATCH(B1248,'Crude Exp Dist'!$B$6:$B$78,0),MATCH(C1248,'Crude Exp Dist'!$AD$2:$BC$2,0))*INDEX(crude_exp_by_year,MATCH(B1248,'Data Export'!$B$6:$B$78,0),1),IF(E1248=5,INDEX(ref_exp_dist,MATCH(B1248,'Refined Petro Exp Dist'!$B$6:$B$78,0),MATCH(C1248,'Refined Petro Exp Dist'!$AD$2:$BC$2,0))*INDEX(ref_exp_by_year,MATCH(B1248,'Data Export'!$B$6:$B$78,0),1)))</f>
        <v>0</v>
      </c>
      <c r="E1248">
        <v>4</v>
      </c>
      <c r="F1248" t="s">
        <v>242</v>
      </c>
    </row>
    <row r="1249" spans="1:6">
      <c r="A1249" t="str">
        <f t="shared" si="19"/>
        <v>GenericE&amp;DtemplateCIandGOA</v>
      </c>
      <c r="B1249">
        <v>48</v>
      </c>
      <c r="C1249">
        <v>26</v>
      </c>
      <c r="D1249" s="649">
        <f ca="1">IF(E1249=4,INDEX(crude_exp_dist,MATCH(B1249,'Crude Exp Dist'!$B$6:$B$78,0),MATCH(C1249,'Crude Exp Dist'!$AD$2:$BC$2,0))*INDEX(crude_exp_by_year,MATCH(B1249,'Data Export'!$B$6:$B$78,0),1),IF(E1249=5,INDEX(ref_exp_dist,MATCH(B1249,'Refined Petro Exp Dist'!$B$6:$B$78,0),MATCH(C1249,'Refined Petro Exp Dist'!$AD$2:$BC$2,0))*INDEX(ref_exp_by_year,MATCH(B1249,'Data Export'!$B$6:$B$78,0),1)))</f>
        <v>0</v>
      </c>
      <c r="E1249">
        <v>4</v>
      </c>
      <c r="F1249" t="s">
        <v>245</v>
      </c>
    </row>
    <row r="1250" spans="1:6">
      <c r="A1250" t="str">
        <f t="shared" si="19"/>
        <v>GenericE&amp;DtemplateCIandGOA</v>
      </c>
      <c r="B1250">
        <v>49</v>
      </c>
      <c r="C1250">
        <v>1</v>
      </c>
      <c r="D1250" s="649">
        <f ca="1">IF(E1250=4,INDEX(crude_exp_dist,MATCH(B1250,'Crude Exp Dist'!$B$6:$B$78,0),MATCH(C1250,'Crude Exp Dist'!$AD$2:$BC$2,0))*INDEX(crude_exp_by_year,MATCH(B1250,'Data Export'!$B$6:$B$78,0),1),IF(E1250=5,INDEX(ref_exp_dist,MATCH(B1250,'Refined Petro Exp Dist'!$B$6:$B$78,0),MATCH(C1250,'Refined Petro Exp Dist'!$AD$2:$BC$2,0))*INDEX(ref_exp_by_year,MATCH(B1250,'Data Export'!$B$6:$B$78,0),1)))</f>
        <v>0</v>
      </c>
      <c r="E1250">
        <v>4</v>
      </c>
      <c r="F1250" t="s">
        <v>158</v>
      </c>
    </row>
    <row r="1251" spans="1:6">
      <c r="A1251" t="str">
        <f t="shared" si="19"/>
        <v>GenericE&amp;DtemplateCIandGOA</v>
      </c>
      <c r="B1251">
        <v>49</v>
      </c>
      <c r="C1251">
        <v>2</v>
      </c>
      <c r="D1251" s="649">
        <f ca="1">IF(E1251=4,INDEX(crude_exp_dist,MATCH(B1251,'Crude Exp Dist'!$B$6:$B$78,0),MATCH(C1251,'Crude Exp Dist'!$AD$2:$BC$2,0))*INDEX(crude_exp_by_year,MATCH(B1251,'Data Export'!$B$6:$B$78,0),1),IF(E1251=5,INDEX(ref_exp_dist,MATCH(B1251,'Refined Petro Exp Dist'!$B$6:$B$78,0),MATCH(C1251,'Refined Petro Exp Dist'!$AD$2:$BC$2,0))*INDEX(ref_exp_by_year,MATCH(B1251,'Data Export'!$B$6:$B$78,0),1)))</f>
        <v>0</v>
      </c>
      <c r="E1251">
        <v>4</v>
      </c>
      <c r="F1251" t="s">
        <v>166</v>
      </c>
    </row>
    <row r="1252" spans="1:6">
      <c r="A1252" t="str">
        <f t="shared" si="19"/>
        <v>GenericE&amp;DtemplateCIandGOA</v>
      </c>
      <c r="B1252">
        <v>49</v>
      </c>
      <c r="C1252">
        <v>3</v>
      </c>
      <c r="D1252" s="649">
        <f ca="1">IF(E1252=4,INDEX(crude_exp_dist,MATCH(B1252,'Crude Exp Dist'!$B$6:$B$78,0),MATCH(C1252,'Crude Exp Dist'!$AD$2:$BC$2,0))*INDEX(crude_exp_by_year,MATCH(B1252,'Data Export'!$B$6:$B$78,0),1),IF(E1252=5,INDEX(ref_exp_dist,MATCH(B1252,'Refined Petro Exp Dist'!$B$6:$B$78,0),MATCH(C1252,'Refined Petro Exp Dist'!$AD$2:$BC$2,0))*INDEX(ref_exp_by_year,MATCH(B1252,'Data Export'!$B$6:$B$78,0),1)))</f>
        <v>0</v>
      </c>
      <c r="E1252">
        <v>4</v>
      </c>
      <c r="F1252" t="s">
        <v>171</v>
      </c>
    </row>
    <row r="1253" spans="1:6">
      <c r="A1253" t="str">
        <f t="shared" si="19"/>
        <v>GenericE&amp;DtemplateCIandGOA</v>
      </c>
      <c r="B1253">
        <v>49</v>
      </c>
      <c r="C1253">
        <v>4</v>
      </c>
      <c r="D1253" s="649">
        <f ca="1">IF(E1253=4,INDEX(crude_exp_dist,MATCH(B1253,'Crude Exp Dist'!$B$6:$B$78,0),MATCH(C1253,'Crude Exp Dist'!$AD$2:$BC$2,0))*INDEX(crude_exp_by_year,MATCH(B1253,'Data Export'!$B$6:$B$78,0),1),IF(E1253=5,INDEX(ref_exp_dist,MATCH(B1253,'Refined Petro Exp Dist'!$B$6:$B$78,0),MATCH(C1253,'Refined Petro Exp Dist'!$AD$2:$BC$2,0))*INDEX(ref_exp_by_year,MATCH(B1253,'Data Export'!$B$6:$B$78,0),1)))</f>
        <v>0</v>
      </c>
      <c r="E1253">
        <v>4</v>
      </c>
      <c r="F1253" t="s">
        <v>173</v>
      </c>
    </row>
    <row r="1254" spans="1:6">
      <c r="A1254" t="str">
        <f t="shared" si="19"/>
        <v>GenericE&amp;DtemplateCIandGOA</v>
      </c>
      <c r="B1254">
        <v>49</v>
      </c>
      <c r="C1254">
        <v>5</v>
      </c>
      <c r="D1254" s="649">
        <f ca="1">IF(E1254=4,INDEX(crude_exp_dist,MATCH(B1254,'Crude Exp Dist'!$B$6:$B$78,0),MATCH(C1254,'Crude Exp Dist'!$AD$2:$BC$2,0))*INDEX(crude_exp_by_year,MATCH(B1254,'Data Export'!$B$6:$B$78,0),1),IF(E1254=5,INDEX(ref_exp_dist,MATCH(B1254,'Refined Petro Exp Dist'!$B$6:$B$78,0),MATCH(C1254,'Refined Petro Exp Dist'!$AD$2:$BC$2,0))*INDEX(ref_exp_by_year,MATCH(B1254,'Data Export'!$B$6:$B$78,0),1)))</f>
        <v>0</v>
      </c>
      <c r="E1254">
        <v>4</v>
      </c>
      <c r="F1254" t="s">
        <v>180</v>
      </c>
    </row>
    <row r="1255" spans="1:6">
      <c r="A1255" t="str">
        <f t="shared" si="19"/>
        <v>GenericE&amp;DtemplateCIandGOA</v>
      </c>
      <c r="B1255">
        <v>49</v>
      </c>
      <c r="C1255">
        <v>6</v>
      </c>
      <c r="D1255" s="649">
        <f ca="1">IF(E1255=4,INDEX(crude_exp_dist,MATCH(B1255,'Crude Exp Dist'!$B$6:$B$78,0),MATCH(C1255,'Crude Exp Dist'!$AD$2:$BC$2,0))*INDEX(crude_exp_by_year,MATCH(B1255,'Data Export'!$B$6:$B$78,0),1),IF(E1255=5,INDEX(ref_exp_dist,MATCH(B1255,'Refined Petro Exp Dist'!$B$6:$B$78,0),MATCH(C1255,'Refined Petro Exp Dist'!$AD$2:$BC$2,0))*INDEX(ref_exp_by_year,MATCH(B1255,'Data Export'!$B$6:$B$78,0),1)))</f>
        <v>0</v>
      </c>
      <c r="E1255">
        <v>4</v>
      </c>
      <c r="F1255" t="s">
        <v>186</v>
      </c>
    </row>
    <row r="1256" spans="1:6">
      <c r="A1256" t="str">
        <f t="shared" si="19"/>
        <v>GenericE&amp;DtemplateCIandGOA</v>
      </c>
      <c r="B1256">
        <v>49</v>
      </c>
      <c r="C1256">
        <v>7</v>
      </c>
      <c r="D1256" s="649">
        <f ca="1">IF(E1256=4,INDEX(crude_exp_dist,MATCH(B1256,'Crude Exp Dist'!$B$6:$B$78,0),MATCH(C1256,'Crude Exp Dist'!$AD$2:$BC$2,0))*INDEX(crude_exp_by_year,MATCH(B1256,'Data Export'!$B$6:$B$78,0),1),IF(E1256=5,INDEX(ref_exp_dist,MATCH(B1256,'Refined Petro Exp Dist'!$B$6:$B$78,0),MATCH(C1256,'Refined Petro Exp Dist'!$AD$2:$BC$2,0))*INDEX(ref_exp_by_year,MATCH(B1256,'Data Export'!$B$6:$B$78,0),1)))</f>
        <v>0</v>
      </c>
      <c r="E1256">
        <v>4</v>
      </c>
      <c r="F1256" t="s">
        <v>191</v>
      </c>
    </row>
    <row r="1257" spans="1:6">
      <c r="A1257" t="str">
        <f t="shared" si="19"/>
        <v>GenericE&amp;DtemplateCIandGOA</v>
      </c>
      <c r="B1257">
        <v>49</v>
      </c>
      <c r="C1257">
        <v>8</v>
      </c>
      <c r="D1257" s="649">
        <f ca="1">IF(E1257=4,INDEX(crude_exp_dist,MATCH(B1257,'Crude Exp Dist'!$B$6:$B$78,0),MATCH(C1257,'Crude Exp Dist'!$AD$2:$BC$2,0))*INDEX(crude_exp_by_year,MATCH(B1257,'Data Export'!$B$6:$B$78,0),1),IF(E1257=5,INDEX(ref_exp_dist,MATCH(B1257,'Refined Petro Exp Dist'!$B$6:$B$78,0),MATCH(C1257,'Refined Petro Exp Dist'!$AD$2:$BC$2,0))*INDEX(ref_exp_by_year,MATCH(B1257,'Data Export'!$B$6:$B$78,0),1)))</f>
        <v>0</v>
      </c>
      <c r="E1257">
        <v>4</v>
      </c>
      <c r="F1257" t="s">
        <v>197</v>
      </c>
    </row>
    <row r="1258" spans="1:6">
      <c r="A1258" t="str">
        <f t="shared" si="19"/>
        <v>GenericE&amp;DtemplateCIandGOA</v>
      </c>
      <c r="B1258">
        <v>49</v>
      </c>
      <c r="C1258">
        <v>9</v>
      </c>
      <c r="D1258" s="649">
        <f ca="1">IF(E1258=4,INDEX(crude_exp_dist,MATCH(B1258,'Crude Exp Dist'!$B$6:$B$78,0),MATCH(C1258,'Crude Exp Dist'!$AD$2:$BC$2,0))*INDEX(crude_exp_by_year,MATCH(B1258,'Data Export'!$B$6:$B$78,0),1),IF(E1258=5,INDEX(ref_exp_dist,MATCH(B1258,'Refined Petro Exp Dist'!$B$6:$B$78,0),MATCH(C1258,'Refined Petro Exp Dist'!$AD$2:$BC$2,0))*INDEX(ref_exp_by_year,MATCH(B1258,'Data Export'!$B$6:$B$78,0),1)))</f>
        <v>0</v>
      </c>
      <c r="E1258">
        <v>4</v>
      </c>
      <c r="F1258" t="s">
        <v>199</v>
      </c>
    </row>
    <row r="1259" spans="1:6">
      <c r="A1259" t="str">
        <f t="shared" si="19"/>
        <v>GenericE&amp;DtemplateCIandGOA</v>
      </c>
      <c r="B1259">
        <v>49</v>
      </c>
      <c r="C1259">
        <v>10</v>
      </c>
      <c r="D1259" s="649">
        <f ca="1">IF(E1259=4,INDEX(crude_exp_dist,MATCH(B1259,'Crude Exp Dist'!$B$6:$B$78,0),MATCH(C1259,'Crude Exp Dist'!$AD$2:$BC$2,0))*INDEX(crude_exp_by_year,MATCH(B1259,'Data Export'!$B$6:$B$78,0),1),IF(E1259=5,INDEX(ref_exp_dist,MATCH(B1259,'Refined Petro Exp Dist'!$B$6:$B$78,0),MATCH(C1259,'Refined Petro Exp Dist'!$AD$2:$BC$2,0))*INDEX(ref_exp_by_year,MATCH(B1259,'Data Export'!$B$6:$B$78,0),1)))</f>
        <v>0</v>
      </c>
      <c r="E1259">
        <v>4</v>
      </c>
      <c r="F1259" t="s">
        <v>201</v>
      </c>
    </row>
    <row r="1260" spans="1:6">
      <c r="A1260" t="str">
        <f t="shared" si="19"/>
        <v>GenericE&amp;DtemplateCIandGOA</v>
      </c>
      <c r="B1260">
        <v>49</v>
      </c>
      <c r="C1260">
        <v>11</v>
      </c>
      <c r="D1260" s="649">
        <f ca="1">IF(E1260=4,INDEX(crude_exp_dist,MATCH(B1260,'Crude Exp Dist'!$B$6:$B$78,0),MATCH(C1260,'Crude Exp Dist'!$AD$2:$BC$2,0))*INDEX(crude_exp_by_year,MATCH(B1260,'Data Export'!$B$6:$B$78,0),1),IF(E1260=5,INDEX(ref_exp_dist,MATCH(B1260,'Refined Petro Exp Dist'!$B$6:$B$78,0),MATCH(C1260,'Refined Petro Exp Dist'!$AD$2:$BC$2,0))*INDEX(ref_exp_by_year,MATCH(B1260,'Data Export'!$B$6:$B$78,0),1)))</f>
        <v>0</v>
      </c>
      <c r="E1260">
        <v>4</v>
      </c>
      <c r="F1260" t="s">
        <v>921</v>
      </c>
    </row>
    <row r="1261" spans="1:6">
      <c r="A1261" t="str">
        <f t="shared" si="19"/>
        <v>GenericE&amp;DtemplateCIandGOA</v>
      </c>
      <c r="B1261">
        <v>49</v>
      </c>
      <c r="C1261">
        <v>12</v>
      </c>
      <c r="D1261" s="649">
        <f ca="1">IF(E1261=4,INDEX(crude_exp_dist,MATCH(B1261,'Crude Exp Dist'!$B$6:$B$78,0),MATCH(C1261,'Crude Exp Dist'!$AD$2:$BC$2,0))*INDEX(crude_exp_by_year,MATCH(B1261,'Data Export'!$B$6:$B$78,0),1),IF(E1261=5,INDEX(ref_exp_dist,MATCH(B1261,'Refined Petro Exp Dist'!$B$6:$B$78,0),MATCH(C1261,'Refined Petro Exp Dist'!$AD$2:$BC$2,0))*INDEX(ref_exp_by_year,MATCH(B1261,'Data Export'!$B$6:$B$78,0),1)))</f>
        <v>0</v>
      </c>
      <c r="E1261">
        <v>4</v>
      </c>
      <c r="F1261" t="s">
        <v>208</v>
      </c>
    </row>
    <row r="1262" spans="1:6">
      <c r="A1262" t="str">
        <f t="shared" si="19"/>
        <v>GenericE&amp;DtemplateCIandGOA</v>
      </c>
      <c r="B1262">
        <v>49</v>
      </c>
      <c r="C1262">
        <v>13</v>
      </c>
      <c r="D1262" s="649">
        <f ca="1">IF(E1262=4,INDEX(crude_exp_dist,MATCH(B1262,'Crude Exp Dist'!$B$6:$B$78,0),MATCH(C1262,'Crude Exp Dist'!$AD$2:$BC$2,0))*INDEX(crude_exp_by_year,MATCH(B1262,'Data Export'!$B$6:$B$78,0),1),IF(E1262=5,INDEX(ref_exp_dist,MATCH(B1262,'Refined Petro Exp Dist'!$B$6:$B$78,0),MATCH(C1262,'Refined Petro Exp Dist'!$AD$2:$BC$2,0))*INDEX(ref_exp_by_year,MATCH(B1262,'Data Export'!$B$6:$B$78,0),1)))</f>
        <v>0</v>
      </c>
      <c r="E1262">
        <v>4</v>
      </c>
      <c r="F1262" t="s">
        <v>211</v>
      </c>
    </row>
    <row r="1263" spans="1:6">
      <c r="A1263" t="str">
        <f t="shared" si="19"/>
        <v>GenericE&amp;DtemplateCIandGOA</v>
      </c>
      <c r="B1263">
        <v>49</v>
      </c>
      <c r="C1263">
        <v>14</v>
      </c>
      <c r="D1263" s="649">
        <f ca="1">IF(E1263=4,INDEX(crude_exp_dist,MATCH(B1263,'Crude Exp Dist'!$B$6:$B$78,0),MATCH(C1263,'Crude Exp Dist'!$AD$2:$BC$2,0))*INDEX(crude_exp_by_year,MATCH(B1263,'Data Export'!$B$6:$B$78,0),1),IF(E1263=5,INDEX(ref_exp_dist,MATCH(B1263,'Refined Petro Exp Dist'!$B$6:$B$78,0),MATCH(C1263,'Refined Petro Exp Dist'!$AD$2:$BC$2,0))*INDEX(ref_exp_by_year,MATCH(B1263,'Data Export'!$B$6:$B$78,0),1)))</f>
        <v>0</v>
      </c>
      <c r="E1263">
        <v>4</v>
      </c>
      <c r="F1263" t="s">
        <v>213</v>
      </c>
    </row>
    <row r="1264" spans="1:6">
      <c r="A1264" t="str">
        <f t="shared" si="19"/>
        <v>GenericE&amp;DtemplateCIandGOA</v>
      </c>
      <c r="B1264">
        <v>49</v>
      </c>
      <c r="C1264">
        <v>15</v>
      </c>
      <c r="D1264" s="649">
        <f ca="1">IF(E1264=4,INDEX(crude_exp_dist,MATCH(B1264,'Crude Exp Dist'!$B$6:$B$78,0),MATCH(C1264,'Crude Exp Dist'!$AD$2:$BC$2,0))*INDEX(crude_exp_by_year,MATCH(B1264,'Data Export'!$B$6:$B$78,0),1),IF(E1264=5,INDEX(ref_exp_dist,MATCH(B1264,'Refined Petro Exp Dist'!$B$6:$B$78,0),MATCH(C1264,'Refined Petro Exp Dist'!$AD$2:$BC$2,0))*INDEX(ref_exp_by_year,MATCH(B1264,'Data Export'!$B$6:$B$78,0),1)))</f>
        <v>0</v>
      </c>
      <c r="E1264">
        <v>4</v>
      </c>
      <c r="F1264" t="s">
        <v>215</v>
      </c>
    </row>
    <row r="1265" spans="1:6">
      <c r="A1265" t="str">
        <f t="shared" si="19"/>
        <v>GenericE&amp;DtemplateCIandGOA</v>
      </c>
      <c r="B1265">
        <v>49</v>
      </c>
      <c r="C1265">
        <v>16</v>
      </c>
      <c r="D1265" s="649">
        <f ca="1">IF(E1265=4,INDEX(crude_exp_dist,MATCH(B1265,'Crude Exp Dist'!$B$6:$B$78,0),MATCH(C1265,'Crude Exp Dist'!$AD$2:$BC$2,0))*INDEX(crude_exp_by_year,MATCH(B1265,'Data Export'!$B$6:$B$78,0),1),IF(E1265=5,INDEX(ref_exp_dist,MATCH(B1265,'Refined Petro Exp Dist'!$B$6:$B$78,0),MATCH(C1265,'Refined Petro Exp Dist'!$AD$2:$BC$2,0))*INDEX(ref_exp_by_year,MATCH(B1265,'Data Export'!$B$6:$B$78,0),1)))</f>
        <v>0</v>
      </c>
      <c r="E1265">
        <v>4</v>
      </c>
      <c r="F1265" t="s">
        <v>219</v>
      </c>
    </row>
    <row r="1266" spans="1:6">
      <c r="A1266" t="str">
        <f t="shared" si="19"/>
        <v>GenericE&amp;DtemplateCIandGOA</v>
      </c>
      <c r="B1266">
        <v>49</v>
      </c>
      <c r="C1266">
        <v>17</v>
      </c>
      <c r="D1266" s="649">
        <f ca="1">IF(E1266=4,INDEX(crude_exp_dist,MATCH(B1266,'Crude Exp Dist'!$B$6:$B$78,0),MATCH(C1266,'Crude Exp Dist'!$AD$2:$BC$2,0))*INDEX(crude_exp_by_year,MATCH(B1266,'Data Export'!$B$6:$B$78,0),1),IF(E1266=5,INDEX(ref_exp_dist,MATCH(B1266,'Refined Petro Exp Dist'!$B$6:$B$78,0),MATCH(C1266,'Refined Petro Exp Dist'!$AD$2:$BC$2,0))*INDEX(ref_exp_by_year,MATCH(B1266,'Data Export'!$B$6:$B$78,0),1)))</f>
        <v>0</v>
      </c>
      <c r="E1266">
        <v>4</v>
      </c>
      <c r="F1266" t="s">
        <v>222</v>
      </c>
    </row>
    <row r="1267" spans="1:6">
      <c r="A1267" t="str">
        <f t="shared" si="19"/>
        <v>GenericE&amp;DtemplateCIandGOA</v>
      </c>
      <c r="B1267">
        <v>49</v>
      </c>
      <c r="C1267">
        <v>18</v>
      </c>
      <c r="D1267" s="649">
        <f ca="1">IF(E1267=4,INDEX(crude_exp_dist,MATCH(B1267,'Crude Exp Dist'!$B$6:$B$78,0),MATCH(C1267,'Crude Exp Dist'!$AD$2:$BC$2,0))*INDEX(crude_exp_by_year,MATCH(B1267,'Data Export'!$B$6:$B$78,0),1),IF(E1267=5,INDEX(ref_exp_dist,MATCH(B1267,'Refined Petro Exp Dist'!$B$6:$B$78,0),MATCH(C1267,'Refined Petro Exp Dist'!$AD$2:$BC$2,0))*INDEX(ref_exp_by_year,MATCH(B1267,'Data Export'!$B$6:$B$78,0),1)))</f>
        <v>0</v>
      </c>
      <c r="E1267">
        <v>4</v>
      </c>
      <c r="F1267" t="s">
        <v>224</v>
      </c>
    </row>
    <row r="1268" spans="1:6">
      <c r="A1268" t="str">
        <f t="shared" si="19"/>
        <v>GenericE&amp;DtemplateCIandGOA</v>
      </c>
      <c r="B1268">
        <v>49</v>
      </c>
      <c r="C1268">
        <v>19</v>
      </c>
      <c r="D1268" s="649">
        <f ca="1">IF(E1268=4,INDEX(crude_exp_dist,MATCH(B1268,'Crude Exp Dist'!$B$6:$B$78,0),MATCH(C1268,'Crude Exp Dist'!$AD$2:$BC$2,0))*INDEX(crude_exp_by_year,MATCH(B1268,'Data Export'!$B$6:$B$78,0),1),IF(E1268=5,INDEX(ref_exp_dist,MATCH(B1268,'Refined Petro Exp Dist'!$B$6:$B$78,0),MATCH(C1268,'Refined Petro Exp Dist'!$AD$2:$BC$2,0))*INDEX(ref_exp_by_year,MATCH(B1268,'Data Export'!$B$6:$B$78,0),1)))</f>
        <v>0</v>
      </c>
      <c r="E1268">
        <v>4</v>
      </c>
      <c r="F1268" t="s">
        <v>228</v>
      </c>
    </row>
    <row r="1269" spans="1:6">
      <c r="A1269" t="str">
        <f t="shared" si="19"/>
        <v>GenericE&amp;DtemplateCIandGOA</v>
      </c>
      <c r="B1269">
        <v>49</v>
      </c>
      <c r="C1269">
        <v>20</v>
      </c>
      <c r="D1269" s="649">
        <f ca="1">IF(E1269=4,INDEX(crude_exp_dist,MATCH(B1269,'Crude Exp Dist'!$B$6:$B$78,0),MATCH(C1269,'Crude Exp Dist'!$AD$2:$BC$2,0))*INDEX(crude_exp_by_year,MATCH(B1269,'Data Export'!$B$6:$B$78,0),1),IF(E1269=5,INDEX(ref_exp_dist,MATCH(B1269,'Refined Petro Exp Dist'!$B$6:$B$78,0),MATCH(C1269,'Refined Petro Exp Dist'!$AD$2:$BC$2,0))*INDEX(ref_exp_by_year,MATCH(B1269,'Data Export'!$B$6:$B$78,0),1)))</f>
        <v>0</v>
      </c>
      <c r="E1269">
        <v>4</v>
      </c>
      <c r="F1269" t="s">
        <v>231</v>
      </c>
    </row>
    <row r="1270" spans="1:6">
      <c r="A1270" t="str">
        <f t="shared" si="19"/>
        <v>GenericE&amp;DtemplateCIandGOA</v>
      </c>
      <c r="B1270">
        <v>49</v>
      </c>
      <c r="C1270">
        <v>21</v>
      </c>
      <c r="D1270" s="649">
        <f ca="1">IF(E1270=4,INDEX(crude_exp_dist,MATCH(B1270,'Crude Exp Dist'!$B$6:$B$78,0),MATCH(C1270,'Crude Exp Dist'!$AD$2:$BC$2,0))*INDEX(crude_exp_by_year,MATCH(B1270,'Data Export'!$B$6:$B$78,0),1),IF(E1270=5,INDEX(ref_exp_dist,MATCH(B1270,'Refined Petro Exp Dist'!$B$6:$B$78,0),MATCH(C1270,'Refined Petro Exp Dist'!$AD$2:$BC$2,0))*INDEX(ref_exp_by_year,MATCH(B1270,'Data Export'!$B$6:$B$78,0),1)))</f>
        <v>0</v>
      </c>
      <c r="E1270">
        <v>4</v>
      </c>
      <c r="F1270" t="s">
        <v>232</v>
      </c>
    </row>
    <row r="1271" spans="1:6">
      <c r="A1271" t="str">
        <f t="shared" si="19"/>
        <v>GenericE&amp;DtemplateCIandGOA</v>
      </c>
      <c r="B1271">
        <v>49</v>
      </c>
      <c r="C1271">
        <v>22</v>
      </c>
      <c r="D1271" s="649">
        <f ca="1">IF(E1271=4,INDEX(crude_exp_dist,MATCH(B1271,'Crude Exp Dist'!$B$6:$B$78,0),MATCH(C1271,'Crude Exp Dist'!$AD$2:$BC$2,0))*INDEX(crude_exp_by_year,MATCH(B1271,'Data Export'!$B$6:$B$78,0),1),IF(E1271=5,INDEX(ref_exp_dist,MATCH(B1271,'Refined Petro Exp Dist'!$B$6:$B$78,0),MATCH(C1271,'Refined Petro Exp Dist'!$AD$2:$BC$2,0))*INDEX(ref_exp_by_year,MATCH(B1271,'Data Export'!$B$6:$B$78,0),1)))</f>
        <v>0</v>
      </c>
      <c r="E1271">
        <v>4</v>
      </c>
      <c r="F1271" t="s">
        <v>235</v>
      </c>
    </row>
    <row r="1272" spans="1:6">
      <c r="A1272" t="str">
        <f t="shared" si="19"/>
        <v>GenericE&amp;DtemplateCIandGOA</v>
      </c>
      <c r="B1272">
        <v>49</v>
      </c>
      <c r="C1272">
        <v>23</v>
      </c>
      <c r="D1272" s="649">
        <f ca="1">IF(E1272=4,INDEX(crude_exp_dist,MATCH(B1272,'Crude Exp Dist'!$B$6:$B$78,0),MATCH(C1272,'Crude Exp Dist'!$AD$2:$BC$2,0))*INDEX(crude_exp_by_year,MATCH(B1272,'Data Export'!$B$6:$B$78,0),1),IF(E1272=5,INDEX(ref_exp_dist,MATCH(B1272,'Refined Petro Exp Dist'!$B$6:$B$78,0),MATCH(C1272,'Refined Petro Exp Dist'!$AD$2:$BC$2,0))*INDEX(ref_exp_by_year,MATCH(B1272,'Data Export'!$B$6:$B$78,0),1)))</f>
        <v>0</v>
      </c>
      <c r="E1272">
        <v>4</v>
      </c>
      <c r="F1272" t="s">
        <v>237</v>
      </c>
    </row>
    <row r="1273" spans="1:6">
      <c r="A1273" t="str">
        <f t="shared" si="19"/>
        <v>GenericE&amp;DtemplateCIandGOA</v>
      </c>
      <c r="B1273">
        <v>49</v>
      </c>
      <c r="C1273">
        <v>24</v>
      </c>
      <c r="D1273" s="649">
        <f ca="1">IF(E1273=4,INDEX(crude_exp_dist,MATCH(B1273,'Crude Exp Dist'!$B$6:$B$78,0),MATCH(C1273,'Crude Exp Dist'!$AD$2:$BC$2,0))*INDEX(crude_exp_by_year,MATCH(B1273,'Data Export'!$B$6:$B$78,0),1),IF(E1273=5,INDEX(ref_exp_dist,MATCH(B1273,'Refined Petro Exp Dist'!$B$6:$B$78,0),MATCH(C1273,'Refined Petro Exp Dist'!$AD$2:$BC$2,0))*INDEX(ref_exp_by_year,MATCH(B1273,'Data Export'!$B$6:$B$78,0),1)))</f>
        <v>0</v>
      </c>
      <c r="E1273">
        <v>4</v>
      </c>
      <c r="F1273" t="s">
        <v>239</v>
      </c>
    </row>
    <row r="1274" spans="1:6">
      <c r="A1274" t="str">
        <f t="shared" si="19"/>
        <v>GenericE&amp;DtemplateCIandGOA</v>
      </c>
      <c r="B1274">
        <v>49</v>
      </c>
      <c r="C1274">
        <v>25</v>
      </c>
      <c r="D1274" s="649">
        <f ca="1">IF(E1274=4,INDEX(crude_exp_dist,MATCH(B1274,'Crude Exp Dist'!$B$6:$B$78,0),MATCH(C1274,'Crude Exp Dist'!$AD$2:$BC$2,0))*INDEX(crude_exp_by_year,MATCH(B1274,'Data Export'!$B$6:$B$78,0),1),IF(E1274=5,INDEX(ref_exp_dist,MATCH(B1274,'Refined Petro Exp Dist'!$B$6:$B$78,0),MATCH(C1274,'Refined Petro Exp Dist'!$AD$2:$BC$2,0))*INDEX(ref_exp_by_year,MATCH(B1274,'Data Export'!$B$6:$B$78,0),1)))</f>
        <v>0</v>
      </c>
      <c r="E1274">
        <v>4</v>
      </c>
      <c r="F1274" t="s">
        <v>242</v>
      </c>
    </row>
    <row r="1275" spans="1:6">
      <c r="A1275" t="str">
        <f t="shared" si="19"/>
        <v>GenericE&amp;DtemplateCIandGOA</v>
      </c>
      <c r="B1275">
        <v>49</v>
      </c>
      <c r="C1275">
        <v>26</v>
      </c>
      <c r="D1275" s="649">
        <f ca="1">IF(E1275=4,INDEX(crude_exp_dist,MATCH(B1275,'Crude Exp Dist'!$B$6:$B$78,0),MATCH(C1275,'Crude Exp Dist'!$AD$2:$BC$2,0))*INDEX(crude_exp_by_year,MATCH(B1275,'Data Export'!$B$6:$B$78,0),1),IF(E1275=5,INDEX(ref_exp_dist,MATCH(B1275,'Refined Petro Exp Dist'!$B$6:$B$78,0),MATCH(C1275,'Refined Petro Exp Dist'!$AD$2:$BC$2,0))*INDEX(ref_exp_by_year,MATCH(B1275,'Data Export'!$B$6:$B$78,0),1)))</f>
        <v>0</v>
      </c>
      <c r="E1275">
        <v>4</v>
      </c>
      <c r="F1275" t="s">
        <v>245</v>
      </c>
    </row>
    <row r="1276" spans="1:6">
      <c r="A1276" t="str">
        <f t="shared" si="19"/>
        <v>GenericE&amp;DtemplateCIandGOA</v>
      </c>
      <c r="B1276">
        <v>50</v>
      </c>
      <c r="C1276">
        <v>1</v>
      </c>
      <c r="D1276" s="649">
        <f ca="1">IF(E1276=4,INDEX(crude_exp_dist,MATCH(B1276,'Crude Exp Dist'!$B$6:$B$78,0),MATCH(C1276,'Crude Exp Dist'!$AD$2:$BC$2,0))*INDEX(crude_exp_by_year,MATCH(B1276,'Data Export'!$B$6:$B$78,0),1),IF(E1276=5,INDEX(ref_exp_dist,MATCH(B1276,'Refined Petro Exp Dist'!$B$6:$B$78,0),MATCH(C1276,'Refined Petro Exp Dist'!$AD$2:$BC$2,0))*INDEX(ref_exp_by_year,MATCH(B1276,'Data Export'!$B$6:$B$78,0),1)))</f>
        <v>0</v>
      </c>
      <c r="E1276">
        <v>4</v>
      </c>
      <c r="F1276" t="s">
        <v>158</v>
      </c>
    </row>
    <row r="1277" spans="1:6">
      <c r="A1277" t="str">
        <f t="shared" si="19"/>
        <v>GenericE&amp;DtemplateCIandGOA</v>
      </c>
      <c r="B1277">
        <v>50</v>
      </c>
      <c r="C1277">
        <v>2</v>
      </c>
      <c r="D1277" s="649">
        <f ca="1">IF(E1277=4,INDEX(crude_exp_dist,MATCH(B1277,'Crude Exp Dist'!$B$6:$B$78,0),MATCH(C1277,'Crude Exp Dist'!$AD$2:$BC$2,0))*INDEX(crude_exp_by_year,MATCH(B1277,'Data Export'!$B$6:$B$78,0),1),IF(E1277=5,INDEX(ref_exp_dist,MATCH(B1277,'Refined Petro Exp Dist'!$B$6:$B$78,0),MATCH(C1277,'Refined Petro Exp Dist'!$AD$2:$BC$2,0))*INDEX(ref_exp_by_year,MATCH(B1277,'Data Export'!$B$6:$B$78,0),1)))</f>
        <v>0</v>
      </c>
      <c r="E1277">
        <v>4</v>
      </c>
      <c r="F1277" t="s">
        <v>166</v>
      </c>
    </row>
    <row r="1278" spans="1:6">
      <c r="A1278" t="str">
        <f t="shared" si="19"/>
        <v>GenericE&amp;DtemplateCIandGOA</v>
      </c>
      <c r="B1278">
        <v>50</v>
      </c>
      <c r="C1278">
        <v>3</v>
      </c>
      <c r="D1278" s="649">
        <f ca="1">IF(E1278=4,INDEX(crude_exp_dist,MATCH(B1278,'Crude Exp Dist'!$B$6:$B$78,0),MATCH(C1278,'Crude Exp Dist'!$AD$2:$BC$2,0))*INDEX(crude_exp_by_year,MATCH(B1278,'Data Export'!$B$6:$B$78,0),1),IF(E1278=5,INDEX(ref_exp_dist,MATCH(B1278,'Refined Petro Exp Dist'!$B$6:$B$78,0),MATCH(C1278,'Refined Petro Exp Dist'!$AD$2:$BC$2,0))*INDEX(ref_exp_by_year,MATCH(B1278,'Data Export'!$B$6:$B$78,0),1)))</f>
        <v>0</v>
      </c>
      <c r="E1278">
        <v>4</v>
      </c>
      <c r="F1278" t="s">
        <v>171</v>
      </c>
    </row>
    <row r="1279" spans="1:6">
      <c r="A1279" t="str">
        <f t="shared" si="19"/>
        <v>GenericE&amp;DtemplateCIandGOA</v>
      </c>
      <c r="B1279">
        <v>50</v>
      </c>
      <c r="C1279">
        <v>4</v>
      </c>
      <c r="D1279" s="649">
        <f ca="1">IF(E1279=4,INDEX(crude_exp_dist,MATCH(B1279,'Crude Exp Dist'!$B$6:$B$78,0),MATCH(C1279,'Crude Exp Dist'!$AD$2:$BC$2,0))*INDEX(crude_exp_by_year,MATCH(B1279,'Data Export'!$B$6:$B$78,0),1),IF(E1279=5,INDEX(ref_exp_dist,MATCH(B1279,'Refined Petro Exp Dist'!$B$6:$B$78,0),MATCH(C1279,'Refined Petro Exp Dist'!$AD$2:$BC$2,0))*INDEX(ref_exp_by_year,MATCH(B1279,'Data Export'!$B$6:$B$78,0),1)))</f>
        <v>0</v>
      </c>
      <c r="E1279">
        <v>4</v>
      </c>
      <c r="F1279" t="s">
        <v>173</v>
      </c>
    </row>
    <row r="1280" spans="1:6">
      <c r="A1280" t="str">
        <f t="shared" si="19"/>
        <v>GenericE&amp;DtemplateCIandGOA</v>
      </c>
      <c r="B1280">
        <v>50</v>
      </c>
      <c r="C1280">
        <v>5</v>
      </c>
      <c r="D1280" s="649">
        <f ca="1">IF(E1280=4,INDEX(crude_exp_dist,MATCH(B1280,'Crude Exp Dist'!$B$6:$B$78,0),MATCH(C1280,'Crude Exp Dist'!$AD$2:$BC$2,0))*INDEX(crude_exp_by_year,MATCH(B1280,'Data Export'!$B$6:$B$78,0),1),IF(E1280=5,INDEX(ref_exp_dist,MATCH(B1280,'Refined Petro Exp Dist'!$B$6:$B$78,0),MATCH(C1280,'Refined Petro Exp Dist'!$AD$2:$BC$2,0))*INDEX(ref_exp_by_year,MATCH(B1280,'Data Export'!$B$6:$B$78,0),1)))</f>
        <v>0</v>
      </c>
      <c r="E1280">
        <v>4</v>
      </c>
      <c r="F1280" t="s">
        <v>180</v>
      </c>
    </row>
    <row r="1281" spans="1:6">
      <c r="A1281" t="str">
        <f t="shared" si="19"/>
        <v>GenericE&amp;DtemplateCIandGOA</v>
      </c>
      <c r="B1281">
        <v>50</v>
      </c>
      <c r="C1281">
        <v>6</v>
      </c>
      <c r="D1281" s="649">
        <f ca="1">IF(E1281=4,INDEX(crude_exp_dist,MATCH(B1281,'Crude Exp Dist'!$B$6:$B$78,0),MATCH(C1281,'Crude Exp Dist'!$AD$2:$BC$2,0))*INDEX(crude_exp_by_year,MATCH(B1281,'Data Export'!$B$6:$B$78,0),1),IF(E1281=5,INDEX(ref_exp_dist,MATCH(B1281,'Refined Petro Exp Dist'!$B$6:$B$78,0),MATCH(C1281,'Refined Petro Exp Dist'!$AD$2:$BC$2,0))*INDEX(ref_exp_by_year,MATCH(B1281,'Data Export'!$B$6:$B$78,0),1)))</f>
        <v>0</v>
      </c>
      <c r="E1281">
        <v>4</v>
      </c>
      <c r="F1281" t="s">
        <v>186</v>
      </c>
    </row>
    <row r="1282" spans="1:6">
      <c r="A1282" t="str">
        <f t="shared" ref="A1282:A1345" si="20">scenario_name</f>
        <v>GenericE&amp;DtemplateCIandGOA</v>
      </c>
      <c r="B1282">
        <v>50</v>
      </c>
      <c r="C1282">
        <v>7</v>
      </c>
      <c r="D1282" s="649">
        <f ca="1">IF(E1282=4,INDEX(crude_exp_dist,MATCH(B1282,'Crude Exp Dist'!$B$6:$B$78,0),MATCH(C1282,'Crude Exp Dist'!$AD$2:$BC$2,0))*INDEX(crude_exp_by_year,MATCH(B1282,'Data Export'!$B$6:$B$78,0),1),IF(E1282=5,INDEX(ref_exp_dist,MATCH(B1282,'Refined Petro Exp Dist'!$B$6:$B$78,0),MATCH(C1282,'Refined Petro Exp Dist'!$AD$2:$BC$2,0))*INDEX(ref_exp_by_year,MATCH(B1282,'Data Export'!$B$6:$B$78,0),1)))</f>
        <v>0</v>
      </c>
      <c r="E1282">
        <v>4</v>
      </c>
      <c r="F1282" t="s">
        <v>191</v>
      </c>
    </row>
    <row r="1283" spans="1:6">
      <c r="A1283" t="str">
        <f t="shared" si="20"/>
        <v>GenericE&amp;DtemplateCIandGOA</v>
      </c>
      <c r="B1283">
        <v>50</v>
      </c>
      <c r="C1283">
        <v>8</v>
      </c>
      <c r="D1283" s="649">
        <f ca="1">IF(E1283=4,INDEX(crude_exp_dist,MATCH(B1283,'Crude Exp Dist'!$B$6:$B$78,0),MATCH(C1283,'Crude Exp Dist'!$AD$2:$BC$2,0))*INDEX(crude_exp_by_year,MATCH(B1283,'Data Export'!$B$6:$B$78,0),1),IF(E1283=5,INDEX(ref_exp_dist,MATCH(B1283,'Refined Petro Exp Dist'!$B$6:$B$78,0),MATCH(C1283,'Refined Petro Exp Dist'!$AD$2:$BC$2,0))*INDEX(ref_exp_by_year,MATCH(B1283,'Data Export'!$B$6:$B$78,0),1)))</f>
        <v>0</v>
      </c>
      <c r="E1283">
        <v>4</v>
      </c>
      <c r="F1283" t="s">
        <v>197</v>
      </c>
    </row>
    <row r="1284" spans="1:6">
      <c r="A1284" t="str">
        <f t="shared" si="20"/>
        <v>GenericE&amp;DtemplateCIandGOA</v>
      </c>
      <c r="B1284">
        <v>50</v>
      </c>
      <c r="C1284">
        <v>9</v>
      </c>
      <c r="D1284" s="649">
        <f ca="1">IF(E1284=4,INDEX(crude_exp_dist,MATCH(B1284,'Crude Exp Dist'!$B$6:$B$78,0),MATCH(C1284,'Crude Exp Dist'!$AD$2:$BC$2,0))*INDEX(crude_exp_by_year,MATCH(B1284,'Data Export'!$B$6:$B$78,0),1),IF(E1284=5,INDEX(ref_exp_dist,MATCH(B1284,'Refined Petro Exp Dist'!$B$6:$B$78,0),MATCH(C1284,'Refined Petro Exp Dist'!$AD$2:$BC$2,0))*INDEX(ref_exp_by_year,MATCH(B1284,'Data Export'!$B$6:$B$78,0),1)))</f>
        <v>0</v>
      </c>
      <c r="E1284">
        <v>4</v>
      </c>
      <c r="F1284" t="s">
        <v>199</v>
      </c>
    </row>
    <row r="1285" spans="1:6">
      <c r="A1285" t="str">
        <f t="shared" si="20"/>
        <v>GenericE&amp;DtemplateCIandGOA</v>
      </c>
      <c r="B1285">
        <v>50</v>
      </c>
      <c r="C1285">
        <v>10</v>
      </c>
      <c r="D1285" s="649">
        <f ca="1">IF(E1285=4,INDEX(crude_exp_dist,MATCH(B1285,'Crude Exp Dist'!$B$6:$B$78,0),MATCH(C1285,'Crude Exp Dist'!$AD$2:$BC$2,0))*INDEX(crude_exp_by_year,MATCH(B1285,'Data Export'!$B$6:$B$78,0),1),IF(E1285=5,INDEX(ref_exp_dist,MATCH(B1285,'Refined Petro Exp Dist'!$B$6:$B$78,0),MATCH(C1285,'Refined Petro Exp Dist'!$AD$2:$BC$2,0))*INDEX(ref_exp_by_year,MATCH(B1285,'Data Export'!$B$6:$B$78,0),1)))</f>
        <v>0</v>
      </c>
      <c r="E1285">
        <v>4</v>
      </c>
      <c r="F1285" t="s">
        <v>201</v>
      </c>
    </row>
    <row r="1286" spans="1:6">
      <c r="A1286" t="str">
        <f t="shared" si="20"/>
        <v>GenericE&amp;DtemplateCIandGOA</v>
      </c>
      <c r="B1286">
        <v>50</v>
      </c>
      <c r="C1286">
        <v>11</v>
      </c>
      <c r="D1286" s="649">
        <f ca="1">IF(E1286=4,INDEX(crude_exp_dist,MATCH(B1286,'Crude Exp Dist'!$B$6:$B$78,0),MATCH(C1286,'Crude Exp Dist'!$AD$2:$BC$2,0))*INDEX(crude_exp_by_year,MATCH(B1286,'Data Export'!$B$6:$B$78,0),1),IF(E1286=5,INDEX(ref_exp_dist,MATCH(B1286,'Refined Petro Exp Dist'!$B$6:$B$78,0),MATCH(C1286,'Refined Petro Exp Dist'!$AD$2:$BC$2,0))*INDEX(ref_exp_by_year,MATCH(B1286,'Data Export'!$B$6:$B$78,0),1)))</f>
        <v>0</v>
      </c>
      <c r="E1286">
        <v>4</v>
      </c>
      <c r="F1286" t="s">
        <v>921</v>
      </c>
    </row>
    <row r="1287" spans="1:6">
      <c r="A1287" t="str">
        <f t="shared" si="20"/>
        <v>GenericE&amp;DtemplateCIandGOA</v>
      </c>
      <c r="B1287">
        <v>50</v>
      </c>
      <c r="C1287">
        <v>12</v>
      </c>
      <c r="D1287" s="649">
        <f ca="1">IF(E1287=4,INDEX(crude_exp_dist,MATCH(B1287,'Crude Exp Dist'!$B$6:$B$78,0),MATCH(C1287,'Crude Exp Dist'!$AD$2:$BC$2,0))*INDEX(crude_exp_by_year,MATCH(B1287,'Data Export'!$B$6:$B$78,0),1),IF(E1287=5,INDEX(ref_exp_dist,MATCH(B1287,'Refined Petro Exp Dist'!$B$6:$B$78,0),MATCH(C1287,'Refined Petro Exp Dist'!$AD$2:$BC$2,0))*INDEX(ref_exp_by_year,MATCH(B1287,'Data Export'!$B$6:$B$78,0),1)))</f>
        <v>0</v>
      </c>
      <c r="E1287">
        <v>4</v>
      </c>
      <c r="F1287" t="s">
        <v>208</v>
      </c>
    </row>
    <row r="1288" spans="1:6">
      <c r="A1288" t="str">
        <f t="shared" si="20"/>
        <v>GenericE&amp;DtemplateCIandGOA</v>
      </c>
      <c r="B1288">
        <v>50</v>
      </c>
      <c r="C1288">
        <v>13</v>
      </c>
      <c r="D1288" s="649">
        <f ca="1">IF(E1288=4,INDEX(crude_exp_dist,MATCH(B1288,'Crude Exp Dist'!$B$6:$B$78,0),MATCH(C1288,'Crude Exp Dist'!$AD$2:$BC$2,0))*INDEX(crude_exp_by_year,MATCH(B1288,'Data Export'!$B$6:$B$78,0),1),IF(E1288=5,INDEX(ref_exp_dist,MATCH(B1288,'Refined Petro Exp Dist'!$B$6:$B$78,0),MATCH(C1288,'Refined Petro Exp Dist'!$AD$2:$BC$2,0))*INDEX(ref_exp_by_year,MATCH(B1288,'Data Export'!$B$6:$B$78,0),1)))</f>
        <v>0</v>
      </c>
      <c r="E1288">
        <v>4</v>
      </c>
      <c r="F1288" t="s">
        <v>211</v>
      </c>
    </row>
    <row r="1289" spans="1:6">
      <c r="A1289" t="str">
        <f t="shared" si="20"/>
        <v>GenericE&amp;DtemplateCIandGOA</v>
      </c>
      <c r="B1289">
        <v>50</v>
      </c>
      <c r="C1289">
        <v>14</v>
      </c>
      <c r="D1289" s="649">
        <f ca="1">IF(E1289=4,INDEX(crude_exp_dist,MATCH(B1289,'Crude Exp Dist'!$B$6:$B$78,0),MATCH(C1289,'Crude Exp Dist'!$AD$2:$BC$2,0))*INDEX(crude_exp_by_year,MATCH(B1289,'Data Export'!$B$6:$B$78,0),1),IF(E1289=5,INDEX(ref_exp_dist,MATCH(B1289,'Refined Petro Exp Dist'!$B$6:$B$78,0),MATCH(C1289,'Refined Petro Exp Dist'!$AD$2:$BC$2,0))*INDEX(ref_exp_by_year,MATCH(B1289,'Data Export'!$B$6:$B$78,0),1)))</f>
        <v>0</v>
      </c>
      <c r="E1289">
        <v>4</v>
      </c>
      <c r="F1289" t="s">
        <v>213</v>
      </c>
    </row>
    <row r="1290" spans="1:6">
      <c r="A1290" t="str">
        <f t="shared" si="20"/>
        <v>GenericE&amp;DtemplateCIandGOA</v>
      </c>
      <c r="B1290">
        <v>50</v>
      </c>
      <c r="C1290">
        <v>15</v>
      </c>
      <c r="D1290" s="649">
        <f ca="1">IF(E1290=4,INDEX(crude_exp_dist,MATCH(B1290,'Crude Exp Dist'!$B$6:$B$78,0),MATCH(C1290,'Crude Exp Dist'!$AD$2:$BC$2,0))*INDEX(crude_exp_by_year,MATCH(B1290,'Data Export'!$B$6:$B$78,0),1),IF(E1290=5,INDEX(ref_exp_dist,MATCH(B1290,'Refined Petro Exp Dist'!$B$6:$B$78,0),MATCH(C1290,'Refined Petro Exp Dist'!$AD$2:$BC$2,0))*INDEX(ref_exp_by_year,MATCH(B1290,'Data Export'!$B$6:$B$78,0),1)))</f>
        <v>0</v>
      </c>
      <c r="E1290">
        <v>4</v>
      </c>
      <c r="F1290" t="s">
        <v>215</v>
      </c>
    </row>
    <row r="1291" spans="1:6">
      <c r="A1291" t="str">
        <f t="shared" si="20"/>
        <v>GenericE&amp;DtemplateCIandGOA</v>
      </c>
      <c r="B1291">
        <v>50</v>
      </c>
      <c r="C1291">
        <v>16</v>
      </c>
      <c r="D1291" s="649">
        <f ca="1">IF(E1291=4,INDEX(crude_exp_dist,MATCH(B1291,'Crude Exp Dist'!$B$6:$B$78,0),MATCH(C1291,'Crude Exp Dist'!$AD$2:$BC$2,0))*INDEX(crude_exp_by_year,MATCH(B1291,'Data Export'!$B$6:$B$78,0),1),IF(E1291=5,INDEX(ref_exp_dist,MATCH(B1291,'Refined Petro Exp Dist'!$B$6:$B$78,0),MATCH(C1291,'Refined Petro Exp Dist'!$AD$2:$BC$2,0))*INDEX(ref_exp_by_year,MATCH(B1291,'Data Export'!$B$6:$B$78,0),1)))</f>
        <v>0</v>
      </c>
      <c r="E1291">
        <v>4</v>
      </c>
      <c r="F1291" t="s">
        <v>219</v>
      </c>
    </row>
    <row r="1292" spans="1:6">
      <c r="A1292" t="str">
        <f t="shared" si="20"/>
        <v>GenericE&amp;DtemplateCIandGOA</v>
      </c>
      <c r="B1292">
        <v>50</v>
      </c>
      <c r="C1292">
        <v>17</v>
      </c>
      <c r="D1292" s="649">
        <f ca="1">IF(E1292=4,INDEX(crude_exp_dist,MATCH(B1292,'Crude Exp Dist'!$B$6:$B$78,0),MATCH(C1292,'Crude Exp Dist'!$AD$2:$BC$2,0))*INDEX(crude_exp_by_year,MATCH(B1292,'Data Export'!$B$6:$B$78,0),1),IF(E1292=5,INDEX(ref_exp_dist,MATCH(B1292,'Refined Petro Exp Dist'!$B$6:$B$78,0),MATCH(C1292,'Refined Petro Exp Dist'!$AD$2:$BC$2,0))*INDEX(ref_exp_by_year,MATCH(B1292,'Data Export'!$B$6:$B$78,0),1)))</f>
        <v>0</v>
      </c>
      <c r="E1292">
        <v>4</v>
      </c>
      <c r="F1292" t="s">
        <v>222</v>
      </c>
    </row>
    <row r="1293" spans="1:6">
      <c r="A1293" t="str">
        <f t="shared" si="20"/>
        <v>GenericE&amp;DtemplateCIandGOA</v>
      </c>
      <c r="B1293">
        <v>50</v>
      </c>
      <c r="C1293">
        <v>18</v>
      </c>
      <c r="D1293" s="649">
        <f ca="1">IF(E1293=4,INDEX(crude_exp_dist,MATCH(B1293,'Crude Exp Dist'!$B$6:$B$78,0),MATCH(C1293,'Crude Exp Dist'!$AD$2:$BC$2,0))*INDEX(crude_exp_by_year,MATCH(B1293,'Data Export'!$B$6:$B$78,0),1),IF(E1293=5,INDEX(ref_exp_dist,MATCH(B1293,'Refined Petro Exp Dist'!$B$6:$B$78,0),MATCH(C1293,'Refined Petro Exp Dist'!$AD$2:$BC$2,0))*INDEX(ref_exp_by_year,MATCH(B1293,'Data Export'!$B$6:$B$78,0),1)))</f>
        <v>0</v>
      </c>
      <c r="E1293">
        <v>4</v>
      </c>
      <c r="F1293" t="s">
        <v>224</v>
      </c>
    </row>
    <row r="1294" spans="1:6">
      <c r="A1294" t="str">
        <f t="shared" si="20"/>
        <v>GenericE&amp;DtemplateCIandGOA</v>
      </c>
      <c r="B1294">
        <v>50</v>
      </c>
      <c r="C1294">
        <v>19</v>
      </c>
      <c r="D1294" s="649">
        <f ca="1">IF(E1294=4,INDEX(crude_exp_dist,MATCH(B1294,'Crude Exp Dist'!$B$6:$B$78,0),MATCH(C1294,'Crude Exp Dist'!$AD$2:$BC$2,0))*INDEX(crude_exp_by_year,MATCH(B1294,'Data Export'!$B$6:$B$78,0),1),IF(E1294=5,INDEX(ref_exp_dist,MATCH(B1294,'Refined Petro Exp Dist'!$B$6:$B$78,0),MATCH(C1294,'Refined Petro Exp Dist'!$AD$2:$BC$2,0))*INDEX(ref_exp_by_year,MATCH(B1294,'Data Export'!$B$6:$B$78,0),1)))</f>
        <v>0</v>
      </c>
      <c r="E1294">
        <v>4</v>
      </c>
      <c r="F1294" t="s">
        <v>228</v>
      </c>
    </row>
    <row r="1295" spans="1:6">
      <c r="A1295" t="str">
        <f t="shared" si="20"/>
        <v>GenericE&amp;DtemplateCIandGOA</v>
      </c>
      <c r="B1295">
        <v>50</v>
      </c>
      <c r="C1295">
        <v>20</v>
      </c>
      <c r="D1295" s="649">
        <f ca="1">IF(E1295=4,INDEX(crude_exp_dist,MATCH(B1295,'Crude Exp Dist'!$B$6:$B$78,0),MATCH(C1295,'Crude Exp Dist'!$AD$2:$BC$2,0))*INDEX(crude_exp_by_year,MATCH(B1295,'Data Export'!$B$6:$B$78,0),1),IF(E1295=5,INDEX(ref_exp_dist,MATCH(B1295,'Refined Petro Exp Dist'!$B$6:$B$78,0),MATCH(C1295,'Refined Petro Exp Dist'!$AD$2:$BC$2,0))*INDEX(ref_exp_by_year,MATCH(B1295,'Data Export'!$B$6:$B$78,0),1)))</f>
        <v>0</v>
      </c>
      <c r="E1295">
        <v>4</v>
      </c>
      <c r="F1295" t="s">
        <v>231</v>
      </c>
    </row>
    <row r="1296" spans="1:6">
      <c r="A1296" t="str">
        <f t="shared" si="20"/>
        <v>GenericE&amp;DtemplateCIandGOA</v>
      </c>
      <c r="B1296">
        <v>50</v>
      </c>
      <c r="C1296">
        <v>21</v>
      </c>
      <c r="D1296" s="649">
        <f ca="1">IF(E1296=4,INDEX(crude_exp_dist,MATCH(B1296,'Crude Exp Dist'!$B$6:$B$78,0),MATCH(C1296,'Crude Exp Dist'!$AD$2:$BC$2,0))*INDEX(crude_exp_by_year,MATCH(B1296,'Data Export'!$B$6:$B$78,0),1),IF(E1296=5,INDEX(ref_exp_dist,MATCH(B1296,'Refined Petro Exp Dist'!$B$6:$B$78,0),MATCH(C1296,'Refined Petro Exp Dist'!$AD$2:$BC$2,0))*INDEX(ref_exp_by_year,MATCH(B1296,'Data Export'!$B$6:$B$78,0),1)))</f>
        <v>0</v>
      </c>
      <c r="E1296">
        <v>4</v>
      </c>
      <c r="F1296" t="s">
        <v>232</v>
      </c>
    </row>
    <row r="1297" spans="1:6">
      <c r="A1297" t="str">
        <f t="shared" si="20"/>
        <v>GenericE&amp;DtemplateCIandGOA</v>
      </c>
      <c r="B1297">
        <v>50</v>
      </c>
      <c r="C1297">
        <v>22</v>
      </c>
      <c r="D1297" s="649">
        <f ca="1">IF(E1297=4,INDEX(crude_exp_dist,MATCH(B1297,'Crude Exp Dist'!$B$6:$B$78,0),MATCH(C1297,'Crude Exp Dist'!$AD$2:$BC$2,0))*INDEX(crude_exp_by_year,MATCH(B1297,'Data Export'!$B$6:$B$78,0),1),IF(E1297=5,INDEX(ref_exp_dist,MATCH(B1297,'Refined Petro Exp Dist'!$B$6:$B$78,0),MATCH(C1297,'Refined Petro Exp Dist'!$AD$2:$BC$2,0))*INDEX(ref_exp_by_year,MATCH(B1297,'Data Export'!$B$6:$B$78,0),1)))</f>
        <v>0</v>
      </c>
      <c r="E1297">
        <v>4</v>
      </c>
      <c r="F1297" t="s">
        <v>235</v>
      </c>
    </row>
    <row r="1298" spans="1:6">
      <c r="A1298" t="str">
        <f t="shared" si="20"/>
        <v>GenericE&amp;DtemplateCIandGOA</v>
      </c>
      <c r="B1298">
        <v>50</v>
      </c>
      <c r="C1298">
        <v>23</v>
      </c>
      <c r="D1298" s="649">
        <f ca="1">IF(E1298=4,INDEX(crude_exp_dist,MATCH(B1298,'Crude Exp Dist'!$B$6:$B$78,0),MATCH(C1298,'Crude Exp Dist'!$AD$2:$BC$2,0))*INDEX(crude_exp_by_year,MATCH(B1298,'Data Export'!$B$6:$B$78,0),1),IF(E1298=5,INDEX(ref_exp_dist,MATCH(B1298,'Refined Petro Exp Dist'!$B$6:$B$78,0),MATCH(C1298,'Refined Petro Exp Dist'!$AD$2:$BC$2,0))*INDEX(ref_exp_by_year,MATCH(B1298,'Data Export'!$B$6:$B$78,0),1)))</f>
        <v>0</v>
      </c>
      <c r="E1298">
        <v>4</v>
      </c>
      <c r="F1298" t="s">
        <v>237</v>
      </c>
    </row>
    <row r="1299" spans="1:6">
      <c r="A1299" t="str">
        <f t="shared" si="20"/>
        <v>GenericE&amp;DtemplateCIandGOA</v>
      </c>
      <c r="B1299">
        <v>50</v>
      </c>
      <c r="C1299">
        <v>24</v>
      </c>
      <c r="D1299" s="649">
        <f ca="1">IF(E1299=4,INDEX(crude_exp_dist,MATCH(B1299,'Crude Exp Dist'!$B$6:$B$78,0),MATCH(C1299,'Crude Exp Dist'!$AD$2:$BC$2,0))*INDEX(crude_exp_by_year,MATCH(B1299,'Data Export'!$B$6:$B$78,0),1),IF(E1299=5,INDEX(ref_exp_dist,MATCH(B1299,'Refined Petro Exp Dist'!$B$6:$B$78,0),MATCH(C1299,'Refined Petro Exp Dist'!$AD$2:$BC$2,0))*INDEX(ref_exp_by_year,MATCH(B1299,'Data Export'!$B$6:$B$78,0),1)))</f>
        <v>0</v>
      </c>
      <c r="E1299">
        <v>4</v>
      </c>
      <c r="F1299" t="s">
        <v>239</v>
      </c>
    </row>
    <row r="1300" spans="1:6">
      <c r="A1300" t="str">
        <f t="shared" si="20"/>
        <v>GenericE&amp;DtemplateCIandGOA</v>
      </c>
      <c r="B1300">
        <v>50</v>
      </c>
      <c r="C1300">
        <v>25</v>
      </c>
      <c r="D1300" s="649">
        <f ca="1">IF(E1300=4,INDEX(crude_exp_dist,MATCH(B1300,'Crude Exp Dist'!$B$6:$B$78,0),MATCH(C1300,'Crude Exp Dist'!$AD$2:$BC$2,0))*INDEX(crude_exp_by_year,MATCH(B1300,'Data Export'!$B$6:$B$78,0),1),IF(E1300=5,INDEX(ref_exp_dist,MATCH(B1300,'Refined Petro Exp Dist'!$B$6:$B$78,0),MATCH(C1300,'Refined Petro Exp Dist'!$AD$2:$BC$2,0))*INDEX(ref_exp_by_year,MATCH(B1300,'Data Export'!$B$6:$B$78,0),1)))</f>
        <v>0</v>
      </c>
      <c r="E1300">
        <v>4</v>
      </c>
      <c r="F1300" t="s">
        <v>242</v>
      </c>
    </row>
    <row r="1301" spans="1:6">
      <c r="A1301" t="str">
        <f t="shared" si="20"/>
        <v>GenericE&amp;DtemplateCIandGOA</v>
      </c>
      <c r="B1301">
        <v>50</v>
      </c>
      <c r="C1301">
        <v>26</v>
      </c>
      <c r="D1301" s="649">
        <f ca="1">IF(E1301=4,INDEX(crude_exp_dist,MATCH(B1301,'Crude Exp Dist'!$B$6:$B$78,0),MATCH(C1301,'Crude Exp Dist'!$AD$2:$BC$2,0))*INDEX(crude_exp_by_year,MATCH(B1301,'Data Export'!$B$6:$B$78,0),1),IF(E1301=5,INDEX(ref_exp_dist,MATCH(B1301,'Refined Petro Exp Dist'!$B$6:$B$78,0),MATCH(C1301,'Refined Petro Exp Dist'!$AD$2:$BC$2,0))*INDEX(ref_exp_by_year,MATCH(B1301,'Data Export'!$B$6:$B$78,0),1)))</f>
        <v>0</v>
      </c>
      <c r="E1301">
        <v>4</v>
      </c>
      <c r="F1301" t="s">
        <v>245</v>
      </c>
    </row>
    <row r="1302" spans="1:6">
      <c r="A1302" t="str">
        <f t="shared" si="20"/>
        <v>GenericE&amp;DtemplateCIandGOA</v>
      </c>
      <c r="B1302">
        <v>51</v>
      </c>
      <c r="C1302">
        <v>1</v>
      </c>
      <c r="D1302" s="649">
        <f ca="1">IF(E1302=4,INDEX(crude_exp_dist,MATCH(B1302,'Crude Exp Dist'!$B$6:$B$78,0),MATCH(C1302,'Crude Exp Dist'!$AD$2:$BC$2,0))*INDEX(crude_exp_by_year,MATCH(B1302,'Data Export'!$B$6:$B$78,0),1),IF(E1302=5,INDEX(ref_exp_dist,MATCH(B1302,'Refined Petro Exp Dist'!$B$6:$B$78,0),MATCH(C1302,'Refined Petro Exp Dist'!$AD$2:$BC$2,0))*INDEX(ref_exp_by_year,MATCH(B1302,'Data Export'!$B$6:$B$78,0),1)))</f>
        <v>0</v>
      </c>
      <c r="E1302">
        <v>4</v>
      </c>
      <c r="F1302" t="s">
        <v>158</v>
      </c>
    </row>
    <row r="1303" spans="1:6">
      <c r="A1303" t="str">
        <f t="shared" si="20"/>
        <v>GenericE&amp;DtemplateCIandGOA</v>
      </c>
      <c r="B1303">
        <v>51</v>
      </c>
      <c r="C1303">
        <v>2</v>
      </c>
      <c r="D1303" s="649">
        <f ca="1">IF(E1303=4,INDEX(crude_exp_dist,MATCH(B1303,'Crude Exp Dist'!$B$6:$B$78,0),MATCH(C1303,'Crude Exp Dist'!$AD$2:$BC$2,0))*INDEX(crude_exp_by_year,MATCH(B1303,'Data Export'!$B$6:$B$78,0),1),IF(E1303=5,INDEX(ref_exp_dist,MATCH(B1303,'Refined Petro Exp Dist'!$B$6:$B$78,0),MATCH(C1303,'Refined Petro Exp Dist'!$AD$2:$BC$2,0))*INDEX(ref_exp_by_year,MATCH(B1303,'Data Export'!$B$6:$B$78,0),1)))</f>
        <v>0</v>
      </c>
      <c r="E1303">
        <v>4</v>
      </c>
      <c r="F1303" t="s">
        <v>166</v>
      </c>
    </row>
    <row r="1304" spans="1:6">
      <c r="A1304" t="str">
        <f t="shared" si="20"/>
        <v>GenericE&amp;DtemplateCIandGOA</v>
      </c>
      <c r="B1304">
        <v>51</v>
      </c>
      <c r="C1304">
        <v>3</v>
      </c>
      <c r="D1304" s="649">
        <f ca="1">IF(E1304=4,INDEX(crude_exp_dist,MATCH(B1304,'Crude Exp Dist'!$B$6:$B$78,0),MATCH(C1304,'Crude Exp Dist'!$AD$2:$BC$2,0))*INDEX(crude_exp_by_year,MATCH(B1304,'Data Export'!$B$6:$B$78,0),1),IF(E1304=5,INDEX(ref_exp_dist,MATCH(B1304,'Refined Petro Exp Dist'!$B$6:$B$78,0),MATCH(C1304,'Refined Petro Exp Dist'!$AD$2:$BC$2,0))*INDEX(ref_exp_by_year,MATCH(B1304,'Data Export'!$B$6:$B$78,0),1)))</f>
        <v>0</v>
      </c>
      <c r="E1304">
        <v>4</v>
      </c>
      <c r="F1304" t="s">
        <v>171</v>
      </c>
    </row>
    <row r="1305" spans="1:6">
      <c r="A1305" t="str">
        <f t="shared" si="20"/>
        <v>GenericE&amp;DtemplateCIandGOA</v>
      </c>
      <c r="B1305">
        <v>51</v>
      </c>
      <c r="C1305">
        <v>4</v>
      </c>
      <c r="D1305" s="649">
        <f ca="1">IF(E1305=4,INDEX(crude_exp_dist,MATCH(B1305,'Crude Exp Dist'!$B$6:$B$78,0),MATCH(C1305,'Crude Exp Dist'!$AD$2:$BC$2,0))*INDEX(crude_exp_by_year,MATCH(B1305,'Data Export'!$B$6:$B$78,0),1),IF(E1305=5,INDEX(ref_exp_dist,MATCH(B1305,'Refined Petro Exp Dist'!$B$6:$B$78,0),MATCH(C1305,'Refined Petro Exp Dist'!$AD$2:$BC$2,0))*INDEX(ref_exp_by_year,MATCH(B1305,'Data Export'!$B$6:$B$78,0),1)))</f>
        <v>0</v>
      </c>
      <c r="E1305">
        <v>4</v>
      </c>
      <c r="F1305" t="s">
        <v>173</v>
      </c>
    </row>
    <row r="1306" spans="1:6">
      <c r="A1306" t="str">
        <f t="shared" si="20"/>
        <v>GenericE&amp;DtemplateCIandGOA</v>
      </c>
      <c r="B1306">
        <v>51</v>
      </c>
      <c r="C1306">
        <v>5</v>
      </c>
      <c r="D1306" s="649">
        <f ca="1">IF(E1306=4,INDEX(crude_exp_dist,MATCH(B1306,'Crude Exp Dist'!$B$6:$B$78,0),MATCH(C1306,'Crude Exp Dist'!$AD$2:$BC$2,0))*INDEX(crude_exp_by_year,MATCH(B1306,'Data Export'!$B$6:$B$78,0),1),IF(E1306=5,INDEX(ref_exp_dist,MATCH(B1306,'Refined Petro Exp Dist'!$B$6:$B$78,0),MATCH(C1306,'Refined Petro Exp Dist'!$AD$2:$BC$2,0))*INDEX(ref_exp_by_year,MATCH(B1306,'Data Export'!$B$6:$B$78,0),1)))</f>
        <v>0</v>
      </c>
      <c r="E1306">
        <v>4</v>
      </c>
      <c r="F1306" t="s">
        <v>180</v>
      </c>
    </row>
    <row r="1307" spans="1:6">
      <c r="A1307" t="str">
        <f t="shared" si="20"/>
        <v>GenericE&amp;DtemplateCIandGOA</v>
      </c>
      <c r="B1307">
        <v>51</v>
      </c>
      <c r="C1307">
        <v>6</v>
      </c>
      <c r="D1307" s="649">
        <f ca="1">IF(E1307=4,INDEX(crude_exp_dist,MATCH(B1307,'Crude Exp Dist'!$B$6:$B$78,0),MATCH(C1307,'Crude Exp Dist'!$AD$2:$BC$2,0))*INDEX(crude_exp_by_year,MATCH(B1307,'Data Export'!$B$6:$B$78,0),1),IF(E1307=5,INDEX(ref_exp_dist,MATCH(B1307,'Refined Petro Exp Dist'!$B$6:$B$78,0),MATCH(C1307,'Refined Petro Exp Dist'!$AD$2:$BC$2,0))*INDEX(ref_exp_by_year,MATCH(B1307,'Data Export'!$B$6:$B$78,0),1)))</f>
        <v>0</v>
      </c>
      <c r="E1307">
        <v>4</v>
      </c>
      <c r="F1307" t="s">
        <v>186</v>
      </c>
    </row>
    <row r="1308" spans="1:6">
      <c r="A1308" t="str">
        <f t="shared" si="20"/>
        <v>GenericE&amp;DtemplateCIandGOA</v>
      </c>
      <c r="B1308">
        <v>51</v>
      </c>
      <c r="C1308">
        <v>7</v>
      </c>
      <c r="D1308" s="649">
        <f ca="1">IF(E1308=4,INDEX(crude_exp_dist,MATCH(B1308,'Crude Exp Dist'!$B$6:$B$78,0),MATCH(C1308,'Crude Exp Dist'!$AD$2:$BC$2,0))*INDEX(crude_exp_by_year,MATCH(B1308,'Data Export'!$B$6:$B$78,0),1),IF(E1308=5,INDEX(ref_exp_dist,MATCH(B1308,'Refined Petro Exp Dist'!$B$6:$B$78,0),MATCH(C1308,'Refined Petro Exp Dist'!$AD$2:$BC$2,0))*INDEX(ref_exp_by_year,MATCH(B1308,'Data Export'!$B$6:$B$78,0),1)))</f>
        <v>0</v>
      </c>
      <c r="E1308">
        <v>4</v>
      </c>
      <c r="F1308" t="s">
        <v>191</v>
      </c>
    </row>
    <row r="1309" spans="1:6">
      <c r="A1309" t="str">
        <f t="shared" si="20"/>
        <v>GenericE&amp;DtemplateCIandGOA</v>
      </c>
      <c r="B1309">
        <v>51</v>
      </c>
      <c r="C1309">
        <v>8</v>
      </c>
      <c r="D1309" s="649">
        <f ca="1">IF(E1309=4,INDEX(crude_exp_dist,MATCH(B1309,'Crude Exp Dist'!$B$6:$B$78,0),MATCH(C1309,'Crude Exp Dist'!$AD$2:$BC$2,0))*INDEX(crude_exp_by_year,MATCH(B1309,'Data Export'!$B$6:$B$78,0),1),IF(E1309=5,INDEX(ref_exp_dist,MATCH(B1309,'Refined Petro Exp Dist'!$B$6:$B$78,0),MATCH(C1309,'Refined Petro Exp Dist'!$AD$2:$BC$2,0))*INDEX(ref_exp_by_year,MATCH(B1309,'Data Export'!$B$6:$B$78,0),1)))</f>
        <v>0</v>
      </c>
      <c r="E1309">
        <v>4</v>
      </c>
      <c r="F1309" t="s">
        <v>197</v>
      </c>
    </row>
    <row r="1310" spans="1:6">
      <c r="A1310" t="str">
        <f t="shared" si="20"/>
        <v>GenericE&amp;DtemplateCIandGOA</v>
      </c>
      <c r="B1310">
        <v>51</v>
      </c>
      <c r="C1310">
        <v>9</v>
      </c>
      <c r="D1310" s="649">
        <f ca="1">IF(E1310=4,INDEX(crude_exp_dist,MATCH(B1310,'Crude Exp Dist'!$B$6:$B$78,0),MATCH(C1310,'Crude Exp Dist'!$AD$2:$BC$2,0))*INDEX(crude_exp_by_year,MATCH(B1310,'Data Export'!$B$6:$B$78,0),1),IF(E1310=5,INDEX(ref_exp_dist,MATCH(B1310,'Refined Petro Exp Dist'!$B$6:$B$78,0),MATCH(C1310,'Refined Petro Exp Dist'!$AD$2:$BC$2,0))*INDEX(ref_exp_by_year,MATCH(B1310,'Data Export'!$B$6:$B$78,0),1)))</f>
        <v>0</v>
      </c>
      <c r="E1310">
        <v>4</v>
      </c>
      <c r="F1310" t="s">
        <v>199</v>
      </c>
    </row>
    <row r="1311" spans="1:6">
      <c r="A1311" t="str">
        <f t="shared" si="20"/>
        <v>GenericE&amp;DtemplateCIandGOA</v>
      </c>
      <c r="B1311">
        <v>51</v>
      </c>
      <c r="C1311">
        <v>10</v>
      </c>
      <c r="D1311" s="649">
        <f ca="1">IF(E1311=4,INDEX(crude_exp_dist,MATCH(B1311,'Crude Exp Dist'!$B$6:$B$78,0),MATCH(C1311,'Crude Exp Dist'!$AD$2:$BC$2,0))*INDEX(crude_exp_by_year,MATCH(B1311,'Data Export'!$B$6:$B$78,0),1),IF(E1311=5,INDEX(ref_exp_dist,MATCH(B1311,'Refined Petro Exp Dist'!$B$6:$B$78,0),MATCH(C1311,'Refined Petro Exp Dist'!$AD$2:$BC$2,0))*INDEX(ref_exp_by_year,MATCH(B1311,'Data Export'!$B$6:$B$78,0),1)))</f>
        <v>0</v>
      </c>
      <c r="E1311">
        <v>4</v>
      </c>
      <c r="F1311" t="s">
        <v>201</v>
      </c>
    </row>
    <row r="1312" spans="1:6">
      <c r="A1312" t="str">
        <f t="shared" si="20"/>
        <v>GenericE&amp;DtemplateCIandGOA</v>
      </c>
      <c r="B1312">
        <v>51</v>
      </c>
      <c r="C1312">
        <v>11</v>
      </c>
      <c r="D1312" s="649">
        <f ca="1">IF(E1312=4,INDEX(crude_exp_dist,MATCH(B1312,'Crude Exp Dist'!$B$6:$B$78,0),MATCH(C1312,'Crude Exp Dist'!$AD$2:$BC$2,0))*INDEX(crude_exp_by_year,MATCH(B1312,'Data Export'!$B$6:$B$78,0),1),IF(E1312=5,INDEX(ref_exp_dist,MATCH(B1312,'Refined Petro Exp Dist'!$B$6:$B$78,0),MATCH(C1312,'Refined Petro Exp Dist'!$AD$2:$BC$2,0))*INDEX(ref_exp_by_year,MATCH(B1312,'Data Export'!$B$6:$B$78,0),1)))</f>
        <v>0</v>
      </c>
      <c r="E1312">
        <v>4</v>
      </c>
      <c r="F1312" t="s">
        <v>921</v>
      </c>
    </row>
    <row r="1313" spans="1:6">
      <c r="A1313" t="str">
        <f t="shared" si="20"/>
        <v>GenericE&amp;DtemplateCIandGOA</v>
      </c>
      <c r="B1313">
        <v>51</v>
      </c>
      <c r="C1313">
        <v>12</v>
      </c>
      <c r="D1313" s="649">
        <f ca="1">IF(E1313=4,INDEX(crude_exp_dist,MATCH(B1313,'Crude Exp Dist'!$B$6:$B$78,0),MATCH(C1313,'Crude Exp Dist'!$AD$2:$BC$2,0))*INDEX(crude_exp_by_year,MATCH(B1313,'Data Export'!$B$6:$B$78,0),1),IF(E1313=5,INDEX(ref_exp_dist,MATCH(B1313,'Refined Petro Exp Dist'!$B$6:$B$78,0),MATCH(C1313,'Refined Petro Exp Dist'!$AD$2:$BC$2,0))*INDEX(ref_exp_by_year,MATCH(B1313,'Data Export'!$B$6:$B$78,0),1)))</f>
        <v>0</v>
      </c>
      <c r="E1313">
        <v>4</v>
      </c>
      <c r="F1313" t="s">
        <v>208</v>
      </c>
    </row>
    <row r="1314" spans="1:6">
      <c r="A1314" t="str">
        <f t="shared" si="20"/>
        <v>GenericE&amp;DtemplateCIandGOA</v>
      </c>
      <c r="B1314">
        <v>51</v>
      </c>
      <c r="C1314">
        <v>13</v>
      </c>
      <c r="D1314" s="649">
        <f ca="1">IF(E1314=4,INDEX(crude_exp_dist,MATCH(B1314,'Crude Exp Dist'!$B$6:$B$78,0),MATCH(C1314,'Crude Exp Dist'!$AD$2:$BC$2,0))*INDEX(crude_exp_by_year,MATCH(B1314,'Data Export'!$B$6:$B$78,0),1),IF(E1314=5,INDEX(ref_exp_dist,MATCH(B1314,'Refined Petro Exp Dist'!$B$6:$B$78,0),MATCH(C1314,'Refined Petro Exp Dist'!$AD$2:$BC$2,0))*INDEX(ref_exp_by_year,MATCH(B1314,'Data Export'!$B$6:$B$78,0),1)))</f>
        <v>0</v>
      </c>
      <c r="E1314">
        <v>4</v>
      </c>
      <c r="F1314" t="s">
        <v>211</v>
      </c>
    </row>
    <row r="1315" spans="1:6">
      <c r="A1315" t="str">
        <f t="shared" si="20"/>
        <v>GenericE&amp;DtemplateCIandGOA</v>
      </c>
      <c r="B1315">
        <v>51</v>
      </c>
      <c r="C1315">
        <v>14</v>
      </c>
      <c r="D1315" s="649">
        <f ca="1">IF(E1315=4,INDEX(crude_exp_dist,MATCH(B1315,'Crude Exp Dist'!$B$6:$B$78,0),MATCH(C1315,'Crude Exp Dist'!$AD$2:$BC$2,0))*INDEX(crude_exp_by_year,MATCH(B1315,'Data Export'!$B$6:$B$78,0),1),IF(E1315=5,INDEX(ref_exp_dist,MATCH(B1315,'Refined Petro Exp Dist'!$B$6:$B$78,0),MATCH(C1315,'Refined Petro Exp Dist'!$AD$2:$BC$2,0))*INDEX(ref_exp_by_year,MATCH(B1315,'Data Export'!$B$6:$B$78,0),1)))</f>
        <v>0</v>
      </c>
      <c r="E1315">
        <v>4</v>
      </c>
      <c r="F1315" t="s">
        <v>213</v>
      </c>
    </row>
    <row r="1316" spans="1:6">
      <c r="A1316" t="str">
        <f t="shared" si="20"/>
        <v>GenericE&amp;DtemplateCIandGOA</v>
      </c>
      <c r="B1316">
        <v>51</v>
      </c>
      <c r="C1316">
        <v>15</v>
      </c>
      <c r="D1316" s="649">
        <f ca="1">IF(E1316=4,INDEX(crude_exp_dist,MATCH(B1316,'Crude Exp Dist'!$B$6:$B$78,0),MATCH(C1316,'Crude Exp Dist'!$AD$2:$BC$2,0))*INDEX(crude_exp_by_year,MATCH(B1316,'Data Export'!$B$6:$B$78,0),1),IF(E1316=5,INDEX(ref_exp_dist,MATCH(B1316,'Refined Petro Exp Dist'!$B$6:$B$78,0),MATCH(C1316,'Refined Petro Exp Dist'!$AD$2:$BC$2,0))*INDEX(ref_exp_by_year,MATCH(B1316,'Data Export'!$B$6:$B$78,0),1)))</f>
        <v>0</v>
      </c>
      <c r="E1316">
        <v>4</v>
      </c>
      <c r="F1316" t="s">
        <v>215</v>
      </c>
    </row>
    <row r="1317" spans="1:6">
      <c r="A1317" t="str">
        <f t="shared" si="20"/>
        <v>GenericE&amp;DtemplateCIandGOA</v>
      </c>
      <c r="B1317">
        <v>51</v>
      </c>
      <c r="C1317">
        <v>16</v>
      </c>
      <c r="D1317" s="649">
        <f ca="1">IF(E1317=4,INDEX(crude_exp_dist,MATCH(B1317,'Crude Exp Dist'!$B$6:$B$78,0),MATCH(C1317,'Crude Exp Dist'!$AD$2:$BC$2,0))*INDEX(crude_exp_by_year,MATCH(B1317,'Data Export'!$B$6:$B$78,0),1),IF(E1317=5,INDEX(ref_exp_dist,MATCH(B1317,'Refined Petro Exp Dist'!$B$6:$B$78,0),MATCH(C1317,'Refined Petro Exp Dist'!$AD$2:$BC$2,0))*INDEX(ref_exp_by_year,MATCH(B1317,'Data Export'!$B$6:$B$78,0),1)))</f>
        <v>0</v>
      </c>
      <c r="E1317">
        <v>4</v>
      </c>
      <c r="F1317" t="s">
        <v>219</v>
      </c>
    </row>
    <row r="1318" spans="1:6">
      <c r="A1318" t="str">
        <f t="shared" si="20"/>
        <v>GenericE&amp;DtemplateCIandGOA</v>
      </c>
      <c r="B1318">
        <v>51</v>
      </c>
      <c r="C1318">
        <v>17</v>
      </c>
      <c r="D1318" s="649">
        <f ca="1">IF(E1318=4,INDEX(crude_exp_dist,MATCH(B1318,'Crude Exp Dist'!$B$6:$B$78,0),MATCH(C1318,'Crude Exp Dist'!$AD$2:$BC$2,0))*INDEX(crude_exp_by_year,MATCH(B1318,'Data Export'!$B$6:$B$78,0),1),IF(E1318=5,INDEX(ref_exp_dist,MATCH(B1318,'Refined Petro Exp Dist'!$B$6:$B$78,0),MATCH(C1318,'Refined Petro Exp Dist'!$AD$2:$BC$2,0))*INDEX(ref_exp_by_year,MATCH(B1318,'Data Export'!$B$6:$B$78,0),1)))</f>
        <v>0</v>
      </c>
      <c r="E1318">
        <v>4</v>
      </c>
      <c r="F1318" t="s">
        <v>222</v>
      </c>
    </row>
    <row r="1319" spans="1:6">
      <c r="A1319" t="str">
        <f t="shared" si="20"/>
        <v>GenericE&amp;DtemplateCIandGOA</v>
      </c>
      <c r="B1319">
        <v>51</v>
      </c>
      <c r="C1319">
        <v>18</v>
      </c>
      <c r="D1319" s="649">
        <f ca="1">IF(E1319=4,INDEX(crude_exp_dist,MATCH(B1319,'Crude Exp Dist'!$B$6:$B$78,0),MATCH(C1319,'Crude Exp Dist'!$AD$2:$BC$2,0))*INDEX(crude_exp_by_year,MATCH(B1319,'Data Export'!$B$6:$B$78,0),1),IF(E1319=5,INDEX(ref_exp_dist,MATCH(B1319,'Refined Petro Exp Dist'!$B$6:$B$78,0),MATCH(C1319,'Refined Petro Exp Dist'!$AD$2:$BC$2,0))*INDEX(ref_exp_by_year,MATCH(B1319,'Data Export'!$B$6:$B$78,0),1)))</f>
        <v>0</v>
      </c>
      <c r="E1319">
        <v>4</v>
      </c>
      <c r="F1319" t="s">
        <v>224</v>
      </c>
    </row>
    <row r="1320" spans="1:6">
      <c r="A1320" t="str">
        <f t="shared" si="20"/>
        <v>GenericE&amp;DtemplateCIandGOA</v>
      </c>
      <c r="B1320">
        <v>51</v>
      </c>
      <c r="C1320">
        <v>19</v>
      </c>
      <c r="D1320" s="649">
        <f ca="1">IF(E1320=4,INDEX(crude_exp_dist,MATCH(B1320,'Crude Exp Dist'!$B$6:$B$78,0),MATCH(C1320,'Crude Exp Dist'!$AD$2:$BC$2,0))*INDEX(crude_exp_by_year,MATCH(B1320,'Data Export'!$B$6:$B$78,0),1),IF(E1320=5,INDEX(ref_exp_dist,MATCH(B1320,'Refined Petro Exp Dist'!$B$6:$B$78,0),MATCH(C1320,'Refined Petro Exp Dist'!$AD$2:$BC$2,0))*INDEX(ref_exp_by_year,MATCH(B1320,'Data Export'!$B$6:$B$78,0),1)))</f>
        <v>0</v>
      </c>
      <c r="E1320">
        <v>4</v>
      </c>
      <c r="F1320" t="s">
        <v>228</v>
      </c>
    </row>
    <row r="1321" spans="1:6">
      <c r="A1321" t="str">
        <f t="shared" si="20"/>
        <v>GenericE&amp;DtemplateCIandGOA</v>
      </c>
      <c r="B1321">
        <v>51</v>
      </c>
      <c r="C1321">
        <v>20</v>
      </c>
      <c r="D1321" s="649">
        <f ca="1">IF(E1321=4,INDEX(crude_exp_dist,MATCH(B1321,'Crude Exp Dist'!$B$6:$B$78,0),MATCH(C1321,'Crude Exp Dist'!$AD$2:$BC$2,0))*INDEX(crude_exp_by_year,MATCH(B1321,'Data Export'!$B$6:$B$78,0),1),IF(E1321=5,INDEX(ref_exp_dist,MATCH(B1321,'Refined Petro Exp Dist'!$B$6:$B$78,0),MATCH(C1321,'Refined Petro Exp Dist'!$AD$2:$BC$2,0))*INDEX(ref_exp_by_year,MATCH(B1321,'Data Export'!$B$6:$B$78,0),1)))</f>
        <v>0</v>
      </c>
      <c r="E1321">
        <v>4</v>
      </c>
      <c r="F1321" t="s">
        <v>231</v>
      </c>
    </row>
    <row r="1322" spans="1:6">
      <c r="A1322" t="str">
        <f t="shared" si="20"/>
        <v>GenericE&amp;DtemplateCIandGOA</v>
      </c>
      <c r="B1322">
        <v>51</v>
      </c>
      <c r="C1322">
        <v>21</v>
      </c>
      <c r="D1322" s="649">
        <f ca="1">IF(E1322=4,INDEX(crude_exp_dist,MATCH(B1322,'Crude Exp Dist'!$B$6:$B$78,0),MATCH(C1322,'Crude Exp Dist'!$AD$2:$BC$2,0))*INDEX(crude_exp_by_year,MATCH(B1322,'Data Export'!$B$6:$B$78,0),1),IF(E1322=5,INDEX(ref_exp_dist,MATCH(B1322,'Refined Petro Exp Dist'!$B$6:$B$78,0),MATCH(C1322,'Refined Petro Exp Dist'!$AD$2:$BC$2,0))*INDEX(ref_exp_by_year,MATCH(B1322,'Data Export'!$B$6:$B$78,0),1)))</f>
        <v>0</v>
      </c>
      <c r="E1322">
        <v>4</v>
      </c>
      <c r="F1322" t="s">
        <v>232</v>
      </c>
    </row>
    <row r="1323" spans="1:6">
      <c r="A1323" t="str">
        <f t="shared" si="20"/>
        <v>GenericE&amp;DtemplateCIandGOA</v>
      </c>
      <c r="B1323">
        <v>51</v>
      </c>
      <c r="C1323">
        <v>22</v>
      </c>
      <c r="D1323" s="649">
        <f ca="1">IF(E1323=4,INDEX(crude_exp_dist,MATCH(B1323,'Crude Exp Dist'!$B$6:$B$78,0),MATCH(C1323,'Crude Exp Dist'!$AD$2:$BC$2,0))*INDEX(crude_exp_by_year,MATCH(B1323,'Data Export'!$B$6:$B$78,0),1),IF(E1323=5,INDEX(ref_exp_dist,MATCH(B1323,'Refined Petro Exp Dist'!$B$6:$B$78,0),MATCH(C1323,'Refined Petro Exp Dist'!$AD$2:$BC$2,0))*INDEX(ref_exp_by_year,MATCH(B1323,'Data Export'!$B$6:$B$78,0),1)))</f>
        <v>0</v>
      </c>
      <c r="E1323">
        <v>4</v>
      </c>
      <c r="F1323" t="s">
        <v>235</v>
      </c>
    </row>
    <row r="1324" spans="1:6">
      <c r="A1324" t="str">
        <f t="shared" si="20"/>
        <v>GenericE&amp;DtemplateCIandGOA</v>
      </c>
      <c r="B1324">
        <v>51</v>
      </c>
      <c r="C1324">
        <v>23</v>
      </c>
      <c r="D1324" s="649">
        <f ca="1">IF(E1324=4,INDEX(crude_exp_dist,MATCH(B1324,'Crude Exp Dist'!$B$6:$B$78,0),MATCH(C1324,'Crude Exp Dist'!$AD$2:$BC$2,0))*INDEX(crude_exp_by_year,MATCH(B1324,'Data Export'!$B$6:$B$78,0),1),IF(E1324=5,INDEX(ref_exp_dist,MATCH(B1324,'Refined Petro Exp Dist'!$B$6:$B$78,0),MATCH(C1324,'Refined Petro Exp Dist'!$AD$2:$BC$2,0))*INDEX(ref_exp_by_year,MATCH(B1324,'Data Export'!$B$6:$B$78,0),1)))</f>
        <v>0</v>
      </c>
      <c r="E1324">
        <v>4</v>
      </c>
      <c r="F1324" t="s">
        <v>237</v>
      </c>
    </row>
    <row r="1325" spans="1:6">
      <c r="A1325" t="str">
        <f t="shared" si="20"/>
        <v>GenericE&amp;DtemplateCIandGOA</v>
      </c>
      <c r="B1325">
        <v>51</v>
      </c>
      <c r="C1325">
        <v>24</v>
      </c>
      <c r="D1325" s="649">
        <f ca="1">IF(E1325=4,INDEX(crude_exp_dist,MATCH(B1325,'Crude Exp Dist'!$B$6:$B$78,0),MATCH(C1325,'Crude Exp Dist'!$AD$2:$BC$2,0))*INDEX(crude_exp_by_year,MATCH(B1325,'Data Export'!$B$6:$B$78,0),1),IF(E1325=5,INDEX(ref_exp_dist,MATCH(B1325,'Refined Petro Exp Dist'!$B$6:$B$78,0),MATCH(C1325,'Refined Petro Exp Dist'!$AD$2:$BC$2,0))*INDEX(ref_exp_by_year,MATCH(B1325,'Data Export'!$B$6:$B$78,0),1)))</f>
        <v>0</v>
      </c>
      <c r="E1325">
        <v>4</v>
      </c>
      <c r="F1325" t="s">
        <v>239</v>
      </c>
    </row>
    <row r="1326" spans="1:6">
      <c r="A1326" t="str">
        <f t="shared" si="20"/>
        <v>GenericE&amp;DtemplateCIandGOA</v>
      </c>
      <c r="B1326">
        <v>51</v>
      </c>
      <c r="C1326">
        <v>25</v>
      </c>
      <c r="D1326" s="649">
        <f ca="1">IF(E1326=4,INDEX(crude_exp_dist,MATCH(B1326,'Crude Exp Dist'!$B$6:$B$78,0),MATCH(C1326,'Crude Exp Dist'!$AD$2:$BC$2,0))*INDEX(crude_exp_by_year,MATCH(B1326,'Data Export'!$B$6:$B$78,0),1),IF(E1326=5,INDEX(ref_exp_dist,MATCH(B1326,'Refined Petro Exp Dist'!$B$6:$B$78,0),MATCH(C1326,'Refined Petro Exp Dist'!$AD$2:$BC$2,0))*INDEX(ref_exp_by_year,MATCH(B1326,'Data Export'!$B$6:$B$78,0),1)))</f>
        <v>0</v>
      </c>
      <c r="E1326">
        <v>4</v>
      </c>
      <c r="F1326" t="s">
        <v>242</v>
      </c>
    </row>
    <row r="1327" spans="1:6">
      <c r="A1327" t="str">
        <f t="shared" si="20"/>
        <v>GenericE&amp;DtemplateCIandGOA</v>
      </c>
      <c r="B1327">
        <v>51</v>
      </c>
      <c r="C1327">
        <v>26</v>
      </c>
      <c r="D1327" s="649">
        <f ca="1">IF(E1327=4,INDEX(crude_exp_dist,MATCH(B1327,'Crude Exp Dist'!$B$6:$B$78,0),MATCH(C1327,'Crude Exp Dist'!$AD$2:$BC$2,0))*INDEX(crude_exp_by_year,MATCH(B1327,'Data Export'!$B$6:$B$78,0),1),IF(E1327=5,INDEX(ref_exp_dist,MATCH(B1327,'Refined Petro Exp Dist'!$B$6:$B$78,0),MATCH(C1327,'Refined Petro Exp Dist'!$AD$2:$BC$2,0))*INDEX(ref_exp_by_year,MATCH(B1327,'Data Export'!$B$6:$B$78,0),1)))</f>
        <v>0</v>
      </c>
      <c r="E1327">
        <v>4</v>
      </c>
      <c r="F1327" t="s">
        <v>245</v>
      </c>
    </row>
    <row r="1328" spans="1:6">
      <c r="A1328" t="str">
        <f t="shared" si="20"/>
        <v>GenericE&amp;DtemplateCIandGOA</v>
      </c>
      <c r="B1328">
        <v>52</v>
      </c>
      <c r="C1328">
        <v>1</v>
      </c>
      <c r="D1328" s="649">
        <f ca="1">IF(E1328=4,INDEX(crude_exp_dist,MATCH(B1328,'Crude Exp Dist'!$B$6:$B$78,0),MATCH(C1328,'Crude Exp Dist'!$AD$2:$BC$2,0))*INDEX(crude_exp_by_year,MATCH(B1328,'Data Export'!$B$6:$B$78,0),1),IF(E1328=5,INDEX(ref_exp_dist,MATCH(B1328,'Refined Petro Exp Dist'!$B$6:$B$78,0),MATCH(C1328,'Refined Petro Exp Dist'!$AD$2:$BC$2,0))*INDEX(ref_exp_by_year,MATCH(B1328,'Data Export'!$B$6:$B$78,0),1)))</f>
        <v>0</v>
      </c>
      <c r="E1328">
        <v>4</v>
      </c>
      <c r="F1328" t="s">
        <v>158</v>
      </c>
    </row>
    <row r="1329" spans="1:6">
      <c r="A1329" t="str">
        <f t="shared" si="20"/>
        <v>GenericE&amp;DtemplateCIandGOA</v>
      </c>
      <c r="B1329">
        <v>52</v>
      </c>
      <c r="C1329">
        <v>2</v>
      </c>
      <c r="D1329" s="649">
        <f ca="1">IF(E1329=4,INDEX(crude_exp_dist,MATCH(B1329,'Crude Exp Dist'!$B$6:$B$78,0),MATCH(C1329,'Crude Exp Dist'!$AD$2:$BC$2,0))*INDEX(crude_exp_by_year,MATCH(B1329,'Data Export'!$B$6:$B$78,0),1),IF(E1329=5,INDEX(ref_exp_dist,MATCH(B1329,'Refined Petro Exp Dist'!$B$6:$B$78,0),MATCH(C1329,'Refined Petro Exp Dist'!$AD$2:$BC$2,0))*INDEX(ref_exp_by_year,MATCH(B1329,'Data Export'!$B$6:$B$78,0),1)))</f>
        <v>0</v>
      </c>
      <c r="E1329">
        <v>4</v>
      </c>
      <c r="F1329" t="s">
        <v>166</v>
      </c>
    </row>
    <row r="1330" spans="1:6">
      <c r="A1330" t="str">
        <f t="shared" si="20"/>
        <v>GenericE&amp;DtemplateCIandGOA</v>
      </c>
      <c r="B1330">
        <v>52</v>
      </c>
      <c r="C1330">
        <v>3</v>
      </c>
      <c r="D1330" s="649">
        <f ca="1">IF(E1330=4,INDEX(crude_exp_dist,MATCH(B1330,'Crude Exp Dist'!$B$6:$B$78,0),MATCH(C1330,'Crude Exp Dist'!$AD$2:$BC$2,0))*INDEX(crude_exp_by_year,MATCH(B1330,'Data Export'!$B$6:$B$78,0),1),IF(E1330=5,INDEX(ref_exp_dist,MATCH(B1330,'Refined Petro Exp Dist'!$B$6:$B$78,0),MATCH(C1330,'Refined Petro Exp Dist'!$AD$2:$BC$2,0))*INDEX(ref_exp_by_year,MATCH(B1330,'Data Export'!$B$6:$B$78,0),1)))</f>
        <v>0</v>
      </c>
      <c r="E1330">
        <v>4</v>
      </c>
      <c r="F1330" t="s">
        <v>171</v>
      </c>
    </row>
    <row r="1331" spans="1:6">
      <c r="A1331" t="str">
        <f t="shared" si="20"/>
        <v>GenericE&amp;DtemplateCIandGOA</v>
      </c>
      <c r="B1331">
        <v>52</v>
      </c>
      <c r="C1331">
        <v>4</v>
      </c>
      <c r="D1331" s="649">
        <f ca="1">IF(E1331=4,INDEX(crude_exp_dist,MATCH(B1331,'Crude Exp Dist'!$B$6:$B$78,0),MATCH(C1331,'Crude Exp Dist'!$AD$2:$BC$2,0))*INDEX(crude_exp_by_year,MATCH(B1331,'Data Export'!$B$6:$B$78,0),1),IF(E1331=5,INDEX(ref_exp_dist,MATCH(B1331,'Refined Petro Exp Dist'!$B$6:$B$78,0),MATCH(C1331,'Refined Petro Exp Dist'!$AD$2:$BC$2,0))*INDEX(ref_exp_by_year,MATCH(B1331,'Data Export'!$B$6:$B$78,0),1)))</f>
        <v>0</v>
      </c>
      <c r="E1331">
        <v>4</v>
      </c>
      <c r="F1331" t="s">
        <v>173</v>
      </c>
    </row>
    <row r="1332" spans="1:6">
      <c r="A1332" t="str">
        <f t="shared" si="20"/>
        <v>GenericE&amp;DtemplateCIandGOA</v>
      </c>
      <c r="B1332">
        <v>52</v>
      </c>
      <c r="C1332">
        <v>5</v>
      </c>
      <c r="D1332" s="649">
        <f ca="1">IF(E1332=4,INDEX(crude_exp_dist,MATCH(B1332,'Crude Exp Dist'!$B$6:$B$78,0),MATCH(C1332,'Crude Exp Dist'!$AD$2:$BC$2,0))*INDEX(crude_exp_by_year,MATCH(B1332,'Data Export'!$B$6:$B$78,0),1),IF(E1332=5,INDEX(ref_exp_dist,MATCH(B1332,'Refined Petro Exp Dist'!$B$6:$B$78,0),MATCH(C1332,'Refined Petro Exp Dist'!$AD$2:$BC$2,0))*INDEX(ref_exp_by_year,MATCH(B1332,'Data Export'!$B$6:$B$78,0),1)))</f>
        <v>0</v>
      </c>
      <c r="E1332">
        <v>4</v>
      </c>
      <c r="F1332" t="s">
        <v>180</v>
      </c>
    </row>
    <row r="1333" spans="1:6">
      <c r="A1333" t="str">
        <f t="shared" si="20"/>
        <v>GenericE&amp;DtemplateCIandGOA</v>
      </c>
      <c r="B1333">
        <v>52</v>
      </c>
      <c r="C1333">
        <v>6</v>
      </c>
      <c r="D1333" s="649">
        <f ca="1">IF(E1333=4,INDEX(crude_exp_dist,MATCH(B1333,'Crude Exp Dist'!$B$6:$B$78,0),MATCH(C1333,'Crude Exp Dist'!$AD$2:$BC$2,0))*INDEX(crude_exp_by_year,MATCH(B1333,'Data Export'!$B$6:$B$78,0),1),IF(E1333=5,INDEX(ref_exp_dist,MATCH(B1333,'Refined Petro Exp Dist'!$B$6:$B$78,0),MATCH(C1333,'Refined Petro Exp Dist'!$AD$2:$BC$2,0))*INDEX(ref_exp_by_year,MATCH(B1333,'Data Export'!$B$6:$B$78,0),1)))</f>
        <v>0</v>
      </c>
      <c r="E1333">
        <v>4</v>
      </c>
      <c r="F1333" t="s">
        <v>186</v>
      </c>
    </row>
    <row r="1334" spans="1:6">
      <c r="A1334" t="str">
        <f t="shared" si="20"/>
        <v>GenericE&amp;DtemplateCIandGOA</v>
      </c>
      <c r="B1334">
        <v>52</v>
      </c>
      <c r="C1334">
        <v>7</v>
      </c>
      <c r="D1334" s="649">
        <f ca="1">IF(E1334=4,INDEX(crude_exp_dist,MATCH(B1334,'Crude Exp Dist'!$B$6:$B$78,0),MATCH(C1334,'Crude Exp Dist'!$AD$2:$BC$2,0))*INDEX(crude_exp_by_year,MATCH(B1334,'Data Export'!$B$6:$B$78,0),1),IF(E1334=5,INDEX(ref_exp_dist,MATCH(B1334,'Refined Petro Exp Dist'!$B$6:$B$78,0),MATCH(C1334,'Refined Petro Exp Dist'!$AD$2:$BC$2,0))*INDEX(ref_exp_by_year,MATCH(B1334,'Data Export'!$B$6:$B$78,0),1)))</f>
        <v>0</v>
      </c>
      <c r="E1334">
        <v>4</v>
      </c>
      <c r="F1334" t="s">
        <v>191</v>
      </c>
    </row>
    <row r="1335" spans="1:6">
      <c r="A1335" t="str">
        <f t="shared" si="20"/>
        <v>GenericE&amp;DtemplateCIandGOA</v>
      </c>
      <c r="B1335">
        <v>52</v>
      </c>
      <c r="C1335">
        <v>8</v>
      </c>
      <c r="D1335" s="649">
        <f ca="1">IF(E1335=4,INDEX(crude_exp_dist,MATCH(B1335,'Crude Exp Dist'!$B$6:$B$78,0),MATCH(C1335,'Crude Exp Dist'!$AD$2:$BC$2,0))*INDEX(crude_exp_by_year,MATCH(B1335,'Data Export'!$B$6:$B$78,0),1),IF(E1335=5,INDEX(ref_exp_dist,MATCH(B1335,'Refined Petro Exp Dist'!$B$6:$B$78,0),MATCH(C1335,'Refined Petro Exp Dist'!$AD$2:$BC$2,0))*INDEX(ref_exp_by_year,MATCH(B1335,'Data Export'!$B$6:$B$78,0),1)))</f>
        <v>0</v>
      </c>
      <c r="E1335">
        <v>4</v>
      </c>
      <c r="F1335" t="s">
        <v>197</v>
      </c>
    </row>
    <row r="1336" spans="1:6">
      <c r="A1336" t="str">
        <f t="shared" si="20"/>
        <v>GenericE&amp;DtemplateCIandGOA</v>
      </c>
      <c r="B1336">
        <v>52</v>
      </c>
      <c r="C1336">
        <v>9</v>
      </c>
      <c r="D1336" s="649">
        <f ca="1">IF(E1336=4,INDEX(crude_exp_dist,MATCH(B1336,'Crude Exp Dist'!$B$6:$B$78,0),MATCH(C1336,'Crude Exp Dist'!$AD$2:$BC$2,0))*INDEX(crude_exp_by_year,MATCH(B1336,'Data Export'!$B$6:$B$78,0),1),IF(E1336=5,INDEX(ref_exp_dist,MATCH(B1336,'Refined Petro Exp Dist'!$B$6:$B$78,0),MATCH(C1336,'Refined Petro Exp Dist'!$AD$2:$BC$2,0))*INDEX(ref_exp_by_year,MATCH(B1336,'Data Export'!$B$6:$B$78,0),1)))</f>
        <v>0</v>
      </c>
      <c r="E1336">
        <v>4</v>
      </c>
      <c r="F1336" t="s">
        <v>199</v>
      </c>
    </row>
    <row r="1337" spans="1:6">
      <c r="A1337" t="str">
        <f t="shared" si="20"/>
        <v>GenericE&amp;DtemplateCIandGOA</v>
      </c>
      <c r="B1337">
        <v>52</v>
      </c>
      <c r="C1337">
        <v>10</v>
      </c>
      <c r="D1337" s="649">
        <f ca="1">IF(E1337=4,INDEX(crude_exp_dist,MATCH(B1337,'Crude Exp Dist'!$B$6:$B$78,0),MATCH(C1337,'Crude Exp Dist'!$AD$2:$BC$2,0))*INDEX(crude_exp_by_year,MATCH(B1337,'Data Export'!$B$6:$B$78,0),1),IF(E1337=5,INDEX(ref_exp_dist,MATCH(B1337,'Refined Petro Exp Dist'!$B$6:$B$78,0),MATCH(C1337,'Refined Petro Exp Dist'!$AD$2:$BC$2,0))*INDEX(ref_exp_by_year,MATCH(B1337,'Data Export'!$B$6:$B$78,0),1)))</f>
        <v>0</v>
      </c>
      <c r="E1337">
        <v>4</v>
      </c>
      <c r="F1337" t="s">
        <v>201</v>
      </c>
    </row>
    <row r="1338" spans="1:6">
      <c r="A1338" t="str">
        <f t="shared" si="20"/>
        <v>GenericE&amp;DtemplateCIandGOA</v>
      </c>
      <c r="B1338">
        <v>52</v>
      </c>
      <c r="C1338">
        <v>11</v>
      </c>
      <c r="D1338" s="649">
        <f ca="1">IF(E1338=4,INDEX(crude_exp_dist,MATCH(B1338,'Crude Exp Dist'!$B$6:$B$78,0),MATCH(C1338,'Crude Exp Dist'!$AD$2:$BC$2,0))*INDEX(crude_exp_by_year,MATCH(B1338,'Data Export'!$B$6:$B$78,0),1),IF(E1338=5,INDEX(ref_exp_dist,MATCH(B1338,'Refined Petro Exp Dist'!$B$6:$B$78,0),MATCH(C1338,'Refined Petro Exp Dist'!$AD$2:$BC$2,0))*INDEX(ref_exp_by_year,MATCH(B1338,'Data Export'!$B$6:$B$78,0),1)))</f>
        <v>0</v>
      </c>
      <c r="E1338">
        <v>4</v>
      </c>
      <c r="F1338" t="s">
        <v>921</v>
      </c>
    </row>
    <row r="1339" spans="1:6">
      <c r="A1339" t="str">
        <f t="shared" si="20"/>
        <v>GenericE&amp;DtemplateCIandGOA</v>
      </c>
      <c r="B1339">
        <v>52</v>
      </c>
      <c r="C1339">
        <v>12</v>
      </c>
      <c r="D1339" s="649">
        <f ca="1">IF(E1339=4,INDEX(crude_exp_dist,MATCH(B1339,'Crude Exp Dist'!$B$6:$B$78,0),MATCH(C1339,'Crude Exp Dist'!$AD$2:$BC$2,0))*INDEX(crude_exp_by_year,MATCH(B1339,'Data Export'!$B$6:$B$78,0),1),IF(E1339=5,INDEX(ref_exp_dist,MATCH(B1339,'Refined Petro Exp Dist'!$B$6:$B$78,0),MATCH(C1339,'Refined Petro Exp Dist'!$AD$2:$BC$2,0))*INDEX(ref_exp_by_year,MATCH(B1339,'Data Export'!$B$6:$B$78,0),1)))</f>
        <v>0</v>
      </c>
      <c r="E1339">
        <v>4</v>
      </c>
      <c r="F1339" t="s">
        <v>208</v>
      </c>
    </row>
    <row r="1340" spans="1:6">
      <c r="A1340" t="str">
        <f t="shared" si="20"/>
        <v>GenericE&amp;DtemplateCIandGOA</v>
      </c>
      <c r="B1340">
        <v>52</v>
      </c>
      <c r="C1340">
        <v>13</v>
      </c>
      <c r="D1340" s="649">
        <f ca="1">IF(E1340=4,INDEX(crude_exp_dist,MATCH(B1340,'Crude Exp Dist'!$B$6:$B$78,0),MATCH(C1340,'Crude Exp Dist'!$AD$2:$BC$2,0))*INDEX(crude_exp_by_year,MATCH(B1340,'Data Export'!$B$6:$B$78,0),1),IF(E1340=5,INDEX(ref_exp_dist,MATCH(B1340,'Refined Petro Exp Dist'!$B$6:$B$78,0),MATCH(C1340,'Refined Petro Exp Dist'!$AD$2:$BC$2,0))*INDEX(ref_exp_by_year,MATCH(B1340,'Data Export'!$B$6:$B$78,0),1)))</f>
        <v>0</v>
      </c>
      <c r="E1340">
        <v>4</v>
      </c>
      <c r="F1340" t="s">
        <v>211</v>
      </c>
    </row>
    <row r="1341" spans="1:6">
      <c r="A1341" t="str">
        <f t="shared" si="20"/>
        <v>GenericE&amp;DtemplateCIandGOA</v>
      </c>
      <c r="B1341">
        <v>52</v>
      </c>
      <c r="C1341">
        <v>14</v>
      </c>
      <c r="D1341" s="649">
        <f ca="1">IF(E1341=4,INDEX(crude_exp_dist,MATCH(B1341,'Crude Exp Dist'!$B$6:$B$78,0),MATCH(C1341,'Crude Exp Dist'!$AD$2:$BC$2,0))*INDEX(crude_exp_by_year,MATCH(B1341,'Data Export'!$B$6:$B$78,0),1),IF(E1341=5,INDEX(ref_exp_dist,MATCH(B1341,'Refined Petro Exp Dist'!$B$6:$B$78,0),MATCH(C1341,'Refined Petro Exp Dist'!$AD$2:$BC$2,0))*INDEX(ref_exp_by_year,MATCH(B1341,'Data Export'!$B$6:$B$78,0),1)))</f>
        <v>0</v>
      </c>
      <c r="E1341">
        <v>4</v>
      </c>
      <c r="F1341" t="s">
        <v>213</v>
      </c>
    </row>
    <row r="1342" spans="1:6">
      <c r="A1342" t="str">
        <f t="shared" si="20"/>
        <v>GenericE&amp;DtemplateCIandGOA</v>
      </c>
      <c r="B1342">
        <v>52</v>
      </c>
      <c r="C1342">
        <v>15</v>
      </c>
      <c r="D1342" s="649">
        <f ca="1">IF(E1342=4,INDEX(crude_exp_dist,MATCH(B1342,'Crude Exp Dist'!$B$6:$B$78,0),MATCH(C1342,'Crude Exp Dist'!$AD$2:$BC$2,0))*INDEX(crude_exp_by_year,MATCH(B1342,'Data Export'!$B$6:$B$78,0),1),IF(E1342=5,INDEX(ref_exp_dist,MATCH(B1342,'Refined Petro Exp Dist'!$B$6:$B$78,0),MATCH(C1342,'Refined Petro Exp Dist'!$AD$2:$BC$2,0))*INDEX(ref_exp_by_year,MATCH(B1342,'Data Export'!$B$6:$B$78,0),1)))</f>
        <v>0</v>
      </c>
      <c r="E1342">
        <v>4</v>
      </c>
      <c r="F1342" t="s">
        <v>215</v>
      </c>
    </row>
    <row r="1343" spans="1:6">
      <c r="A1343" t="str">
        <f t="shared" si="20"/>
        <v>GenericE&amp;DtemplateCIandGOA</v>
      </c>
      <c r="B1343">
        <v>52</v>
      </c>
      <c r="C1343">
        <v>16</v>
      </c>
      <c r="D1343" s="649">
        <f ca="1">IF(E1343=4,INDEX(crude_exp_dist,MATCH(B1343,'Crude Exp Dist'!$B$6:$B$78,0),MATCH(C1343,'Crude Exp Dist'!$AD$2:$BC$2,0))*INDEX(crude_exp_by_year,MATCH(B1343,'Data Export'!$B$6:$B$78,0),1),IF(E1343=5,INDEX(ref_exp_dist,MATCH(B1343,'Refined Petro Exp Dist'!$B$6:$B$78,0),MATCH(C1343,'Refined Petro Exp Dist'!$AD$2:$BC$2,0))*INDEX(ref_exp_by_year,MATCH(B1343,'Data Export'!$B$6:$B$78,0),1)))</f>
        <v>0</v>
      </c>
      <c r="E1343">
        <v>4</v>
      </c>
      <c r="F1343" t="s">
        <v>219</v>
      </c>
    </row>
    <row r="1344" spans="1:6">
      <c r="A1344" t="str">
        <f t="shared" si="20"/>
        <v>GenericE&amp;DtemplateCIandGOA</v>
      </c>
      <c r="B1344">
        <v>52</v>
      </c>
      <c r="C1344">
        <v>17</v>
      </c>
      <c r="D1344" s="649">
        <f ca="1">IF(E1344=4,INDEX(crude_exp_dist,MATCH(B1344,'Crude Exp Dist'!$B$6:$B$78,0),MATCH(C1344,'Crude Exp Dist'!$AD$2:$BC$2,0))*INDEX(crude_exp_by_year,MATCH(B1344,'Data Export'!$B$6:$B$78,0),1),IF(E1344=5,INDEX(ref_exp_dist,MATCH(B1344,'Refined Petro Exp Dist'!$B$6:$B$78,0),MATCH(C1344,'Refined Petro Exp Dist'!$AD$2:$BC$2,0))*INDEX(ref_exp_by_year,MATCH(B1344,'Data Export'!$B$6:$B$78,0),1)))</f>
        <v>0</v>
      </c>
      <c r="E1344">
        <v>4</v>
      </c>
      <c r="F1344" t="s">
        <v>222</v>
      </c>
    </row>
    <row r="1345" spans="1:6">
      <c r="A1345" t="str">
        <f t="shared" si="20"/>
        <v>GenericE&amp;DtemplateCIandGOA</v>
      </c>
      <c r="B1345">
        <v>52</v>
      </c>
      <c r="C1345">
        <v>18</v>
      </c>
      <c r="D1345" s="649">
        <f ca="1">IF(E1345=4,INDEX(crude_exp_dist,MATCH(B1345,'Crude Exp Dist'!$B$6:$B$78,0),MATCH(C1345,'Crude Exp Dist'!$AD$2:$BC$2,0))*INDEX(crude_exp_by_year,MATCH(B1345,'Data Export'!$B$6:$B$78,0),1),IF(E1345=5,INDEX(ref_exp_dist,MATCH(B1345,'Refined Petro Exp Dist'!$B$6:$B$78,0),MATCH(C1345,'Refined Petro Exp Dist'!$AD$2:$BC$2,0))*INDEX(ref_exp_by_year,MATCH(B1345,'Data Export'!$B$6:$B$78,0),1)))</f>
        <v>0</v>
      </c>
      <c r="E1345">
        <v>4</v>
      </c>
      <c r="F1345" t="s">
        <v>224</v>
      </c>
    </row>
    <row r="1346" spans="1:6">
      <c r="A1346" t="str">
        <f t="shared" ref="A1346:A1409" si="21">scenario_name</f>
        <v>GenericE&amp;DtemplateCIandGOA</v>
      </c>
      <c r="B1346">
        <v>52</v>
      </c>
      <c r="C1346">
        <v>19</v>
      </c>
      <c r="D1346" s="649">
        <f ca="1">IF(E1346=4,INDEX(crude_exp_dist,MATCH(B1346,'Crude Exp Dist'!$B$6:$B$78,0),MATCH(C1346,'Crude Exp Dist'!$AD$2:$BC$2,0))*INDEX(crude_exp_by_year,MATCH(B1346,'Data Export'!$B$6:$B$78,0),1),IF(E1346=5,INDEX(ref_exp_dist,MATCH(B1346,'Refined Petro Exp Dist'!$B$6:$B$78,0),MATCH(C1346,'Refined Petro Exp Dist'!$AD$2:$BC$2,0))*INDEX(ref_exp_by_year,MATCH(B1346,'Data Export'!$B$6:$B$78,0),1)))</f>
        <v>0</v>
      </c>
      <c r="E1346">
        <v>4</v>
      </c>
      <c r="F1346" t="s">
        <v>228</v>
      </c>
    </row>
    <row r="1347" spans="1:6">
      <c r="A1347" t="str">
        <f t="shared" si="21"/>
        <v>GenericE&amp;DtemplateCIandGOA</v>
      </c>
      <c r="B1347">
        <v>52</v>
      </c>
      <c r="C1347">
        <v>20</v>
      </c>
      <c r="D1347" s="649">
        <f ca="1">IF(E1347=4,INDEX(crude_exp_dist,MATCH(B1347,'Crude Exp Dist'!$B$6:$B$78,0),MATCH(C1347,'Crude Exp Dist'!$AD$2:$BC$2,0))*INDEX(crude_exp_by_year,MATCH(B1347,'Data Export'!$B$6:$B$78,0),1),IF(E1347=5,INDEX(ref_exp_dist,MATCH(B1347,'Refined Petro Exp Dist'!$B$6:$B$78,0),MATCH(C1347,'Refined Petro Exp Dist'!$AD$2:$BC$2,0))*INDEX(ref_exp_by_year,MATCH(B1347,'Data Export'!$B$6:$B$78,0),1)))</f>
        <v>0</v>
      </c>
      <c r="E1347">
        <v>4</v>
      </c>
      <c r="F1347" t="s">
        <v>231</v>
      </c>
    </row>
    <row r="1348" spans="1:6">
      <c r="A1348" t="str">
        <f t="shared" si="21"/>
        <v>GenericE&amp;DtemplateCIandGOA</v>
      </c>
      <c r="B1348">
        <v>52</v>
      </c>
      <c r="C1348">
        <v>21</v>
      </c>
      <c r="D1348" s="649">
        <f ca="1">IF(E1348=4,INDEX(crude_exp_dist,MATCH(B1348,'Crude Exp Dist'!$B$6:$B$78,0),MATCH(C1348,'Crude Exp Dist'!$AD$2:$BC$2,0))*INDEX(crude_exp_by_year,MATCH(B1348,'Data Export'!$B$6:$B$78,0),1),IF(E1348=5,INDEX(ref_exp_dist,MATCH(B1348,'Refined Petro Exp Dist'!$B$6:$B$78,0),MATCH(C1348,'Refined Petro Exp Dist'!$AD$2:$BC$2,0))*INDEX(ref_exp_by_year,MATCH(B1348,'Data Export'!$B$6:$B$78,0),1)))</f>
        <v>0</v>
      </c>
      <c r="E1348">
        <v>4</v>
      </c>
      <c r="F1348" t="s">
        <v>232</v>
      </c>
    </row>
    <row r="1349" spans="1:6">
      <c r="A1349" t="str">
        <f t="shared" si="21"/>
        <v>GenericE&amp;DtemplateCIandGOA</v>
      </c>
      <c r="B1349">
        <v>52</v>
      </c>
      <c r="C1349">
        <v>22</v>
      </c>
      <c r="D1349" s="649">
        <f ca="1">IF(E1349=4,INDEX(crude_exp_dist,MATCH(B1349,'Crude Exp Dist'!$B$6:$B$78,0),MATCH(C1349,'Crude Exp Dist'!$AD$2:$BC$2,0))*INDEX(crude_exp_by_year,MATCH(B1349,'Data Export'!$B$6:$B$78,0),1),IF(E1349=5,INDEX(ref_exp_dist,MATCH(B1349,'Refined Petro Exp Dist'!$B$6:$B$78,0),MATCH(C1349,'Refined Petro Exp Dist'!$AD$2:$BC$2,0))*INDEX(ref_exp_by_year,MATCH(B1349,'Data Export'!$B$6:$B$78,0),1)))</f>
        <v>0</v>
      </c>
      <c r="E1349">
        <v>4</v>
      </c>
      <c r="F1349" t="s">
        <v>235</v>
      </c>
    </row>
    <row r="1350" spans="1:6">
      <c r="A1350" t="str">
        <f t="shared" si="21"/>
        <v>GenericE&amp;DtemplateCIandGOA</v>
      </c>
      <c r="B1350">
        <v>52</v>
      </c>
      <c r="C1350">
        <v>23</v>
      </c>
      <c r="D1350" s="649">
        <f ca="1">IF(E1350=4,INDEX(crude_exp_dist,MATCH(B1350,'Crude Exp Dist'!$B$6:$B$78,0),MATCH(C1350,'Crude Exp Dist'!$AD$2:$BC$2,0))*INDEX(crude_exp_by_year,MATCH(B1350,'Data Export'!$B$6:$B$78,0),1),IF(E1350=5,INDEX(ref_exp_dist,MATCH(B1350,'Refined Petro Exp Dist'!$B$6:$B$78,0),MATCH(C1350,'Refined Petro Exp Dist'!$AD$2:$BC$2,0))*INDEX(ref_exp_by_year,MATCH(B1350,'Data Export'!$B$6:$B$78,0),1)))</f>
        <v>0</v>
      </c>
      <c r="E1350">
        <v>4</v>
      </c>
      <c r="F1350" t="s">
        <v>237</v>
      </c>
    </row>
    <row r="1351" spans="1:6">
      <c r="A1351" t="str">
        <f t="shared" si="21"/>
        <v>GenericE&amp;DtemplateCIandGOA</v>
      </c>
      <c r="B1351">
        <v>52</v>
      </c>
      <c r="C1351">
        <v>24</v>
      </c>
      <c r="D1351" s="649">
        <f ca="1">IF(E1351=4,INDEX(crude_exp_dist,MATCH(B1351,'Crude Exp Dist'!$B$6:$B$78,0),MATCH(C1351,'Crude Exp Dist'!$AD$2:$BC$2,0))*INDEX(crude_exp_by_year,MATCH(B1351,'Data Export'!$B$6:$B$78,0),1),IF(E1351=5,INDEX(ref_exp_dist,MATCH(B1351,'Refined Petro Exp Dist'!$B$6:$B$78,0),MATCH(C1351,'Refined Petro Exp Dist'!$AD$2:$BC$2,0))*INDEX(ref_exp_by_year,MATCH(B1351,'Data Export'!$B$6:$B$78,0),1)))</f>
        <v>0</v>
      </c>
      <c r="E1351">
        <v>4</v>
      </c>
      <c r="F1351" t="s">
        <v>239</v>
      </c>
    </row>
    <row r="1352" spans="1:6">
      <c r="A1352" t="str">
        <f t="shared" si="21"/>
        <v>GenericE&amp;DtemplateCIandGOA</v>
      </c>
      <c r="B1352">
        <v>52</v>
      </c>
      <c r="C1352">
        <v>25</v>
      </c>
      <c r="D1352" s="649">
        <f ca="1">IF(E1352=4,INDEX(crude_exp_dist,MATCH(B1352,'Crude Exp Dist'!$B$6:$B$78,0),MATCH(C1352,'Crude Exp Dist'!$AD$2:$BC$2,0))*INDEX(crude_exp_by_year,MATCH(B1352,'Data Export'!$B$6:$B$78,0),1),IF(E1352=5,INDEX(ref_exp_dist,MATCH(B1352,'Refined Petro Exp Dist'!$B$6:$B$78,0),MATCH(C1352,'Refined Petro Exp Dist'!$AD$2:$BC$2,0))*INDEX(ref_exp_by_year,MATCH(B1352,'Data Export'!$B$6:$B$78,0),1)))</f>
        <v>0</v>
      </c>
      <c r="E1352">
        <v>4</v>
      </c>
      <c r="F1352" t="s">
        <v>242</v>
      </c>
    </row>
    <row r="1353" spans="1:6">
      <c r="A1353" t="str">
        <f t="shared" si="21"/>
        <v>GenericE&amp;DtemplateCIandGOA</v>
      </c>
      <c r="B1353">
        <v>52</v>
      </c>
      <c r="C1353">
        <v>26</v>
      </c>
      <c r="D1353" s="649">
        <f ca="1">IF(E1353=4,INDEX(crude_exp_dist,MATCH(B1353,'Crude Exp Dist'!$B$6:$B$78,0),MATCH(C1353,'Crude Exp Dist'!$AD$2:$BC$2,0))*INDEX(crude_exp_by_year,MATCH(B1353,'Data Export'!$B$6:$B$78,0),1),IF(E1353=5,INDEX(ref_exp_dist,MATCH(B1353,'Refined Petro Exp Dist'!$B$6:$B$78,0),MATCH(C1353,'Refined Petro Exp Dist'!$AD$2:$BC$2,0))*INDEX(ref_exp_by_year,MATCH(B1353,'Data Export'!$B$6:$B$78,0),1)))</f>
        <v>0</v>
      </c>
      <c r="E1353">
        <v>4</v>
      </c>
      <c r="F1353" t="s">
        <v>245</v>
      </c>
    </row>
    <row r="1354" spans="1:6">
      <c r="A1354" t="str">
        <f t="shared" si="21"/>
        <v>GenericE&amp;DtemplateCIandGOA</v>
      </c>
      <c r="B1354">
        <v>53</v>
      </c>
      <c r="C1354">
        <v>1</v>
      </c>
      <c r="D1354" s="649">
        <f ca="1">IF(E1354=4,INDEX(crude_exp_dist,MATCH(B1354,'Crude Exp Dist'!$B$6:$B$78,0),MATCH(C1354,'Crude Exp Dist'!$AD$2:$BC$2,0))*INDEX(crude_exp_by_year,MATCH(B1354,'Data Export'!$B$6:$B$78,0),1),IF(E1354=5,INDEX(ref_exp_dist,MATCH(B1354,'Refined Petro Exp Dist'!$B$6:$B$78,0),MATCH(C1354,'Refined Petro Exp Dist'!$AD$2:$BC$2,0))*INDEX(ref_exp_by_year,MATCH(B1354,'Data Export'!$B$6:$B$78,0),1)))</f>
        <v>0</v>
      </c>
      <c r="E1354">
        <v>4</v>
      </c>
      <c r="F1354" t="s">
        <v>158</v>
      </c>
    </row>
    <row r="1355" spans="1:6">
      <c r="A1355" t="str">
        <f t="shared" si="21"/>
        <v>GenericE&amp;DtemplateCIandGOA</v>
      </c>
      <c r="B1355">
        <v>53</v>
      </c>
      <c r="C1355">
        <v>2</v>
      </c>
      <c r="D1355" s="649">
        <f ca="1">IF(E1355=4,INDEX(crude_exp_dist,MATCH(B1355,'Crude Exp Dist'!$B$6:$B$78,0),MATCH(C1355,'Crude Exp Dist'!$AD$2:$BC$2,0))*INDEX(crude_exp_by_year,MATCH(B1355,'Data Export'!$B$6:$B$78,0),1),IF(E1355=5,INDEX(ref_exp_dist,MATCH(B1355,'Refined Petro Exp Dist'!$B$6:$B$78,0),MATCH(C1355,'Refined Petro Exp Dist'!$AD$2:$BC$2,0))*INDEX(ref_exp_by_year,MATCH(B1355,'Data Export'!$B$6:$B$78,0),1)))</f>
        <v>0</v>
      </c>
      <c r="E1355">
        <v>4</v>
      </c>
      <c r="F1355" t="s">
        <v>166</v>
      </c>
    </row>
    <row r="1356" spans="1:6">
      <c r="A1356" t="str">
        <f t="shared" si="21"/>
        <v>GenericE&amp;DtemplateCIandGOA</v>
      </c>
      <c r="B1356">
        <v>53</v>
      </c>
      <c r="C1356">
        <v>3</v>
      </c>
      <c r="D1356" s="649">
        <f ca="1">IF(E1356=4,INDEX(crude_exp_dist,MATCH(B1356,'Crude Exp Dist'!$B$6:$B$78,0),MATCH(C1356,'Crude Exp Dist'!$AD$2:$BC$2,0))*INDEX(crude_exp_by_year,MATCH(B1356,'Data Export'!$B$6:$B$78,0),1),IF(E1356=5,INDEX(ref_exp_dist,MATCH(B1356,'Refined Petro Exp Dist'!$B$6:$B$78,0),MATCH(C1356,'Refined Petro Exp Dist'!$AD$2:$BC$2,0))*INDEX(ref_exp_by_year,MATCH(B1356,'Data Export'!$B$6:$B$78,0),1)))</f>
        <v>0</v>
      </c>
      <c r="E1356">
        <v>4</v>
      </c>
      <c r="F1356" t="s">
        <v>171</v>
      </c>
    </row>
    <row r="1357" spans="1:6">
      <c r="A1357" t="str">
        <f t="shared" si="21"/>
        <v>GenericE&amp;DtemplateCIandGOA</v>
      </c>
      <c r="B1357">
        <v>53</v>
      </c>
      <c r="C1357">
        <v>4</v>
      </c>
      <c r="D1357" s="649">
        <f ca="1">IF(E1357=4,INDEX(crude_exp_dist,MATCH(B1357,'Crude Exp Dist'!$B$6:$B$78,0),MATCH(C1357,'Crude Exp Dist'!$AD$2:$BC$2,0))*INDEX(crude_exp_by_year,MATCH(B1357,'Data Export'!$B$6:$B$78,0),1),IF(E1357=5,INDEX(ref_exp_dist,MATCH(B1357,'Refined Petro Exp Dist'!$B$6:$B$78,0),MATCH(C1357,'Refined Petro Exp Dist'!$AD$2:$BC$2,0))*INDEX(ref_exp_by_year,MATCH(B1357,'Data Export'!$B$6:$B$78,0),1)))</f>
        <v>0</v>
      </c>
      <c r="E1357">
        <v>4</v>
      </c>
      <c r="F1357" t="s">
        <v>173</v>
      </c>
    </row>
    <row r="1358" spans="1:6">
      <c r="A1358" t="str">
        <f t="shared" si="21"/>
        <v>GenericE&amp;DtemplateCIandGOA</v>
      </c>
      <c r="B1358">
        <v>53</v>
      </c>
      <c r="C1358">
        <v>5</v>
      </c>
      <c r="D1358" s="649">
        <f ca="1">IF(E1358=4,INDEX(crude_exp_dist,MATCH(B1358,'Crude Exp Dist'!$B$6:$B$78,0),MATCH(C1358,'Crude Exp Dist'!$AD$2:$BC$2,0))*INDEX(crude_exp_by_year,MATCH(B1358,'Data Export'!$B$6:$B$78,0),1),IF(E1358=5,INDEX(ref_exp_dist,MATCH(B1358,'Refined Petro Exp Dist'!$B$6:$B$78,0),MATCH(C1358,'Refined Petro Exp Dist'!$AD$2:$BC$2,0))*INDEX(ref_exp_by_year,MATCH(B1358,'Data Export'!$B$6:$B$78,0),1)))</f>
        <v>0</v>
      </c>
      <c r="E1358">
        <v>4</v>
      </c>
      <c r="F1358" t="s">
        <v>180</v>
      </c>
    </row>
    <row r="1359" spans="1:6">
      <c r="A1359" t="str">
        <f t="shared" si="21"/>
        <v>GenericE&amp;DtemplateCIandGOA</v>
      </c>
      <c r="B1359">
        <v>53</v>
      </c>
      <c r="C1359">
        <v>6</v>
      </c>
      <c r="D1359" s="649">
        <f ca="1">IF(E1359=4,INDEX(crude_exp_dist,MATCH(B1359,'Crude Exp Dist'!$B$6:$B$78,0),MATCH(C1359,'Crude Exp Dist'!$AD$2:$BC$2,0))*INDEX(crude_exp_by_year,MATCH(B1359,'Data Export'!$B$6:$B$78,0),1),IF(E1359=5,INDEX(ref_exp_dist,MATCH(B1359,'Refined Petro Exp Dist'!$B$6:$B$78,0),MATCH(C1359,'Refined Petro Exp Dist'!$AD$2:$BC$2,0))*INDEX(ref_exp_by_year,MATCH(B1359,'Data Export'!$B$6:$B$78,0),1)))</f>
        <v>0</v>
      </c>
      <c r="E1359">
        <v>4</v>
      </c>
      <c r="F1359" t="s">
        <v>186</v>
      </c>
    </row>
    <row r="1360" spans="1:6">
      <c r="A1360" t="str">
        <f t="shared" si="21"/>
        <v>GenericE&amp;DtemplateCIandGOA</v>
      </c>
      <c r="B1360">
        <v>53</v>
      </c>
      <c r="C1360">
        <v>7</v>
      </c>
      <c r="D1360" s="649">
        <f ca="1">IF(E1360=4,INDEX(crude_exp_dist,MATCH(B1360,'Crude Exp Dist'!$B$6:$B$78,0),MATCH(C1360,'Crude Exp Dist'!$AD$2:$BC$2,0))*INDEX(crude_exp_by_year,MATCH(B1360,'Data Export'!$B$6:$B$78,0),1),IF(E1360=5,INDEX(ref_exp_dist,MATCH(B1360,'Refined Petro Exp Dist'!$B$6:$B$78,0),MATCH(C1360,'Refined Petro Exp Dist'!$AD$2:$BC$2,0))*INDEX(ref_exp_by_year,MATCH(B1360,'Data Export'!$B$6:$B$78,0),1)))</f>
        <v>0</v>
      </c>
      <c r="E1360">
        <v>4</v>
      </c>
      <c r="F1360" t="s">
        <v>191</v>
      </c>
    </row>
    <row r="1361" spans="1:6">
      <c r="A1361" t="str">
        <f t="shared" si="21"/>
        <v>GenericE&amp;DtemplateCIandGOA</v>
      </c>
      <c r="B1361">
        <v>53</v>
      </c>
      <c r="C1361">
        <v>8</v>
      </c>
      <c r="D1361" s="649">
        <f ca="1">IF(E1361=4,INDEX(crude_exp_dist,MATCH(B1361,'Crude Exp Dist'!$B$6:$B$78,0),MATCH(C1361,'Crude Exp Dist'!$AD$2:$BC$2,0))*INDEX(crude_exp_by_year,MATCH(B1361,'Data Export'!$B$6:$B$78,0),1),IF(E1361=5,INDEX(ref_exp_dist,MATCH(B1361,'Refined Petro Exp Dist'!$B$6:$B$78,0),MATCH(C1361,'Refined Petro Exp Dist'!$AD$2:$BC$2,0))*INDEX(ref_exp_by_year,MATCH(B1361,'Data Export'!$B$6:$B$78,0),1)))</f>
        <v>0</v>
      </c>
      <c r="E1361">
        <v>4</v>
      </c>
      <c r="F1361" t="s">
        <v>197</v>
      </c>
    </row>
    <row r="1362" spans="1:6">
      <c r="A1362" t="str">
        <f t="shared" si="21"/>
        <v>GenericE&amp;DtemplateCIandGOA</v>
      </c>
      <c r="B1362">
        <v>53</v>
      </c>
      <c r="C1362">
        <v>9</v>
      </c>
      <c r="D1362" s="649">
        <f ca="1">IF(E1362=4,INDEX(crude_exp_dist,MATCH(B1362,'Crude Exp Dist'!$B$6:$B$78,0),MATCH(C1362,'Crude Exp Dist'!$AD$2:$BC$2,0))*INDEX(crude_exp_by_year,MATCH(B1362,'Data Export'!$B$6:$B$78,0),1),IF(E1362=5,INDEX(ref_exp_dist,MATCH(B1362,'Refined Petro Exp Dist'!$B$6:$B$78,0),MATCH(C1362,'Refined Petro Exp Dist'!$AD$2:$BC$2,0))*INDEX(ref_exp_by_year,MATCH(B1362,'Data Export'!$B$6:$B$78,0),1)))</f>
        <v>0</v>
      </c>
      <c r="E1362">
        <v>4</v>
      </c>
      <c r="F1362" t="s">
        <v>199</v>
      </c>
    </row>
    <row r="1363" spans="1:6">
      <c r="A1363" t="str">
        <f t="shared" si="21"/>
        <v>GenericE&amp;DtemplateCIandGOA</v>
      </c>
      <c r="B1363">
        <v>53</v>
      </c>
      <c r="C1363">
        <v>10</v>
      </c>
      <c r="D1363" s="649">
        <f ca="1">IF(E1363=4,INDEX(crude_exp_dist,MATCH(B1363,'Crude Exp Dist'!$B$6:$B$78,0),MATCH(C1363,'Crude Exp Dist'!$AD$2:$BC$2,0))*INDEX(crude_exp_by_year,MATCH(B1363,'Data Export'!$B$6:$B$78,0),1),IF(E1363=5,INDEX(ref_exp_dist,MATCH(B1363,'Refined Petro Exp Dist'!$B$6:$B$78,0),MATCH(C1363,'Refined Petro Exp Dist'!$AD$2:$BC$2,0))*INDEX(ref_exp_by_year,MATCH(B1363,'Data Export'!$B$6:$B$78,0),1)))</f>
        <v>0</v>
      </c>
      <c r="E1363">
        <v>4</v>
      </c>
      <c r="F1363" t="s">
        <v>201</v>
      </c>
    </row>
    <row r="1364" spans="1:6">
      <c r="A1364" t="str">
        <f t="shared" si="21"/>
        <v>GenericE&amp;DtemplateCIandGOA</v>
      </c>
      <c r="B1364">
        <v>53</v>
      </c>
      <c r="C1364">
        <v>11</v>
      </c>
      <c r="D1364" s="649">
        <f ca="1">IF(E1364=4,INDEX(crude_exp_dist,MATCH(B1364,'Crude Exp Dist'!$B$6:$B$78,0),MATCH(C1364,'Crude Exp Dist'!$AD$2:$BC$2,0))*INDEX(crude_exp_by_year,MATCH(B1364,'Data Export'!$B$6:$B$78,0),1),IF(E1364=5,INDEX(ref_exp_dist,MATCH(B1364,'Refined Petro Exp Dist'!$B$6:$B$78,0),MATCH(C1364,'Refined Petro Exp Dist'!$AD$2:$BC$2,0))*INDEX(ref_exp_by_year,MATCH(B1364,'Data Export'!$B$6:$B$78,0),1)))</f>
        <v>0</v>
      </c>
      <c r="E1364">
        <v>4</v>
      </c>
      <c r="F1364" t="s">
        <v>921</v>
      </c>
    </row>
    <row r="1365" spans="1:6">
      <c r="A1365" t="str">
        <f t="shared" si="21"/>
        <v>GenericE&amp;DtemplateCIandGOA</v>
      </c>
      <c r="B1365">
        <v>53</v>
      </c>
      <c r="C1365">
        <v>12</v>
      </c>
      <c r="D1365" s="649">
        <f ca="1">IF(E1365=4,INDEX(crude_exp_dist,MATCH(B1365,'Crude Exp Dist'!$B$6:$B$78,0),MATCH(C1365,'Crude Exp Dist'!$AD$2:$BC$2,0))*INDEX(crude_exp_by_year,MATCH(B1365,'Data Export'!$B$6:$B$78,0),1),IF(E1365=5,INDEX(ref_exp_dist,MATCH(B1365,'Refined Petro Exp Dist'!$B$6:$B$78,0),MATCH(C1365,'Refined Petro Exp Dist'!$AD$2:$BC$2,0))*INDEX(ref_exp_by_year,MATCH(B1365,'Data Export'!$B$6:$B$78,0),1)))</f>
        <v>0</v>
      </c>
      <c r="E1365">
        <v>4</v>
      </c>
      <c r="F1365" t="s">
        <v>208</v>
      </c>
    </row>
    <row r="1366" spans="1:6">
      <c r="A1366" t="str">
        <f t="shared" si="21"/>
        <v>GenericE&amp;DtemplateCIandGOA</v>
      </c>
      <c r="B1366">
        <v>53</v>
      </c>
      <c r="C1366">
        <v>13</v>
      </c>
      <c r="D1366" s="649">
        <f ca="1">IF(E1366=4,INDEX(crude_exp_dist,MATCH(B1366,'Crude Exp Dist'!$B$6:$B$78,0),MATCH(C1366,'Crude Exp Dist'!$AD$2:$BC$2,0))*INDEX(crude_exp_by_year,MATCH(B1366,'Data Export'!$B$6:$B$78,0),1),IF(E1366=5,INDEX(ref_exp_dist,MATCH(B1366,'Refined Petro Exp Dist'!$B$6:$B$78,0),MATCH(C1366,'Refined Petro Exp Dist'!$AD$2:$BC$2,0))*INDEX(ref_exp_by_year,MATCH(B1366,'Data Export'!$B$6:$B$78,0),1)))</f>
        <v>0</v>
      </c>
      <c r="E1366">
        <v>4</v>
      </c>
      <c r="F1366" t="s">
        <v>211</v>
      </c>
    </row>
    <row r="1367" spans="1:6">
      <c r="A1367" t="str">
        <f t="shared" si="21"/>
        <v>GenericE&amp;DtemplateCIandGOA</v>
      </c>
      <c r="B1367">
        <v>53</v>
      </c>
      <c r="C1367">
        <v>14</v>
      </c>
      <c r="D1367" s="649">
        <f ca="1">IF(E1367=4,INDEX(crude_exp_dist,MATCH(B1367,'Crude Exp Dist'!$B$6:$B$78,0),MATCH(C1367,'Crude Exp Dist'!$AD$2:$BC$2,0))*INDEX(crude_exp_by_year,MATCH(B1367,'Data Export'!$B$6:$B$78,0),1),IF(E1367=5,INDEX(ref_exp_dist,MATCH(B1367,'Refined Petro Exp Dist'!$B$6:$B$78,0),MATCH(C1367,'Refined Petro Exp Dist'!$AD$2:$BC$2,0))*INDEX(ref_exp_by_year,MATCH(B1367,'Data Export'!$B$6:$B$78,0),1)))</f>
        <v>0</v>
      </c>
      <c r="E1367">
        <v>4</v>
      </c>
      <c r="F1367" t="s">
        <v>213</v>
      </c>
    </row>
    <row r="1368" spans="1:6">
      <c r="A1368" t="str">
        <f t="shared" si="21"/>
        <v>GenericE&amp;DtemplateCIandGOA</v>
      </c>
      <c r="B1368">
        <v>53</v>
      </c>
      <c r="C1368">
        <v>15</v>
      </c>
      <c r="D1368" s="649">
        <f ca="1">IF(E1368=4,INDEX(crude_exp_dist,MATCH(B1368,'Crude Exp Dist'!$B$6:$B$78,0),MATCH(C1368,'Crude Exp Dist'!$AD$2:$BC$2,0))*INDEX(crude_exp_by_year,MATCH(B1368,'Data Export'!$B$6:$B$78,0),1),IF(E1368=5,INDEX(ref_exp_dist,MATCH(B1368,'Refined Petro Exp Dist'!$B$6:$B$78,0),MATCH(C1368,'Refined Petro Exp Dist'!$AD$2:$BC$2,0))*INDEX(ref_exp_by_year,MATCH(B1368,'Data Export'!$B$6:$B$78,0),1)))</f>
        <v>0</v>
      </c>
      <c r="E1368">
        <v>4</v>
      </c>
      <c r="F1368" t="s">
        <v>215</v>
      </c>
    </row>
    <row r="1369" spans="1:6">
      <c r="A1369" t="str">
        <f t="shared" si="21"/>
        <v>GenericE&amp;DtemplateCIandGOA</v>
      </c>
      <c r="B1369">
        <v>53</v>
      </c>
      <c r="C1369">
        <v>16</v>
      </c>
      <c r="D1369" s="649">
        <f ca="1">IF(E1369=4,INDEX(crude_exp_dist,MATCH(B1369,'Crude Exp Dist'!$B$6:$B$78,0),MATCH(C1369,'Crude Exp Dist'!$AD$2:$BC$2,0))*INDEX(crude_exp_by_year,MATCH(B1369,'Data Export'!$B$6:$B$78,0),1),IF(E1369=5,INDEX(ref_exp_dist,MATCH(B1369,'Refined Petro Exp Dist'!$B$6:$B$78,0),MATCH(C1369,'Refined Petro Exp Dist'!$AD$2:$BC$2,0))*INDEX(ref_exp_by_year,MATCH(B1369,'Data Export'!$B$6:$B$78,0),1)))</f>
        <v>0</v>
      </c>
      <c r="E1369">
        <v>4</v>
      </c>
      <c r="F1369" t="s">
        <v>219</v>
      </c>
    </row>
    <row r="1370" spans="1:6">
      <c r="A1370" t="str">
        <f t="shared" si="21"/>
        <v>GenericE&amp;DtemplateCIandGOA</v>
      </c>
      <c r="B1370">
        <v>53</v>
      </c>
      <c r="C1370">
        <v>17</v>
      </c>
      <c r="D1370" s="649">
        <f ca="1">IF(E1370=4,INDEX(crude_exp_dist,MATCH(B1370,'Crude Exp Dist'!$B$6:$B$78,0),MATCH(C1370,'Crude Exp Dist'!$AD$2:$BC$2,0))*INDEX(crude_exp_by_year,MATCH(B1370,'Data Export'!$B$6:$B$78,0),1),IF(E1370=5,INDEX(ref_exp_dist,MATCH(B1370,'Refined Petro Exp Dist'!$B$6:$B$78,0),MATCH(C1370,'Refined Petro Exp Dist'!$AD$2:$BC$2,0))*INDEX(ref_exp_by_year,MATCH(B1370,'Data Export'!$B$6:$B$78,0),1)))</f>
        <v>0</v>
      </c>
      <c r="E1370">
        <v>4</v>
      </c>
      <c r="F1370" t="s">
        <v>222</v>
      </c>
    </row>
    <row r="1371" spans="1:6">
      <c r="A1371" t="str">
        <f t="shared" si="21"/>
        <v>GenericE&amp;DtemplateCIandGOA</v>
      </c>
      <c r="B1371">
        <v>53</v>
      </c>
      <c r="C1371">
        <v>18</v>
      </c>
      <c r="D1371" s="649">
        <f ca="1">IF(E1371=4,INDEX(crude_exp_dist,MATCH(B1371,'Crude Exp Dist'!$B$6:$B$78,0),MATCH(C1371,'Crude Exp Dist'!$AD$2:$BC$2,0))*INDEX(crude_exp_by_year,MATCH(B1371,'Data Export'!$B$6:$B$78,0),1),IF(E1371=5,INDEX(ref_exp_dist,MATCH(B1371,'Refined Petro Exp Dist'!$B$6:$B$78,0),MATCH(C1371,'Refined Petro Exp Dist'!$AD$2:$BC$2,0))*INDEX(ref_exp_by_year,MATCH(B1371,'Data Export'!$B$6:$B$78,0),1)))</f>
        <v>0</v>
      </c>
      <c r="E1371">
        <v>4</v>
      </c>
      <c r="F1371" t="s">
        <v>224</v>
      </c>
    </row>
    <row r="1372" spans="1:6">
      <c r="A1372" t="str">
        <f t="shared" si="21"/>
        <v>GenericE&amp;DtemplateCIandGOA</v>
      </c>
      <c r="B1372">
        <v>53</v>
      </c>
      <c r="C1372">
        <v>19</v>
      </c>
      <c r="D1372" s="649">
        <f ca="1">IF(E1372=4,INDEX(crude_exp_dist,MATCH(B1372,'Crude Exp Dist'!$B$6:$B$78,0),MATCH(C1372,'Crude Exp Dist'!$AD$2:$BC$2,0))*INDEX(crude_exp_by_year,MATCH(B1372,'Data Export'!$B$6:$B$78,0),1),IF(E1372=5,INDEX(ref_exp_dist,MATCH(B1372,'Refined Petro Exp Dist'!$B$6:$B$78,0),MATCH(C1372,'Refined Petro Exp Dist'!$AD$2:$BC$2,0))*INDEX(ref_exp_by_year,MATCH(B1372,'Data Export'!$B$6:$B$78,0),1)))</f>
        <v>0</v>
      </c>
      <c r="E1372">
        <v>4</v>
      </c>
      <c r="F1372" t="s">
        <v>228</v>
      </c>
    </row>
    <row r="1373" spans="1:6">
      <c r="A1373" t="str">
        <f t="shared" si="21"/>
        <v>GenericE&amp;DtemplateCIandGOA</v>
      </c>
      <c r="B1373">
        <v>53</v>
      </c>
      <c r="C1373">
        <v>20</v>
      </c>
      <c r="D1373" s="649">
        <f ca="1">IF(E1373=4,INDEX(crude_exp_dist,MATCH(B1373,'Crude Exp Dist'!$B$6:$B$78,0),MATCH(C1373,'Crude Exp Dist'!$AD$2:$BC$2,0))*INDEX(crude_exp_by_year,MATCH(B1373,'Data Export'!$B$6:$B$78,0),1),IF(E1373=5,INDEX(ref_exp_dist,MATCH(B1373,'Refined Petro Exp Dist'!$B$6:$B$78,0),MATCH(C1373,'Refined Petro Exp Dist'!$AD$2:$BC$2,0))*INDEX(ref_exp_by_year,MATCH(B1373,'Data Export'!$B$6:$B$78,0),1)))</f>
        <v>0</v>
      </c>
      <c r="E1373">
        <v>4</v>
      </c>
      <c r="F1373" t="s">
        <v>231</v>
      </c>
    </row>
    <row r="1374" spans="1:6">
      <c r="A1374" t="str">
        <f t="shared" si="21"/>
        <v>GenericE&amp;DtemplateCIandGOA</v>
      </c>
      <c r="B1374">
        <v>53</v>
      </c>
      <c r="C1374">
        <v>21</v>
      </c>
      <c r="D1374" s="649">
        <f ca="1">IF(E1374=4,INDEX(crude_exp_dist,MATCH(B1374,'Crude Exp Dist'!$B$6:$B$78,0),MATCH(C1374,'Crude Exp Dist'!$AD$2:$BC$2,0))*INDEX(crude_exp_by_year,MATCH(B1374,'Data Export'!$B$6:$B$78,0),1),IF(E1374=5,INDEX(ref_exp_dist,MATCH(B1374,'Refined Petro Exp Dist'!$B$6:$B$78,0),MATCH(C1374,'Refined Petro Exp Dist'!$AD$2:$BC$2,0))*INDEX(ref_exp_by_year,MATCH(B1374,'Data Export'!$B$6:$B$78,0),1)))</f>
        <v>0</v>
      </c>
      <c r="E1374">
        <v>4</v>
      </c>
      <c r="F1374" t="s">
        <v>232</v>
      </c>
    </row>
    <row r="1375" spans="1:6">
      <c r="A1375" t="str">
        <f t="shared" si="21"/>
        <v>GenericE&amp;DtemplateCIandGOA</v>
      </c>
      <c r="B1375">
        <v>53</v>
      </c>
      <c r="C1375">
        <v>22</v>
      </c>
      <c r="D1375" s="649">
        <f ca="1">IF(E1375=4,INDEX(crude_exp_dist,MATCH(B1375,'Crude Exp Dist'!$B$6:$B$78,0),MATCH(C1375,'Crude Exp Dist'!$AD$2:$BC$2,0))*INDEX(crude_exp_by_year,MATCH(B1375,'Data Export'!$B$6:$B$78,0),1),IF(E1375=5,INDEX(ref_exp_dist,MATCH(B1375,'Refined Petro Exp Dist'!$B$6:$B$78,0),MATCH(C1375,'Refined Petro Exp Dist'!$AD$2:$BC$2,0))*INDEX(ref_exp_by_year,MATCH(B1375,'Data Export'!$B$6:$B$78,0),1)))</f>
        <v>0</v>
      </c>
      <c r="E1375">
        <v>4</v>
      </c>
      <c r="F1375" t="s">
        <v>235</v>
      </c>
    </row>
    <row r="1376" spans="1:6">
      <c r="A1376" t="str">
        <f t="shared" si="21"/>
        <v>GenericE&amp;DtemplateCIandGOA</v>
      </c>
      <c r="B1376">
        <v>53</v>
      </c>
      <c r="C1376">
        <v>23</v>
      </c>
      <c r="D1376" s="649">
        <f ca="1">IF(E1376=4,INDEX(crude_exp_dist,MATCH(B1376,'Crude Exp Dist'!$B$6:$B$78,0),MATCH(C1376,'Crude Exp Dist'!$AD$2:$BC$2,0))*INDEX(crude_exp_by_year,MATCH(B1376,'Data Export'!$B$6:$B$78,0),1),IF(E1376=5,INDEX(ref_exp_dist,MATCH(B1376,'Refined Petro Exp Dist'!$B$6:$B$78,0),MATCH(C1376,'Refined Petro Exp Dist'!$AD$2:$BC$2,0))*INDEX(ref_exp_by_year,MATCH(B1376,'Data Export'!$B$6:$B$78,0),1)))</f>
        <v>0</v>
      </c>
      <c r="E1376">
        <v>4</v>
      </c>
      <c r="F1376" t="s">
        <v>237</v>
      </c>
    </row>
    <row r="1377" spans="1:6">
      <c r="A1377" t="str">
        <f t="shared" si="21"/>
        <v>GenericE&amp;DtemplateCIandGOA</v>
      </c>
      <c r="B1377">
        <v>53</v>
      </c>
      <c r="C1377">
        <v>24</v>
      </c>
      <c r="D1377" s="649">
        <f ca="1">IF(E1377=4,INDEX(crude_exp_dist,MATCH(B1377,'Crude Exp Dist'!$B$6:$B$78,0),MATCH(C1377,'Crude Exp Dist'!$AD$2:$BC$2,0))*INDEX(crude_exp_by_year,MATCH(B1377,'Data Export'!$B$6:$B$78,0),1),IF(E1377=5,INDEX(ref_exp_dist,MATCH(B1377,'Refined Petro Exp Dist'!$B$6:$B$78,0),MATCH(C1377,'Refined Petro Exp Dist'!$AD$2:$BC$2,0))*INDEX(ref_exp_by_year,MATCH(B1377,'Data Export'!$B$6:$B$78,0),1)))</f>
        <v>0</v>
      </c>
      <c r="E1377">
        <v>4</v>
      </c>
      <c r="F1377" t="s">
        <v>239</v>
      </c>
    </row>
    <row r="1378" spans="1:6">
      <c r="A1378" t="str">
        <f t="shared" si="21"/>
        <v>GenericE&amp;DtemplateCIandGOA</v>
      </c>
      <c r="B1378">
        <v>53</v>
      </c>
      <c r="C1378">
        <v>25</v>
      </c>
      <c r="D1378" s="649">
        <f ca="1">IF(E1378=4,INDEX(crude_exp_dist,MATCH(B1378,'Crude Exp Dist'!$B$6:$B$78,0),MATCH(C1378,'Crude Exp Dist'!$AD$2:$BC$2,0))*INDEX(crude_exp_by_year,MATCH(B1378,'Data Export'!$B$6:$B$78,0),1),IF(E1378=5,INDEX(ref_exp_dist,MATCH(B1378,'Refined Petro Exp Dist'!$B$6:$B$78,0),MATCH(C1378,'Refined Petro Exp Dist'!$AD$2:$BC$2,0))*INDEX(ref_exp_by_year,MATCH(B1378,'Data Export'!$B$6:$B$78,0),1)))</f>
        <v>0</v>
      </c>
      <c r="E1378">
        <v>4</v>
      </c>
      <c r="F1378" t="s">
        <v>242</v>
      </c>
    </row>
    <row r="1379" spans="1:6">
      <c r="A1379" t="str">
        <f t="shared" si="21"/>
        <v>GenericE&amp;DtemplateCIandGOA</v>
      </c>
      <c r="B1379">
        <v>53</v>
      </c>
      <c r="C1379">
        <v>26</v>
      </c>
      <c r="D1379" s="649">
        <f ca="1">IF(E1379=4,INDEX(crude_exp_dist,MATCH(B1379,'Crude Exp Dist'!$B$6:$B$78,0),MATCH(C1379,'Crude Exp Dist'!$AD$2:$BC$2,0))*INDEX(crude_exp_by_year,MATCH(B1379,'Data Export'!$B$6:$B$78,0),1),IF(E1379=5,INDEX(ref_exp_dist,MATCH(B1379,'Refined Petro Exp Dist'!$B$6:$B$78,0),MATCH(C1379,'Refined Petro Exp Dist'!$AD$2:$BC$2,0))*INDEX(ref_exp_by_year,MATCH(B1379,'Data Export'!$B$6:$B$78,0),1)))</f>
        <v>0</v>
      </c>
      <c r="E1379">
        <v>4</v>
      </c>
      <c r="F1379" t="s">
        <v>245</v>
      </c>
    </row>
    <row r="1380" spans="1:6">
      <c r="A1380" t="str">
        <f t="shared" si="21"/>
        <v>GenericE&amp;DtemplateCIandGOA</v>
      </c>
      <c r="B1380">
        <v>54</v>
      </c>
      <c r="C1380">
        <v>1</v>
      </c>
      <c r="D1380" s="649">
        <f ca="1">IF(E1380=4,INDEX(crude_exp_dist,MATCH(B1380,'Crude Exp Dist'!$B$6:$B$78,0),MATCH(C1380,'Crude Exp Dist'!$AD$2:$BC$2,0))*INDEX(crude_exp_by_year,MATCH(B1380,'Data Export'!$B$6:$B$78,0),1),IF(E1380=5,INDEX(ref_exp_dist,MATCH(B1380,'Refined Petro Exp Dist'!$B$6:$B$78,0),MATCH(C1380,'Refined Petro Exp Dist'!$AD$2:$BC$2,0))*INDEX(ref_exp_by_year,MATCH(B1380,'Data Export'!$B$6:$B$78,0),1)))</f>
        <v>0</v>
      </c>
      <c r="E1380">
        <v>4</v>
      </c>
      <c r="F1380" t="s">
        <v>158</v>
      </c>
    </row>
    <row r="1381" spans="1:6">
      <c r="A1381" t="str">
        <f t="shared" si="21"/>
        <v>GenericE&amp;DtemplateCIandGOA</v>
      </c>
      <c r="B1381">
        <v>54</v>
      </c>
      <c r="C1381">
        <v>2</v>
      </c>
      <c r="D1381" s="649">
        <f ca="1">IF(E1381=4,INDEX(crude_exp_dist,MATCH(B1381,'Crude Exp Dist'!$B$6:$B$78,0),MATCH(C1381,'Crude Exp Dist'!$AD$2:$BC$2,0))*INDEX(crude_exp_by_year,MATCH(B1381,'Data Export'!$B$6:$B$78,0),1),IF(E1381=5,INDEX(ref_exp_dist,MATCH(B1381,'Refined Petro Exp Dist'!$B$6:$B$78,0),MATCH(C1381,'Refined Petro Exp Dist'!$AD$2:$BC$2,0))*INDEX(ref_exp_by_year,MATCH(B1381,'Data Export'!$B$6:$B$78,0),1)))</f>
        <v>0</v>
      </c>
      <c r="E1381">
        <v>4</v>
      </c>
      <c r="F1381" t="s">
        <v>166</v>
      </c>
    </row>
    <row r="1382" spans="1:6">
      <c r="A1382" t="str">
        <f t="shared" si="21"/>
        <v>GenericE&amp;DtemplateCIandGOA</v>
      </c>
      <c r="B1382">
        <v>54</v>
      </c>
      <c r="C1382">
        <v>3</v>
      </c>
      <c r="D1382" s="649">
        <f ca="1">IF(E1382=4,INDEX(crude_exp_dist,MATCH(B1382,'Crude Exp Dist'!$B$6:$B$78,0),MATCH(C1382,'Crude Exp Dist'!$AD$2:$BC$2,0))*INDEX(crude_exp_by_year,MATCH(B1382,'Data Export'!$B$6:$B$78,0),1),IF(E1382=5,INDEX(ref_exp_dist,MATCH(B1382,'Refined Petro Exp Dist'!$B$6:$B$78,0),MATCH(C1382,'Refined Petro Exp Dist'!$AD$2:$BC$2,0))*INDEX(ref_exp_by_year,MATCH(B1382,'Data Export'!$B$6:$B$78,0),1)))</f>
        <v>0</v>
      </c>
      <c r="E1382">
        <v>4</v>
      </c>
      <c r="F1382" t="s">
        <v>171</v>
      </c>
    </row>
    <row r="1383" spans="1:6">
      <c r="A1383" t="str">
        <f t="shared" si="21"/>
        <v>GenericE&amp;DtemplateCIandGOA</v>
      </c>
      <c r="B1383">
        <v>54</v>
      </c>
      <c r="C1383">
        <v>4</v>
      </c>
      <c r="D1383" s="649">
        <f ca="1">IF(E1383=4,INDEX(crude_exp_dist,MATCH(B1383,'Crude Exp Dist'!$B$6:$B$78,0),MATCH(C1383,'Crude Exp Dist'!$AD$2:$BC$2,0))*INDEX(crude_exp_by_year,MATCH(B1383,'Data Export'!$B$6:$B$78,0),1),IF(E1383=5,INDEX(ref_exp_dist,MATCH(B1383,'Refined Petro Exp Dist'!$B$6:$B$78,0),MATCH(C1383,'Refined Petro Exp Dist'!$AD$2:$BC$2,0))*INDEX(ref_exp_by_year,MATCH(B1383,'Data Export'!$B$6:$B$78,0),1)))</f>
        <v>0</v>
      </c>
      <c r="E1383">
        <v>4</v>
      </c>
      <c r="F1383" t="s">
        <v>173</v>
      </c>
    </row>
    <row r="1384" spans="1:6">
      <c r="A1384" t="str">
        <f t="shared" si="21"/>
        <v>GenericE&amp;DtemplateCIandGOA</v>
      </c>
      <c r="B1384">
        <v>54</v>
      </c>
      <c r="C1384">
        <v>5</v>
      </c>
      <c r="D1384" s="649">
        <f ca="1">IF(E1384=4,INDEX(crude_exp_dist,MATCH(B1384,'Crude Exp Dist'!$B$6:$B$78,0),MATCH(C1384,'Crude Exp Dist'!$AD$2:$BC$2,0))*INDEX(crude_exp_by_year,MATCH(B1384,'Data Export'!$B$6:$B$78,0),1),IF(E1384=5,INDEX(ref_exp_dist,MATCH(B1384,'Refined Petro Exp Dist'!$B$6:$B$78,0),MATCH(C1384,'Refined Petro Exp Dist'!$AD$2:$BC$2,0))*INDEX(ref_exp_by_year,MATCH(B1384,'Data Export'!$B$6:$B$78,0),1)))</f>
        <v>0</v>
      </c>
      <c r="E1384">
        <v>4</v>
      </c>
      <c r="F1384" t="s">
        <v>180</v>
      </c>
    </row>
    <row r="1385" spans="1:6">
      <c r="A1385" t="str">
        <f t="shared" si="21"/>
        <v>GenericE&amp;DtemplateCIandGOA</v>
      </c>
      <c r="B1385">
        <v>54</v>
      </c>
      <c r="C1385">
        <v>6</v>
      </c>
      <c r="D1385" s="649">
        <f ca="1">IF(E1385=4,INDEX(crude_exp_dist,MATCH(B1385,'Crude Exp Dist'!$B$6:$B$78,0),MATCH(C1385,'Crude Exp Dist'!$AD$2:$BC$2,0))*INDEX(crude_exp_by_year,MATCH(B1385,'Data Export'!$B$6:$B$78,0),1),IF(E1385=5,INDEX(ref_exp_dist,MATCH(B1385,'Refined Petro Exp Dist'!$B$6:$B$78,0),MATCH(C1385,'Refined Petro Exp Dist'!$AD$2:$BC$2,0))*INDEX(ref_exp_by_year,MATCH(B1385,'Data Export'!$B$6:$B$78,0),1)))</f>
        <v>0</v>
      </c>
      <c r="E1385">
        <v>4</v>
      </c>
      <c r="F1385" t="s">
        <v>186</v>
      </c>
    </row>
    <row r="1386" spans="1:6">
      <c r="A1386" t="str">
        <f t="shared" si="21"/>
        <v>GenericE&amp;DtemplateCIandGOA</v>
      </c>
      <c r="B1386">
        <v>54</v>
      </c>
      <c r="C1386">
        <v>7</v>
      </c>
      <c r="D1386" s="649">
        <f ca="1">IF(E1386=4,INDEX(crude_exp_dist,MATCH(B1386,'Crude Exp Dist'!$B$6:$B$78,0),MATCH(C1386,'Crude Exp Dist'!$AD$2:$BC$2,0))*INDEX(crude_exp_by_year,MATCH(B1386,'Data Export'!$B$6:$B$78,0),1),IF(E1386=5,INDEX(ref_exp_dist,MATCH(B1386,'Refined Petro Exp Dist'!$B$6:$B$78,0),MATCH(C1386,'Refined Petro Exp Dist'!$AD$2:$BC$2,0))*INDEX(ref_exp_by_year,MATCH(B1386,'Data Export'!$B$6:$B$78,0),1)))</f>
        <v>0</v>
      </c>
      <c r="E1386">
        <v>4</v>
      </c>
      <c r="F1386" t="s">
        <v>191</v>
      </c>
    </row>
    <row r="1387" spans="1:6">
      <c r="A1387" t="str">
        <f t="shared" si="21"/>
        <v>GenericE&amp;DtemplateCIandGOA</v>
      </c>
      <c r="B1387">
        <v>54</v>
      </c>
      <c r="C1387">
        <v>8</v>
      </c>
      <c r="D1387" s="649">
        <f ca="1">IF(E1387=4,INDEX(crude_exp_dist,MATCH(B1387,'Crude Exp Dist'!$B$6:$B$78,0),MATCH(C1387,'Crude Exp Dist'!$AD$2:$BC$2,0))*INDEX(crude_exp_by_year,MATCH(B1387,'Data Export'!$B$6:$B$78,0),1),IF(E1387=5,INDEX(ref_exp_dist,MATCH(B1387,'Refined Petro Exp Dist'!$B$6:$B$78,0),MATCH(C1387,'Refined Petro Exp Dist'!$AD$2:$BC$2,0))*INDEX(ref_exp_by_year,MATCH(B1387,'Data Export'!$B$6:$B$78,0),1)))</f>
        <v>0</v>
      </c>
      <c r="E1387">
        <v>4</v>
      </c>
      <c r="F1387" t="s">
        <v>197</v>
      </c>
    </row>
    <row r="1388" spans="1:6">
      <c r="A1388" t="str">
        <f t="shared" si="21"/>
        <v>GenericE&amp;DtemplateCIandGOA</v>
      </c>
      <c r="B1388">
        <v>54</v>
      </c>
      <c r="C1388">
        <v>9</v>
      </c>
      <c r="D1388" s="649">
        <f ca="1">IF(E1388=4,INDEX(crude_exp_dist,MATCH(B1388,'Crude Exp Dist'!$B$6:$B$78,0),MATCH(C1388,'Crude Exp Dist'!$AD$2:$BC$2,0))*INDEX(crude_exp_by_year,MATCH(B1388,'Data Export'!$B$6:$B$78,0),1),IF(E1388=5,INDEX(ref_exp_dist,MATCH(B1388,'Refined Petro Exp Dist'!$B$6:$B$78,0),MATCH(C1388,'Refined Petro Exp Dist'!$AD$2:$BC$2,0))*INDEX(ref_exp_by_year,MATCH(B1388,'Data Export'!$B$6:$B$78,0),1)))</f>
        <v>0</v>
      </c>
      <c r="E1388">
        <v>4</v>
      </c>
      <c r="F1388" t="s">
        <v>199</v>
      </c>
    </row>
    <row r="1389" spans="1:6">
      <c r="A1389" t="str">
        <f t="shared" si="21"/>
        <v>GenericE&amp;DtemplateCIandGOA</v>
      </c>
      <c r="B1389">
        <v>54</v>
      </c>
      <c r="C1389">
        <v>10</v>
      </c>
      <c r="D1389" s="649">
        <f ca="1">IF(E1389=4,INDEX(crude_exp_dist,MATCH(B1389,'Crude Exp Dist'!$B$6:$B$78,0),MATCH(C1389,'Crude Exp Dist'!$AD$2:$BC$2,0))*INDEX(crude_exp_by_year,MATCH(B1389,'Data Export'!$B$6:$B$78,0),1),IF(E1389=5,INDEX(ref_exp_dist,MATCH(B1389,'Refined Petro Exp Dist'!$B$6:$B$78,0),MATCH(C1389,'Refined Petro Exp Dist'!$AD$2:$BC$2,0))*INDEX(ref_exp_by_year,MATCH(B1389,'Data Export'!$B$6:$B$78,0),1)))</f>
        <v>0</v>
      </c>
      <c r="E1389">
        <v>4</v>
      </c>
      <c r="F1389" t="s">
        <v>201</v>
      </c>
    </row>
    <row r="1390" spans="1:6">
      <c r="A1390" t="str">
        <f t="shared" si="21"/>
        <v>GenericE&amp;DtemplateCIandGOA</v>
      </c>
      <c r="B1390">
        <v>54</v>
      </c>
      <c r="C1390">
        <v>11</v>
      </c>
      <c r="D1390" s="649">
        <f ca="1">IF(E1390=4,INDEX(crude_exp_dist,MATCH(B1390,'Crude Exp Dist'!$B$6:$B$78,0),MATCH(C1390,'Crude Exp Dist'!$AD$2:$BC$2,0))*INDEX(crude_exp_by_year,MATCH(B1390,'Data Export'!$B$6:$B$78,0),1),IF(E1390=5,INDEX(ref_exp_dist,MATCH(B1390,'Refined Petro Exp Dist'!$B$6:$B$78,0),MATCH(C1390,'Refined Petro Exp Dist'!$AD$2:$BC$2,0))*INDEX(ref_exp_by_year,MATCH(B1390,'Data Export'!$B$6:$B$78,0),1)))</f>
        <v>0</v>
      </c>
      <c r="E1390">
        <v>4</v>
      </c>
      <c r="F1390" t="s">
        <v>921</v>
      </c>
    </row>
    <row r="1391" spans="1:6">
      <c r="A1391" t="str">
        <f t="shared" si="21"/>
        <v>GenericE&amp;DtemplateCIandGOA</v>
      </c>
      <c r="B1391">
        <v>54</v>
      </c>
      <c r="C1391">
        <v>12</v>
      </c>
      <c r="D1391" s="649">
        <f ca="1">IF(E1391=4,INDEX(crude_exp_dist,MATCH(B1391,'Crude Exp Dist'!$B$6:$B$78,0),MATCH(C1391,'Crude Exp Dist'!$AD$2:$BC$2,0))*INDEX(crude_exp_by_year,MATCH(B1391,'Data Export'!$B$6:$B$78,0),1),IF(E1391=5,INDEX(ref_exp_dist,MATCH(B1391,'Refined Petro Exp Dist'!$B$6:$B$78,0),MATCH(C1391,'Refined Petro Exp Dist'!$AD$2:$BC$2,0))*INDEX(ref_exp_by_year,MATCH(B1391,'Data Export'!$B$6:$B$78,0),1)))</f>
        <v>0</v>
      </c>
      <c r="E1391">
        <v>4</v>
      </c>
      <c r="F1391" t="s">
        <v>208</v>
      </c>
    </row>
    <row r="1392" spans="1:6">
      <c r="A1392" t="str">
        <f t="shared" si="21"/>
        <v>GenericE&amp;DtemplateCIandGOA</v>
      </c>
      <c r="B1392">
        <v>54</v>
      </c>
      <c r="C1392">
        <v>13</v>
      </c>
      <c r="D1392" s="649">
        <f ca="1">IF(E1392=4,INDEX(crude_exp_dist,MATCH(B1392,'Crude Exp Dist'!$B$6:$B$78,0),MATCH(C1392,'Crude Exp Dist'!$AD$2:$BC$2,0))*INDEX(crude_exp_by_year,MATCH(B1392,'Data Export'!$B$6:$B$78,0),1),IF(E1392=5,INDEX(ref_exp_dist,MATCH(B1392,'Refined Petro Exp Dist'!$B$6:$B$78,0),MATCH(C1392,'Refined Petro Exp Dist'!$AD$2:$BC$2,0))*INDEX(ref_exp_by_year,MATCH(B1392,'Data Export'!$B$6:$B$78,0),1)))</f>
        <v>0</v>
      </c>
      <c r="E1392">
        <v>4</v>
      </c>
      <c r="F1392" t="s">
        <v>211</v>
      </c>
    </row>
    <row r="1393" spans="1:6">
      <c r="A1393" t="str">
        <f t="shared" si="21"/>
        <v>GenericE&amp;DtemplateCIandGOA</v>
      </c>
      <c r="B1393">
        <v>54</v>
      </c>
      <c r="C1393">
        <v>14</v>
      </c>
      <c r="D1393" s="649">
        <f ca="1">IF(E1393=4,INDEX(crude_exp_dist,MATCH(B1393,'Crude Exp Dist'!$B$6:$B$78,0),MATCH(C1393,'Crude Exp Dist'!$AD$2:$BC$2,0))*INDEX(crude_exp_by_year,MATCH(B1393,'Data Export'!$B$6:$B$78,0),1),IF(E1393=5,INDEX(ref_exp_dist,MATCH(B1393,'Refined Petro Exp Dist'!$B$6:$B$78,0),MATCH(C1393,'Refined Petro Exp Dist'!$AD$2:$BC$2,0))*INDEX(ref_exp_by_year,MATCH(B1393,'Data Export'!$B$6:$B$78,0),1)))</f>
        <v>0</v>
      </c>
      <c r="E1393">
        <v>4</v>
      </c>
      <c r="F1393" t="s">
        <v>213</v>
      </c>
    </row>
    <row r="1394" spans="1:6">
      <c r="A1394" t="str">
        <f t="shared" si="21"/>
        <v>GenericE&amp;DtemplateCIandGOA</v>
      </c>
      <c r="B1394">
        <v>54</v>
      </c>
      <c r="C1394">
        <v>15</v>
      </c>
      <c r="D1394" s="649">
        <f ca="1">IF(E1394=4,INDEX(crude_exp_dist,MATCH(B1394,'Crude Exp Dist'!$B$6:$B$78,0),MATCH(C1394,'Crude Exp Dist'!$AD$2:$BC$2,0))*INDEX(crude_exp_by_year,MATCH(B1394,'Data Export'!$B$6:$B$78,0),1),IF(E1394=5,INDEX(ref_exp_dist,MATCH(B1394,'Refined Petro Exp Dist'!$B$6:$B$78,0),MATCH(C1394,'Refined Petro Exp Dist'!$AD$2:$BC$2,0))*INDEX(ref_exp_by_year,MATCH(B1394,'Data Export'!$B$6:$B$78,0),1)))</f>
        <v>0</v>
      </c>
      <c r="E1394">
        <v>4</v>
      </c>
      <c r="F1394" t="s">
        <v>215</v>
      </c>
    </row>
    <row r="1395" spans="1:6">
      <c r="A1395" t="str">
        <f t="shared" si="21"/>
        <v>GenericE&amp;DtemplateCIandGOA</v>
      </c>
      <c r="B1395">
        <v>54</v>
      </c>
      <c r="C1395">
        <v>16</v>
      </c>
      <c r="D1395" s="649">
        <f ca="1">IF(E1395=4,INDEX(crude_exp_dist,MATCH(B1395,'Crude Exp Dist'!$B$6:$B$78,0),MATCH(C1395,'Crude Exp Dist'!$AD$2:$BC$2,0))*INDEX(crude_exp_by_year,MATCH(B1395,'Data Export'!$B$6:$B$78,0),1),IF(E1395=5,INDEX(ref_exp_dist,MATCH(B1395,'Refined Petro Exp Dist'!$B$6:$B$78,0),MATCH(C1395,'Refined Petro Exp Dist'!$AD$2:$BC$2,0))*INDEX(ref_exp_by_year,MATCH(B1395,'Data Export'!$B$6:$B$78,0),1)))</f>
        <v>0</v>
      </c>
      <c r="E1395">
        <v>4</v>
      </c>
      <c r="F1395" t="s">
        <v>219</v>
      </c>
    </row>
    <row r="1396" spans="1:6">
      <c r="A1396" t="str">
        <f t="shared" si="21"/>
        <v>GenericE&amp;DtemplateCIandGOA</v>
      </c>
      <c r="B1396">
        <v>54</v>
      </c>
      <c r="C1396">
        <v>17</v>
      </c>
      <c r="D1396" s="649">
        <f ca="1">IF(E1396=4,INDEX(crude_exp_dist,MATCH(B1396,'Crude Exp Dist'!$B$6:$B$78,0),MATCH(C1396,'Crude Exp Dist'!$AD$2:$BC$2,0))*INDEX(crude_exp_by_year,MATCH(B1396,'Data Export'!$B$6:$B$78,0),1),IF(E1396=5,INDEX(ref_exp_dist,MATCH(B1396,'Refined Petro Exp Dist'!$B$6:$B$78,0),MATCH(C1396,'Refined Petro Exp Dist'!$AD$2:$BC$2,0))*INDEX(ref_exp_by_year,MATCH(B1396,'Data Export'!$B$6:$B$78,0),1)))</f>
        <v>0</v>
      </c>
      <c r="E1396">
        <v>4</v>
      </c>
      <c r="F1396" t="s">
        <v>222</v>
      </c>
    </row>
    <row r="1397" spans="1:6">
      <c r="A1397" t="str">
        <f t="shared" si="21"/>
        <v>GenericE&amp;DtemplateCIandGOA</v>
      </c>
      <c r="B1397">
        <v>54</v>
      </c>
      <c r="C1397">
        <v>18</v>
      </c>
      <c r="D1397" s="649">
        <f ca="1">IF(E1397=4,INDEX(crude_exp_dist,MATCH(B1397,'Crude Exp Dist'!$B$6:$B$78,0),MATCH(C1397,'Crude Exp Dist'!$AD$2:$BC$2,0))*INDEX(crude_exp_by_year,MATCH(B1397,'Data Export'!$B$6:$B$78,0),1),IF(E1397=5,INDEX(ref_exp_dist,MATCH(B1397,'Refined Petro Exp Dist'!$B$6:$B$78,0),MATCH(C1397,'Refined Petro Exp Dist'!$AD$2:$BC$2,0))*INDEX(ref_exp_by_year,MATCH(B1397,'Data Export'!$B$6:$B$78,0),1)))</f>
        <v>0</v>
      </c>
      <c r="E1397">
        <v>4</v>
      </c>
      <c r="F1397" t="s">
        <v>224</v>
      </c>
    </row>
    <row r="1398" spans="1:6">
      <c r="A1398" t="str">
        <f t="shared" si="21"/>
        <v>GenericE&amp;DtemplateCIandGOA</v>
      </c>
      <c r="B1398">
        <v>54</v>
      </c>
      <c r="C1398">
        <v>19</v>
      </c>
      <c r="D1398" s="649">
        <f ca="1">IF(E1398=4,INDEX(crude_exp_dist,MATCH(B1398,'Crude Exp Dist'!$B$6:$B$78,0),MATCH(C1398,'Crude Exp Dist'!$AD$2:$BC$2,0))*INDEX(crude_exp_by_year,MATCH(B1398,'Data Export'!$B$6:$B$78,0),1),IF(E1398=5,INDEX(ref_exp_dist,MATCH(B1398,'Refined Petro Exp Dist'!$B$6:$B$78,0),MATCH(C1398,'Refined Petro Exp Dist'!$AD$2:$BC$2,0))*INDEX(ref_exp_by_year,MATCH(B1398,'Data Export'!$B$6:$B$78,0),1)))</f>
        <v>0</v>
      </c>
      <c r="E1398">
        <v>4</v>
      </c>
      <c r="F1398" t="s">
        <v>228</v>
      </c>
    </row>
    <row r="1399" spans="1:6">
      <c r="A1399" t="str">
        <f t="shared" si="21"/>
        <v>GenericE&amp;DtemplateCIandGOA</v>
      </c>
      <c r="B1399">
        <v>54</v>
      </c>
      <c r="C1399">
        <v>20</v>
      </c>
      <c r="D1399" s="649">
        <f ca="1">IF(E1399=4,INDEX(crude_exp_dist,MATCH(B1399,'Crude Exp Dist'!$B$6:$B$78,0),MATCH(C1399,'Crude Exp Dist'!$AD$2:$BC$2,0))*INDEX(crude_exp_by_year,MATCH(B1399,'Data Export'!$B$6:$B$78,0),1),IF(E1399=5,INDEX(ref_exp_dist,MATCH(B1399,'Refined Petro Exp Dist'!$B$6:$B$78,0),MATCH(C1399,'Refined Petro Exp Dist'!$AD$2:$BC$2,0))*INDEX(ref_exp_by_year,MATCH(B1399,'Data Export'!$B$6:$B$78,0),1)))</f>
        <v>0</v>
      </c>
      <c r="E1399">
        <v>4</v>
      </c>
      <c r="F1399" t="s">
        <v>231</v>
      </c>
    </row>
    <row r="1400" spans="1:6">
      <c r="A1400" t="str">
        <f t="shared" si="21"/>
        <v>GenericE&amp;DtemplateCIandGOA</v>
      </c>
      <c r="B1400">
        <v>54</v>
      </c>
      <c r="C1400">
        <v>21</v>
      </c>
      <c r="D1400" s="649">
        <f ca="1">IF(E1400=4,INDEX(crude_exp_dist,MATCH(B1400,'Crude Exp Dist'!$B$6:$B$78,0),MATCH(C1400,'Crude Exp Dist'!$AD$2:$BC$2,0))*INDEX(crude_exp_by_year,MATCH(B1400,'Data Export'!$B$6:$B$78,0),1),IF(E1400=5,INDEX(ref_exp_dist,MATCH(B1400,'Refined Petro Exp Dist'!$B$6:$B$78,0),MATCH(C1400,'Refined Petro Exp Dist'!$AD$2:$BC$2,0))*INDEX(ref_exp_by_year,MATCH(B1400,'Data Export'!$B$6:$B$78,0),1)))</f>
        <v>0</v>
      </c>
      <c r="E1400">
        <v>4</v>
      </c>
      <c r="F1400" t="s">
        <v>232</v>
      </c>
    </row>
    <row r="1401" spans="1:6">
      <c r="A1401" t="str">
        <f t="shared" si="21"/>
        <v>GenericE&amp;DtemplateCIandGOA</v>
      </c>
      <c r="B1401">
        <v>54</v>
      </c>
      <c r="C1401">
        <v>22</v>
      </c>
      <c r="D1401" s="649">
        <f ca="1">IF(E1401=4,INDEX(crude_exp_dist,MATCH(B1401,'Crude Exp Dist'!$B$6:$B$78,0),MATCH(C1401,'Crude Exp Dist'!$AD$2:$BC$2,0))*INDEX(crude_exp_by_year,MATCH(B1401,'Data Export'!$B$6:$B$78,0),1),IF(E1401=5,INDEX(ref_exp_dist,MATCH(B1401,'Refined Petro Exp Dist'!$B$6:$B$78,0),MATCH(C1401,'Refined Petro Exp Dist'!$AD$2:$BC$2,0))*INDEX(ref_exp_by_year,MATCH(B1401,'Data Export'!$B$6:$B$78,0),1)))</f>
        <v>0</v>
      </c>
      <c r="E1401">
        <v>4</v>
      </c>
      <c r="F1401" t="s">
        <v>235</v>
      </c>
    </row>
    <row r="1402" spans="1:6">
      <c r="A1402" t="str">
        <f t="shared" si="21"/>
        <v>GenericE&amp;DtemplateCIandGOA</v>
      </c>
      <c r="B1402">
        <v>54</v>
      </c>
      <c r="C1402">
        <v>23</v>
      </c>
      <c r="D1402" s="649">
        <f ca="1">IF(E1402=4,INDEX(crude_exp_dist,MATCH(B1402,'Crude Exp Dist'!$B$6:$B$78,0),MATCH(C1402,'Crude Exp Dist'!$AD$2:$BC$2,0))*INDEX(crude_exp_by_year,MATCH(B1402,'Data Export'!$B$6:$B$78,0),1),IF(E1402=5,INDEX(ref_exp_dist,MATCH(B1402,'Refined Petro Exp Dist'!$B$6:$B$78,0),MATCH(C1402,'Refined Petro Exp Dist'!$AD$2:$BC$2,0))*INDEX(ref_exp_by_year,MATCH(B1402,'Data Export'!$B$6:$B$78,0),1)))</f>
        <v>0</v>
      </c>
      <c r="E1402">
        <v>4</v>
      </c>
      <c r="F1402" t="s">
        <v>237</v>
      </c>
    </row>
    <row r="1403" spans="1:6">
      <c r="A1403" t="str">
        <f t="shared" si="21"/>
        <v>GenericE&amp;DtemplateCIandGOA</v>
      </c>
      <c r="B1403">
        <v>54</v>
      </c>
      <c r="C1403">
        <v>24</v>
      </c>
      <c r="D1403" s="649">
        <f ca="1">IF(E1403=4,INDEX(crude_exp_dist,MATCH(B1403,'Crude Exp Dist'!$B$6:$B$78,0),MATCH(C1403,'Crude Exp Dist'!$AD$2:$BC$2,0))*INDEX(crude_exp_by_year,MATCH(B1403,'Data Export'!$B$6:$B$78,0),1),IF(E1403=5,INDEX(ref_exp_dist,MATCH(B1403,'Refined Petro Exp Dist'!$B$6:$B$78,0),MATCH(C1403,'Refined Petro Exp Dist'!$AD$2:$BC$2,0))*INDEX(ref_exp_by_year,MATCH(B1403,'Data Export'!$B$6:$B$78,0),1)))</f>
        <v>0</v>
      </c>
      <c r="E1403">
        <v>4</v>
      </c>
      <c r="F1403" t="s">
        <v>239</v>
      </c>
    </row>
    <row r="1404" spans="1:6">
      <c r="A1404" t="str">
        <f t="shared" si="21"/>
        <v>GenericE&amp;DtemplateCIandGOA</v>
      </c>
      <c r="B1404">
        <v>54</v>
      </c>
      <c r="C1404">
        <v>25</v>
      </c>
      <c r="D1404" s="649">
        <f ca="1">IF(E1404=4,INDEX(crude_exp_dist,MATCH(B1404,'Crude Exp Dist'!$B$6:$B$78,0),MATCH(C1404,'Crude Exp Dist'!$AD$2:$BC$2,0))*INDEX(crude_exp_by_year,MATCH(B1404,'Data Export'!$B$6:$B$78,0),1),IF(E1404=5,INDEX(ref_exp_dist,MATCH(B1404,'Refined Petro Exp Dist'!$B$6:$B$78,0),MATCH(C1404,'Refined Petro Exp Dist'!$AD$2:$BC$2,0))*INDEX(ref_exp_by_year,MATCH(B1404,'Data Export'!$B$6:$B$78,0),1)))</f>
        <v>0</v>
      </c>
      <c r="E1404">
        <v>4</v>
      </c>
      <c r="F1404" t="s">
        <v>242</v>
      </c>
    </row>
    <row r="1405" spans="1:6">
      <c r="A1405" t="str">
        <f t="shared" si="21"/>
        <v>GenericE&amp;DtemplateCIandGOA</v>
      </c>
      <c r="B1405">
        <v>54</v>
      </c>
      <c r="C1405">
        <v>26</v>
      </c>
      <c r="D1405" s="649">
        <f ca="1">IF(E1405=4,INDEX(crude_exp_dist,MATCH(B1405,'Crude Exp Dist'!$B$6:$B$78,0),MATCH(C1405,'Crude Exp Dist'!$AD$2:$BC$2,0))*INDEX(crude_exp_by_year,MATCH(B1405,'Data Export'!$B$6:$B$78,0),1),IF(E1405=5,INDEX(ref_exp_dist,MATCH(B1405,'Refined Petro Exp Dist'!$B$6:$B$78,0),MATCH(C1405,'Refined Petro Exp Dist'!$AD$2:$BC$2,0))*INDEX(ref_exp_by_year,MATCH(B1405,'Data Export'!$B$6:$B$78,0),1)))</f>
        <v>0</v>
      </c>
      <c r="E1405">
        <v>4</v>
      </c>
      <c r="F1405" t="s">
        <v>245</v>
      </c>
    </row>
    <row r="1406" spans="1:6">
      <c r="A1406" t="str">
        <f t="shared" si="21"/>
        <v>GenericE&amp;DtemplateCIandGOA</v>
      </c>
      <c r="B1406">
        <v>55</v>
      </c>
      <c r="C1406">
        <v>1</v>
      </c>
      <c r="D1406" s="649">
        <f ca="1">IF(E1406=4,INDEX(crude_exp_dist,MATCH(B1406,'Crude Exp Dist'!$B$6:$B$78,0),MATCH(C1406,'Crude Exp Dist'!$AD$2:$BC$2,0))*INDEX(crude_exp_by_year,MATCH(B1406,'Data Export'!$B$6:$B$78,0),1),IF(E1406=5,INDEX(ref_exp_dist,MATCH(B1406,'Refined Petro Exp Dist'!$B$6:$B$78,0),MATCH(C1406,'Refined Petro Exp Dist'!$AD$2:$BC$2,0))*INDEX(ref_exp_by_year,MATCH(B1406,'Data Export'!$B$6:$B$78,0),1)))</f>
        <v>0</v>
      </c>
      <c r="E1406">
        <v>4</v>
      </c>
      <c r="F1406" t="s">
        <v>158</v>
      </c>
    </row>
    <row r="1407" spans="1:6">
      <c r="A1407" t="str">
        <f t="shared" si="21"/>
        <v>GenericE&amp;DtemplateCIandGOA</v>
      </c>
      <c r="B1407">
        <v>55</v>
      </c>
      <c r="C1407">
        <v>2</v>
      </c>
      <c r="D1407" s="649">
        <f ca="1">IF(E1407=4,INDEX(crude_exp_dist,MATCH(B1407,'Crude Exp Dist'!$B$6:$B$78,0),MATCH(C1407,'Crude Exp Dist'!$AD$2:$BC$2,0))*INDEX(crude_exp_by_year,MATCH(B1407,'Data Export'!$B$6:$B$78,0),1),IF(E1407=5,INDEX(ref_exp_dist,MATCH(B1407,'Refined Petro Exp Dist'!$B$6:$B$78,0),MATCH(C1407,'Refined Petro Exp Dist'!$AD$2:$BC$2,0))*INDEX(ref_exp_by_year,MATCH(B1407,'Data Export'!$B$6:$B$78,0),1)))</f>
        <v>0</v>
      </c>
      <c r="E1407">
        <v>4</v>
      </c>
      <c r="F1407" t="s">
        <v>166</v>
      </c>
    </row>
    <row r="1408" spans="1:6">
      <c r="A1408" t="str">
        <f t="shared" si="21"/>
        <v>GenericE&amp;DtemplateCIandGOA</v>
      </c>
      <c r="B1408">
        <v>55</v>
      </c>
      <c r="C1408">
        <v>3</v>
      </c>
      <c r="D1408" s="649">
        <f ca="1">IF(E1408=4,INDEX(crude_exp_dist,MATCH(B1408,'Crude Exp Dist'!$B$6:$B$78,0),MATCH(C1408,'Crude Exp Dist'!$AD$2:$BC$2,0))*INDEX(crude_exp_by_year,MATCH(B1408,'Data Export'!$B$6:$B$78,0),1),IF(E1408=5,INDEX(ref_exp_dist,MATCH(B1408,'Refined Petro Exp Dist'!$B$6:$B$78,0),MATCH(C1408,'Refined Petro Exp Dist'!$AD$2:$BC$2,0))*INDEX(ref_exp_by_year,MATCH(B1408,'Data Export'!$B$6:$B$78,0),1)))</f>
        <v>0</v>
      </c>
      <c r="E1408">
        <v>4</v>
      </c>
      <c r="F1408" t="s">
        <v>171</v>
      </c>
    </row>
    <row r="1409" spans="1:6">
      <c r="A1409" t="str">
        <f t="shared" si="21"/>
        <v>GenericE&amp;DtemplateCIandGOA</v>
      </c>
      <c r="B1409">
        <v>55</v>
      </c>
      <c r="C1409">
        <v>4</v>
      </c>
      <c r="D1409" s="649">
        <f ca="1">IF(E1409=4,INDEX(crude_exp_dist,MATCH(B1409,'Crude Exp Dist'!$B$6:$B$78,0),MATCH(C1409,'Crude Exp Dist'!$AD$2:$BC$2,0))*INDEX(crude_exp_by_year,MATCH(B1409,'Data Export'!$B$6:$B$78,0),1),IF(E1409=5,INDEX(ref_exp_dist,MATCH(B1409,'Refined Petro Exp Dist'!$B$6:$B$78,0),MATCH(C1409,'Refined Petro Exp Dist'!$AD$2:$BC$2,0))*INDEX(ref_exp_by_year,MATCH(B1409,'Data Export'!$B$6:$B$78,0),1)))</f>
        <v>0</v>
      </c>
      <c r="E1409">
        <v>4</v>
      </c>
      <c r="F1409" t="s">
        <v>173</v>
      </c>
    </row>
    <row r="1410" spans="1:6">
      <c r="A1410" t="str">
        <f t="shared" ref="A1410:A1473" si="22">scenario_name</f>
        <v>GenericE&amp;DtemplateCIandGOA</v>
      </c>
      <c r="B1410">
        <v>55</v>
      </c>
      <c r="C1410">
        <v>5</v>
      </c>
      <c r="D1410" s="649">
        <f ca="1">IF(E1410=4,INDEX(crude_exp_dist,MATCH(B1410,'Crude Exp Dist'!$B$6:$B$78,0),MATCH(C1410,'Crude Exp Dist'!$AD$2:$BC$2,0))*INDEX(crude_exp_by_year,MATCH(B1410,'Data Export'!$B$6:$B$78,0),1),IF(E1410=5,INDEX(ref_exp_dist,MATCH(B1410,'Refined Petro Exp Dist'!$B$6:$B$78,0),MATCH(C1410,'Refined Petro Exp Dist'!$AD$2:$BC$2,0))*INDEX(ref_exp_by_year,MATCH(B1410,'Data Export'!$B$6:$B$78,0),1)))</f>
        <v>0</v>
      </c>
      <c r="E1410">
        <v>4</v>
      </c>
      <c r="F1410" t="s">
        <v>180</v>
      </c>
    </row>
    <row r="1411" spans="1:6">
      <c r="A1411" t="str">
        <f t="shared" si="22"/>
        <v>GenericE&amp;DtemplateCIandGOA</v>
      </c>
      <c r="B1411">
        <v>55</v>
      </c>
      <c r="C1411">
        <v>6</v>
      </c>
      <c r="D1411" s="649">
        <f ca="1">IF(E1411=4,INDEX(crude_exp_dist,MATCH(B1411,'Crude Exp Dist'!$B$6:$B$78,0),MATCH(C1411,'Crude Exp Dist'!$AD$2:$BC$2,0))*INDEX(crude_exp_by_year,MATCH(B1411,'Data Export'!$B$6:$B$78,0),1),IF(E1411=5,INDEX(ref_exp_dist,MATCH(B1411,'Refined Petro Exp Dist'!$B$6:$B$78,0),MATCH(C1411,'Refined Petro Exp Dist'!$AD$2:$BC$2,0))*INDEX(ref_exp_by_year,MATCH(B1411,'Data Export'!$B$6:$B$78,0),1)))</f>
        <v>0</v>
      </c>
      <c r="E1411">
        <v>4</v>
      </c>
      <c r="F1411" t="s">
        <v>186</v>
      </c>
    </row>
    <row r="1412" spans="1:6">
      <c r="A1412" t="str">
        <f t="shared" si="22"/>
        <v>GenericE&amp;DtemplateCIandGOA</v>
      </c>
      <c r="B1412">
        <v>55</v>
      </c>
      <c r="C1412">
        <v>7</v>
      </c>
      <c r="D1412" s="649">
        <f ca="1">IF(E1412=4,INDEX(crude_exp_dist,MATCH(B1412,'Crude Exp Dist'!$B$6:$B$78,0),MATCH(C1412,'Crude Exp Dist'!$AD$2:$BC$2,0))*INDEX(crude_exp_by_year,MATCH(B1412,'Data Export'!$B$6:$B$78,0),1),IF(E1412=5,INDEX(ref_exp_dist,MATCH(B1412,'Refined Petro Exp Dist'!$B$6:$B$78,0),MATCH(C1412,'Refined Petro Exp Dist'!$AD$2:$BC$2,0))*INDEX(ref_exp_by_year,MATCH(B1412,'Data Export'!$B$6:$B$78,0),1)))</f>
        <v>0</v>
      </c>
      <c r="E1412">
        <v>4</v>
      </c>
      <c r="F1412" t="s">
        <v>191</v>
      </c>
    </row>
    <row r="1413" spans="1:6">
      <c r="A1413" t="str">
        <f t="shared" si="22"/>
        <v>GenericE&amp;DtemplateCIandGOA</v>
      </c>
      <c r="B1413">
        <v>55</v>
      </c>
      <c r="C1413">
        <v>8</v>
      </c>
      <c r="D1413" s="649">
        <f ca="1">IF(E1413=4,INDEX(crude_exp_dist,MATCH(B1413,'Crude Exp Dist'!$B$6:$B$78,0),MATCH(C1413,'Crude Exp Dist'!$AD$2:$BC$2,0))*INDEX(crude_exp_by_year,MATCH(B1413,'Data Export'!$B$6:$B$78,0),1),IF(E1413=5,INDEX(ref_exp_dist,MATCH(B1413,'Refined Petro Exp Dist'!$B$6:$B$78,0),MATCH(C1413,'Refined Petro Exp Dist'!$AD$2:$BC$2,0))*INDEX(ref_exp_by_year,MATCH(B1413,'Data Export'!$B$6:$B$78,0),1)))</f>
        <v>0</v>
      </c>
      <c r="E1413">
        <v>4</v>
      </c>
      <c r="F1413" t="s">
        <v>197</v>
      </c>
    </row>
    <row r="1414" spans="1:6">
      <c r="A1414" t="str">
        <f t="shared" si="22"/>
        <v>GenericE&amp;DtemplateCIandGOA</v>
      </c>
      <c r="B1414">
        <v>55</v>
      </c>
      <c r="C1414">
        <v>9</v>
      </c>
      <c r="D1414" s="649">
        <f ca="1">IF(E1414=4,INDEX(crude_exp_dist,MATCH(B1414,'Crude Exp Dist'!$B$6:$B$78,0),MATCH(C1414,'Crude Exp Dist'!$AD$2:$BC$2,0))*INDEX(crude_exp_by_year,MATCH(B1414,'Data Export'!$B$6:$B$78,0),1),IF(E1414=5,INDEX(ref_exp_dist,MATCH(B1414,'Refined Petro Exp Dist'!$B$6:$B$78,0),MATCH(C1414,'Refined Petro Exp Dist'!$AD$2:$BC$2,0))*INDEX(ref_exp_by_year,MATCH(B1414,'Data Export'!$B$6:$B$78,0),1)))</f>
        <v>0</v>
      </c>
      <c r="E1414">
        <v>4</v>
      </c>
      <c r="F1414" t="s">
        <v>199</v>
      </c>
    </row>
    <row r="1415" spans="1:6">
      <c r="A1415" t="str">
        <f t="shared" si="22"/>
        <v>GenericE&amp;DtemplateCIandGOA</v>
      </c>
      <c r="B1415">
        <v>55</v>
      </c>
      <c r="C1415">
        <v>10</v>
      </c>
      <c r="D1415" s="649">
        <f ca="1">IF(E1415=4,INDEX(crude_exp_dist,MATCH(B1415,'Crude Exp Dist'!$B$6:$B$78,0),MATCH(C1415,'Crude Exp Dist'!$AD$2:$BC$2,0))*INDEX(crude_exp_by_year,MATCH(B1415,'Data Export'!$B$6:$B$78,0),1),IF(E1415=5,INDEX(ref_exp_dist,MATCH(B1415,'Refined Petro Exp Dist'!$B$6:$B$78,0),MATCH(C1415,'Refined Petro Exp Dist'!$AD$2:$BC$2,0))*INDEX(ref_exp_by_year,MATCH(B1415,'Data Export'!$B$6:$B$78,0),1)))</f>
        <v>0</v>
      </c>
      <c r="E1415">
        <v>4</v>
      </c>
      <c r="F1415" t="s">
        <v>201</v>
      </c>
    </row>
    <row r="1416" spans="1:6">
      <c r="A1416" t="str">
        <f t="shared" si="22"/>
        <v>GenericE&amp;DtemplateCIandGOA</v>
      </c>
      <c r="B1416">
        <v>55</v>
      </c>
      <c r="C1416">
        <v>11</v>
      </c>
      <c r="D1416" s="649">
        <f ca="1">IF(E1416=4,INDEX(crude_exp_dist,MATCH(B1416,'Crude Exp Dist'!$B$6:$B$78,0),MATCH(C1416,'Crude Exp Dist'!$AD$2:$BC$2,0))*INDEX(crude_exp_by_year,MATCH(B1416,'Data Export'!$B$6:$B$78,0),1),IF(E1416=5,INDEX(ref_exp_dist,MATCH(B1416,'Refined Petro Exp Dist'!$B$6:$B$78,0),MATCH(C1416,'Refined Petro Exp Dist'!$AD$2:$BC$2,0))*INDEX(ref_exp_by_year,MATCH(B1416,'Data Export'!$B$6:$B$78,0),1)))</f>
        <v>0</v>
      </c>
      <c r="E1416">
        <v>4</v>
      </c>
      <c r="F1416" t="s">
        <v>921</v>
      </c>
    </row>
    <row r="1417" spans="1:6">
      <c r="A1417" t="str">
        <f t="shared" si="22"/>
        <v>GenericE&amp;DtemplateCIandGOA</v>
      </c>
      <c r="B1417">
        <v>55</v>
      </c>
      <c r="C1417">
        <v>12</v>
      </c>
      <c r="D1417" s="649">
        <f ca="1">IF(E1417=4,INDEX(crude_exp_dist,MATCH(B1417,'Crude Exp Dist'!$B$6:$B$78,0),MATCH(C1417,'Crude Exp Dist'!$AD$2:$BC$2,0))*INDEX(crude_exp_by_year,MATCH(B1417,'Data Export'!$B$6:$B$78,0),1),IF(E1417=5,INDEX(ref_exp_dist,MATCH(B1417,'Refined Petro Exp Dist'!$B$6:$B$78,0),MATCH(C1417,'Refined Petro Exp Dist'!$AD$2:$BC$2,0))*INDEX(ref_exp_by_year,MATCH(B1417,'Data Export'!$B$6:$B$78,0),1)))</f>
        <v>0</v>
      </c>
      <c r="E1417">
        <v>4</v>
      </c>
      <c r="F1417" t="s">
        <v>208</v>
      </c>
    </row>
    <row r="1418" spans="1:6">
      <c r="A1418" t="str">
        <f t="shared" si="22"/>
        <v>GenericE&amp;DtemplateCIandGOA</v>
      </c>
      <c r="B1418">
        <v>55</v>
      </c>
      <c r="C1418">
        <v>13</v>
      </c>
      <c r="D1418" s="649">
        <f ca="1">IF(E1418=4,INDEX(crude_exp_dist,MATCH(B1418,'Crude Exp Dist'!$B$6:$B$78,0),MATCH(C1418,'Crude Exp Dist'!$AD$2:$BC$2,0))*INDEX(crude_exp_by_year,MATCH(B1418,'Data Export'!$B$6:$B$78,0),1),IF(E1418=5,INDEX(ref_exp_dist,MATCH(B1418,'Refined Petro Exp Dist'!$B$6:$B$78,0),MATCH(C1418,'Refined Petro Exp Dist'!$AD$2:$BC$2,0))*INDEX(ref_exp_by_year,MATCH(B1418,'Data Export'!$B$6:$B$78,0),1)))</f>
        <v>0</v>
      </c>
      <c r="E1418">
        <v>4</v>
      </c>
      <c r="F1418" t="s">
        <v>211</v>
      </c>
    </row>
    <row r="1419" spans="1:6">
      <c r="A1419" t="str">
        <f t="shared" si="22"/>
        <v>GenericE&amp;DtemplateCIandGOA</v>
      </c>
      <c r="B1419">
        <v>55</v>
      </c>
      <c r="C1419">
        <v>14</v>
      </c>
      <c r="D1419" s="649">
        <f ca="1">IF(E1419=4,INDEX(crude_exp_dist,MATCH(B1419,'Crude Exp Dist'!$B$6:$B$78,0),MATCH(C1419,'Crude Exp Dist'!$AD$2:$BC$2,0))*INDEX(crude_exp_by_year,MATCH(B1419,'Data Export'!$B$6:$B$78,0),1),IF(E1419=5,INDEX(ref_exp_dist,MATCH(B1419,'Refined Petro Exp Dist'!$B$6:$B$78,0),MATCH(C1419,'Refined Petro Exp Dist'!$AD$2:$BC$2,0))*INDEX(ref_exp_by_year,MATCH(B1419,'Data Export'!$B$6:$B$78,0),1)))</f>
        <v>0</v>
      </c>
      <c r="E1419">
        <v>4</v>
      </c>
      <c r="F1419" t="s">
        <v>213</v>
      </c>
    </row>
    <row r="1420" spans="1:6">
      <c r="A1420" t="str">
        <f t="shared" si="22"/>
        <v>GenericE&amp;DtemplateCIandGOA</v>
      </c>
      <c r="B1420">
        <v>55</v>
      </c>
      <c r="C1420">
        <v>15</v>
      </c>
      <c r="D1420" s="649">
        <f ca="1">IF(E1420=4,INDEX(crude_exp_dist,MATCH(B1420,'Crude Exp Dist'!$B$6:$B$78,0),MATCH(C1420,'Crude Exp Dist'!$AD$2:$BC$2,0))*INDEX(crude_exp_by_year,MATCH(B1420,'Data Export'!$B$6:$B$78,0),1),IF(E1420=5,INDEX(ref_exp_dist,MATCH(B1420,'Refined Petro Exp Dist'!$B$6:$B$78,0),MATCH(C1420,'Refined Petro Exp Dist'!$AD$2:$BC$2,0))*INDEX(ref_exp_by_year,MATCH(B1420,'Data Export'!$B$6:$B$78,0),1)))</f>
        <v>0</v>
      </c>
      <c r="E1420">
        <v>4</v>
      </c>
      <c r="F1420" t="s">
        <v>215</v>
      </c>
    </row>
    <row r="1421" spans="1:6">
      <c r="A1421" t="str">
        <f t="shared" si="22"/>
        <v>GenericE&amp;DtemplateCIandGOA</v>
      </c>
      <c r="B1421">
        <v>55</v>
      </c>
      <c r="C1421">
        <v>16</v>
      </c>
      <c r="D1421" s="649">
        <f ca="1">IF(E1421=4,INDEX(crude_exp_dist,MATCH(B1421,'Crude Exp Dist'!$B$6:$B$78,0),MATCH(C1421,'Crude Exp Dist'!$AD$2:$BC$2,0))*INDEX(crude_exp_by_year,MATCH(B1421,'Data Export'!$B$6:$B$78,0),1),IF(E1421=5,INDEX(ref_exp_dist,MATCH(B1421,'Refined Petro Exp Dist'!$B$6:$B$78,0),MATCH(C1421,'Refined Petro Exp Dist'!$AD$2:$BC$2,0))*INDEX(ref_exp_by_year,MATCH(B1421,'Data Export'!$B$6:$B$78,0),1)))</f>
        <v>0</v>
      </c>
      <c r="E1421">
        <v>4</v>
      </c>
      <c r="F1421" t="s">
        <v>219</v>
      </c>
    </row>
    <row r="1422" spans="1:6">
      <c r="A1422" t="str">
        <f t="shared" si="22"/>
        <v>GenericE&amp;DtemplateCIandGOA</v>
      </c>
      <c r="B1422">
        <v>55</v>
      </c>
      <c r="C1422">
        <v>17</v>
      </c>
      <c r="D1422" s="649">
        <f ca="1">IF(E1422=4,INDEX(crude_exp_dist,MATCH(B1422,'Crude Exp Dist'!$B$6:$B$78,0),MATCH(C1422,'Crude Exp Dist'!$AD$2:$BC$2,0))*INDEX(crude_exp_by_year,MATCH(B1422,'Data Export'!$B$6:$B$78,0),1),IF(E1422=5,INDEX(ref_exp_dist,MATCH(B1422,'Refined Petro Exp Dist'!$B$6:$B$78,0),MATCH(C1422,'Refined Petro Exp Dist'!$AD$2:$BC$2,0))*INDEX(ref_exp_by_year,MATCH(B1422,'Data Export'!$B$6:$B$78,0),1)))</f>
        <v>0</v>
      </c>
      <c r="E1422">
        <v>4</v>
      </c>
      <c r="F1422" t="s">
        <v>222</v>
      </c>
    </row>
    <row r="1423" spans="1:6">
      <c r="A1423" t="str">
        <f t="shared" si="22"/>
        <v>GenericE&amp;DtemplateCIandGOA</v>
      </c>
      <c r="B1423">
        <v>55</v>
      </c>
      <c r="C1423">
        <v>18</v>
      </c>
      <c r="D1423" s="649">
        <f ca="1">IF(E1423=4,INDEX(crude_exp_dist,MATCH(B1423,'Crude Exp Dist'!$B$6:$B$78,0),MATCH(C1423,'Crude Exp Dist'!$AD$2:$BC$2,0))*INDEX(crude_exp_by_year,MATCH(B1423,'Data Export'!$B$6:$B$78,0),1),IF(E1423=5,INDEX(ref_exp_dist,MATCH(B1423,'Refined Petro Exp Dist'!$B$6:$B$78,0),MATCH(C1423,'Refined Petro Exp Dist'!$AD$2:$BC$2,0))*INDEX(ref_exp_by_year,MATCH(B1423,'Data Export'!$B$6:$B$78,0),1)))</f>
        <v>0</v>
      </c>
      <c r="E1423">
        <v>4</v>
      </c>
      <c r="F1423" t="s">
        <v>224</v>
      </c>
    </row>
    <row r="1424" spans="1:6">
      <c r="A1424" t="str">
        <f t="shared" si="22"/>
        <v>GenericE&amp;DtemplateCIandGOA</v>
      </c>
      <c r="B1424">
        <v>55</v>
      </c>
      <c r="C1424">
        <v>19</v>
      </c>
      <c r="D1424" s="649">
        <f ca="1">IF(E1424=4,INDEX(crude_exp_dist,MATCH(B1424,'Crude Exp Dist'!$B$6:$B$78,0),MATCH(C1424,'Crude Exp Dist'!$AD$2:$BC$2,0))*INDEX(crude_exp_by_year,MATCH(B1424,'Data Export'!$B$6:$B$78,0),1),IF(E1424=5,INDEX(ref_exp_dist,MATCH(B1424,'Refined Petro Exp Dist'!$B$6:$B$78,0),MATCH(C1424,'Refined Petro Exp Dist'!$AD$2:$BC$2,0))*INDEX(ref_exp_by_year,MATCH(B1424,'Data Export'!$B$6:$B$78,0),1)))</f>
        <v>0</v>
      </c>
      <c r="E1424">
        <v>4</v>
      </c>
      <c r="F1424" t="s">
        <v>228</v>
      </c>
    </row>
    <row r="1425" spans="1:6">
      <c r="A1425" t="str">
        <f t="shared" si="22"/>
        <v>GenericE&amp;DtemplateCIandGOA</v>
      </c>
      <c r="B1425">
        <v>55</v>
      </c>
      <c r="C1425">
        <v>20</v>
      </c>
      <c r="D1425" s="649">
        <f ca="1">IF(E1425=4,INDEX(crude_exp_dist,MATCH(B1425,'Crude Exp Dist'!$B$6:$B$78,0),MATCH(C1425,'Crude Exp Dist'!$AD$2:$BC$2,0))*INDEX(crude_exp_by_year,MATCH(B1425,'Data Export'!$B$6:$B$78,0),1),IF(E1425=5,INDEX(ref_exp_dist,MATCH(B1425,'Refined Petro Exp Dist'!$B$6:$B$78,0),MATCH(C1425,'Refined Petro Exp Dist'!$AD$2:$BC$2,0))*INDEX(ref_exp_by_year,MATCH(B1425,'Data Export'!$B$6:$B$78,0),1)))</f>
        <v>0</v>
      </c>
      <c r="E1425">
        <v>4</v>
      </c>
      <c r="F1425" t="s">
        <v>231</v>
      </c>
    </row>
    <row r="1426" spans="1:6">
      <c r="A1426" t="str">
        <f t="shared" si="22"/>
        <v>GenericE&amp;DtemplateCIandGOA</v>
      </c>
      <c r="B1426">
        <v>55</v>
      </c>
      <c r="C1426">
        <v>21</v>
      </c>
      <c r="D1426" s="649">
        <f ca="1">IF(E1426=4,INDEX(crude_exp_dist,MATCH(B1426,'Crude Exp Dist'!$B$6:$B$78,0),MATCH(C1426,'Crude Exp Dist'!$AD$2:$BC$2,0))*INDEX(crude_exp_by_year,MATCH(B1426,'Data Export'!$B$6:$B$78,0),1),IF(E1426=5,INDEX(ref_exp_dist,MATCH(B1426,'Refined Petro Exp Dist'!$B$6:$B$78,0),MATCH(C1426,'Refined Petro Exp Dist'!$AD$2:$BC$2,0))*INDEX(ref_exp_by_year,MATCH(B1426,'Data Export'!$B$6:$B$78,0),1)))</f>
        <v>0</v>
      </c>
      <c r="E1426">
        <v>4</v>
      </c>
      <c r="F1426" t="s">
        <v>232</v>
      </c>
    </row>
    <row r="1427" spans="1:6">
      <c r="A1427" t="str">
        <f t="shared" si="22"/>
        <v>GenericE&amp;DtemplateCIandGOA</v>
      </c>
      <c r="B1427">
        <v>55</v>
      </c>
      <c r="C1427">
        <v>22</v>
      </c>
      <c r="D1427" s="649">
        <f ca="1">IF(E1427=4,INDEX(crude_exp_dist,MATCH(B1427,'Crude Exp Dist'!$B$6:$B$78,0),MATCH(C1427,'Crude Exp Dist'!$AD$2:$BC$2,0))*INDEX(crude_exp_by_year,MATCH(B1427,'Data Export'!$B$6:$B$78,0),1),IF(E1427=5,INDEX(ref_exp_dist,MATCH(B1427,'Refined Petro Exp Dist'!$B$6:$B$78,0),MATCH(C1427,'Refined Petro Exp Dist'!$AD$2:$BC$2,0))*INDEX(ref_exp_by_year,MATCH(B1427,'Data Export'!$B$6:$B$78,0),1)))</f>
        <v>0</v>
      </c>
      <c r="E1427">
        <v>4</v>
      </c>
      <c r="F1427" t="s">
        <v>235</v>
      </c>
    </row>
    <row r="1428" spans="1:6">
      <c r="A1428" t="str">
        <f t="shared" si="22"/>
        <v>GenericE&amp;DtemplateCIandGOA</v>
      </c>
      <c r="B1428">
        <v>55</v>
      </c>
      <c r="C1428">
        <v>23</v>
      </c>
      <c r="D1428" s="649">
        <f ca="1">IF(E1428=4,INDEX(crude_exp_dist,MATCH(B1428,'Crude Exp Dist'!$B$6:$B$78,0),MATCH(C1428,'Crude Exp Dist'!$AD$2:$BC$2,0))*INDEX(crude_exp_by_year,MATCH(B1428,'Data Export'!$B$6:$B$78,0),1),IF(E1428=5,INDEX(ref_exp_dist,MATCH(B1428,'Refined Petro Exp Dist'!$B$6:$B$78,0),MATCH(C1428,'Refined Petro Exp Dist'!$AD$2:$BC$2,0))*INDEX(ref_exp_by_year,MATCH(B1428,'Data Export'!$B$6:$B$78,0),1)))</f>
        <v>0</v>
      </c>
      <c r="E1428">
        <v>4</v>
      </c>
      <c r="F1428" t="s">
        <v>237</v>
      </c>
    </row>
    <row r="1429" spans="1:6">
      <c r="A1429" t="str">
        <f t="shared" si="22"/>
        <v>GenericE&amp;DtemplateCIandGOA</v>
      </c>
      <c r="B1429">
        <v>55</v>
      </c>
      <c r="C1429">
        <v>24</v>
      </c>
      <c r="D1429" s="649">
        <f ca="1">IF(E1429=4,INDEX(crude_exp_dist,MATCH(B1429,'Crude Exp Dist'!$B$6:$B$78,0),MATCH(C1429,'Crude Exp Dist'!$AD$2:$BC$2,0))*INDEX(crude_exp_by_year,MATCH(B1429,'Data Export'!$B$6:$B$78,0),1),IF(E1429=5,INDEX(ref_exp_dist,MATCH(B1429,'Refined Petro Exp Dist'!$B$6:$B$78,0),MATCH(C1429,'Refined Petro Exp Dist'!$AD$2:$BC$2,0))*INDEX(ref_exp_by_year,MATCH(B1429,'Data Export'!$B$6:$B$78,0),1)))</f>
        <v>0</v>
      </c>
      <c r="E1429">
        <v>4</v>
      </c>
      <c r="F1429" t="s">
        <v>239</v>
      </c>
    </row>
    <row r="1430" spans="1:6">
      <c r="A1430" t="str">
        <f t="shared" si="22"/>
        <v>GenericE&amp;DtemplateCIandGOA</v>
      </c>
      <c r="B1430">
        <v>55</v>
      </c>
      <c r="C1430">
        <v>25</v>
      </c>
      <c r="D1430" s="649">
        <f ca="1">IF(E1430=4,INDEX(crude_exp_dist,MATCH(B1430,'Crude Exp Dist'!$B$6:$B$78,0),MATCH(C1430,'Crude Exp Dist'!$AD$2:$BC$2,0))*INDEX(crude_exp_by_year,MATCH(B1430,'Data Export'!$B$6:$B$78,0),1),IF(E1430=5,INDEX(ref_exp_dist,MATCH(B1430,'Refined Petro Exp Dist'!$B$6:$B$78,0),MATCH(C1430,'Refined Petro Exp Dist'!$AD$2:$BC$2,0))*INDEX(ref_exp_by_year,MATCH(B1430,'Data Export'!$B$6:$B$78,0),1)))</f>
        <v>0</v>
      </c>
      <c r="E1430">
        <v>4</v>
      </c>
      <c r="F1430" t="s">
        <v>242</v>
      </c>
    </row>
    <row r="1431" spans="1:6">
      <c r="A1431" t="str">
        <f t="shared" si="22"/>
        <v>GenericE&amp;DtemplateCIandGOA</v>
      </c>
      <c r="B1431">
        <v>55</v>
      </c>
      <c r="C1431">
        <v>26</v>
      </c>
      <c r="D1431" s="649">
        <f ca="1">IF(E1431=4,INDEX(crude_exp_dist,MATCH(B1431,'Crude Exp Dist'!$B$6:$B$78,0),MATCH(C1431,'Crude Exp Dist'!$AD$2:$BC$2,0))*INDEX(crude_exp_by_year,MATCH(B1431,'Data Export'!$B$6:$B$78,0),1),IF(E1431=5,INDEX(ref_exp_dist,MATCH(B1431,'Refined Petro Exp Dist'!$B$6:$B$78,0),MATCH(C1431,'Refined Petro Exp Dist'!$AD$2:$BC$2,0))*INDEX(ref_exp_by_year,MATCH(B1431,'Data Export'!$B$6:$B$78,0),1)))</f>
        <v>0</v>
      </c>
      <c r="E1431">
        <v>4</v>
      </c>
      <c r="F1431" t="s">
        <v>245</v>
      </c>
    </row>
    <row r="1432" spans="1:6">
      <c r="A1432" t="str">
        <f t="shared" si="22"/>
        <v>GenericE&amp;DtemplateCIandGOA</v>
      </c>
      <c r="B1432">
        <v>56</v>
      </c>
      <c r="C1432">
        <v>1</v>
      </c>
      <c r="D1432" s="649">
        <f ca="1">IF(E1432=4,INDEX(crude_exp_dist,MATCH(B1432,'Crude Exp Dist'!$B$6:$B$78,0),MATCH(C1432,'Crude Exp Dist'!$AD$2:$BC$2,0))*INDEX(crude_exp_by_year,MATCH(B1432,'Data Export'!$B$6:$B$78,0),1),IF(E1432=5,INDEX(ref_exp_dist,MATCH(B1432,'Refined Petro Exp Dist'!$B$6:$B$78,0),MATCH(C1432,'Refined Petro Exp Dist'!$AD$2:$BC$2,0))*INDEX(ref_exp_by_year,MATCH(B1432,'Data Export'!$B$6:$B$78,0),1)))</f>
        <v>0</v>
      </c>
      <c r="E1432">
        <v>4</v>
      </c>
      <c r="F1432" t="s">
        <v>158</v>
      </c>
    </row>
    <row r="1433" spans="1:6">
      <c r="A1433" t="str">
        <f t="shared" si="22"/>
        <v>GenericE&amp;DtemplateCIandGOA</v>
      </c>
      <c r="B1433">
        <v>56</v>
      </c>
      <c r="C1433">
        <v>2</v>
      </c>
      <c r="D1433" s="649">
        <f ca="1">IF(E1433=4,INDEX(crude_exp_dist,MATCH(B1433,'Crude Exp Dist'!$B$6:$B$78,0),MATCH(C1433,'Crude Exp Dist'!$AD$2:$BC$2,0))*INDEX(crude_exp_by_year,MATCH(B1433,'Data Export'!$B$6:$B$78,0),1),IF(E1433=5,INDEX(ref_exp_dist,MATCH(B1433,'Refined Petro Exp Dist'!$B$6:$B$78,0),MATCH(C1433,'Refined Petro Exp Dist'!$AD$2:$BC$2,0))*INDEX(ref_exp_by_year,MATCH(B1433,'Data Export'!$B$6:$B$78,0),1)))</f>
        <v>0</v>
      </c>
      <c r="E1433">
        <v>4</v>
      </c>
      <c r="F1433" t="s">
        <v>166</v>
      </c>
    </row>
    <row r="1434" spans="1:6">
      <c r="A1434" t="str">
        <f t="shared" si="22"/>
        <v>GenericE&amp;DtemplateCIandGOA</v>
      </c>
      <c r="B1434">
        <v>56</v>
      </c>
      <c r="C1434">
        <v>3</v>
      </c>
      <c r="D1434" s="649">
        <f ca="1">IF(E1434=4,INDEX(crude_exp_dist,MATCH(B1434,'Crude Exp Dist'!$B$6:$B$78,0),MATCH(C1434,'Crude Exp Dist'!$AD$2:$BC$2,0))*INDEX(crude_exp_by_year,MATCH(B1434,'Data Export'!$B$6:$B$78,0),1),IF(E1434=5,INDEX(ref_exp_dist,MATCH(B1434,'Refined Petro Exp Dist'!$B$6:$B$78,0),MATCH(C1434,'Refined Petro Exp Dist'!$AD$2:$BC$2,0))*INDEX(ref_exp_by_year,MATCH(B1434,'Data Export'!$B$6:$B$78,0),1)))</f>
        <v>0</v>
      </c>
      <c r="E1434">
        <v>4</v>
      </c>
      <c r="F1434" t="s">
        <v>171</v>
      </c>
    </row>
    <row r="1435" spans="1:6">
      <c r="A1435" t="str">
        <f t="shared" si="22"/>
        <v>GenericE&amp;DtemplateCIandGOA</v>
      </c>
      <c r="B1435">
        <v>56</v>
      </c>
      <c r="C1435">
        <v>4</v>
      </c>
      <c r="D1435" s="649">
        <f ca="1">IF(E1435=4,INDEX(crude_exp_dist,MATCH(B1435,'Crude Exp Dist'!$B$6:$B$78,0),MATCH(C1435,'Crude Exp Dist'!$AD$2:$BC$2,0))*INDEX(crude_exp_by_year,MATCH(B1435,'Data Export'!$B$6:$B$78,0),1),IF(E1435=5,INDEX(ref_exp_dist,MATCH(B1435,'Refined Petro Exp Dist'!$B$6:$B$78,0),MATCH(C1435,'Refined Petro Exp Dist'!$AD$2:$BC$2,0))*INDEX(ref_exp_by_year,MATCH(B1435,'Data Export'!$B$6:$B$78,0),1)))</f>
        <v>0</v>
      </c>
      <c r="E1435">
        <v>4</v>
      </c>
      <c r="F1435" t="s">
        <v>173</v>
      </c>
    </row>
    <row r="1436" spans="1:6">
      <c r="A1436" t="str">
        <f t="shared" si="22"/>
        <v>GenericE&amp;DtemplateCIandGOA</v>
      </c>
      <c r="B1436">
        <v>56</v>
      </c>
      <c r="C1436">
        <v>5</v>
      </c>
      <c r="D1436" s="649">
        <f ca="1">IF(E1436=4,INDEX(crude_exp_dist,MATCH(B1436,'Crude Exp Dist'!$B$6:$B$78,0),MATCH(C1436,'Crude Exp Dist'!$AD$2:$BC$2,0))*INDEX(crude_exp_by_year,MATCH(B1436,'Data Export'!$B$6:$B$78,0),1),IF(E1436=5,INDEX(ref_exp_dist,MATCH(B1436,'Refined Petro Exp Dist'!$B$6:$B$78,0),MATCH(C1436,'Refined Petro Exp Dist'!$AD$2:$BC$2,0))*INDEX(ref_exp_by_year,MATCH(B1436,'Data Export'!$B$6:$B$78,0),1)))</f>
        <v>0</v>
      </c>
      <c r="E1436">
        <v>4</v>
      </c>
      <c r="F1436" t="s">
        <v>180</v>
      </c>
    </row>
    <row r="1437" spans="1:6">
      <c r="A1437" t="str">
        <f t="shared" si="22"/>
        <v>GenericE&amp;DtemplateCIandGOA</v>
      </c>
      <c r="B1437">
        <v>56</v>
      </c>
      <c r="C1437">
        <v>6</v>
      </c>
      <c r="D1437" s="649">
        <f ca="1">IF(E1437=4,INDEX(crude_exp_dist,MATCH(B1437,'Crude Exp Dist'!$B$6:$B$78,0),MATCH(C1437,'Crude Exp Dist'!$AD$2:$BC$2,0))*INDEX(crude_exp_by_year,MATCH(B1437,'Data Export'!$B$6:$B$78,0),1),IF(E1437=5,INDEX(ref_exp_dist,MATCH(B1437,'Refined Petro Exp Dist'!$B$6:$B$78,0),MATCH(C1437,'Refined Petro Exp Dist'!$AD$2:$BC$2,0))*INDEX(ref_exp_by_year,MATCH(B1437,'Data Export'!$B$6:$B$78,0),1)))</f>
        <v>0</v>
      </c>
      <c r="E1437">
        <v>4</v>
      </c>
      <c r="F1437" t="s">
        <v>186</v>
      </c>
    </row>
    <row r="1438" spans="1:6">
      <c r="A1438" t="str">
        <f t="shared" si="22"/>
        <v>GenericE&amp;DtemplateCIandGOA</v>
      </c>
      <c r="B1438">
        <v>56</v>
      </c>
      <c r="C1438">
        <v>7</v>
      </c>
      <c r="D1438" s="649">
        <f ca="1">IF(E1438=4,INDEX(crude_exp_dist,MATCH(B1438,'Crude Exp Dist'!$B$6:$B$78,0),MATCH(C1438,'Crude Exp Dist'!$AD$2:$BC$2,0))*INDEX(crude_exp_by_year,MATCH(B1438,'Data Export'!$B$6:$B$78,0),1),IF(E1438=5,INDEX(ref_exp_dist,MATCH(B1438,'Refined Petro Exp Dist'!$B$6:$B$78,0),MATCH(C1438,'Refined Petro Exp Dist'!$AD$2:$BC$2,0))*INDEX(ref_exp_by_year,MATCH(B1438,'Data Export'!$B$6:$B$78,0),1)))</f>
        <v>0</v>
      </c>
      <c r="E1438">
        <v>4</v>
      </c>
      <c r="F1438" t="s">
        <v>191</v>
      </c>
    </row>
    <row r="1439" spans="1:6">
      <c r="A1439" t="str">
        <f t="shared" si="22"/>
        <v>GenericE&amp;DtemplateCIandGOA</v>
      </c>
      <c r="B1439">
        <v>56</v>
      </c>
      <c r="C1439">
        <v>8</v>
      </c>
      <c r="D1439" s="649">
        <f ca="1">IF(E1439=4,INDEX(crude_exp_dist,MATCH(B1439,'Crude Exp Dist'!$B$6:$B$78,0),MATCH(C1439,'Crude Exp Dist'!$AD$2:$BC$2,0))*INDEX(crude_exp_by_year,MATCH(B1439,'Data Export'!$B$6:$B$78,0),1),IF(E1439=5,INDEX(ref_exp_dist,MATCH(B1439,'Refined Petro Exp Dist'!$B$6:$B$78,0),MATCH(C1439,'Refined Petro Exp Dist'!$AD$2:$BC$2,0))*INDEX(ref_exp_by_year,MATCH(B1439,'Data Export'!$B$6:$B$78,0),1)))</f>
        <v>0</v>
      </c>
      <c r="E1439">
        <v>4</v>
      </c>
      <c r="F1439" t="s">
        <v>197</v>
      </c>
    </row>
    <row r="1440" spans="1:6">
      <c r="A1440" t="str">
        <f t="shared" si="22"/>
        <v>GenericE&amp;DtemplateCIandGOA</v>
      </c>
      <c r="B1440">
        <v>56</v>
      </c>
      <c r="C1440">
        <v>9</v>
      </c>
      <c r="D1440" s="649">
        <f ca="1">IF(E1440=4,INDEX(crude_exp_dist,MATCH(B1440,'Crude Exp Dist'!$B$6:$B$78,0),MATCH(C1440,'Crude Exp Dist'!$AD$2:$BC$2,0))*INDEX(crude_exp_by_year,MATCH(B1440,'Data Export'!$B$6:$B$78,0),1),IF(E1440=5,INDEX(ref_exp_dist,MATCH(B1440,'Refined Petro Exp Dist'!$B$6:$B$78,0),MATCH(C1440,'Refined Petro Exp Dist'!$AD$2:$BC$2,0))*INDEX(ref_exp_by_year,MATCH(B1440,'Data Export'!$B$6:$B$78,0),1)))</f>
        <v>0</v>
      </c>
      <c r="E1440">
        <v>4</v>
      </c>
      <c r="F1440" t="s">
        <v>199</v>
      </c>
    </row>
    <row r="1441" spans="1:6">
      <c r="A1441" t="str">
        <f t="shared" si="22"/>
        <v>GenericE&amp;DtemplateCIandGOA</v>
      </c>
      <c r="B1441">
        <v>56</v>
      </c>
      <c r="C1441">
        <v>10</v>
      </c>
      <c r="D1441" s="649">
        <f ca="1">IF(E1441=4,INDEX(crude_exp_dist,MATCH(B1441,'Crude Exp Dist'!$B$6:$B$78,0),MATCH(C1441,'Crude Exp Dist'!$AD$2:$BC$2,0))*INDEX(crude_exp_by_year,MATCH(B1441,'Data Export'!$B$6:$B$78,0),1),IF(E1441=5,INDEX(ref_exp_dist,MATCH(B1441,'Refined Petro Exp Dist'!$B$6:$B$78,0),MATCH(C1441,'Refined Petro Exp Dist'!$AD$2:$BC$2,0))*INDEX(ref_exp_by_year,MATCH(B1441,'Data Export'!$B$6:$B$78,0),1)))</f>
        <v>0</v>
      </c>
      <c r="E1441">
        <v>4</v>
      </c>
      <c r="F1441" t="s">
        <v>201</v>
      </c>
    </row>
    <row r="1442" spans="1:6">
      <c r="A1442" t="str">
        <f t="shared" si="22"/>
        <v>GenericE&amp;DtemplateCIandGOA</v>
      </c>
      <c r="B1442">
        <v>56</v>
      </c>
      <c r="C1442">
        <v>11</v>
      </c>
      <c r="D1442" s="649">
        <f ca="1">IF(E1442=4,INDEX(crude_exp_dist,MATCH(B1442,'Crude Exp Dist'!$B$6:$B$78,0),MATCH(C1442,'Crude Exp Dist'!$AD$2:$BC$2,0))*INDEX(crude_exp_by_year,MATCH(B1442,'Data Export'!$B$6:$B$78,0),1),IF(E1442=5,INDEX(ref_exp_dist,MATCH(B1442,'Refined Petro Exp Dist'!$B$6:$B$78,0),MATCH(C1442,'Refined Petro Exp Dist'!$AD$2:$BC$2,0))*INDEX(ref_exp_by_year,MATCH(B1442,'Data Export'!$B$6:$B$78,0),1)))</f>
        <v>0</v>
      </c>
      <c r="E1442">
        <v>4</v>
      </c>
      <c r="F1442" t="s">
        <v>921</v>
      </c>
    </row>
    <row r="1443" spans="1:6">
      <c r="A1443" t="str">
        <f t="shared" si="22"/>
        <v>GenericE&amp;DtemplateCIandGOA</v>
      </c>
      <c r="B1443">
        <v>56</v>
      </c>
      <c r="C1443">
        <v>12</v>
      </c>
      <c r="D1443" s="649">
        <f ca="1">IF(E1443=4,INDEX(crude_exp_dist,MATCH(B1443,'Crude Exp Dist'!$B$6:$B$78,0),MATCH(C1443,'Crude Exp Dist'!$AD$2:$BC$2,0))*INDEX(crude_exp_by_year,MATCH(B1443,'Data Export'!$B$6:$B$78,0),1),IF(E1443=5,INDEX(ref_exp_dist,MATCH(B1443,'Refined Petro Exp Dist'!$B$6:$B$78,0),MATCH(C1443,'Refined Petro Exp Dist'!$AD$2:$BC$2,0))*INDEX(ref_exp_by_year,MATCH(B1443,'Data Export'!$B$6:$B$78,0),1)))</f>
        <v>0</v>
      </c>
      <c r="E1443">
        <v>4</v>
      </c>
      <c r="F1443" t="s">
        <v>208</v>
      </c>
    </row>
    <row r="1444" spans="1:6">
      <c r="A1444" t="str">
        <f t="shared" si="22"/>
        <v>GenericE&amp;DtemplateCIandGOA</v>
      </c>
      <c r="B1444">
        <v>56</v>
      </c>
      <c r="C1444">
        <v>13</v>
      </c>
      <c r="D1444" s="649">
        <f ca="1">IF(E1444=4,INDEX(crude_exp_dist,MATCH(B1444,'Crude Exp Dist'!$B$6:$B$78,0),MATCH(C1444,'Crude Exp Dist'!$AD$2:$BC$2,0))*INDEX(crude_exp_by_year,MATCH(B1444,'Data Export'!$B$6:$B$78,0),1),IF(E1444=5,INDEX(ref_exp_dist,MATCH(B1444,'Refined Petro Exp Dist'!$B$6:$B$78,0),MATCH(C1444,'Refined Petro Exp Dist'!$AD$2:$BC$2,0))*INDEX(ref_exp_by_year,MATCH(B1444,'Data Export'!$B$6:$B$78,0),1)))</f>
        <v>0</v>
      </c>
      <c r="E1444">
        <v>4</v>
      </c>
      <c r="F1444" t="s">
        <v>211</v>
      </c>
    </row>
    <row r="1445" spans="1:6">
      <c r="A1445" t="str">
        <f t="shared" si="22"/>
        <v>GenericE&amp;DtemplateCIandGOA</v>
      </c>
      <c r="B1445">
        <v>56</v>
      </c>
      <c r="C1445">
        <v>14</v>
      </c>
      <c r="D1445" s="649">
        <f ca="1">IF(E1445=4,INDEX(crude_exp_dist,MATCH(B1445,'Crude Exp Dist'!$B$6:$B$78,0),MATCH(C1445,'Crude Exp Dist'!$AD$2:$BC$2,0))*INDEX(crude_exp_by_year,MATCH(B1445,'Data Export'!$B$6:$B$78,0),1),IF(E1445=5,INDEX(ref_exp_dist,MATCH(B1445,'Refined Petro Exp Dist'!$B$6:$B$78,0),MATCH(C1445,'Refined Petro Exp Dist'!$AD$2:$BC$2,0))*INDEX(ref_exp_by_year,MATCH(B1445,'Data Export'!$B$6:$B$78,0),1)))</f>
        <v>0</v>
      </c>
      <c r="E1445">
        <v>4</v>
      </c>
      <c r="F1445" t="s">
        <v>213</v>
      </c>
    </row>
    <row r="1446" spans="1:6">
      <c r="A1446" t="str">
        <f t="shared" si="22"/>
        <v>GenericE&amp;DtemplateCIandGOA</v>
      </c>
      <c r="B1446">
        <v>56</v>
      </c>
      <c r="C1446">
        <v>15</v>
      </c>
      <c r="D1446" s="649">
        <f ca="1">IF(E1446=4,INDEX(crude_exp_dist,MATCH(B1446,'Crude Exp Dist'!$B$6:$B$78,0),MATCH(C1446,'Crude Exp Dist'!$AD$2:$BC$2,0))*INDEX(crude_exp_by_year,MATCH(B1446,'Data Export'!$B$6:$B$78,0),1),IF(E1446=5,INDEX(ref_exp_dist,MATCH(B1446,'Refined Petro Exp Dist'!$B$6:$B$78,0),MATCH(C1446,'Refined Petro Exp Dist'!$AD$2:$BC$2,0))*INDEX(ref_exp_by_year,MATCH(B1446,'Data Export'!$B$6:$B$78,0),1)))</f>
        <v>0</v>
      </c>
      <c r="E1446">
        <v>4</v>
      </c>
      <c r="F1446" t="s">
        <v>215</v>
      </c>
    </row>
    <row r="1447" spans="1:6">
      <c r="A1447" t="str">
        <f t="shared" si="22"/>
        <v>GenericE&amp;DtemplateCIandGOA</v>
      </c>
      <c r="B1447">
        <v>56</v>
      </c>
      <c r="C1447">
        <v>16</v>
      </c>
      <c r="D1447" s="649">
        <f ca="1">IF(E1447=4,INDEX(crude_exp_dist,MATCH(B1447,'Crude Exp Dist'!$B$6:$B$78,0),MATCH(C1447,'Crude Exp Dist'!$AD$2:$BC$2,0))*INDEX(crude_exp_by_year,MATCH(B1447,'Data Export'!$B$6:$B$78,0),1),IF(E1447=5,INDEX(ref_exp_dist,MATCH(B1447,'Refined Petro Exp Dist'!$B$6:$B$78,0),MATCH(C1447,'Refined Petro Exp Dist'!$AD$2:$BC$2,0))*INDEX(ref_exp_by_year,MATCH(B1447,'Data Export'!$B$6:$B$78,0),1)))</f>
        <v>0</v>
      </c>
      <c r="E1447">
        <v>4</v>
      </c>
      <c r="F1447" t="s">
        <v>219</v>
      </c>
    </row>
    <row r="1448" spans="1:6">
      <c r="A1448" t="str">
        <f t="shared" si="22"/>
        <v>GenericE&amp;DtemplateCIandGOA</v>
      </c>
      <c r="B1448">
        <v>56</v>
      </c>
      <c r="C1448">
        <v>17</v>
      </c>
      <c r="D1448" s="649">
        <f ca="1">IF(E1448=4,INDEX(crude_exp_dist,MATCH(B1448,'Crude Exp Dist'!$B$6:$B$78,0),MATCH(C1448,'Crude Exp Dist'!$AD$2:$BC$2,0))*INDEX(crude_exp_by_year,MATCH(B1448,'Data Export'!$B$6:$B$78,0),1),IF(E1448=5,INDEX(ref_exp_dist,MATCH(B1448,'Refined Petro Exp Dist'!$B$6:$B$78,0),MATCH(C1448,'Refined Petro Exp Dist'!$AD$2:$BC$2,0))*INDEX(ref_exp_by_year,MATCH(B1448,'Data Export'!$B$6:$B$78,0),1)))</f>
        <v>0</v>
      </c>
      <c r="E1448">
        <v>4</v>
      </c>
      <c r="F1448" t="s">
        <v>222</v>
      </c>
    </row>
    <row r="1449" spans="1:6">
      <c r="A1449" t="str">
        <f t="shared" si="22"/>
        <v>GenericE&amp;DtemplateCIandGOA</v>
      </c>
      <c r="B1449">
        <v>56</v>
      </c>
      <c r="C1449">
        <v>18</v>
      </c>
      <c r="D1449" s="649">
        <f ca="1">IF(E1449=4,INDEX(crude_exp_dist,MATCH(B1449,'Crude Exp Dist'!$B$6:$B$78,0),MATCH(C1449,'Crude Exp Dist'!$AD$2:$BC$2,0))*INDEX(crude_exp_by_year,MATCH(B1449,'Data Export'!$B$6:$B$78,0),1),IF(E1449=5,INDEX(ref_exp_dist,MATCH(B1449,'Refined Petro Exp Dist'!$B$6:$B$78,0),MATCH(C1449,'Refined Petro Exp Dist'!$AD$2:$BC$2,0))*INDEX(ref_exp_by_year,MATCH(B1449,'Data Export'!$B$6:$B$78,0),1)))</f>
        <v>0</v>
      </c>
      <c r="E1449">
        <v>4</v>
      </c>
      <c r="F1449" t="s">
        <v>224</v>
      </c>
    </row>
    <row r="1450" spans="1:6">
      <c r="A1450" t="str">
        <f t="shared" si="22"/>
        <v>GenericE&amp;DtemplateCIandGOA</v>
      </c>
      <c r="B1450">
        <v>56</v>
      </c>
      <c r="C1450">
        <v>19</v>
      </c>
      <c r="D1450" s="649">
        <f ca="1">IF(E1450=4,INDEX(crude_exp_dist,MATCH(B1450,'Crude Exp Dist'!$B$6:$B$78,0),MATCH(C1450,'Crude Exp Dist'!$AD$2:$BC$2,0))*INDEX(crude_exp_by_year,MATCH(B1450,'Data Export'!$B$6:$B$78,0),1),IF(E1450=5,INDEX(ref_exp_dist,MATCH(B1450,'Refined Petro Exp Dist'!$B$6:$B$78,0),MATCH(C1450,'Refined Petro Exp Dist'!$AD$2:$BC$2,0))*INDEX(ref_exp_by_year,MATCH(B1450,'Data Export'!$B$6:$B$78,0),1)))</f>
        <v>0</v>
      </c>
      <c r="E1450">
        <v>4</v>
      </c>
      <c r="F1450" t="s">
        <v>228</v>
      </c>
    </row>
    <row r="1451" spans="1:6">
      <c r="A1451" t="str">
        <f t="shared" si="22"/>
        <v>GenericE&amp;DtemplateCIandGOA</v>
      </c>
      <c r="B1451">
        <v>56</v>
      </c>
      <c r="C1451">
        <v>20</v>
      </c>
      <c r="D1451" s="649">
        <f ca="1">IF(E1451=4,INDEX(crude_exp_dist,MATCH(B1451,'Crude Exp Dist'!$B$6:$B$78,0),MATCH(C1451,'Crude Exp Dist'!$AD$2:$BC$2,0))*INDEX(crude_exp_by_year,MATCH(B1451,'Data Export'!$B$6:$B$78,0),1),IF(E1451=5,INDEX(ref_exp_dist,MATCH(B1451,'Refined Petro Exp Dist'!$B$6:$B$78,0),MATCH(C1451,'Refined Petro Exp Dist'!$AD$2:$BC$2,0))*INDEX(ref_exp_by_year,MATCH(B1451,'Data Export'!$B$6:$B$78,0),1)))</f>
        <v>0</v>
      </c>
      <c r="E1451">
        <v>4</v>
      </c>
      <c r="F1451" t="s">
        <v>231</v>
      </c>
    </row>
    <row r="1452" spans="1:6">
      <c r="A1452" t="str">
        <f t="shared" si="22"/>
        <v>GenericE&amp;DtemplateCIandGOA</v>
      </c>
      <c r="B1452">
        <v>56</v>
      </c>
      <c r="C1452">
        <v>21</v>
      </c>
      <c r="D1452" s="649">
        <f ca="1">IF(E1452=4,INDEX(crude_exp_dist,MATCH(B1452,'Crude Exp Dist'!$B$6:$B$78,0),MATCH(C1452,'Crude Exp Dist'!$AD$2:$BC$2,0))*INDEX(crude_exp_by_year,MATCH(B1452,'Data Export'!$B$6:$B$78,0),1),IF(E1452=5,INDEX(ref_exp_dist,MATCH(B1452,'Refined Petro Exp Dist'!$B$6:$B$78,0),MATCH(C1452,'Refined Petro Exp Dist'!$AD$2:$BC$2,0))*INDEX(ref_exp_by_year,MATCH(B1452,'Data Export'!$B$6:$B$78,0),1)))</f>
        <v>0</v>
      </c>
      <c r="E1452">
        <v>4</v>
      </c>
      <c r="F1452" t="s">
        <v>232</v>
      </c>
    </row>
    <row r="1453" spans="1:6">
      <c r="A1453" t="str">
        <f t="shared" si="22"/>
        <v>GenericE&amp;DtemplateCIandGOA</v>
      </c>
      <c r="B1453">
        <v>56</v>
      </c>
      <c r="C1453">
        <v>22</v>
      </c>
      <c r="D1453" s="649">
        <f ca="1">IF(E1453=4,INDEX(crude_exp_dist,MATCH(B1453,'Crude Exp Dist'!$B$6:$B$78,0),MATCH(C1453,'Crude Exp Dist'!$AD$2:$BC$2,0))*INDEX(crude_exp_by_year,MATCH(B1453,'Data Export'!$B$6:$B$78,0),1),IF(E1453=5,INDEX(ref_exp_dist,MATCH(B1453,'Refined Petro Exp Dist'!$B$6:$B$78,0),MATCH(C1453,'Refined Petro Exp Dist'!$AD$2:$BC$2,0))*INDEX(ref_exp_by_year,MATCH(B1453,'Data Export'!$B$6:$B$78,0),1)))</f>
        <v>0</v>
      </c>
      <c r="E1453">
        <v>4</v>
      </c>
      <c r="F1453" t="s">
        <v>235</v>
      </c>
    </row>
    <row r="1454" spans="1:6">
      <c r="A1454" t="str">
        <f t="shared" si="22"/>
        <v>GenericE&amp;DtemplateCIandGOA</v>
      </c>
      <c r="B1454">
        <v>56</v>
      </c>
      <c r="C1454">
        <v>23</v>
      </c>
      <c r="D1454" s="649">
        <f ca="1">IF(E1454=4,INDEX(crude_exp_dist,MATCH(B1454,'Crude Exp Dist'!$B$6:$B$78,0),MATCH(C1454,'Crude Exp Dist'!$AD$2:$BC$2,0))*INDEX(crude_exp_by_year,MATCH(B1454,'Data Export'!$B$6:$B$78,0),1),IF(E1454=5,INDEX(ref_exp_dist,MATCH(B1454,'Refined Petro Exp Dist'!$B$6:$B$78,0),MATCH(C1454,'Refined Petro Exp Dist'!$AD$2:$BC$2,0))*INDEX(ref_exp_by_year,MATCH(B1454,'Data Export'!$B$6:$B$78,0),1)))</f>
        <v>0</v>
      </c>
      <c r="E1454">
        <v>4</v>
      </c>
      <c r="F1454" t="s">
        <v>237</v>
      </c>
    </row>
    <row r="1455" spans="1:6">
      <c r="A1455" t="str">
        <f t="shared" si="22"/>
        <v>GenericE&amp;DtemplateCIandGOA</v>
      </c>
      <c r="B1455">
        <v>56</v>
      </c>
      <c r="C1455">
        <v>24</v>
      </c>
      <c r="D1455" s="649">
        <f ca="1">IF(E1455=4,INDEX(crude_exp_dist,MATCH(B1455,'Crude Exp Dist'!$B$6:$B$78,0),MATCH(C1455,'Crude Exp Dist'!$AD$2:$BC$2,0))*INDEX(crude_exp_by_year,MATCH(B1455,'Data Export'!$B$6:$B$78,0),1),IF(E1455=5,INDEX(ref_exp_dist,MATCH(B1455,'Refined Petro Exp Dist'!$B$6:$B$78,0),MATCH(C1455,'Refined Petro Exp Dist'!$AD$2:$BC$2,0))*INDEX(ref_exp_by_year,MATCH(B1455,'Data Export'!$B$6:$B$78,0),1)))</f>
        <v>0</v>
      </c>
      <c r="E1455">
        <v>4</v>
      </c>
      <c r="F1455" t="s">
        <v>239</v>
      </c>
    </row>
    <row r="1456" spans="1:6">
      <c r="A1456" t="str">
        <f t="shared" si="22"/>
        <v>GenericE&amp;DtemplateCIandGOA</v>
      </c>
      <c r="B1456">
        <v>56</v>
      </c>
      <c r="C1456">
        <v>25</v>
      </c>
      <c r="D1456" s="649">
        <f ca="1">IF(E1456=4,INDEX(crude_exp_dist,MATCH(B1456,'Crude Exp Dist'!$B$6:$B$78,0),MATCH(C1456,'Crude Exp Dist'!$AD$2:$BC$2,0))*INDEX(crude_exp_by_year,MATCH(B1456,'Data Export'!$B$6:$B$78,0),1),IF(E1456=5,INDEX(ref_exp_dist,MATCH(B1456,'Refined Petro Exp Dist'!$B$6:$B$78,0),MATCH(C1456,'Refined Petro Exp Dist'!$AD$2:$BC$2,0))*INDEX(ref_exp_by_year,MATCH(B1456,'Data Export'!$B$6:$B$78,0),1)))</f>
        <v>0</v>
      </c>
      <c r="E1456">
        <v>4</v>
      </c>
      <c r="F1456" t="s">
        <v>242</v>
      </c>
    </row>
    <row r="1457" spans="1:6">
      <c r="A1457" t="str">
        <f t="shared" si="22"/>
        <v>GenericE&amp;DtemplateCIandGOA</v>
      </c>
      <c r="B1457">
        <v>56</v>
      </c>
      <c r="C1457">
        <v>26</v>
      </c>
      <c r="D1457" s="649">
        <f ca="1">IF(E1457=4,INDEX(crude_exp_dist,MATCH(B1457,'Crude Exp Dist'!$B$6:$B$78,0),MATCH(C1457,'Crude Exp Dist'!$AD$2:$BC$2,0))*INDEX(crude_exp_by_year,MATCH(B1457,'Data Export'!$B$6:$B$78,0),1),IF(E1457=5,INDEX(ref_exp_dist,MATCH(B1457,'Refined Petro Exp Dist'!$B$6:$B$78,0),MATCH(C1457,'Refined Petro Exp Dist'!$AD$2:$BC$2,0))*INDEX(ref_exp_by_year,MATCH(B1457,'Data Export'!$B$6:$B$78,0),1)))</f>
        <v>0</v>
      </c>
      <c r="E1457">
        <v>4</v>
      </c>
      <c r="F1457" t="s">
        <v>245</v>
      </c>
    </row>
    <row r="1458" spans="1:6">
      <c r="A1458" t="str">
        <f t="shared" si="22"/>
        <v>GenericE&amp;DtemplateCIandGOA</v>
      </c>
      <c r="B1458">
        <v>57</v>
      </c>
      <c r="C1458">
        <v>1</v>
      </c>
      <c r="D1458" s="649">
        <f ca="1">IF(E1458=4,INDEX(crude_exp_dist,MATCH(B1458,'Crude Exp Dist'!$B$6:$B$78,0),MATCH(C1458,'Crude Exp Dist'!$AD$2:$BC$2,0))*INDEX(crude_exp_by_year,MATCH(B1458,'Data Export'!$B$6:$B$78,0),1),IF(E1458=5,INDEX(ref_exp_dist,MATCH(B1458,'Refined Petro Exp Dist'!$B$6:$B$78,0),MATCH(C1458,'Refined Petro Exp Dist'!$AD$2:$BC$2,0))*INDEX(ref_exp_by_year,MATCH(B1458,'Data Export'!$B$6:$B$78,0),1)))</f>
        <v>0</v>
      </c>
      <c r="E1458">
        <v>4</v>
      </c>
      <c r="F1458" t="s">
        <v>158</v>
      </c>
    </row>
    <row r="1459" spans="1:6">
      <c r="A1459" t="str">
        <f t="shared" si="22"/>
        <v>GenericE&amp;DtemplateCIandGOA</v>
      </c>
      <c r="B1459">
        <v>57</v>
      </c>
      <c r="C1459">
        <v>2</v>
      </c>
      <c r="D1459" s="649">
        <f ca="1">IF(E1459=4,INDEX(crude_exp_dist,MATCH(B1459,'Crude Exp Dist'!$B$6:$B$78,0),MATCH(C1459,'Crude Exp Dist'!$AD$2:$BC$2,0))*INDEX(crude_exp_by_year,MATCH(B1459,'Data Export'!$B$6:$B$78,0),1),IF(E1459=5,INDEX(ref_exp_dist,MATCH(B1459,'Refined Petro Exp Dist'!$B$6:$B$78,0),MATCH(C1459,'Refined Petro Exp Dist'!$AD$2:$BC$2,0))*INDEX(ref_exp_by_year,MATCH(B1459,'Data Export'!$B$6:$B$78,0),1)))</f>
        <v>0</v>
      </c>
      <c r="E1459">
        <v>4</v>
      </c>
      <c r="F1459" t="s">
        <v>166</v>
      </c>
    </row>
    <row r="1460" spans="1:6">
      <c r="A1460" t="str">
        <f t="shared" si="22"/>
        <v>GenericE&amp;DtemplateCIandGOA</v>
      </c>
      <c r="B1460">
        <v>57</v>
      </c>
      <c r="C1460">
        <v>3</v>
      </c>
      <c r="D1460" s="649">
        <f ca="1">IF(E1460=4,INDEX(crude_exp_dist,MATCH(B1460,'Crude Exp Dist'!$B$6:$B$78,0),MATCH(C1460,'Crude Exp Dist'!$AD$2:$BC$2,0))*INDEX(crude_exp_by_year,MATCH(B1460,'Data Export'!$B$6:$B$78,0),1),IF(E1460=5,INDEX(ref_exp_dist,MATCH(B1460,'Refined Petro Exp Dist'!$B$6:$B$78,0),MATCH(C1460,'Refined Petro Exp Dist'!$AD$2:$BC$2,0))*INDEX(ref_exp_by_year,MATCH(B1460,'Data Export'!$B$6:$B$78,0),1)))</f>
        <v>0</v>
      </c>
      <c r="E1460">
        <v>4</v>
      </c>
      <c r="F1460" t="s">
        <v>171</v>
      </c>
    </row>
    <row r="1461" spans="1:6">
      <c r="A1461" t="str">
        <f t="shared" si="22"/>
        <v>GenericE&amp;DtemplateCIandGOA</v>
      </c>
      <c r="B1461">
        <v>57</v>
      </c>
      <c r="C1461">
        <v>4</v>
      </c>
      <c r="D1461" s="649">
        <f ca="1">IF(E1461=4,INDEX(crude_exp_dist,MATCH(B1461,'Crude Exp Dist'!$B$6:$B$78,0),MATCH(C1461,'Crude Exp Dist'!$AD$2:$BC$2,0))*INDEX(crude_exp_by_year,MATCH(B1461,'Data Export'!$B$6:$B$78,0),1),IF(E1461=5,INDEX(ref_exp_dist,MATCH(B1461,'Refined Petro Exp Dist'!$B$6:$B$78,0),MATCH(C1461,'Refined Petro Exp Dist'!$AD$2:$BC$2,0))*INDEX(ref_exp_by_year,MATCH(B1461,'Data Export'!$B$6:$B$78,0),1)))</f>
        <v>0</v>
      </c>
      <c r="E1461">
        <v>4</v>
      </c>
      <c r="F1461" t="s">
        <v>173</v>
      </c>
    </row>
    <row r="1462" spans="1:6">
      <c r="A1462" t="str">
        <f t="shared" si="22"/>
        <v>GenericE&amp;DtemplateCIandGOA</v>
      </c>
      <c r="B1462">
        <v>57</v>
      </c>
      <c r="C1462">
        <v>5</v>
      </c>
      <c r="D1462" s="649">
        <f ca="1">IF(E1462=4,INDEX(crude_exp_dist,MATCH(B1462,'Crude Exp Dist'!$B$6:$B$78,0),MATCH(C1462,'Crude Exp Dist'!$AD$2:$BC$2,0))*INDEX(crude_exp_by_year,MATCH(B1462,'Data Export'!$B$6:$B$78,0),1),IF(E1462=5,INDEX(ref_exp_dist,MATCH(B1462,'Refined Petro Exp Dist'!$B$6:$B$78,0),MATCH(C1462,'Refined Petro Exp Dist'!$AD$2:$BC$2,0))*INDEX(ref_exp_by_year,MATCH(B1462,'Data Export'!$B$6:$B$78,0),1)))</f>
        <v>0</v>
      </c>
      <c r="E1462">
        <v>4</v>
      </c>
      <c r="F1462" t="s">
        <v>180</v>
      </c>
    </row>
    <row r="1463" spans="1:6">
      <c r="A1463" t="str">
        <f t="shared" si="22"/>
        <v>GenericE&amp;DtemplateCIandGOA</v>
      </c>
      <c r="B1463">
        <v>57</v>
      </c>
      <c r="C1463">
        <v>6</v>
      </c>
      <c r="D1463" s="649">
        <f ca="1">IF(E1463=4,INDEX(crude_exp_dist,MATCH(B1463,'Crude Exp Dist'!$B$6:$B$78,0),MATCH(C1463,'Crude Exp Dist'!$AD$2:$BC$2,0))*INDEX(crude_exp_by_year,MATCH(B1463,'Data Export'!$B$6:$B$78,0),1),IF(E1463=5,INDEX(ref_exp_dist,MATCH(B1463,'Refined Petro Exp Dist'!$B$6:$B$78,0),MATCH(C1463,'Refined Petro Exp Dist'!$AD$2:$BC$2,0))*INDEX(ref_exp_by_year,MATCH(B1463,'Data Export'!$B$6:$B$78,0),1)))</f>
        <v>0</v>
      </c>
      <c r="E1463">
        <v>4</v>
      </c>
      <c r="F1463" t="s">
        <v>186</v>
      </c>
    </row>
    <row r="1464" spans="1:6">
      <c r="A1464" t="str">
        <f t="shared" si="22"/>
        <v>GenericE&amp;DtemplateCIandGOA</v>
      </c>
      <c r="B1464">
        <v>57</v>
      </c>
      <c r="C1464">
        <v>7</v>
      </c>
      <c r="D1464" s="649">
        <f ca="1">IF(E1464=4,INDEX(crude_exp_dist,MATCH(B1464,'Crude Exp Dist'!$B$6:$B$78,0),MATCH(C1464,'Crude Exp Dist'!$AD$2:$BC$2,0))*INDEX(crude_exp_by_year,MATCH(B1464,'Data Export'!$B$6:$B$78,0),1),IF(E1464=5,INDEX(ref_exp_dist,MATCH(B1464,'Refined Petro Exp Dist'!$B$6:$B$78,0),MATCH(C1464,'Refined Petro Exp Dist'!$AD$2:$BC$2,0))*INDEX(ref_exp_by_year,MATCH(B1464,'Data Export'!$B$6:$B$78,0),1)))</f>
        <v>0</v>
      </c>
      <c r="E1464">
        <v>4</v>
      </c>
      <c r="F1464" t="s">
        <v>191</v>
      </c>
    </row>
    <row r="1465" spans="1:6">
      <c r="A1465" t="str">
        <f t="shared" si="22"/>
        <v>GenericE&amp;DtemplateCIandGOA</v>
      </c>
      <c r="B1465">
        <v>57</v>
      </c>
      <c r="C1465">
        <v>8</v>
      </c>
      <c r="D1465" s="649">
        <f ca="1">IF(E1465=4,INDEX(crude_exp_dist,MATCH(B1465,'Crude Exp Dist'!$B$6:$B$78,0),MATCH(C1465,'Crude Exp Dist'!$AD$2:$BC$2,0))*INDEX(crude_exp_by_year,MATCH(B1465,'Data Export'!$B$6:$B$78,0),1),IF(E1465=5,INDEX(ref_exp_dist,MATCH(B1465,'Refined Petro Exp Dist'!$B$6:$B$78,0),MATCH(C1465,'Refined Petro Exp Dist'!$AD$2:$BC$2,0))*INDEX(ref_exp_by_year,MATCH(B1465,'Data Export'!$B$6:$B$78,0),1)))</f>
        <v>0</v>
      </c>
      <c r="E1465">
        <v>4</v>
      </c>
      <c r="F1465" t="s">
        <v>197</v>
      </c>
    </row>
    <row r="1466" spans="1:6">
      <c r="A1466" t="str">
        <f t="shared" si="22"/>
        <v>GenericE&amp;DtemplateCIandGOA</v>
      </c>
      <c r="B1466">
        <v>57</v>
      </c>
      <c r="C1466">
        <v>9</v>
      </c>
      <c r="D1466" s="649">
        <f ca="1">IF(E1466=4,INDEX(crude_exp_dist,MATCH(B1466,'Crude Exp Dist'!$B$6:$B$78,0),MATCH(C1466,'Crude Exp Dist'!$AD$2:$BC$2,0))*INDEX(crude_exp_by_year,MATCH(B1466,'Data Export'!$B$6:$B$78,0),1),IF(E1466=5,INDEX(ref_exp_dist,MATCH(B1466,'Refined Petro Exp Dist'!$B$6:$B$78,0),MATCH(C1466,'Refined Petro Exp Dist'!$AD$2:$BC$2,0))*INDEX(ref_exp_by_year,MATCH(B1466,'Data Export'!$B$6:$B$78,0),1)))</f>
        <v>0</v>
      </c>
      <c r="E1466">
        <v>4</v>
      </c>
      <c r="F1466" t="s">
        <v>199</v>
      </c>
    </row>
    <row r="1467" spans="1:6">
      <c r="A1467" t="str">
        <f t="shared" si="22"/>
        <v>GenericE&amp;DtemplateCIandGOA</v>
      </c>
      <c r="B1467">
        <v>57</v>
      </c>
      <c r="C1467">
        <v>10</v>
      </c>
      <c r="D1467" s="649">
        <f ca="1">IF(E1467=4,INDEX(crude_exp_dist,MATCH(B1467,'Crude Exp Dist'!$B$6:$B$78,0),MATCH(C1467,'Crude Exp Dist'!$AD$2:$BC$2,0))*INDEX(crude_exp_by_year,MATCH(B1467,'Data Export'!$B$6:$B$78,0),1),IF(E1467=5,INDEX(ref_exp_dist,MATCH(B1467,'Refined Petro Exp Dist'!$B$6:$B$78,0),MATCH(C1467,'Refined Petro Exp Dist'!$AD$2:$BC$2,0))*INDEX(ref_exp_by_year,MATCH(B1467,'Data Export'!$B$6:$B$78,0),1)))</f>
        <v>0</v>
      </c>
      <c r="E1467">
        <v>4</v>
      </c>
      <c r="F1467" t="s">
        <v>201</v>
      </c>
    </row>
    <row r="1468" spans="1:6">
      <c r="A1468" t="str">
        <f t="shared" si="22"/>
        <v>GenericE&amp;DtemplateCIandGOA</v>
      </c>
      <c r="B1468">
        <v>57</v>
      </c>
      <c r="C1468">
        <v>11</v>
      </c>
      <c r="D1468" s="649">
        <f ca="1">IF(E1468=4,INDEX(crude_exp_dist,MATCH(B1468,'Crude Exp Dist'!$B$6:$B$78,0),MATCH(C1468,'Crude Exp Dist'!$AD$2:$BC$2,0))*INDEX(crude_exp_by_year,MATCH(B1468,'Data Export'!$B$6:$B$78,0),1),IF(E1468=5,INDEX(ref_exp_dist,MATCH(B1468,'Refined Petro Exp Dist'!$B$6:$B$78,0),MATCH(C1468,'Refined Petro Exp Dist'!$AD$2:$BC$2,0))*INDEX(ref_exp_by_year,MATCH(B1468,'Data Export'!$B$6:$B$78,0),1)))</f>
        <v>0</v>
      </c>
      <c r="E1468">
        <v>4</v>
      </c>
      <c r="F1468" t="s">
        <v>921</v>
      </c>
    </row>
    <row r="1469" spans="1:6">
      <c r="A1469" t="str">
        <f t="shared" si="22"/>
        <v>GenericE&amp;DtemplateCIandGOA</v>
      </c>
      <c r="B1469">
        <v>57</v>
      </c>
      <c r="C1469">
        <v>12</v>
      </c>
      <c r="D1469" s="649">
        <f ca="1">IF(E1469=4,INDEX(crude_exp_dist,MATCH(B1469,'Crude Exp Dist'!$B$6:$B$78,0),MATCH(C1469,'Crude Exp Dist'!$AD$2:$BC$2,0))*INDEX(crude_exp_by_year,MATCH(B1469,'Data Export'!$B$6:$B$78,0),1),IF(E1469=5,INDEX(ref_exp_dist,MATCH(B1469,'Refined Petro Exp Dist'!$B$6:$B$78,0),MATCH(C1469,'Refined Petro Exp Dist'!$AD$2:$BC$2,0))*INDEX(ref_exp_by_year,MATCH(B1469,'Data Export'!$B$6:$B$78,0),1)))</f>
        <v>0</v>
      </c>
      <c r="E1469">
        <v>4</v>
      </c>
      <c r="F1469" t="s">
        <v>208</v>
      </c>
    </row>
    <row r="1470" spans="1:6">
      <c r="A1470" t="str">
        <f t="shared" si="22"/>
        <v>GenericE&amp;DtemplateCIandGOA</v>
      </c>
      <c r="B1470">
        <v>57</v>
      </c>
      <c r="C1470">
        <v>13</v>
      </c>
      <c r="D1470" s="649">
        <f ca="1">IF(E1470=4,INDEX(crude_exp_dist,MATCH(B1470,'Crude Exp Dist'!$B$6:$B$78,0),MATCH(C1470,'Crude Exp Dist'!$AD$2:$BC$2,0))*INDEX(crude_exp_by_year,MATCH(B1470,'Data Export'!$B$6:$B$78,0),1),IF(E1470=5,INDEX(ref_exp_dist,MATCH(B1470,'Refined Petro Exp Dist'!$B$6:$B$78,0),MATCH(C1470,'Refined Petro Exp Dist'!$AD$2:$BC$2,0))*INDEX(ref_exp_by_year,MATCH(B1470,'Data Export'!$B$6:$B$78,0),1)))</f>
        <v>0</v>
      </c>
      <c r="E1470">
        <v>4</v>
      </c>
      <c r="F1470" t="s">
        <v>211</v>
      </c>
    </row>
    <row r="1471" spans="1:6">
      <c r="A1471" t="str">
        <f t="shared" si="22"/>
        <v>GenericE&amp;DtemplateCIandGOA</v>
      </c>
      <c r="B1471">
        <v>57</v>
      </c>
      <c r="C1471">
        <v>14</v>
      </c>
      <c r="D1471" s="649">
        <f ca="1">IF(E1471=4,INDEX(crude_exp_dist,MATCH(B1471,'Crude Exp Dist'!$B$6:$B$78,0),MATCH(C1471,'Crude Exp Dist'!$AD$2:$BC$2,0))*INDEX(crude_exp_by_year,MATCH(B1471,'Data Export'!$B$6:$B$78,0),1),IF(E1471=5,INDEX(ref_exp_dist,MATCH(B1471,'Refined Petro Exp Dist'!$B$6:$B$78,0),MATCH(C1471,'Refined Petro Exp Dist'!$AD$2:$BC$2,0))*INDEX(ref_exp_by_year,MATCH(B1471,'Data Export'!$B$6:$B$78,0),1)))</f>
        <v>0</v>
      </c>
      <c r="E1471">
        <v>4</v>
      </c>
      <c r="F1471" t="s">
        <v>213</v>
      </c>
    </row>
    <row r="1472" spans="1:6">
      <c r="A1472" t="str">
        <f t="shared" si="22"/>
        <v>GenericE&amp;DtemplateCIandGOA</v>
      </c>
      <c r="B1472">
        <v>57</v>
      </c>
      <c r="C1472">
        <v>15</v>
      </c>
      <c r="D1472" s="649">
        <f ca="1">IF(E1472=4,INDEX(crude_exp_dist,MATCH(B1472,'Crude Exp Dist'!$B$6:$B$78,0),MATCH(C1472,'Crude Exp Dist'!$AD$2:$BC$2,0))*INDEX(crude_exp_by_year,MATCH(B1472,'Data Export'!$B$6:$B$78,0),1),IF(E1472=5,INDEX(ref_exp_dist,MATCH(B1472,'Refined Petro Exp Dist'!$B$6:$B$78,0),MATCH(C1472,'Refined Petro Exp Dist'!$AD$2:$BC$2,0))*INDEX(ref_exp_by_year,MATCH(B1472,'Data Export'!$B$6:$B$78,0),1)))</f>
        <v>0</v>
      </c>
      <c r="E1472">
        <v>4</v>
      </c>
      <c r="F1472" t="s">
        <v>215</v>
      </c>
    </row>
    <row r="1473" spans="1:6">
      <c r="A1473" t="str">
        <f t="shared" si="22"/>
        <v>GenericE&amp;DtemplateCIandGOA</v>
      </c>
      <c r="B1473">
        <v>57</v>
      </c>
      <c r="C1473">
        <v>16</v>
      </c>
      <c r="D1473" s="649">
        <f ca="1">IF(E1473=4,INDEX(crude_exp_dist,MATCH(B1473,'Crude Exp Dist'!$B$6:$B$78,0),MATCH(C1473,'Crude Exp Dist'!$AD$2:$BC$2,0))*INDEX(crude_exp_by_year,MATCH(B1473,'Data Export'!$B$6:$B$78,0),1),IF(E1473=5,INDEX(ref_exp_dist,MATCH(B1473,'Refined Petro Exp Dist'!$B$6:$B$78,0),MATCH(C1473,'Refined Petro Exp Dist'!$AD$2:$BC$2,0))*INDEX(ref_exp_by_year,MATCH(B1473,'Data Export'!$B$6:$B$78,0),1)))</f>
        <v>0</v>
      </c>
      <c r="E1473">
        <v>4</v>
      </c>
      <c r="F1473" t="s">
        <v>219</v>
      </c>
    </row>
    <row r="1474" spans="1:6">
      <c r="A1474" t="str">
        <f t="shared" ref="A1474:A1537" si="23">scenario_name</f>
        <v>GenericE&amp;DtemplateCIandGOA</v>
      </c>
      <c r="B1474">
        <v>57</v>
      </c>
      <c r="C1474">
        <v>17</v>
      </c>
      <c r="D1474" s="649">
        <f ca="1">IF(E1474=4,INDEX(crude_exp_dist,MATCH(B1474,'Crude Exp Dist'!$B$6:$B$78,0),MATCH(C1474,'Crude Exp Dist'!$AD$2:$BC$2,0))*INDEX(crude_exp_by_year,MATCH(B1474,'Data Export'!$B$6:$B$78,0),1),IF(E1474=5,INDEX(ref_exp_dist,MATCH(B1474,'Refined Petro Exp Dist'!$B$6:$B$78,0),MATCH(C1474,'Refined Petro Exp Dist'!$AD$2:$BC$2,0))*INDEX(ref_exp_by_year,MATCH(B1474,'Data Export'!$B$6:$B$78,0),1)))</f>
        <v>0</v>
      </c>
      <c r="E1474">
        <v>4</v>
      </c>
      <c r="F1474" t="s">
        <v>222</v>
      </c>
    </row>
    <row r="1475" spans="1:6">
      <c r="A1475" t="str">
        <f t="shared" si="23"/>
        <v>GenericE&amp;DtemplateCIandGOA</v>
      </c>
      <c r="B1475">
        <v>57</v>
      </c>
      <c r="C1475">
        <v>18</v>
      </c>
      <c r="D1475" s="649">
        <f ca="1">IF(E1475=4,INDEX(crude_exp_dist,MATCH(B1475,'Crude Exp Dist'!$B$6:$B$78,0),MATCH(C1475,'Crude Exp Dist'!$AD$2:$BC$2,0))*INDEX(crude_exp_by_year,MATCH(B1475,'Data Export'!$B$6:$B$78,0),1),IF(E1475=5,INDEX(ref_exp_dist,MATCH(B1475,'Refined Petro Exp Dist'!$B$6:$B$78,0),MATCH(C1475,'Refined Petro Exp Dist'!$AD$2:$BC$2,0))*INDEX(ref_exp_by_year,MATCH(B1475,'Data Export'!$B$6:$B$78,0),1)))</f>
        <v>0</v>
      </c>
      <c r="E1475">
        <v>4</v>
      </c>
      <c r="F1475" t="s">
        <v>224</v>
      </c>
    </row>
    <row r="1476" spans="1:6">
      <c r="A1476" t="str">
        <f t="shared" si="23"/>
        <v>GenericE&amp;DtemplateCIandGOA</v>
      </c>
      <c r="B1476">
        <v>57</v>
      </c>
      <c r="C1476">
        <v>19</v>
      </c>
      <c r="D1476" s="649">
        <f ca="1">IF(E1476=4,INDEX(crude_exp_dist,MATCH(B1476,'Crude Exp Dist'!$B$6:$B$78,0),MATCH(C1476,'Crude Exp Dist'!$AD$2:$BC$2,0))*INDEX(crude_exp_by_year,MATCH(B1476,'Data Export'!$B$6:$B$78,0),1),IF(E1476=5,INDEX(ref_exp_dist,MATCH(B1476,'Refined Petro Exp Dist'!$B$6:$B$78,0),MATCH(C1476,'Refined Petro Exp Dist'!$AD$2:$BC$2,0))*INDEX(ref_exp_by_year,MATCH(B1476,'Data Export'!$B$6:$B$78,0),1)))</f>
        <v>0</v>
      </c>
      <c r="E1476">
        <v>4</v>
      </c>
      <c r="F1476" t="s">
        <v>228</v>
      </c>
    </row>
    <row r="1477" spans="1:6">
      <c r="A1477" t="str">
        <f t="shared" si="23"/>
        <v>GenericE&amp;DtemplateCIandGOA</v>
      </c>
      <c r="B1477">
        <v>57</v>
      </c>
      <c r="C1477">
        <v>20</v>
      </c>
      <c r="D1477" s="649">
        <f ca="1">IF(E1477=4,INDEX(crude_exp_dist,MATCH(B1477,'Crude Exp Dist'!$B$6:$B$78,0),MATCH(C1477,'Crude Exp Dist'!$AD$2:$BC$2,0))*INDEX(crude_exp_by_year,MATCH(B1477,'Data Export'!$B$6:$B$78,0),1),IF(E1477=5,INDEX(ref_exp_dist,MATCH(B1477,'Refined Petro Exp Dist'!$B$6:$B$78,0),MATCH(C1477,'Refined Petro Exp Dist'!$AD$2:$BC$2,0))*INDEX(ref_exp_by_year,MATCH(B1477,'Data Export'!$B$6:$B$78,0),1)))</f>
        <v>0</v>
      </c>
      <c r="E1477">
        <v>4</v>
      </c>
      <c r="F1477" t="s">
        <v>231</v>
      </c>
    </row>
    <row r="1478" spans="1:6">
      <c r="A1478" t="str">
        <f t="shared" si="23"/>
        <v>GenericE&amp;DtemplateCIandGOA</v>
      </c>
      <c r="B1478">
        <v>57</v>
      </c>
      <c r="C1478">
        <v>21</v>
      </c>
      <c r="D1478" s="649">
        <f ca="1">IF(E1478=4,INDEX(crude_exp_dist,MATCH(B1478,'Crude Exp Dist'!$B$6:$B$78,0),MATCH(C1478,'Crude Exp Dist'!$AD$2:$BC$2,0))*INDEX(crude_exp_by_year,MATCH(B1478,'Data Export'!$B$6:$B$78,0),1),IF(E1478=5,INDEX(ref_exp_dist,MATCH(B1478,'Refined Petro Exp Dist'!$B$6:$B$78,0),MATCH(C1478,'Refined Petro Exp Dist'!$AD$2:$BC$2,0))*INDEX(ref_exp_by_year,MATCH(B1478,'Data Export'!$B$6:$B$78,0),1)))</f>
        <v>0</v>
      </c>
      <c r="E1478">
        <v>4</v>
      </c>
      <c r="F1478" t="s">
        <v>232</v>
      </c>
    </row>
    <row r="1479" spans="1:6">
      <c r="A1479" t="str">
        <f t="shared" si="23"/>
        <v>GenericE&amp;DtemplateCIandGOA</v>
      </c>
      <c r="B1479">
        <v>57</v>
      </c>
      <c r="C1479">
        <v>22</v>
      </c>
      <c r="D1479" s="649">
        <f ca="1">IF(E1479=4,INDEX(crude_exp_dist,MATCH(B1479,'Crude Exp Dist'!$B$6:$B$78,0),MATCH(C1479,'Crude Exp Dist'!$AD$2:$BC$2,0))*INDEX(crude_exp_by_year,MATCH(B1479,'Data Export'!$B$6:$B$78,0),1),IF(E1479=5,INDEX(ref_exp_dist,MATCH(B1479,'Refined Petro Exp Dist'!$B$6:$B$78,0),MATCH(C1479,'Refined Petro Exp Dist'!$AD$2:$BC$2,0))*INDEX(ref_exp_by_year,MATCH(B1479,'Data Export'!$B$6:$B$78,0),1)))</f>
        <v>0</v>
      </c>
      <c r="E1479">
        <v>4</v>
      </c>
      <c r="F1479" t="s">
        <v>235</v>
      </c>
    </row>
    <row r="1480" spans="1:6">
      <c r="A1480" t="str">
        <f t="shared" si="23"/>
        <v>GenericE&amp;DtemplateCIandGOA</v>
      </c>
      <c r="B1480">
        <v>57</v>
      </c>
      <c r="C1480">
        <v>23</v>
      </c>
      <c r="D1480" s="649">
        <f ca="1">IF(E1480=4,INDEX(crude_exp_dist,MATCH(B1480,'Crude Exp Dist'!$B$6:$B$78,0),MATCH(C1480,'Crude Exp Dist'!$AD$2:$BC$2,0))*INDEX(crude_exp_by_year,MATCH(B1480,'Data Export'!$B$6:$B$78,0),1),IF(E1480=5,INDEX(ref_exp_dist,MATCH(B1480,'Refined Petro Exp Dist'!$B$6:$B$78,0),MATCH(C1480,'Refined Petro Exp Dist'!$AD$2:$BC$2,0))*INDEX(ref_exp_by_year,MATCH(B1480,'Data Export'!$B$6:$B$78,0),1)))</f>
        <v>0</v>
      </c>
      <c r="E1480">
        <v>4</v>
      </c>
      <c r="F1480" t="s">
        <v>237</v>
      </c>
    </row>
    <row r="1481" spans="1:6">
      <c r="A1481" t="str">
        <f t="shared" si="23"/>
        <v>GenericE&amp;DtemplateCIandGOA</v>
      </c>
      <c r="B1481">
        <v>57</v>
      </c>
      <c r="C1481">
        <v>24</v>
      </c>
      <c r="D1481" s="649">
        <f ca="1">IF(E1481=4,INDEX(crude_exp_dist,MATCH(B1481,'Crude Exp Dist'!$B$6:$B$78,0),MATCH(C1481,'Crude Exp Dist'!$AD$2:$BC$2,0))*INDEX(crude_exp_by_year,MATCH(B1481,'Data Export'!$B$6:$B$78,0),1),IF(E1481=5,INDEX(ref_exp_dist,MATCH(B1481,'Refined Petro Exp Dist'!$B$6:$B$78,0),MATCH(C1481,'Refined Petro Exp Dist'!$AD$2:$BC$2,0))*INDEX(ref_exp_by_year,MATCH(B1481,'Data Export'!$B$6:$B$78,0),1)))</f>
        <v>0</v>
      </c>
      <c r="E1481">
        <v>4</v>
      </c>
      <c r="F1481" t="s">
        <v>239</v>
      </c>
    </row>
    <row r="1482" spans="1:6">
      <c r="A1482" t="str">
        <f t="shared" si="23"/>
        <v>GenericE&amp;DtemplateCIandGOA</v>
      </c>
      <c r="B1482">
        <v>57</v>
      </c>
      <c r="C1482">
        <v>25</v>
      </c>
      <c r="D1482" s="649">
        <f ca="1">IF(E1482=4,INDEX(crude_exp_dist,MATCH(B1482,'Crude Exp Dist'!$B$6:$B$78,0),MATCH(C1482,'Crude Exp Dist'!$AD$2:$BC$2,0))*INDEX(crude_exp_by_year,MATCH(B1482,'Data Export'!$B$6:$B$78,0),1),IF(E1482=5,INDEX(ref_exp_dist,MATCH(B1482,'Refined Petro Exp Dist'!$B$6:$B$78,0),MATCH(C1482,'Refined Petro Exp Dist'!$AD$2:$BC$2,0))*INDEX(ref_exp_by_year,MATCH(B1482,'Data Export'!$B$6:$B$78,0),1)))</f>
        <v>0</v>
      </c>
      <c r="E1482">
        <v>4</v>
      </c>
      <c r="F1482" t="s">
        <v>242</v>
      </c>
    </row>
    <row r="1483" spans="1:6">
      <c r="A1483" t="str">
        <f t="shared" si="23"/>
        <v>GenericE&amp;DtemplateCIandGOA</v>
      </c>
      <c r="B1483">
        <v>57</v>
      </c>
      <c r="C1483">
        <v>26</v>
      </c>
      <c r="D1483" s="649">
        <f ca="1">IF(E1483=4,INDEX(crude_exp_dist,MATCH(B1483,'Crude Exp Dist'!$B$6:$B$78,0),MATCH(C1483,'Crude Exp Dist'!$AD$2:$BC$2,0))*INDEX(crude_exp_by_year,MATCH(B1483,'Data Export'!$B$6:$B$78,0),1),IF(E1483=5,INDEX(ref_exp_dist,MATCH(B1483,'Refined Petro Exp Dist'!$B$6:$B$78,0),MATCH(C1483,'Refined Petro Exp Dist'!$AD$2:$BC$2,0))*INDEX(ref_exp_by_year,MATCH(B1483,'Data Export'!$B$6:$B$78,0),1)))</f>
        <v>0</v>
      </c>
      <c r="E1483">
        <v>4</v>
      </c>
      <c r="F1483" t="s">
        <v>245</v>
      </c>
    </row>
    <row r="1484" spans="1:6">
      <c r="A1484" t="str">
        <f t="shared" si="23"/>
        <v>GenericE&amp;DtemplateCIandGOA</v>
      </c>
      <c r="B1484">
        <v>58</v>
      </c>
      <c r="C1484">
        <v>1</v>
      </c>
      <c r="D1484" s="649">
        <f ca="1">IF(E1484=4,INDEX(crude_exp_dist,MATCH(B1484,'Crude Exp Dist'!$B$6:$B$78,0),MATCH(C1484,'Crude Exp Dist'!$AD$2:$BC$2,0))*INDEX(crude_exp_by_year,MATCH(B1484,'Data Export'!$B$6:$B$78,0),1),IF(E1484=5,INDEX(ref_exp_dist,MATCH(B1484,'Refined Petro Exp Dist'!$B$6:$B$78,0),MATCH(C1484,'Refined Petro Exp Dist'!$AD$2:$BC$2,0))*INDEX(ref_exp_by_year,MATCH(B1484,'Data Export'!$B$6:$B$78,0),1)))</f>
        <v>0</v>
      </c>
      <c r="E1484">
        <v>4</v>
      </c>
      <c r="F1484" t="s">
        <v>158</v>
      </c>
    </row>
    <row r="1485" spans="1:6">
      <c r="A1485" t="str">
        <f t="shared" si="23"/>
        <v>GenericE&amp;DtemplateCIandGOA</v>
      </c>
      <c r="B1485">
        <v>58</v>
      </c>
      <c r="C1485">
        <v>2</v>
      </c>
      <c r="D1485" s="649">
        <f ca="1">IF(E1485=4,INDEX(crude_exp_dist,MATCH(B1485,'Crude Exp Dist'!$B$6:$B$78,0),MATCH(C1485,'Crude Exp Dist'!$AD$2:$BC$2,0))*INDEX(crude_exp_by_year,MATCH(B1485,'Data Export'!$B$6:$B$78,0),1),IF(E1485=5,INDEX(ref_exp_dist,MATCH(B1485,'Refined Petro Exp Dist'!$B$6:$B$78,0),MATCH(C1485,'Refined Petro Exp Dist'!$AD$2:$BC$2,0))*INDEX(ref_exp_by_year,MATCH(B1485,'Data Export'!$B$6:$B$78,0),1)))</f>
        <v>0</v>
      </c>
      <c r="E1485">
        <v>4</v>
      </c>
      <c r="F1485" t="s">
        <v>166</v>
      </c>
    </row>
    <row r="1486" spans="1:6">
      <c r="A1486" t="str">
        <f t="shared" si="23"/>
        <v>GenericE&amp;DtemplateCIandGOA</v>
      </c>
      <c r="B1486">
        <v>58</v>
      </c>
      <c r="C1486">
        <v>3</v>
      </c>
      <c r="D1486" s="649">
        <f ca="1">IF(E1486=4,INDEX(crude_exp_dist,MATCH(B1486,'Crude Exp Dist'!$B$6:$B$78,0),MATCH(C1486,'Crude Exp Dist'!$AD$2:$BC$2,0))*INDEX(crude_exp_by_year,MATCH(B1486,'Data Export'!$B$6:$B$78,0),1),IF(E1486=5,INDEX(ref_exp_dist,MATCH(B1486,'Refined Petro Exp Dist'!$B$6:$B$78,0),MATCH(C1486,'Refined Petro Exp Dist'!$AD$2:$BC$2,0))*INDEX(ref_exp_by_year,MATCH(B1486,'Data Export'!$B$6:$B$78,0),1)))</f>
        <v>0</v>
      </c>
      <c r="E1486">
        <v>4</v>
      </c>
      <c r="F1486" t="s">
        <v>171</v>
      </c>
    </row>
    <row r="1487" spans="1:6">
      <c r="A1487" t="str">
        <f t="shared" si="23"/>
        <v>GenericE&amp;DtemplateCIandGOA</v>
      </c>
      <c r="B1487">
        <v>58</v>
      </c>
      <c r="C1487">
        <v>4</v>
      </c>
      <c r="D1487" s="649">
        <f ca="1">IF(E1487=4,INDEX(crude_exp_dist,MATCH(B1487,'Crude Exp Dist'!$B$6:$B$78,0),MATCH(C1487,'Crude Exp Dist'!$AD$2:$BC$2,0))*INDEX(crude_exp_by_year,MATCH(B1487,'Data Export'!$B$6:$B$78,0),1),IF(E1487=5,INDEX(ref_exp_dist,MATCH(B1487,'Refined Petro Exp Dist'!$B$6:$B$78,0),MATCH(C1487,'Refined Petro Exp Dist'!$AD$2:$BC$2,0))*INDEX(ref_exp_by_year,MATCH(B1487,'Data Export'!$B$6:$B$78,0),1)))</f>
        <v>0</v>
      </c>
      <c r="E1487">
        <v>4</v>
      </c>
      <c r="F1487" t="s">
        <v>173</v>
      </c>
    </row>
    <row r="1488" spans="1:6">
      <c r="A1488" t="str">
        <f t="shared" si="23"/>
        <v>GenericE&amp;DtemplateCIandGOA</v>
      </c>
      <c r="B1488">
        <v>58</v>
      </c>
      <c r="C1488">
        <v>5</v>
      </c>
      <c r="D1488" s="649">
        <f ca="1">IF(E1488=4,INDEX(crude_exp_dist,MATCH(B1488,'Crude Exp Dist'!$B$6:$B$78,0),MATCH(C1488,'Crude Exp Dist'!$AD$2:$BC$2,0))*INDEX(crude_exp_by_year,MATCH(B1488,'Data Export'!$B$6:$B$78,0),1),IF(E1488=5,INDEX(ref_exp_dist,MATCH(B1488,'Refined Petro Exp Dist'!$B$6:$B$78,0),MATCH(C1488,'Refined Petro Exp Dist'!$AD$2:$BC$2,0))*INDEX(ref_exp_by_year,MATCH(B1488,'Data Export'!$B$6:$B$78,0),1)))</f>
        <v>0</v>
      </c>
      <c r="E1488">
        <v>4</v>
      </c>
      <c r="F1488" t="s">
        <v>180</v>
      </c>
    </row>
    <row r="1489" spans="1:6">
      <c r="A1489" t="str">
        <f t="shared" si="23"/>
        <v>GenericE&amp;DtemplateCIandGOA</v>
      </c>
      <c r="B1489">
        <v>58</v>
      </c>
      <c r="C1489">
        <v>6</v>
      </c>
      <c r="D1489" s="649">
        <f ca="1">IF(E1489=4,INDEX(crude_exp_dist,MATCH(B1489,'Crude Exp Dist'!$B$6:$B$78,0),MATCH(C1489,'Crude Exp Dist'!$AD$2:$BC$2,0))*INDEX(crude_exp_by_year,MATCH(B1489,'Data Export'!$B$6:$B$78,0),1),IF(E1489=5,INDEX(ref_exp_dist,MATCH(B1489,'Refined Petro Exp Dist'!$B$6:$B$78,0),MATCH(C1489,'Refined Petro Exp Dist'!$AD$2:$BC$2,0))*INDEX(ref_exp_by_year,MATCH(B1489,'Data Export'!$B$6:$B$78,0),1)))</f>
        <v>0</v>
      </c>
      <c r="E1489">
        <v>4</v>
      </c>
      <c r="F1489" t="s">
        <v>186</v>
      </c>
    </row>
    <row r="1490" spans="1:6">
      <c r="A1490" t="str">
        <f t="shared" si="23"/>
        <v>GenericE&amp;DtemplateCIandGOA</v>
      </c>
      <c r="B1490">
        <v>58</v>
      </c>
      <c r="C1490">
        <v>7</v>
      </c>
      <c r="D1490" s="649">
        <f ca="1">IF(E1490=4,INDEX(crude_exp_dist,MATCH(B1490,'Crude Exp Dist'!$B$6:$B$78,0),MATCH(C1490,'Crude Exp Dist'!$AD$2:$BC$2,0))*INDEX(crude_exp_by_year,MATCH(B1490,'Data Export'!$B$6:$B$78,0),1),IF(E1490=5,INDEX(ref_exp_dist,MATCH(B1490,'Refined Petro Exp Dist'!$B$6:$B$78,0),MATCH(C1490,'Refined Petro Exp Dist'!$AD$2:$BC$2,0))*INDEX(ref_exp_by_year,MATCH(B1490,'Data Export'!$B$6:$B$78,0),1)))</f>
        <v>0</v>
      </c>
      <c r="E1490">
        <v>4</v>
      </c>
      <c r="F1490" t="s">
        <v>191</v>
      </c>
    </row>
    <row r="1491" spans="1:6">
      <c r="A1491" t="str">
        <f t="shared" si="23"/>
        <v>GenericE&amp;DtemplateCIandGOA</v>
      </c>
      <c r="B1491">
        <v>58</v>
      </c>
      <c r="C1491">
        <v>8</v>
      </c>
      <c r="D1491" s="649">
        <f ca="1">IF(E1491=4,INDEX(crude_exp_dist,MATCH(B1491,'Crude Exp Dist'!$B$6:$B$78,0),MATCH(C1491,'Crude Exp Dist'!$AD$2:$BC$2,0))*INDEX(crude_exp_by_year,MATCH(B1491,'Data Export'!$B$6:$B$78,0),1),IF(E1491=5,INDEX(ref_exp_dist,MATCH(B1491,'Refined Petro Exp Dist'!$B$6:$B$78,0),MATCH(C1491,'Refined Petro Exp Dist'!$AD$2:$BC$2,0))*INDEX(ref_exp_by_year,MATCH(B1491,'Data Export'!$B$6:$B$78,0),1)))</f>
        <v>0</v>
      </c>
      <c r="E1491">
        <v>4</v>
      </c>
      <c r="F1491" t="s">
        <v>197</v>
      </c>
    </row>
    <row r="1492" spans="1:6">
      <c r="A1492" t="str">
        <f t="shared" si="23"/>
        <v>GenericE&amp;DtemplateCIandGOA</v>
      </c>
      <c r="B1492">
        <v>58</v>
      </c>
      <c r="C1492">
        <v>9</v>
      </c>
      <c r="D1492" s="649">
        <f ca="1">IF(E1492=4,INDEX(crude_exp_dist,MATCH(B1492,'Crude Exp Dist'!$B$6:$B$78,0),MATCH(C1492,'Crude Exp Dist'!$AD$2:$BC$2,0))*INDEX(crude_exp_by_year,MATCH(B1492,'Data Export'!$B$6:$B$78,0),1),IF(E1492=5,INDEX(ref_exp_dist,MATCH(B1492,'Refined Petro Exp Dist'!$B$6:$B$78,0),MATCH(C1492,'Refined Petro Exp Dist'!$AD$2:$BC$2,0))*INDEX(ref_exp_by_year,MATCH(B1492,'Data Export'!$B$6:$B$78,0),1)))</f>
        <v>0</v>
      </c>
      <c r="E1492">
        <v>4</v>
      </c>
      <c r="F1492" t="s">
        <v>199</v>
      </c>
    </row>
    <row r="1493" spans="1:6">
      <c r="A1493" t="str">
        <f t="shared" si="23"/>
        <v>GenericE&amp;DtemplateCIandGOA</v>
      </c>
      <c r="B1493">
        <v>58</v>
      </c>
      <c r="C1493">
        <v>10</v>
      </c>
      <c r="D1493" s="649">
        <f ca="1">IF(E1493=4,INDEX(crude_exp_dist,MATCH(B1493,'Crude Exp Dist'!$B$6:$B$78,0),MATCH(C1493,'Crude Exp Dist'!$AD$2:$BC$2,0))*INDEX(crude_exp_by_year,MATCH(B1493,'Data Export'!$B$6:$B$78,0),1),IF(E1493=5,INDEX(ref_exp_dist,MATCH(B1493,'Refined Petro Exp Dist'!$B$6:$B$78,0),MATCH(C1493,'Refined Petro Exp Dist'!$AD$2:$BC$2,0))*INDEX(ref_exp_by_year,MATCH(B1493,'Data Export'!$B$6:$B$78,0),1)))</f>
        <v>0</v>
      </c>
      <c r="E1493">
        <v>4</v>
      </c>
      <c r="F1493" t="s">
        <v>201</v>
      </c>
    </row>
    <row r="1494" spans="1:6">
      <c r="A1494" t="str">
        <f t="shared" si="23"/>
        <v>GenericE&amp;DtemplateCIandGOA</v>
      </c>
      <c r="B1494">
        <v>58</v>
      </c>
      <c r="C1494">
        <v>11</v>
      </c>
      <c r="D1494" s="649">
        <f ca="1">IF(E1494=4,INDEX(crude_exp_dist,MATCH(B1494,'Crude Exp Dist'!$B$6:$B$78,0),MATCH(C1494,'Crude Exp Dist'!$AD$2:$BC$2,0))*INDEX(crude_exp_by_year,MATCH(B1494,'Data Export'!$B$6:$B$78,0),1),IF(E1494=5,INDEX(ref_exp_dist,MATCH(B1494,'Refined Petro Exp Dist'!$B$6:$B$78,0),MATCH(C1494,'Refined Petro Exp Dist'!$AD$2:$BC$2,0))*INDEX(ref_exp_by_year,MATCH(B1494,'Data Export'!$B$6:$B$78,0),1)))</f>
        <v>0</v>
      </c>
      <c r="E1494">
        <v>4</v>
      </c>
      <c r="F1494" t="s">
        <v>921</v>
      </c>
    </row>
    <row r="1495" spans="1:6">
      <c r="A1495" t="str">
        <f t="shared" si="23"/>
        <v>GenericE&amp;DtemplateCIandGOA</v>
      </c>
      <c r="B1495">
        <v>58</v>
      </c>
      <c r="C1495">
        <v>12</v>
      </c>
      <c r="D1495" s="649">
        <f ca="1">IF(E1495=4,INDEX(crude_exp_dist,MATCH(B1495,'Crude Exp Dist'!$B$6:$B$78,0),MATCH(C1495,'Crude Exp Dist'!$AD$2:$BC$2,0))*INDEX(crude_exp_by_year,MATCH(B1495,'Data Export'!$B$6:$B$78,0),1),IF(E1495=5,INDEX(ref_exp_dist,MATCH(B1495,'Refined Petro Exp Dist'!$B$6:$B$78,0),MATCH(C1495,'Refined Petro Exp Dist'!$AD$2:$BC$2,0))*INDEX(ref_exp_by_year,MATCH(B1495,'Data Export'!$B$6:$B$78,0),1)))</f>
        <v>0</v>
      </c>
      <c r="E1495">
        <v>4</v>
      </c>
      <c r="F1495" t="s">
        <v>208</v>
      </c>
    </row>
    <row r="1496" spans="1:6">
      <c r="A1496" t="str">
        <f t="shared" si="23"/>
        <v>GenericE&amp;DtemplateCIandGOA</v>
      </c>
      <c r="B1496">
        <v>58</v>
      </c>
      <c r="C1496">
        <v>13</v>
      </c>
      <c r="D1496" s="649">
        <f ca="1">IF(E1496=4,INDEX(crude_exp_dist,MATCH(B1496,'Crude Exp Dist'!$B$6:$B$78,0),MATCH(C1496,'Crude Exp Dist'!$AD$2:$BC$2,0))*INDEX(crude_exp_by_year,MATCH(B1496,'Data Export'!$B$6:$B$78,0),1),IF(E1496=5,INDEX(ref_exp_dist,MATCH(B1496,'Refined Petro Exp Dist'!$B$6:$B$78,0),MATCH(C1496,'Refined Petro Exp Dist'!$AD$2:$BC$2,0))*INDEX(ref_exp_by_year,MATCH(B1496,'Data Export'!$B$6:$B$78,0),1)))</f>
        <v>0</v>
      </c>
      <c r="E1496">
        <v>4</v>
      </c>
      <c r="F1496" t="s">
        <v>211</v>
      </c>
    </row>
    <row r="1497" spans="1:6">
      <c r="A1497" t="str">
        <f t="shared" si="23"/>
        <v>GenericE&amp;DtemplateCIandGOA</v>
      </c>
      <c r="B1497">
        <v>58</v>
      </c>
      <c r="C1497">
        <v>14</v>
      </c>
      <c r="D1497" s="649">
        <f ca="1">IF(E1497=4,INDEX(crude_exp_dist,MATCH(B1497,'Crude Exp Dist'!$B$6:$B$78,0),MATCH(C1497,'Crude Exp Dist'!$AD$2:$BC$2,0))*INDEX(crude_exp_by_year,MATCH(B1497,'Data Export'!$B$6:$B$78,0),1),IF(E1497=5,INDEX(ref_exp_dist,MATCH(B1497,'Refined Petro Exp Dist'!$B$6:$B$78,0),MATCH(C1497,'Refined Petro Exp Dist'!$AD$2:$BC$2,0))*INDEX(ref_exp_by_year,MATCH(B1497,'Data Export'!$B$6:$B$78,0),1)))</f>
        <v>0</v>
      </c>
      <c r="E1497">
        <v>4</v>
      </c>
      <c r="F1497" t="s">
        <v>213</v>
      </c>
    </row>
    <row r="1498" spans="1:6">
      <c r="A1498" t="str">
        <f t="shared" si="23"/>
        <v>GenericE&amp;DtemplateCIandGOA</v>
      </c>
      <c r="B1498">
        <v>58</v>
      </c>
      <c r="C1498">
        <v>15</v>
      </c>
      <c r="D1498" s="649">
        <f ca="1">IF(E1498=4,INDEX(crude_exp_dist,MATCH(B1498,'Crude Exp Dist'!$B$6:$B$78,0),MATCH(C1498,'Crude Exp Dist'!$AD$2:$BC$2,0))*INDEX(crude_exp_by_year,MATCH(B1498,'Data Export'!$B$6:$B$78,0),1),IF(E1498=5,INDEX(ref_exp_dist,MATCH(B1498,'Refined Petro Exp Dist'!$B$6:$B$78,0),MATCH(C1498,'Refined Petro Exp Dist'!$AD$2:$BC$2,0))*INDEX(ref_exp_by_year,MATCH(B1498,'Data Export'!$B$6:$B$78,0),1)))</f>
        <v>0</v>
      </c>
      <c r="E1498">
        <v>4</v>
      </c>
      <c r="F1498" t="s">
        <v>215</v>
      </c>
    </row>
    <row r="1499" spans="1:6">
      <c r="A1499" t="str">
        <f t="shared" si="23"/>
        <v>GenericE&amp;DtemplateCIandGOA</v>
      </c>
      <c r="B1499">
        <v>58</v>
      </c>
      <c r="C1499">
        <v>16</v>
      </c>
      <c r="D1499" s="649">
        <f ca="1">IF(E1499=4,INDEX(crude_exp_dist,MATCH(B1499,'Crude Exp Dist'!$B$6:$B$78,0),MATCH(C1499,'Crude Exp Dist'!$AD$2:$BC$2,0))*INDEX(crude_exp_by_year,MATCH(B1499,'Data Export'!$B$6:$B$78,0),1),IF(E1499=5,INDEX(ref_exp_dist,MATCH(B1499,'Refined Petro Exp Dist'!$B$6:$B$78,0),MATCH(C1499,'Refined Petro Exp Dist'!$AD$2:$BC$2,0))*INDEX(ref_exp_by_year,MATCH(B1499,'Data Export'!$B$6:$B$78,0),1)))</f>
        <v>0</v>
      </c>
      <c r="E1499">
        <v>4</v>
      </c>
      <c r="F1499" t="s">
        <v>219</v>
      </c>
    </row>
    <row r="1500" spans="1:6">
      <c r="A1500" t="str">
        <f t="shared" si="23"/>
        <v>GenericE&amp;DtemplateCIandGOA</v>
      </c>
      <c r="B1500">
        <v>58</v>
      </c>
      <c r="C1500">
        <v>17</v>
      </c>
      <c r="D1500" s="649">
        <f ca="1">IF(E1500=4,INDEX(crude_exp_dist,MATCH(B1500,'Crude Exp Dist'!$B$6:$B$78,0),MATCH(C1500,'Crude Exp Dist'!$AD$2:$BC$2,0))*INDEX(crude_exp_by_year,MATCH(B1500,'Data Export'!$B$6:$B$78,0),1),IF(E1500=5,INDEX(ref_exp_dist,MATCH(B1500,'Refined Petro Exp Dist'!$B$6:$B$78,0),MATCH(C1500,'Refined Petro Exp Dist'!$AD$2:$BC$2,0))*INDEX(ref_exp_by_year,MATCH(B1500,'Data Export'!$B$6:$B$78,0),1)))</f>
        <v>0</v>
      </c>
      <c r="E1500">
        <v>4</v>
      </c>
      <c r="F1500" t="s">
        <v>222</v>
      </c>
    </row>
    <row r="1501" spans="1:6">
      <c r="A1501" t="str">
        <f t="shared" si="23"/>
        <v>GenericE&amp;DtemplateCIandGOA</v>
      </c>
      <c r="B1501">
        <v>58</v>
      </c>
      <c r="C1501">
        <v>18</v>
      </c>
      <c r="D1501" s="649">
        <f ca="1">IF(E1501=4,INDEX(crude_exp_dist,MATCH(B1501,'Crude Exp Dist'!$B$6:$B$78,0),MATCH(C1501,'Crude Exp Dist'!$AD$2:$BC$2,0))*INDEX(crude_exp_by_year,MATCH(B1501,'Data Export'!$B$6:$B$78,0),1),IF(E1501=5,INDEX(ref_exp_dist,MATCH(B1501,'Refined Petro Exp Dist'!$B$6:$B$78,0),MATCH(C1501,'Refined Petro Exp Dist'!$AD$2:$BC$2,0))*INDEX(ref_exp_by_year,MATCH(B1501,'Data Export'!$B$6:$B$78,0),1)))</f>
        <v>0</v>
      </c>
      <c r="E1501">
        <v>4</v>
      </c>
      <c r="F1501" t="s">
        <v>224</v>
      </c>
    </row>
    <row r="1502" spans="1:6">
      <c r="A1502" t="str">
        <f t="shared" si="23"/>
        <v>GenericE&amp;DtemplateCIandGOA</v>
      </c>
      <c r="B1502">
        <v>58</v>
      </c>
      <c r="C1502">
        <v>19</v>
      </c>
      <c r="D1502" s="649">
        <f ca="1">IF(E1502=4,INDEX(crude_exp_dist,MATCH(B1502,'Crude Exp Dist'!$B$6:$B$78,0),MATCH(C1502,'Crude Exp Dist'!$AD$2:$BC$2,0))*INDEX(crude_exp_by_year,MATCH(B1502,'Data Export'!$B$6:$B$78,0),1),IF(E1502=5,INDEX(ref_exp_dist,MATCH(B1502,'Refined Petro Exp Dist'!$B$6:$B$78,0),MATCH(C1502,'Refined Petro Exp Dist'!$AD$2:$BC$2,0))*INDEX(ref_exp_by_year,MATCH(B1502,'Data Export'!$B$6:$B$78,0),1)))</f>
        <v>0</v>
      </c>
      <c r="E1502">
        <v>4</v>
      </c>
      <c r="F1502" t="s">
        <v>228</v>
      </c>
    </row>
    <row r="1503" spans="1:6">
      <c r="A1503" t="str">
        <f t="shared" si="23"/>
        <v>GenericE&amp;DtemplateCIandGOA</v>
      </c>
      <c r="B1503">
        <v>58</v>
      </c>
      <c r="C1503">
        <v>20</v>
      </c>
      <c r="D1503" s="649">
        <f ca="1">IF(E1503=4,INDEX(crude_exp_dist,MATCH(B1503,'Crude Exp Dist'!$B$6:$B$78,0),MATCH(C1503,'Crude Exp Dist'!$AD$2:$BC$2,0))*INDEX(crude_exp_by_year,MATCH(B1503,'Data Export'!$B$6:$B$78,0),1),IF(E1503=5,INDEX(ref_exp_dist,MATCH(B1503,'Refined Petro Exp Dist'!$B$6:$B$78,0),MATCH(C1503,'Refined Petro Exp Dist'!$AD$2:$BC$2,0))*INDEX(ref_exp_by_year,MATCH(B1503,'Data Export'!$B$6:$B$78,0),1)))</f>
        <v>0</v>
      </c>
      <c r="E1503">
        <v>4</v>
      </c>
      <c r="F1503" t="s">
        <v>231</v>
      </c>
    </row>
    <row r="1504" spans="1:6">
      <c r="A1504" t="str">
        <f t="shared" si="23"/>
        <v>GenericE&amp;DtemplateCIandGOA</v>
      </c>
      <c r="B1504">
        <v>58</v>
      </c>
      <c r="C1504">
        <v>21</v>
      </c>
      <c r="D1504" s="649">
        <f ca="1">IF(E1504=4,INDEX(crude_exp_dist,MATCH(B1504,'Crude Exp Dist'!$B$6:$B$78,0),MATCH(C1504,'Crude Exp Dist'!$AD$2:$BC$2,0))*INDEX(crude_exp_by_year,MATCH(B1504,'Data Export'!$B$6:$B$78,0),1),IF(E1504=5,INDEX(ref_exp_dist,MATCH(B1504,'Refined Petro Exp Dist'!$B$6:$B$78,0),MATCH(C1504,'Refined Petro Exp Dist'!$AD$2:$BC$2,0))*INDEX(ref_exp_by_year,MATCH(B1504,'Data Export'!$B$6:$B$78,0),1)))</f>
        <v>0</v>
      </c>
      <c r="E1504">
        <v>4</v>
      </c>
      <c r="F1504" t="s">
        <v>232</v>
      </c>
    </row>
    <row r="1505" spans="1:6">
      <c r="A1505" t="str">
        <f t="shared" si="23"/>
        <v>GenericE&amp;DtemplateCIandGOA</v>
      </c>
      <c r="B1505">
        <v>58</v>
      </c>
      <c r="C1505">
        <v>22</v>
      </c>
      <c r="D1505" s="649">
        <f ca="1">IF(E1505=4,INDEX(crude_exp_dist,MATCH(B1505,'Crude Exp Dist'!$B$6:$B$78,0),MATCH(C1505,'Crude Exp Dist'!$AD$2:$BC$2,0))*INDEX(crude_exp_by_year,MATCH(B1505,'Data Export'!$B$6:$B$78,0),1),IF(E1505=5,INDEX(ref_exp_dist,MATCH(B1505,'Refined Petro Exp Dist'!$B$6:$B$78,0),MATCH(C1505,'Refined Petro Exp Dist'!$AD$2:$BC$2,0))*INDEX(ref_exp_by_year,MATCH(B1505,'Data Export'!$B$6:$B$78,0),1)))</f>
        <v>0</v>
      </c>
      <c r="E1505">
        <v>4</v>
      </c>
      <c r="F1505" t="s">
        <v>235</v>
      </c>
    </row>
    <row r="1506" spans="1:6">
      <c r="A1506" t="str">
        <f t="shared" si="23"/>
        <v>GenericE&amp;DtemplateCIandGOA</v>
      </c>
      <c r="B1506">
        <v>58</v>
      </c>
      <c r="C1506">
        <v>23</v>
      </c>
      <c r="D1506" s="649">
        <f ca="1">IF(E1506=4,INDEX(crude_exp_dist,MATCH(B1506,'Crude Exp Dist'!$B$6:$B$78,0),MATCH(C1506,'Crude Exp Dist'!$AD$2:$BC$2,0))*INDEX(crude_exp_by_year,MATCH(B1506,'Data Export'!$B$6:$B$78,0),1),IF(E1506=5,INDEX(ref_exp_dist,MATCH(B1506,'Refined Petro Exp Dist'!$B$6:$B$78,0),MATCH(C1506,'Refined Petro Exp Dist'!$AD$2:$BC$2,0))*INDEX(ref_exp_by_year,MATCH(B1506,'Data Export'!$B$6:$B$78,0),1)))</f>
        <v>0</v>
      </c>
      <c r="E1506">
        <v>4</v>
      </c>
      <c r="F1506" t="s">
        <v>237</v>
      </c>
    </row>
    <row r="1507" spans="1:6">
      <c r="A1507" t="str">
        <f t="shared" si="23"/>
        <v>GenericE&amp;DtemplateCIandGOA</v>
      </c>
      <c r="B1507">
        <v>58</v>
      </c>
      <c r="C1507">
        <v>24</v>
      </c>
      <c r="D1507" s="649">
        <f ca="1">IF(E1507=4,INDEX(crude_exp_dist,MATCH(B1507,'Crude Exp Dist'!$B$6:$B$78,0),MATCH(C1507,'Crude Exp Dist'!$AD$2:$BC$2,0))*INDEX(crude_exp_by_year,MATCH(B1507,'Data Export'!$B$6:$B$78,0),1),IF(E1507=5,INDEX(ref_exp_dist,MATCH(B1507,'Refined Petro Exp Dist'!$B$6:$B$78,0),MATCH(C1507,'Refined Petro Exp Dist'!$AD$2:$BC$2,0))*INDEX(ref_exp_by_year,MATCH(B1507,'Data Export'!$B$6:$B$78,0),1)))</f>
        <v>0</v>
      </c>
      <c r="E1507">
        <v>4</v>
      </c>
      <c r="F1507" t="s">
        <v>239</v>
      </c>
    </row>
    <row r="1508" spans="1:6">
      <c r="A1508" t="str">
        <f t="shared" si="23"/>
        <v>GenericE&amp;DtemplateCIandGOA</v>
      </c>
      <c r="B1508">
        <v>58</v>
      </c>
      <c r="C1508">
        <v>25</v>
      </c>
      <c r="D1508" s="649">
        <f ca="1">IF(E1508=4,INDEX(crude_exp_dist,MATCH(B1508,'Crude Exp Dist'!$B$6:$B$78,0),MATCH(C1508,'Crude Exp Dist'!$AD$2:$BC$2,0))*INDEX(crude_exp_by_year,MATCH(B1508,'Data Export'!$B$6:$B$78,0),1),IF(E1508=5,INDEX(ref_exp_dist,MATCH(B1508,'Refined Petro Exp Dist'!$B$6:$B$78,0),MATCH(C1508,'Refined Petro Exp Dist'!$AD$2:$BC$2,0))*INDEX(ref_exp_by_year,MATCH(B1508,'Data Export'!$B$6:$B$78,0),1)))</f>
        <v>0</v>
      </c>
      <c r="E1508">
        <v>4</v>
      </c>
      <c r="F1508" t="s">
        <v>242</v>
      </c>
    </row>
    <row r="1509" spans="1:6">
      <c r="A1509" t="str">
        <f t="shared" si="23"/>
        <v>GenericE&amp;DtemplateCIandGOA</v>
      </c>
      <c r="B1509">
        <v>58</v>
      </c>
      <c r="C1509">
        <v>26</v>
      </c>
      <c r="D1509" s="649">
        <f ca="1">IF(E1509=4,INDEX(crude_exp_dist,MATCH(B1509,'Crude Exp Dist'!$B$6:$B$78,0),MATCH(C1509,'Crude Exp Dist'!$AD$2:$BC$2,0))*INDEX(crude_exp_by_year,MATCH(B1509,'Data Export'!$B$6:$B$78,0),1),IF(E1509=5,INDEX(ref_exp_dist,MATCH(B1509,'Refined Petro Exp Dist'!$B$6:$B$78,0),MATCH(C1509,'Refined Petro Exp Dist'!$AD$2:$BC$2,0))*INDEX(ref_exp_by_year,MATCH(B1509,'Data Export'!$B$6:$B$78,0),1)))</f>
        <v>0</v>
      </c>
      <c r="E1509">
        <v>4</v>
      </c>
      <c r="F1509" t="s">
        <v>245</v>
      </c>
    </row>
    <row r="1510" spans="1:6">
      <c r="A1510" t="str">
        <f t="shared" si="23"/>
        <v>GenericE&amp;DtemplateCIandGOA</v>
      </c>
      <c r="B1510">
        <v>59</v>
      </c>
      <c r="C1510">
        <v>1</v>
      </c>
      <c r="D1510" s="649">
        <f ca="1">IF(E1510=4,INDEX(crude_exp_dist,MATCH(B1510,'Crude Exp Dist'!$B$6:$B$78,0),MATCH(C1510,'Crude Exp Dist'!$AD$2:$BC$2,0))*INDEX(crude_exp_by_year,MATCH(B1510,'Data Export'!$B$6:$B$78,0),1),IF(E1510=5,INDEX(ref_exp_dist,MATCH(B1510,'Refined Petro Exp Dist'!$B$6:$B$78,0),MATCH(C1510,'Refined Petro Exp Dist'!$AD$2:$BC$2,0))*INDEX(ref_exp_by_year,MATCH(B1510,'Data Export'!$B$6:$B$78,0),1)))</f>
        <v>0</v>
      </c>
      <c r="E1510">
        <v>4</v>
      </c>
      <c r="F1510" t="s">
        <v>158</v>
      </c>
    </row>
    <row r="1511" spans="1:6">
      <c r="A1511" t="str">
        <f t="shared" si="23"/>
        <v>GenericE&amp;DtemplateCIandGOA</v>
      </c>
      <c r="B1511">
        <v>59</v>
      </c>
      <c r="C1511">
        <v>2</v>
      </c>
      <c r="D1511" s="649">
        <f ca="1">IF(E1511=4,INDEX(crude_exp_dist,MATCH(B1511,'Crude Exp Dist'!$B$6:$B$78,0),MATCH(C1511,'Crude Exp Dist'!$AD$2:$BC$2,0))*INDEX(crude_exp_by_year,MATCH(B1511,'Data Export'!$B$6:$B$78,0),1),IF(E1511=5,INDEX(ref_exp_dist,MATCH(B1511,'Refined Petro Exp Dist'!$B$6:$B$78,0),MATCH(C1511,'Refined Petro Exp Dist'!$AD$2:$BC$2,0))*INDEX(ref_exp_by_year,MATCH(B1511,'Data Export'!$B$6:$B$78,0),1)))</f>
        <v>0</v>
      </c>
      <c r="E1511">
        <v>4</v>
      </c>
      <c r="F1511" t="s">
        <v>166</v>
      </c>
    </row>
    <row r="1512" spans="1:6">
      <c r="A1512" t="str">
        <f t="shared" si="23"/>
        <v>GenericE&amp;DtemplateCIandGOA</v>
      </c>
      <c r="B1512">
        <v>59</v>
      </c>
      <c r="C1512">
        <v>3</v>
      </c>
      <c r="D1512" s="649">
        <f ca="1">IF(E1512=4,INDEX(crude_exp_dist,MATCH(B1512,'Crude Exp Dist'!$B$6:$B$78,0),MATCH(C1512,'Crude Exp Dist'!$AD$2:$BC$2,0))*INDEX(crude_exp_by_year,MATCH(B1512,'Data Export'!$B$6:$B$78,0),1),IF(E1512=5,INDEX(ref_exp_dist,MATCH(B1512,'Refined Petro Exp Dist'!$B$6:$B$78,0),MATCH(C1512,'Refined Petro Exp Dist'!$AD$2:$BC$2,0))*INDEX(ref_exp_by_year,MATCH(B1512,'Data Export'!$B$6:$B$78,0),1)))</f>
        <v>0</v>
      </c>
      <c r="E1512">
        <v>4</v>
      </c>
      <c r="F1512" t="s">
        <v>171</v>
      </c>
    </row>
    <row r="1513" spans="1:6">
      <c r="A1513" t="str">
        <f t="shared" si="23"/>
        <v>GenericE&amp;DtemplateCIandGOA</v>
      </c>
      <c r="B1513">
        <v>59</v>
      </c>
      <c r="C1513">
        <v>4</v>
      </c>
      <c r="D1513" s="649">
        <f ca="1">IF(E1513=4,INDEX(crude_exp_dist,MATCH(B1513,'Crude Exp Dist'!$B$6:$B$78,0),MATCH(C1513,'Crude Exp Dist'!$AD$2:$BC$2,0))*INDEX(crude_exp_by_year,MATCH(B1513,'Data Export'!$B$6:$B$78,0),1),IF(E1513=5,INDEX(ref_exp_dist,MATCH(B1513,'Refined Petro Exp Dist'!$B$6:$B$78,0),MATCH(C1513,'Refined Petro Exp Dist'!$AD$2:$BC$2,0))*INDEX(ref_exp_by_year,MATCH(B1513,'Data Export'!$B$6:$B$78,0),1)))</f>
        <v>0</v>
      </c>
      <c r="E1513">
        <v>4</v>
      </c>
      <c r="F1513" t="s">
        <v>173</v>
      </c>
    </row>
    <row r="1514" spans="1:6">
      <c r="A1514" t="str">
        <f t="shared" si="23"/>
        <v>GenericE&amp;DtemplateCIandGOA</v>
      </c>
      <c r="B1514">
        <v>59</v>
      </c>
      <c r="C1514">
        <v>5</v>
      </c>
      <c r="D1514" s="649">
        <f ca="1">IF(E1514=4,INDEX(crude_exp_dist,MATCH(B1514,'Crude Exp Dist'!$B$6:$B$78,0),MATCH(C1514,'Crude Exp Dist'!$AD$2:$BC$2,0))*INDEX(crude_exp_by_year,MATCH(B1514,'Data Export'!$B$6:$B$78,0),1),IF(E1514=5,INDEX(ref_exp_dist,MATCH(B1514,'Refined Petro Exp Dist'!$B$6:$B$78,0),MATCH(C1514,'Refined Petro Exp Dist'!$AD$2:$BC$2,0))*INDEX(ref_exp_by_year,MATCH(B1514,'Data Export'!$B$6:$B$78,0),1)))</f>
        <v>0</v>
      </c>
      <c r="E1514">
        <v>4</v>
      </c>
      <c r="F1514" t="s">
        <v>180</v>
      </c>
    </row>
    <row r="1515" spans="1:6">
      <c r="A1515" t="str">
        <f t="shared" si="23"/>
        <v>GenericE&amp;DtemplateCIandGOA</v>
      </c>
      <c r="B1515">
        <v>59</v>
      </c>
      <c r="C1515">
        <v>6</v>
      </c>
      <c r="D1515" s="649">
        <f ca="1">IF(E1515=4,INDEX(crude_exp_dist,MATCH(B1515,'Crude Exp Dist'!$B$6:$B$78,0),MATCH(C1515,'Crude Exp Dist'!$AD$2:$BC$2,0))*INDEX(crude_exp_by_year,MATCH(B1515,'Data Export'!$B$6:$B$78,0),1),IF(E1515=5,INDEX(ref_exp_dist,MATCH(B1515,'Refined Petro Exp Dist'!$B$6:$B$78,0),MATCH(C1515,'Refined Petro Exp Dist'!$AD$2:$BC$2,0))*INDEX(ref_exp_by_year,MATCH(B1515,'Data Export'!$B$6:$B$78,0),1)))</f>
        <v>0</v>
      </c>
      <c r="E1515">
        <v>4</v>
      </c>
      <c r="F1515" t="s">
        <v>186</v>
      </c>
    </row>
    <row r="1516" spans="1:6">
      <c r="A1516" t="str">
        <f t="shared" si="23"/>
        <v>GenericE&amp;DtemplateCIandGOA</v>
      </c>
      <c r="B1516">
        <v>59</v>
      </c>
      <c r="C1516">
        <v>7</v>
      </c>
      <c r="D1516" s="649">
        <f ca="1">IF(E1516=4,INDEX(crude_exp_dist,MATCH(B1516,'Crude Exp Dist'!$B$6:$B$78,0),MATCH(C1516,'Crude Exp Dist'!$AD$2:$BC$2,0))*INDEX(crude_exp_by_year,MATCH(B1516,'Data Export'!$B$6:$B$78,0),1),IF(E1516=5,INDEX(ref_exp_dist,MATCH(B1516,'Refined Petro Exp Dist'!$B$6:$B$78,0),MATCH(C1516,'Refined Petro Exp Dist'!$AD$2:$BC$2,0))*INDEX(ref_exp_by_year,MATCH(B1516,'Data Export'!$B$6:$B$78,0),1)))</f>
        <v>0</v>
      </c>
      <c r="E1516">
        <v>4</v>
      </c>
      <c r="F1516" t="s">
        <v>191</v>
      </c>
    </row>
    <row r="1517" spans="1:6">
      <c r="A1517" t="str">
        <f t="shared" si="23"/>
        <v>GenericE&amp;DtemplateCIandGOA</v>
      </c>
      <c r="B1517">
        <v>59</v>
      </c>
      <c r="C1517">
        <v>8</v>
      </c>
      <c r="D1517" s="649">
        <f ca="1">IF(E1517=4,INDEX(crude_exp_dist,MATCH(B1517,'Crude Exp Dist'!$B$6:$B$78,0),MATCH(C1517,'Crude Exp Dist'!$AD$2:$BC$2,0))*INDEX(crude_exp_by_year,MATCH(B1517,'Data Export'!$B$6:$B$78,0),1),IF(E1517=5,INDEX(ref_exp_dist,MATCH(B1517,'Refined Petro Exp Dist'!$B$6:$B$78,0),MATCH(C1517,'Refined Petro Exp Dist'!$AD$2:$BC$2,0))*INDEX(ref_exp_by_year,MATCH(B1517,'Data Export'!$B$6:$B$78,0),1)))</f>
        <v>0</v>
      </c>
      <c r="E1517">
        <v>4</v>
      </c>
      <c r="F1517" t="s">
        <v>197</v>
      </c>
    </row>
    <row r="1518" spans="1:6">
      <c r="A1518" t="str">
        <f t="shared" si="23"/>
        <v>GenericE&amp;DtemplateCIandGOA</v>
      </c>
      <c r="B1518">
        <v>59</v>
      </c>
      <c r="C1518">
        <v>9</v>
      </c>
      <c r="D1518" s="649">
        <f ca="1">IF(E1518=4,INDEX(crude_exp_dist,MATCH(B1518,'Crude Exp Dist'!$B$6:$B$78,0),MATCH(C1518,'Crude Exp Dist'!$AD$2:$BC$2,0))*INDEX(crude_exp_by_year,MATCH(B1518,'Data Export'!$B$6:$B$78,0),1),IF(E1518=5,INDEX(ref_exp_dist,MATCH(B1518,'Refined Petro Exp Dist'!$B$6:$B$78,0),MATCH(C1518,'Refined Petro Exp Dist'!$AD$2:$BC$2,0))*INDEX(ref_exp_by_year,MATCH(B1518,'Data Export'!$B$6:$B$78,0),1)))</f>
        <v>0</v>
      </c>
      <c r="E1518">
        <v>4</v>
      </c>
      <c r="F1518" t="s">
        <v>199</v>
      </c>
    </row>
    <row r="1519" spans="1:6">
      <c r="A1519" t="str">
        <f t="shared" si="23"/>
        <v>GenericE&amp;DtemplateCIandGOA</v>
      </c>
      <c r="B1519">
        <v>59</v>
      </c>
      <c r="C1519">
        <v>10</v>
      </c>
      <c r="D1519" s="649">
        <f ca="1">IF(E1519=4,INDEX(crude_exp_dist,MATCH(B1519,'Crude Exp Dist'!$B$6:$B$78,0),MATCH(C1519,'Crude Exp Dist'!$AD$2:$BC$2,0))*INDEX(crude_exp_by_year,MATCH(B1519,'Data Export'!$B$6:$B$78,0),1),IF(E1519=5,INDEX(ref_exp_dist,MATCH(B1519,'Refined Petro Exp Dist'!$B$6:$B$78,0),MATCH(C1519,'Refined Petro Exp Dist'!$AD$2:$BC$2,0))*INDEX(ref_exp_by_year,MATCH(B1519,'Data Export'!$B$6:$B$78,0),1)))</f>
        <v>0</v>
      </c>
      <c r="E1519">
        <v>4</v>
      </c>
      <c r="F1519" t="s">
        <v>201</v>
      </c>
    </row>
    <row r="1520" spans="1:6">
      <c r="A1520" t="str">
        <f t="shared" si="23"/>
        <v>GenericE&amp;DtemplateCIandGOA</v>
      </c>
      <c r="B1520">
        <v>59</v>
      </c>
      <c r="C1520">
        <v>11</v>
      </c>
      <c r="D1520" s="649">
        <f ca="1">IF(E1520=4,INDEX(crude_exp_dist,MATCH(B1520,'Crude Exp Dist'!$B$6:$B$78,0),MATCH(C1520,'Crude Exp Dist'!$AD$2:$BC$2,0))*INDEX(crude_exp_by_year,MATCH(B1520,'Data Export'!$B$6:$B$78,0),1),IF(E1520=5,INDEX(ref_exp_dist,MATCH(B1520,'Refined Petro Exp Dist'!$B$6:$B$78,0),MATCH(C1520,'Refined Petro Exp Dist'!$AD$2:$BC$2,0))*INDEX(ref_exp_by_year,MATCH(B1520,'Data Export'!$B$6:$B$78,0),1)))</f>
        <v>0</v>
      </c>
      <c r="E1520">
        <v>4</v>
      </c>
      <c r="F1520" t="s">
        <v>921</v>
      </c>
    </row>
    <row r="1521" spans="1:6">
      <c r="A1521" t="str">
        <f t="shared" si="23"/>
        <v>GenericE&amp;DtemplateCIandGOA</v>
      </c>
      <c r="B1521">
        <v>59</v>
      </c>
      <c r="C1521">
        <v>12</v>
      </c>
      <c r="D1521" s="649">
        <f ca="1">IF(E1521=4,INDEX(crude_exp_dist,MATCH(B1521,'Crude Exp Dist'!$B$6:$B$78,0),MATCH(C1521,'Crude Exp Dist'!$AD$2:$BC$2,0))*INDEX(crude_exp_by_year,MATCH(B1521,'Data Export'!$B$6:$B$78,0),1),IF(E1521=5,INDEX(ref_exp_dist,MATCH(B1521,'Refined Petro Exp Dist'!$B$6:$B$78,0),MATCH(C1521,'Refined Petro Exp Dist'!$AD$2:$BC$2,0))*INDEX(ref_exp_by_year,MATCH(B1521,'Data Export'!$B$6:$B$78,0),1)))</f>
        <v>0</v>
      </c>
      <c r="E1521">
        <v>4</v>
      </c>
      <c r="F1521" t="s">
        <v>208</v>
      </c>
    </row>
    <row r="1522" spans="1:6">
      <c r="A1522" t="str">
        <f t="shared" si="23"/>
        <v>GenericE&amp;DtemplateCIandGOA</v>
      </c>
      <c r="B1522">
        <v>59</v>
      </c>
      <c r="C1522">
        <v>13</v>
      </c>
      <c r="D1522" s="649">
        <f ca="1">IF(E1522=4,INDEX(crude_exp_dist,MATCH(B1522,'Crude Exp Dist'!$B$6:$B$78,0),MATCH(C1522,'Crude Exp Dist'!$AD$2:$BC$2,0))*INDEX(crude_exp_by_year,MATCH(B1522,'Data Export'!$B$6:$B$78,0),1),IF(E1522=5,INDEX(ref_exp_dist,MATCH(B1522,'Refined Petro Exp Dist'!$B$6:$B$78,0),MATCH(C1522,'Refined Petro Exp Dist'!$AD$2:$BC$2,0))*INDEX(ref_exp_by_year,MATCH(B1522,'Data Export'!$B$6:$B$78,0),1)))</f>
        <v>0</v>
      </c>
      <c r="E1522">
        <v>4</v>
      </c>
      <c r="F1522" t="s">
        <v>211</v>
      </c>
    </row>
    <row r="1523" spans="1:6">
      <c r="A1523" t="str">
        <f t="shared" si="23"/>
        <v>GenericE&amp;DtemplateCIandGOA</v>
      </c>
      <c r="B1523">
        <v>59</v>
      </c>
      <c r="C1523">
        <v>14</v>
      </c>
      <c r="D1523" s="649">
        <f ca="1">IF(E1523=4,INDEX(crude_exp_dist,MATCH(B1523,'Crude Exp Dist'!$B$6:$B$78,0),MATCH(C1523,'Crude Exp Dist'!$AD$2:$BC$2,0))*INDEX(crude_exp_by_year,MATCH(B1523,'Data Export'!$B$6:$B$78,0),1),IF(E1523=5,INDEX(ref_exp_dist,MATCH(B1523,'Refined Petro Exp Dist'!$B$6:$B$78,0),MATCH(C1523,'Refined Petro Exp Dist'!$AD$2:$BC$2,0))*INDEX(ref_exp_by_year,MATCH(B1523,'Data Export'!$B$6:$B$78,0),1)))</f>
        <v>0</v>
      </c>
      <c r="E1523">
        <v>4</v>
      </c>
      <c r="F1523" t="s">
        <v>213</v>
      </c>
    </row>
    <row r="1524" spans="1:6">
      <c r="A1524" t="str">
        <f t="shared" si="23"/>
        <v>GenericE&amp;DtemplateCIandGOA</v>
      </c>
      <c r="B1524">
        <v>59</v>
      </c>
      <c r="C1524">
        <v>15</v>
      </c>
      <c r="D1524" s="649">
        <f ca="1">IF(E1524=4,INDEX(crude_exp_dist,MATCH(B1524,'Crude Exp Dist'!$B$6:$B$78,0),MATCH(C1524,'Crude Exp Dist'!$AD$2:$BC$2,0))*INDEX(crude_exp_by_year,MATCH(B1524,'Data Export'!$B$6:$B$78,0),1),IF(E1524=5,INDEX(ref_exp_dist,MATCH(B1524,'Refined Petro Exp Dist'!$B$6:$B$78,0),MATCH(C1524,'Refined Petro Exp Dist'!$AD$2:$BC$2,0))*INDEX(ref_exp_by_year,MATCH(B1524,'Data Export'!$B$6:$B$78,0),1)))</f>
        <v>0</v>
      </c>
      <c r="E1524">
        <v>4</v>
      </c>
      <c r="F1524" t="s">
        <v>215</v>
      </c>
    </row>
    <row r="1525" spans="1:6">
      <c r="A1525" t="str">
        <f t="shared" si="23"/>
        <v>GenericE&amp;DtemplateCIandGOA</v>
      </c>
      <c r="B1525">
        <v>59</v>
      </c>
      <c r="C1525">
        <v>16</v>
      </c>
      <c r="D1525" s="649">
        <f ca="1">IF(E1525=4,INDEX(crude_exp_dist,MATCH(B1525,'Crude Exp Dist'!$B$6:$B$78,0),MATCH(C1525,'Crude Exp Dist'!$AD$2:$BC$2,0))*INDEX(crude_exp_by_year,MATCH(B1525,'Data Export'!$B$6:$B$78,0),1),IF(E1525=5,INDEX(ref_exp_dist,MATCH(B1525,'Refined Petro Exp Dist'!$B$6:$B$78,0),MATCH(C1525,'Refined Petro Exp Dist'!$AD$2:$BC$2,0))*INDEX(ref_exp_by_year,MATCH(B1525,'Data Export'!$B$6:$B$78,0),1)))</f>
        <v>0</v>
      </c>
      <c r="E1525">
        <v>4</v>
      </c>
      <c r="F1525" t="s">
        <v>219</v>
      </c>
    </row>
    <row r="1526" spans="1:6">
      <c r="A1526" t="str">
        <f t="shared" si="23"/>
        <v>GenericE&amp;DtemplateCIandGOA</v>
      </c>
      <c r="B1526">
        <v>59</v>
      </c>
      <c r="C1526">
        <v>17</v>
      </c>
      <c r="D1526" s="649">
        <f ca="1">IF(E1526=4,INDEX(crude_exp_dist,MATCH(B1526,'Crude Exp Dist'!$B$6:$B$78,0),MATCH(C1526,'Crude Exp Dist'!$AD$2:$BC$2,0))*INDEX(crude_exp_by_year,MATCH(B1526,'Data Export'!$B$6:$B$78,0),1),IF(E1526=5,INDEX(ref_exp_dist,MATCH(B1526,'Refined Petro Exp Dist'!$B$6:$B$78,0),MATCH(C1526,'Refined Petro Exp Dist'!$AD$2:$BC$2,0))*INDEX(ref_exp_by_year,MATCH(B1526,'Data Export'!$B$6:$B$78,0),1)))</f>
        <v>0</v>
      </c>
      <c r="E1526">
        <v>4</v>
      </c>
      <c r="F1526" t="s">
        <v>222</v>
      </c>
    </row>
    <row r="1527" spans="1:6">
      <c r="A1527" t="str">
        <f t="shared" si="23"/>
        <v>GenericE&amp;DtemplateCIandGOA</v>
      </c>
      <c r="B1527">
        <v>59</v>
      </c>
      <c r="C1527">
        <v>18</v>
      </c>
      <c r="D1527" s="649">
        <f ca="1">IF(E1527=4,INDEX(crude_exp_dist,MATCH(B1527,'Crude Exp Dist'!$B$6:$B$78,0),MATCH(C1527,'Crude Exp Dist'!$AD$2:$BC$2,0))*INDEX(crude_exp_by_year,MATCH(B1527,'Data Export'!$B$6:$B$78,0),1),IF(E1527=5,INDEX(ref_exp_dist,MATCH(B1527,'Refined Petro Exp Dist'!$B$6:$B$78,0),MATCH(C1527,'Refined Petro Exp Dist'!$AD$2:$BC$2,0))*INDEX(ref_exp_by_year,MATCH(B1527,'Data Export'!$B$6:$B$78,0),1)))</f>
        <v>0</v>
      </c>
      <c r="E1527">
        <v>4</v>
      </c>
      <c r="F1527" t="s">
        <v>224</v>
      </c>
    </row>
    <row r="1528" spans="1:6">
      <c r="A1528" t="str">
        <f t="shared" si="23"/>
        <v>GenericE&amp;DtemplateCIandGOA</v>
      </c>
      <c r="B1528">
        <v>59</v>
      </c>
      <c r="C1528">
        <v>19</v>
      </c>
      <c r="D1528" s="649">
        <f ca="1">IF(E1528=4,INDEX(crude_exp_dist,MATCH(B1528,'Crude Exp Dist'!$B$6:$B$78,0),MATCH(C1528,'Crude Exp Dist'!$AD$2:$BC$2,0))*INDEX(crude_exp_by_year,MATCH(B1528,'Data Export'!$B$6:$B$78,0),1),IF(E1528=5,INDEX(ref_exp_dist,MATCH(B1528,'Refined Petro Exp Dist'!$B$6:$B$78,0),MATCH(C1528,'Refined Petro Exp Dist'!$AD$2:$BC$2,0))*INDEX(ref_exp_by_year,MATCH(B1528,'Data Export'!$B$6:$B$78,0),1)))</f>
        <v>0</v>
      </c>
      <c r="E1528">
        <v>4</v>
      </c>
      <c r="F1528" t="s">
        <v>228</v>
      </c>
    </row>
    <row r="1529" spans="1:6">
      <c r="A1529" t="str">
        <f t="shared" si="23"/>
        <v>GenericE&amp;DtemplateCIandGOA</v>
      </c>
      <c r="B1529">
        <v>59</v>
      </c>
      <c r="C1529">
        <v>20</v>
      </c>
      <c r="D1529" s="649">
        <f ca="1">IF(E1529=4,INDEX(crude_exp_dist,MATCH(B1529,'Crude Exp Dist'!$B$6:$B$78,0),MATCH(C1529,'Crude Exp Dist'!$AD$2:$BC$2,0))*INDEX(crude_exp_by_year,MATCH(B1529,'Data Export'!$B$6:$B$78,0),1),IF(E1529=5,INDEX(ref_exp_dist,MATCH(B1529,'Refined Petro Exp Dist'!$B$6:$B$78,0),MATCH(C1529,'Refined Petro Exp Dist'!$AD$2:$BC$2,0))*INDEX(ref_exp_by_year,MATCH(B1529,'Data Export'!$B$6:$B$78,0),1)))</f>
        <v>0</v>
      </c>
      <c r="E1529">
        <v>4</v>
      </c>
      <c r="F1529" t="s">
        <v>231</v>
      </c>
    </row>
    <row r="1530" spans="1:6">
      <c r="A1530" t="str">
        <f t="shared" si="23"/>
        <v>GenericE&amp;DtemplateCIandGOA</v>
      </c>
      <c r="B1530">
        <v>59</v>
      </c>
      <c r="C1530">
        <v>21</v>
      </c>
      <c r="D1530" s="649">
        <f ca="1">IF(E1530=4,INDEX(crude_exp_dist,MATCH(B1530,'Crude Exp Dist'!$B$6:$B$78,0),MATCH(C1530,'Crude Exp Dist'!$AD$2:$BC$2,0))*INDEX(crude_exp_by_year,MATCH(B1530,'Data Export'!$B$6:$B$78,0),1),IF(E1530=5,INDEX(ref_exp_dist,MATCH(B1530,'Refined Petro Exp Dist'!$B$6:$B$78,0),MATCH(C1530,'Refined Petro Exp Dist'!$AD$2:$BC$2,0))*INDEX(ref_exp_by_year,MATCH(B1530,'Data Export'!$B$6:$B$78,0),1)))</f>
        <v>0</v>
      </c>
      <c r="E1530">
        <v>4</v>
      </c>
      <c r="F1530" t="s">
        <v>232</v>
      </c>
    </row>
    <row r="1531" spans="1:6">
      <c r="A1531" t="str">
        <f t="shared" si="23"/>
        <v>GenericE&amp;DtemplateCIandGOA</v>
      </c>
      <c r="B1531">
        <v>59</v>
      </c>
      <c r="C1531">
        <v>22</v>
      </c>
      <c r="D1531" s="649">
        <f ca="1">IF(E1531=4,INDEX(crude_exp_dist,MATCH(B1531,'Crude Exp Dist'!$B$6:$B$78,0),MATCH(C1531,'Crude Exp Dist'!$AD$2:$BC$2,0))*INDEX(crude_exp_by_year,MATCH(B1531,'Data Export'!$B$6:$B$78,0),1),IF(E1531=5,INDEX(ref_exp_dist,MATCH(B1531,'Refined Petro Exp Dist'!$B$6:$B$78,0),MATCH(C1531,'Refined Petro Exp Dist'!$AD$2:$BC$2,0))*INDEX(ref_exp_by_year,MATCH(B1531,'Data Export'!$B$6:$B$78,0),1)))</f>
        <v>0</v>
      </c>
      <c r="E1531">
        <v>4</v>
      </c>
      <c r="F1531" t="s">
        <v>235</v>
      </c>
    </row>
    <row r="1532" spans="1:6">
      <c r="A1532" t="str">
        <f t="shared" si="23"/>
        <v>GenericE&amp;DtemplateCIandGOA</v>
      </c>
      <c r="B1532">
        <v>59</v>
      </c>
      <c r="C1532">
        <v>23</v>
      </c>
      <c r="D1532" s="649">
        <f ca="1">IF(E1532=4,INDEX(crude_exp_dist,MATCH(B1532,'Crude Exp Dist'!$B$6:$B$78,0),MATCH(C1532,'Crude Exp Dist'!$AD$2:$BC$2,0))*INDEX(crude_exp_by_year,MATCH(B1532,'Data Export'!$B$6:$B$78,0),1),IF(E1532=5,INDEX(ref_exp_dist,MATCH(B1532,'Refined Petro Exp Dist'!$B$6:$B$78,0),MATCH(C1532,'Refined Petro Exp Dist'!$AD$2:$BC$2,0))*INDEX(ref_exp_by_year,MATCH(B1532,'Data Export'!$B$6:$B$78,0),1)))</f>
        <v>0</v>
      </c>
      <c r="E1532">
        <v>4</v>
      </c>
      <c r="F1532" t="s">
        <v>237</v>
      </c>
    </row>
    <row r="1533" spans="1:6">
      <c r="A1533" t="str">
        <f t="shared" si="23"/>
        <v>GenericE&amp;DtemplateCIandGOA</v>
      </c>
      <c r="B1533">
        <v>59</v>
      </c>
      <c r="C1533">
        <v>24</v>
      </c>
      <c r="D1533" s="649">
        <f ca="1">IF(E1533=4,INDEX(crude_exp_dist,MATCH(B1533,'Crude Exp Dist'!$B$6:$B$78,0),MATCH(C1533,'Crude Exp Dist'!$AD$2:$BC$2,0))*INDEX(crude_exp_by_year,MATCH(B1533,'Data Export'!$B$6:$B$78,0),1),IF(E1533=5,INDEX(ref_exp_dist,MATCH(B1533,'Refined Petro Exp Dist'!$B$6:$B$78,0),MATCH(C1533,'Refined Petro Exp Dist'!$AD$2:$BC$2,0))*INDEX(ref_exp_by_year,MATCH(B1533,'Data Export'!$B$6:$B$78,0),1)))</f>
        <v>0</v>
      </c>
      <c r="E1533">
        <v>4</v>
      </c>
      <c r="F1533" t="s">
        <v>239</v>
      </c>
    </row>
    <row r="1534" spans="1:6">
      <c r="A1534" t="str">
        <f t="shared" si="23"/>
        <v>GenericE&amp;DtemplateCIandGOA</v>
      </c>
      <c r="B1534">
        <v>59</v>
      </c>
      <c r="C1534">
        <v>25</v>
      </c>
      <c r="D1534" s="649">
        <f ca="1">IF(E1534=4,INDEX(crude_exp_dist,MATCH(B1534,'Crude Exp Dist'!$B$6:$B$78,0),MATCH(C1534,'Crude Exp Dist'!$AD$2:$BC$2,0))*INDEX(crude_exp_by_year,MATCH(B1534,'Data Export'!$B$6:$B$78,0),1),IF(E1534=5,INDEX(ref_exp_dist,MATCH(B1534,'Refined Petro Exp Dist'!$B$6:$B$78,0),MATCH(C1534,'Refined Petro Exp Dist'!$AD$2:$BC$2,0))*INDEX(ref_exp_by_year,MATCH(B1534,'Data Export'!$B$6:$B$78,0),1)))</f>
        <v>0</v>
      </c>
      <c r="E1534">
        <v>4</v>
      </c>
      <c r="F1534" t="s">
        <v>242</v>
      </c>
    </row>
    <row r="1535" spans="1:6">
      <c r="A1535" t="str">
        <f t="shared" si="23"/>
        <v>GenericE&amp;DtemplateCIandGOA</v>
      </c>
      <c r="B1535">
        <v>59</v>
      </c>
      <c r="C1535">
        <v>26</v>
      </c>
      <c r="D1535" s="649">
        <f ca="1">IF(E1535=4,INDEX(crude_exp_dist,MATCH(B1535,'Crude Exp Dist'!$B$6:$B$78,0),MATCH(C1535,'Crude Exp Dist'!$AD$2:$BC$2,0))*INDEX(crude_exp_by_year,MATCH(B1535,'Data Export'!$B$6:$B$78,0),1),IF(E1535=5,INDEX(ref_exp_dist,MATCH(B1535,'Refined Petro Exp Dist'!$B$6:$B$78,0),MATCH(C1535,'Refined Petro Exp Dist'!$AD$2:$BC$2,0))*INDEX(ref_exp_by_year,MATCH(B1535,'Data Export'!$B$6:$B$78,0),1)))</f>
        <v>0</v>
      </c>
      <c r="E1535">
        <v>4</v>
      </c>
      <c r="F1535" t="s">
        <v>245</v>
      </c>
    </row>
    <row r="1536" spans="1:6">
      <c r="A1536" t="str">
        <f t="shared" si="23"/>
        <v>GenericE&amp;DtemplateCIandGOA</v>
      </c>
      <c r="B1536">
        <v>60</v>
      </c>
      <c r="C1536">
        <v>1</v>
      </c>
      <c r="D1536" s="649">
        <f ca="1">IF(E1536=4,INDEX(crude_exp_dist,MATCH(B1536,'Crude Exp Dist'!$B$6:$B$78,0),MATCH(C1536,'Crude Exp Dist'!$AD$2:$BC$2,0))*INDEX(crude_exp_by_year,MATCH(B1536,'Data Export'!$B$6:$B$78,0),1),IF(E1536=5,INDEX(ref_exp_dist,MATCH(B1536,'Refined Petro Exp Dist'!$B$6:$B$78,0),MATCH(C1536,'Refined Petro Exp Dist'!$AD$2:$BC$2,0))*INDEX(ref_exp_by_year,MATCH(B1536,'Data Export'!$B$6:$B$78,0),1)))</f>
        <v>0</v>
      </c>
      <c r="E1536">
        <v>4</v>
      </c>
      <c r="F1536" t="s">
        <v>158</v>
      </c>
    </row>
    <row r="1537" spans="1:6">
      <c r="A1537" t="str">
        <f t="shared" si="23"/>
        <v>GenericE&amp;DtemplateCIandGOA</v>
      </c>
      <c r="B1537">
        <v>60</v>
      </c>
      <c r="C1537">
        <v>2</v>
      </c>
      <c r="D1537" s="649">
        <f ca="1">IF(E1537=4,INDEX(crude_exp_dist,MATCH(B1537,'Crude Exp Dist'!$B$6:$B$78,0),MATCH(C1537,'Crude Exp Dist'!$AD$2:$BC$2,0))*INDEX(crude_exp_by_year,MATCH(B1537,'Data Export'!$B$6:$B$78,0),1),IF(E1537=5,INDEX(ref_exp_dist,MATCH(B1537,'Refined Petro Exp Dist'!$B$6:$B$78,0),MATCH(C1537,'Refined Petro Exp Dist'!$AD$2:$BC$2,0))*INDEX(ref_exp_by_year,MATCH(B1537,'Data Export'!$B$6:$B$78,0),1)))</f>
        <v>0</v>
      </c>
      <c r="E1537">
        <v>4</v>
      </c>
      <c r="F1537" t="s">
        <v>166</v>
      </c>
    </row>
    <row r="1538" spans="1:6">
      <c r="A1538" t="str">
        <f t="shared" ref="A1538:A1601" si="24">scenario_name</f>
        <v>GenericE&amp;DtemplateCIandGOA</v>
      </c>
      <c r="B1538">
        <v>60</v>
      </c>
      <c r="C1538">
        <v>3</v>
      </c>
      <c r="D1538" s="649">
        <f ca="1">IF(E1538=4,INDEX(crude_exp_dist,MATCH(B1538,'Crude Exp Dist'!$B$6:$B$78,0),MATCH(C1538,'Crude Exp Dist'!$AD$2:$BC$2,0))*INDEX(crude_exp_by_year,MATCH(B1538,'Data Export'!$B$6:$B$78,0),1),IF(E1538=5,INDEX(ref_exp_dist,MATCH(B1538,'Refined Petro Exp Dist'!$B$6:$B$78,0),MATCH(C1538,'Refined Petro Exp Dist'!$AD$2:$BC$2,0))*INDEX(ref_exp_by_year,MATCH(B1538,'Data Export'!$B$6:$B$78,0),1)))</f>
        <v>0</v>
      </c>
      <c r="E1538">
        <v>4</v>
      </c>
      <c r="F1538" t="s">
        <v>171</v>
      </c>
    </row>
    <row r="1539" spans="1:6">
      <c r="A1539" t="str">
        <f t="shared" si="24"/>
        <v>GenericE&amp;DtemplateCIandGOA</v>
      </c>
      <c r="B1539">
        <v>60</v>
      </c>
      <c r="C1539">
        <v>4</v>
      </c>
      <c r="D1539" s="649">
        <f ca="1">IF(E1539=4,INDEX(crude_exp_dist,MATCH(B1539,'Crude Exp Dist'!$B$6:$B$78,0),MATCH(C1539,'Crude Exp Dist'!$AD$2:$BC$2,0))*INDEX(crude_exp_by_year,MATCH(B1539,'Data Export'!$B$6:$B$78,0),1),IF(E1539=5,INDEX(ref_exp_dist,MATCH(B1539,'Refined Petro Exp Dist'!$B$6:$B$78,0),MATCH(C1539,'Refined Petro Exp Dist'!$AD$2:$BC$2,0))*INDEX(ref_exp_by_year,MATCH(B1539,'Data Export'!$B$6:$B$78,0),1)))</f>
        <v>0</v>
      </c>
      <c r="E1539">
        <v>4</v>
      </c>
      <c r="F1539" t="s">
        <v>173</v>
      </c>
    </row>
    <row r="1540" spans="1:6">
      <c r="A1540" t="str">
        <f t="shared" si="24"/>
        <v>GenericE&amp;DtemplateCIandGOA</v>
      </c>
      <c r="B1540">
        <v>60</v>
      </c>
      <c r="C1540">
        <v>5</v>
      </c>
      <c r="D1540" s="649">
        <f ca="1">IF(E1540=4,INDEX(crude_exp_dist,MATCH(B1540,'Crude Exp Dist'!$B$6:$B$78,0),MATCH(C1540,'Crude Exp Dist'!$AD$2:$BC$2,0))*INDEX(crude_exp_by_year,MATCH(B1540,'Data Export'!$B$6:$B$78,0),1),IF(E1540=5,INDEX(ref_exp_dist,MATCH(B1540,'Refined Petro Exp Dist'!$B$6:$B$78,0),MATCH(C1540,'Refined Petro Exp Dist'!$AD$2:$BC$2,0))*INDEX(ref_exp_by_year,MATCH(B1540,'Data Export'!$B$6:$B$78,0),1)))</f>
        <v>0</v>
      </c>
      <c r="E1540">
        <v>4</v>
      </c>
      <c r="F1540" t="s">
        <v>180</v>
      </c>
    </row>
    <row r="1541" spans="1:6">
      <c r="A1541" t="str">
        <f t="shared" si="24"/>
        <v>GenericE&amp;DtemplateCIandGOA</v>
      </c>
      <c r="B1541">
        <v>60</v>
      </c>
      <c r="C1541">
        <v>6</v>
      </c>
      <c r="D1541" s="649">
        <f ca="1">IF(E1541=4,INDEX(crude_exp_dist,MATCH(B1541,'Crude Exp Dist'!$B$6:$B$78,0),MATCH(C1541,'Crude Exp Dist'!$AD$2:$BC$2,0))*INDEX(crude_exp_by_year,MATCH(B1541,'Data Export'!$B$6:$B$78,0),1),IF(E1541=5,INDEX(ref_exp_dist,MATCH(B1541,'Refined Petro Exp Dist'!$B$6:$B$78,0),MATCH(C1541,'Refined Petro Exp Dist'!$AD$2:$BC$2,0))*INDEX(ref_exp_by_year,MATCH(B1541,'Data Export'!$B$6:$B$78,0),1)))</f>
        <v>0</v>
      </c>
      <c r="E1541">
        <v>4</v>
      </c>
      <c r="F1541" t="s">
        <v>186</v>
      </c>
    </row>
    <row r="1542" spans="1:6">
      <c r="A1542" t="str">
        <f t="shared" si="24"/>
        <v>GenericE&amp;DtemplateCIandGOA</v>
      </c>
      <c r="B1542">
        <v>60</v>
      </c>
      <c r="C1542">
        <v>7</v>
      </c>
      <c r="D1542" s="649">
        <f ca="1">IF(E1542=4,INDEX(crude_exp_dist,MATCH(B1542,'Crude Exp Dist'!$B$6:$B$78,0),MATCH(C1542,'Crude Exp Dist'!$AD$2:$BC$2,0))*INDEX(crude_exp_by_year,MATCH(B1542,'Data Export'!$B$6:$B$78,0),1),IF(E1542=5,INDEX(ref_exp_dist,MATCH(B1542,'Refined Petro Exp Dist'!$B$6:$B$78,0),MATCH(C1542,'Refined Petro Exp Dist'!$AD$2:$BC$2,0))*INDEX(ref_exp_by_year,MATCH(B1542,'Data Export'!$B$6:$B$78,0),1)))</f>
        <v>0</v>
      </c>
      <c r="E1542">
        <v>4</v>
      </c>
      <c r="F1542" t="s">
        <v>191</v>
      </c>
    </row>
    <row r="1543" spans="1:6">
      <c r="A1543" t="str">
        <f t="shared" si="24"/>
        <v>GenericE&amp;DtemplateCIandGOA</v>
      </c>
      <c r="B1543">
        <v>60</v>
      </c>
      <c r="C1543">
        <v>8</v>
      </c>
      <c r="D1543" s="649">
        <f ca="1">IF(E1543=4,INDEX(crude_exp_dist,MATCH(B1543,'Crude Exp Dist'!$B$6:$B$78,0),MATCH(C1543,'Crude Exp Dist'!$AD$2:$BC$2,0))*INDEX(crude_exp_by_year,MATCH(B1543,'Data Export'!$B$6:$B$78,0),1),IF(E1543=5,INDEX(ref_exp_dist,MATCH(B1543,'Refined Petro Exp Dist'!$B$6:$B$78,0),MATCH(C1543,'Refined Petro Exp Dist'!$AD$2:$BC$2,0))*INDEX(ref_exp_by_year,MATCH(B1543,'Data Export'!$B$6:$B$78,0),1)))</f>
        <v>0</v>
      </c>
      <c r="E1543">
        <v>4</v>
      </c>
      <c r="F1543" t="s">
        <v>197</v>
      </c>
    </row>
    <row r="1544" spans="1:6">
      <c r="A1544" t="str">
        <f t="shared" si="24"/>
        <v>GenericE&amp;DtemplateCIandGOA</v>
      </c>
      <c r="B1544">
        <v>60</v>
      </c>
      <c r="C1544">
        <v>9</v>
      </c>
      <c r="D1544" s="649">
        <f ca="1">IF(E1544=4,INDEX(crude_exp_dist,MATCH(B1544,'Crude Exp Dist'!$B$6:$B$78,0),MATCH(C1544,'Crude Exp Dist'!$AD$2:$BC$2,0))*INDEX(crude_exp_by_year,MATCH(B1544,'Data Export'!$B$6:$B$78,0),1),IF(E1544=5,INDEX(ref_exp_dist,MATCH(B1544,'Refined Petro Exp Dist'!$B$6:$B$78,0),MATCH(C1544,'Refined Petro Exp Dist'!$AD$2:$BC$2,0))*INDEX(ref_exp_by_year,MATCH(B1544,'Data Export'!$B$6:$B$78,0),1)))</f>
        <v>0</v>
      </c>
      <c r="E1544">
        <v>4</v>
      </c>
      <c r="F1544" t="s">
        <v>199</v>
      </c>
    </row>
    <row r="1545" spans="1:6">
      <c r="A1545" t="str">
        <f t="shared" si="24"/>
        <v>GenericE&amp;DtemplateCIandGOA</v>
      </c>
      <c r="B1545">
        <v>60</v>
      </c>
      <c r="C1545">
        <v>10</v>
      </c>
      <c r="D1545" s="649">
        <f ca="1">IF(E1545=4,INDEX(crude_exp_dist,MATCH(B1545,'Crude Exp Dist'!$B$6:$B$78,0),MATCH(C1545,'Crude Exp Dist'!$AD$2:$BC$2,0))*INDEX(crude_exp_by_year,MATCH(B1545,'Data Export'!$B$6:$B$78,0),1),IF(E1545=5,INDEX(ref_exp_dist,MATCH(B1545,'Refined Petro Exp Dist'!$B$6:$B$78,0),MATCH(C1545,'Refined Petro Exp Dist'!$AD$2:$BC$2,0))*INDEX(ref_exp_by_year,MATCH(B1545,'Data Export'!$B$6:$B$78,0),1)))</f>
        <v>0</v>
      </c>
      <c r="E1545">
        <v>4</v>
      </c>
      <c r="F1545" t="s">
        <v>201</v>
      </c>
    </row>
    <row r="1546" spans="1:6">
      <c r="A1546" t="str">
        <f t="shared" si="24"/>
        <v>GenericE&amp;DtemplateCIandGOA</v>
      </c>
      <c r="B1546">
        <v>60</v>
      </c>
      <c r="C1546">
        <v>11</v>
      </c>
      <c r="D1546" s="649">
        <f ca="1">IF(E1546=4,INDEX(crude_exp_dist,MATCH(B1546,'Crude Exp Dist'!$B$6:$B$78,0),MATCH(C1546,'Crude Exp Dist'!$AD$2:$BC$2,0))*INDEX(crude_exp_by_year,MATCH(B1546,'Data Export'!$B$6:$B$78,0),1),IF(E1546=5,INDEX(ref_exp_dist,MATCH(B1546,'Refined Petro Exp Dist'!$B$6:$B$78,0),MATCH(C1546,'Refined Petro Exp Dist'!$AD$2:$BC$2,0))*INDEX(ref_exp_by_year,MATCH(B1546,'Data Export'!$B$6:$B$78,0),1)))</f>
        <v>0</v>
      </c>
      <c r="E1546">
        <v>4</v>
      </c>
      <c r="F1546" t="s">
        <v>921</v>
      </c>
    </row>
    <row r="1547" spans="1:6">
      <c r="A1547" t="str">
        <f t="shared" si="24"/>
        <v>GenericE&amp;DtemplateCIandGOA</v>
      </c>
      <c r="B1547">
        <v>60</v>
      </c>
      <c r="C1547">
        <v>12</v>
      </c>
      <c r="D1547" s="649">
        <f ca="1">IF(E1547=4,INDEX(crude_exp_dist,MATCH(B1547,'Crude Exp Dist'!$B$6:$B$78,0),MATCH(C1547,'Crude Exp Dist'!$AD$2:$BC$2,0))*INDEX(crude_exp_by_year,MATCH(B1547,'Data Export'!$B$6:$B$78,0),1),IF(E1547=5,INDEX(ref_exp_dist,MATCH(B1547,'Refined Petro Exp Dist'!$B$6:$B$78,0),MATCH(C1547,'Refined Petro Exp Dist'!$AD$2:$BC$2,0))*INDEX(ref_exp_by_year,MATCH(B1547,'Data Export'!$B$6:$B$78,0),1)))</f>
        <v>0</v>
      </c>
      <c r="E1547">
        <v>4</v>
      </c>
      <c r="F1547" t="s">
        <v>208</v>
      </c>
    </row>
    <row r="1548" spans="1:6">
      <c r="A1548" t="str">
        <f t="shared" si="24"/>
        <v>GenericE&amp;DtemplateCIandGOA</v>
      </c>
      <c r="B1548">
        <v>60</v>
      </c>
      <c r="C1548">
        <v>13</v>
      </c>
      <c r="D1548" s="649">
        <f ca="1">IF(E1548=4,INDEX(crude_exp_dist,MATCH(B1548,'Crude Exp Dist'!$B$6:$B$78,0),MATCH(C1548,'Crude Exp Dist'!$AD$2:$BC$2,0))*INDEX(crude_exp_by_year,MATCH(B1548,'Data Export'!$B$6:$B$78,0),1),IF(E1548=5,INDEX(ref_exp_dist,MATCH(B1548,'Refined Petro Exp Dist'!$B$6:$B$78,0),MATCH(C1548,'Refined Petro Exp Dist'!$AD$2:$BC$2,0))*INDEX(ref_exp_by_year,MATCH(B1548,'Data Export'!$B$6:$B$78,0),1)))</f>
        <v>0</v>
      </c>
      <c r="E1548">
        <v>4</v>
      </c>
      <c r="F1548" t="s">
        <v>211</v>
      </c>
    </row>
    <row r="1549" spans="1:6">
      <c r="A1549" t="str">
        <f t="shared" si="24"/>
        <v>GenericE&amp;DtemplateCIandGOA</v>
      </c>
      <c r="B1549">
        <v>60</v>
      </c>
      <c r="C1549">
        <v>14</v>
      </c>
      <c r="D1549" s="649">
        <f ca="1">IF(E1549=4,INDEX(crude_exp_dist,MATCH(B1549,'Crude Exp Dist'!$B$6:$B$78,0),MATCH(C1549,'Crude Exp Dist'!$AD$2:$BC$2,0))*INDEX(crude_exp_by_year,MATCH(B1549,'Data Export'!$B$6:$B$78,0),1),IF(E1549=5,INDEX(ref_exp_dist,MATCH(B1549,'Refined Petro Exp Dist'!$B$6:$B$78,0),MATCH(C1549,'Refined Petro Exp Dist'!$AD$2:$BC$2,0))*INDEX(ref_exp_by_year,MATCH(B1549,'Data Export'!$B$6:$B$78,0),1)))</f>
        <v>0</v>
      </c>
      <c r="E1549">
        <v>4</v>
      </c>
      <c r="F1549" t="s">
        <v>213</v>
      </c>
    </row>
    <row r="1550" spans="1:6">
      <c r="A1550" t="str">
        <f t="shared" si="24"/>
        <v>GenericE&amp;DtemplateCIandGOA</v>
      </c>
      <c r="B1550">
        <v>60</v>
      </c>
      <c r="C1550">
        <v>15</v>
      </c>
      <c r="D1550" s="649">
        <f ca="1">IF(E1550=4,INDEX(crude_exp_dist,MATCH(B1550,'Crude Exp Dist'!$B$6:$B$78,0),MATCH(C1550,'Crude Exp Dist'!$AD$2:$BC$2,0))*INDEX(crude_exp_by_year,MATCH(B1550,'Data Export'!$B$6:$B$78,0),1),IF(E1550=5,INDEX(ref_exp_dist,MATCH(B1550,'Refined Petro Exp Dist'!$B$6:$B$78,0),MATCH(C1550,'Refined Petro Exp Dist'!$AD$2:$BC$2,0))*INDEX(ref_exp_by_year,MATCH(B1550,'Data Export'!$B$6:$B$78,0),1)))</f>
        <v>0</v>
      </c>
      <c r="E1550">
        <v>4</v>
      </c>
      <c r="F1550" t="s">
        <v>215</v>
      </c>
    </row>
    <row r="1551" spans="1:6">
      <c r="A1551" t="str">
        <f t="shared" si="24"/>
        <v>GenericE&amp;DtemplateCIandGOA</v>
      </c>
      <c r="B1551">
        <v>60</v>
      </c>
      <c r="C1551">
        <v>16</v>
      </c>
      <c r="D1551" s="649">
        <f ca="1">IF(E1551=4,INDEX(crude_exp_dist,MATCH(B1551,'Crude Exp Dist'!$B$6:$B$78,0),MATCH(C1551,'Crude Exp Dist'!$AD$2:$BC$2,0))*INDEX(crude_exp_by_year,MATCH(B1551,'Data Export'!$B$6:$B$78,0),1),IF(E1551=5,INDEX(ref_exp_dist,MATCH(B1551,'Refined Petro Exp Dist'!$B$6:$B$78,0),MATCH(C1551,'Refined Petro Exp Dist'!$AD$2:$BC$2,0))*INDEX(ref_exp_by_year,MATCH(B1551,'Data Export'!$B$6:$B$78,0),1)))</f>
        <v>0</v>
      </c>
      <c r="E1551">
        <v>4</v>
      </c>
      <c r="F1551" t="s">
        <v>219</v>
      </c>
    </row>
    <row r="1552" spans="1:6">
      <c r="A1552" t="str">
        <f t="shared" si="24"/>
        <v>GenericE&amp;DtemplateCIandGOA</v>
      </c>
      <c r="B1552">
        <v>60</v>
      </c>
      <c r="C1552">
        <v>17</v>
      </c>
      <c r="D1552" s="649">
        <f ca="1">IF(E1552=4,INDEX(crude_exp_dist,MATCH(B1552,'Crude Exp Dist'!$B$6:$B$78,0),MATCH(C1552,'Crude Exp Dist'!$AD$2:$BC$2,0))*INDEX(crude_exp_by_year,MATCH(B1552,'Data Export'!$B$6:$B$78,0),1),IF(E1552=5,INDEX(ref_exp_dist,MATCH(B1552,'Refined Petro Exp Dist'!$B$6:$B$78,0),MATCH(C1552,'Refined Petro Exp Dist'!$AD$2:$BC$2,0))*INDEX(ref_exp_by_year,MATCH(B1552,'Data Export'!$B$6:$B$78,0),1)))</f>
        <v>0</v>
      </c>
      <c r="E1552">
        <v>4</v>
      </c>
      <c r="F1552" t="s">
        <v>222</v>
      </c>
    </row>
    <row r="1553" spans="1:6">
      <c r="A1553" t="str">
        <f t="shared" si="24"/>
        <v>GenericE&amp;DtemplateCIandGOA</v>
      </c>
      <c r="B1553">
        <v>60</v>
      </c>
      <c r="C1553">
        <v>18</v>
      </c>
      <c r="D1553" s="649">
        <f ca="1">IF(E1553=4,INDEX(crude_exp_dist,MATCH(B1553,'Crude Exp Dist'!$B$6:$B$78,0),MATCH(C1553,'Crude Exp Dist'!$AD$2:$BC$2,0))*INDEX(crude_exp_by_year,MATCH(B1553,'Data Export'!$B$6:$B$78,0),1),IF(E1553=5,INDEX(ref_exp_dist,MATCH(B1553,'Refined Petro Exp Dist'!$B$6:$B$78,0),MATCH(C1553,'Refined Petro Exp Dist'!$AD$2:$BC$2,0))*INDEX(ref_exp_by_year,MATCH(B1553,'Data Export'!$B$6:$B$78,0),1)))</f>
        <v>0</v>
      </c>
      <c r="E1553">
        <v>4</v>
      </c>
      <c r="F1553" t="s">
        <v>224</v>
      </c>
    </row>
    <row r="1554" spans="1:6">
      <c r="A1554" t="str">
        <f t="shared" si="24"/>
        <v>GenericE&amp;DtemplateCIandGOA</v>
      </c>
      <c r="B1554">
        <v>60</v>
      </c>
      <c r="C1554">
        <v>19</v>
      </c>
      <c r="D1554" s="649">
        <f ca="1">IF(E1554=4,INDEX(crude_exp_dist,MATCH(B1554,'Crude Exp Dist'!$B$6:$B$78,0),MATCH(C1554,'Crude Exp Dist'!$AD$2:$BC$2,0))*INDEX(crude_exp_by_year,MATCH(B1554,'Data Export'!$B$6:$B$78,0),1),IF(E1554=5,INDEX(ref_exp_dist,MATCH(B1554,'Refined Petro Exp Dist'!$B$6:$B$78,0),MATCH(C1554,'Refined Petro Exp Dist'!$AD$2:$BC$2,0))*INDEX(ref_exp_by_year,MATCH(B1554,'Data Export'!$B$6:$B$78,0),1)))</f>
        <v>0</v>
      </c>
      <c r="E1554">
        <v>4</v>
      </c>
      <c r="F1554" t="s">
        <v>228</v>
      </c>
    </row>
    <row r="1555" spans="1:6">
      <c r="A1555" t="str">
        <f t="shared" si="24"/>
        <v>GenericE&amp;DtemplateCIandGOA</v>
      </c>
      <c r="B1555">
        <v>60</v>
      </c>
      <c r="C1555">
        <v>20</v>
      </c>
      <c r="D1555" s="649">
        <f ca="1">IF(E1555=4,INDEX(crude_exp_dist,MATCH(B1555,'Crude Exp Dist'!$B$6:$B$78,0),MATCH(C1555,'Crude Exp Dist'!$AD$2:$BC$2,0))*INDEX(crude_exp_by_year,MATCH(B1555,'Data Export'!$B$6:$B$78,0),1),IF(E1555=5,INDEX(ref_exp_dist,MATCH(B1555,'Refined Petro Exp Dist'!$B$6:$B$78,0),MATCH(C1555,'Refined Petro Exp Dist'!$AD$2:$BC$2,0))*INDEX(ref_exp_by_year,MATCH(B1555,'Data Export'!$B$6:$B$78,0),1)))</f>
        <v>0</v>
      </c>
      <c r="E1555">
        <v>4</v>
      </c>
      <c r="F1555" t="s">
        <v>231</v>
      </c>
    </row>
    <row r="1556" spans="1:6">
      <c r="A1556" t="str">
        <f t="shared" si="24"/>
        <v>GenericE&amp;DtemplateCIandGOA</v>
      </c>
      <c r="B1556">
        <v>60</v>
      </c>
      <c r="C1556">
        <v>21</v>
      </c>
      <c r="D1556" s="649">
        <f ca="1">IF(E1556=4,INDEX(crude_exp_dist,MATCH(B1556,'Crude Exp Dist'!$B$6:$B$78,0),MATCH(C1556,'Crude Exp Dist'!$AD$2:$BC$2,0))*INDEX(crude_exp_by_year,MATCH(B1556,'Data Export'!$B$6:$B$78,0),1),IF(E1556=5,INDEX(ref_exp_dist,MATCH(B1556,'Refined Petro Exp Dist'!$B$6:$B$78,0),MATCH(C1556,'Refined Petro Exp Dist'!$AD$2:$BC$2,0))*INDEX(ref_exp_by_year,MATCH(B1556,'Data Export'!$B$6:$B$78,0),1)))</f>
        <v>0</v>
      </c>
      <c r="E1556">
        <v>4</v>
      </c>
      <c r="F1556" t="s">
        <v>232</v>
      </c>
    </row>
    <row r="1557" spans="1:6">
      <c r="A1557" t="str">
        <f t="shared" si="24"/>
        <v>GenericE&amp;DtemplateCIandGOA</v>
      </c>
      <c r="B1557">
        <v>60</v>
      </c>
      <c r="C1557">
        <v>22</v>
      </c>
      <c r="D1557" s="649">
        <f ca="1">IF(E1557=4,INDEX(crude_exp_dist,MATCH(B1557,'Crude Exp Dist'!$B$6:$B$78,0),MATCH(C1557,'Crude Exp Dist'!$AD$2:$BC$2,0))*INDEX(crude_exp_by_year,MATCH(B1557,'Data Export'!$B$6:$B$78,0),1),IF(E1557=5,INDEX(ref_exp_dist,MATCH(B1557,'Refined Petro Exp Dist'!$B$6:$B$78,0),MATCH(C1557,'Refined Petro Exp Dist'!$AD$2:$BC$2,0))*INDEX(ref_exp_by_year,MATCH(B1557,'Data Export'!$B$6:$B$78,0),1)))</f>
        <v>0</v>
      </c>
      <c r="E1557">
        <v>4</v>
      </c>
      <c r="F1557" t="s">
        <v>235</v>
      </c>
    </row>
    <row r="1558" spans="1:6">
      <c r="A1558" t="str">
        <f t="shared" si="24"/>
        <v>GenericE&amp;DtemplateCIandGOA</v>
      </c>
      <c r="B1558">
        <v>60</v>
      </c>
      <c r="C1558">
        <v>23</v>
      </c>
      <c r="D1558" s="649">
        <f ca="1">IF(E1558=4,INDEX(crude_exp_dist,MATCH(B1558,'Crude Exp Dist'!$B$6:$B$78,0),MATCH(C1558,'Crude Exp Dist'!$AD$2:$BC$2,0))*INDEX(crude_exp_by_year,MATCH(B1558,'Data Export'!$B$6:$B$78,0),1),IF(E1558=5,INDEX(ref_exp_dist,MATCH(B1558,'Refined Petro Exp Dist'!$B$6:$B$78,0),MATCH(C1558,'Refined Petro Exp Dist'!$AD$2:$BC$2,0))*INDEX(ref_exp_by_year,MATCH(B1558,'Data Export'!$B$6:$B$78,0),1)))</f>
        <v>0</v>
      </c>
      <c r="E1558">
        <v>4</v>
      </c>
      <c r="F1558" t="s">
        <v>237</v>
      </c>
    </row>
    <row r="1559" spans="1:6">
      <c r="A1559" t="str">
        <f t="shared" si="24"/>
        <v>GenericE&amp;DtemplateCIandGOA</v>
      </c>
      <c r="B1559">
        <v>60</v>
      </c>
      <c r="C1559">
        <v>24</v>
      </c>
      <c r="D1559" s="649">
        <f ca="1">IF(E1559=4,INDEX(crude_exp_dist,MATCH(B1559,'Crude Exp Dist'!$B$6:$B$78,0),MATCH(C1559,'Crude Exp Dist'!$AD$2:$BC$2,0))*INDEX(crude_exp_by_year,MATCH(B1559,'Data Export'!$B$6:$B$78,0),1),IF(E1559=5,INDEX(ref_exp_dist,MATCH(B1559,'Refined Petro Exp Dist'!$B$6:$B$78,0),MATCH(C1559,'Refined Petro Exp Dist'!$AD$2:$BC$2,0))*INDEX(ref_exp_by_year,MATCH(B1559,'Data Export'!$B$6:$B$78,0),1)))</f>
        <v>0</v>
      </c>
      <c r="E1559">
        <v>4</v>
      </c>
      <c r="F1559" t="s">
        <v>239</v>
      </c>
    </row>
    <row r="1560" spans="1:6">
      <c r="A1560" t="str">
        <f t="shared" si="24"/>
        <v>GenericE&amp;DtemplateCIandGOA</v>
      </c>
      <c r="B1560">
        <v>60</v>
      </c>
      <c r="C1560">
        <v>25</v>
      </c>
      <c r="D1560" s="649">
        <f ca="1">IF(E1560=4,INDEX(crude_exp_dist,MATCH(B1560,'Crude Exp Dist'!$B$6:$B$78,0),MATCH(C1560,'Crude Exp Dist'!$AD$2:$BC$2,0))*INDEX(crude_exp_by_year,MATCH(B1560,'Data Export'!$B$6:$B$78,0),1),IF(E1560=5,INDEX(ref_exp_dist,MATCH(B1560,'Refined Petro Exp Dist'!$B$6:$B$78,0),MATCH(C1560,'Refined Petro Exp Dist'!$AD$2:$BC$2,0))*INDEX(ref_exp_by_year,MATCH(B1560,'Data Export'!$B$6:$B$78,0),1)))</f>
        <v>0</v>
      </c>
      <c r="E1560">
        <v>4</v>
      </c>
      <c r="F1560" t="s">
        <v>242</v>
      </c>
    </row>
    <row r="1561" spans="1:6">
      <c r="A1561" t="str">
        <f t="shared" si="24"/>
        <v>GenericE&amp;DtemplateCIandGOA</v>
      </c>
      <c r="B1561">
        <v>60</v>
      </c>
      <c r="C1561">
        <v>26</v>
      </c>
      <c r="D1561" s="649">
        <f ca="1">IF(E1561=4,INDEX(crude_exp_dist,MATCH(B1561,'Crude Exp Dist'!$B$6:$B$78,0),MATCH(C1561,'Crude Exp Dist'!$AD$2:$BC$2,0))*INDEX(crude_exp_by_year,MATCH(B1561,'Data Export'!$B$6:$B$78,0),1),IF(E1561=5,INDEX(ref_exp_dist,MATCH(B1561,'Refined Petro Exp Dist'!$B$6:$B$78,0),MATCH(C1561,'Refined Petro Exp Dist'!$AD$2:$BC$2,0))*INDEX(ref_exp_by_year,MATCH(B1561,'Data Export'!$B$6:$B$78,0),1)))</f>
        <v>0</v>
      </c>
      <c r="E1561">
        <v>4</v>
      </c>
      <c r="F1561" t="s">
        <v>245</v>
      </c>
    </row>
    <row r="1562" spans="1:6">
      <c r="A1562" t="str">
        <f t="shared" si="24"/>
        <v>GenericE&amp;DtemplateCIandGOA</v>
      </c>
      <c r="B1562">
        <v>61</v>
      </c>
      <c r="C1562">
        <v>1</v>
      </c>
      <c r="D1562" s="649">
        <f ca="1">IF(E1562=4,INDEX(crude_exp_dist,MATCH(B1562,'Crude Exp Dist'!$B$6:$B$78,0),MATCH(C1562,'Crude Exp Dist'!$AD$2:$BC$2,0))*INDEX(crude_exp_by_year,MATCH(B1562,'Data Export'!$B$6:$B$78,0),1),IF(E1562=5,INDEX(ref_exp_dist,MATCH(B1562,'Refined Petro Exp Dist'!$B$6:$B$78,0),MATCH(C1562,'Refined Petro Exp Dist'!$AD$2:$BC$2,0))*INDEX(ref_exp_by_year,MATCH(B1562,'Data Export'!$B$6:$B$78,0),1)))</f>
        <v>0</v>
      </c>
      <c r="E1562">
        <v>4</v>
      </c>
      <c r="F1562" t="s">
        <v>158</v>
      </c>
    </row>
    <row r="1563" spans="1:6">
      <c r="A1563" t="str">
        <f t="shared" si="24"/>
        <v>GenericE&amp;DtemplateCIandGOA</v>
      </c>
      <c r="B1563">
        <v>61</v>
      </c>
      <c r="C1563">
        <v>2</v>
      </c>
      <c r="D1563" s="649">
        <f ca="1">IF(E1563=4,INDEX(crude_exp_dist,MATCH(B1563,'Crude Exp Dist'!$B$6:$B$78,0),MATCH(C1563,'Crude Exp Dist'!$AD$2:$BC$2,0))*INDEX(crude_exp_by_year,MATCH(B1563,'Data Export'!$B$6:$B$78,0),1),IF(E1563=5,INDEX(ref_exp_dist,MATCH(B1563,'Refined Petro Exp Dist'!$B$6:$B$78,0),MATCH(C1563,'Refined Petro Exp Dist'!$AD$2:$BC$2,0))*INDEX(ref_exp_by_year,MATCH(B1563,'Data Export'!$B$6:$B$78,0),1)))</f>
        <v>0</v>
      </c>
      <c r="E1563">
        <v>4</v>
      </c>
      <c r="F1563" t="s">
        <v>166</v>
      </c>
    </row>
    <row r="1564" spans="1:6">
      <c r="A1564" t="str">
        <f t="shared" si="24"/>
        <v>GenericE&amp;DtemplateCIandGOA</v>
      </c>
      <c r="B1564">
        <v>61</v>
      </c>
      <c r="C1564">
        <v>3</v>
      </c>
      <c r="D1564" s="649">
        <f ca="1">IF(E1564=4,INDEX(crude_exp_dist,MATCH(B1564,'Crude Exp Dist'!$B$6:$B$78,0),MATCH(C1564,'Crude Exp Dist'!$AD$2:$BC$2,0))*INDEX(crude_exp_by_year,MATCH(B1564,'Data Export'!$B$6:$B$78,0),1),IF(E1564=5,INDEX(ref_exp_dist,MATCH(B1564,'Refined Petro Exp Dist'!$B$6:$B$78,0),MATCH(C1564,'Refined Petro Exp Dist'!$AD$2:$BC$2,0))*INDEX(ref_exp_by_year,MATCH(B1564,'Data Export'!$B$6:$B$78,0),1)))</f>
        <v>0</v>
      </c>
      <c r="E1564">
        <v>4</v>
      </c>
      <c r="F1564" t="s">
        <v>171</v>
      </c>
    </row>
    <row r="1565" spans="1:6">
      <c r="A1565" t="str">
        <f t="shared" si="24"/>
        <v>GenericE&amp;DtemplateCIandGOA</v>
      </c>
      <c r="B1565">
        <v>61</v>
      </c>
      <c r="C1565">
        <v>4</v>
      </c>
      <c r="D1565" s="649">
        <f ca="1">IF(E1565=4,INDEX(crude_exp_dist,MATCH(B1565,'Crude Exp Dist'!$B$6:$B$78,0),MATCH(C1565,'Crude Exp Dist'!$AD$2:$BC$2,0))*INDEX(crude_exp_by_year,MATCH(B1565,'Data Export'!$B$6:$B$78,0),1),IF(E1565=5,INDEX(ref_exp_dist,MATCH(B1565,'Refined Petro Exp Dist'!$B$6:$B$78,0),MATCH(C1565,'Refined Petro Exp Dist'!$AD$2:$BC$2,0))*INDEX(ref_exp_by_year,MATCH(B1565,'Data Export'!$B$6:$B$78,0),1)))</f>
        <v>0</v>
      </c>
      <c r="E1565">
        <v>4</v>
      </c>
      <c r="F1565" t="s">
        <v>173</v>
      </c>
    </row>
    <row r="1566" spans="1:6">
      <c r="A1566" t="str">
        <f t="shared" si="24"/>
        <v>GenericE&amp;DtemplateCIandGOA</v>
      </c>
      <c r="B1566">
        <v>61</v>
      </c>
      <c r="C1566">
        <v>5</v>
      </c>
      <c r="D1566" s="649">
        <f ca="1">IF(E1566=4,INDEX(crude_exp_dist,MATCH(B1566,'Crude Exp Dist'!$B$6:$B$78,0),MATCH(C1566,'Crude Exp Dist'!$AD$2:$BC$2,0))*INDEX(crude_exp_by_year,MATCH(B1566,'Data Export'!$B$6:$B$78,0),1),IF(E1566=5,INDEX(ref_exp_dist,MATCH(B1566,'Refined Petro Exp Dist'!$B$6:$B$78,0),MATCH(C1566,'Refined Petro Exp Dist'!$AD$2:$BC$2,0))*INDEX(ref_exp_by_year,MATCH(B1566,'Data Export'!$B$6:$B$78,0),1)))</f>
        <v>0</v>
      </c>
      <c r="E1566">
        <v>4</v>
      </c>
      <c r="F1566" t="s">
        <v>180</v>
      </c>
    </row>
    <row r="1567" spans="1:6">
      <c r="A1567" t="str">
        <f t="shared" si="24"/>
        <v>GenericE&amp;DtemplateCIandGOA</v>
      </c>
      <c r="B1567">
        <v>61</v>
      </c>
      <c r="C1567">
        <v>6</v>
      </c>
      <c r="D1567" s="649">
        <f ca="1">IF(E1567=4,INDEX(crude_exp_dist,MATCH(B1567,'Crude Exp Dist'!$B$6:$B$78,0),MATCH(C1567,'Crude Exp Dist'!$AD$2:$BC$2,0))*INDEX(crude_exp_by_year,MATCH(B1567,'Data Export'!$B$6:$B$78,0),1),IF(E1567=5,INDEX(ref_exp_dist,MATCH(B1567,'Refined Petro Exp Dist'!$B$6:$B$78,0),MATCH(C1567,'Refined Petro Exp Dist'!$AD$2:$BC$2,0))*INDEX(ref_exp_by_year,MATCH(B1567,'Data Export'!$B$6:$B$78,0),1)))</f>
        <v>0</v>
      </c>
      <c r="E1567">
        <v>4</v>
      </c>
      <c r="F1567" t="s">
        <v>186</v>
      </c>
    </row>
    <row r="1568" spans="1:6">
      <c r="A1568" t="str">
        <f t="shared" si="24"/>
        <v>GenericE&amp;DtemplateCIandGOA</v>
      </c>
      <c r="B1568">
        <v>61</v>
      </c>
      <c r="C1568">
        <v>7</v>
      </c>
      <c r="D1568" s="649">
        <f ca="1">IF(E1568=4,INDEX(crude_exp_dist,MATCH(B1568,'Crude Exp Dist'!$B$6:$B$78,0),MATCH(C1568,'Crude Exp Dist'!$AD$2:$BC$2,0))*INDEX(crude_exp_by_year,MATCH(B1568,'Data Export'!$B$6:$B$78,0),1),IF(E1568=5,INDEX(ref_exp_dist,MATCH(B1568,'Refined Petro Exp Dist'!$B$6:$B$78,0),MATCH(C1568,'Refined Petro Exp Dist'!$AD$2:$BC$2,0))*INDEX(ref_exp_by_year,MATCH(B1568,'Data Export'!$B$6:$B$78,0),1)))</f>
        <v>0</v>
      </c>
      <c r="E1568">
        <v>4</v>
      </c>
      <c r="F1568" t="s">
        <v>191</v>
      </c>
    </row>
    <row r="1569" spans="1:6">
      <c r="A1569" t="str">
        <f t="shared" si="24"/>
        <v>GenericE&amp;DtemplateCIandGOA</v>
      </c>
      <c r="B1569">
        <v>61</v>
      </c>
      <c r="C1569">
        <v>8</v>
      </c>
      <c r="D1569" s="649">
        <f ca="1">IF(E1569=4,INDEX(crude_exp_dist,MATCH(B1569,'Crude Exp Dist'!$B$6:$B$78,0),MATCH(C1569,'Crude Exp Dist'!$AD$2:$BC$2,0))*INDEX(crude_exp_by_year,MATCH(B1569,'Data Export'!$B$6:$B$78,0),1),IF(E1569=5,INDEX(ref_exp_dist,MATCH(B1569,'Refined Petro Exp Dist'!$B$6:$B$78,0),MATCH(C1569,'Refined Petro Exp Dist'!$AD$2:$BC$2,0))*INDEX(ref_exp_by_year,MATCH(B1569,'Data Export'!$B$6:$B$78,0),1)))</f>
        <v>0</v>
      </c>
      <c r="E1569">
        <v>4</v>
      </c>
      <c r="F1569" t="s">
        <v>197</v>
      </c>
    </row>
    <row r="1570" spans="1:6">
      <c r="A1570" t="str">
        <f t="shared" si="24"/>
        <v>GenericE&amp;DtemplateCIandGOA</v>
      </c>
      <c r="B1570">
        <v>61</v>
      </c>
      <c r="C1570">
        <v>9</v>
      </c>
      <c r="D1570" s="649">
        <f ca="1">IF(E1570=4,INDEX(crude_exp_dist,MATCH(B1570,'Crude Exp Dist'!$B$6:$B$78,0),MATCH(C1570,'Crude Exp Dist'!$AD$2:$BC$2,0))*INDEX(crude_exp_by_year,MATCH(B1570,'Data Export'!$B$6:$B$78,0),1),IF(E1570=5,INDEX(ref_exp_dist,MATCH(B1570,'Refined Petro Exp Dist'!$B$6:$B$78,0),MATCH(C1570,'Refined Petro Exp Dist'!$AD$2:$BC$2,0))*INDEX(ref_exp_by_year,MATCH(B1570,'Data Export'!$B$6:$B$78,0),1)))</f>
        <v>0</v>
      </c>
      <c r="E1570">
        <v>4</v>
      </c>
      <c r="F1570" t="s">
        <v>199</v>
      </c>
    </row>
    <row r="1571" spans="1:6">
      <c r="A1571" t="str">
        <f t="shared" si="24"/>
        <v>GenericE&amp;DtemplateCIandGOA</v>
      </c>
      <c r="B1571">
        <v>61</v>
      </c>
      <c r="C1571">
        <v>10</v>
      </c>
      <c r="D1571" s="649">
        <f ca="1">IF(E1571=4,INDEX(crude_exp_dist,MATCH(B1571,'Crude Exp Dist'!$B$6:$B$78,0),MATCH(C1571,'Crude Exp Dist'!$AD$2:$BC$2,0))*INDEX(crude_exp_by_year,MATCH(B1571,'Data Export'!$B$6:$B$78,0),1),IF(E1571=5,INDEX(ref_exp_dist,MATCH(B1571,'Refined Petro Exp Dist'!$B$6:$B$78,0),MATCH(C1571,'Refined Petro Exp Dist'!$AD$2:$BC$2,0))*INDEX(ref_exp_by_year,MATCH(B1571,'Data Export'!$B$6:$B$78,0),1)))</f>
        <v>0</v>
      </c>
      <c r="E1571">
        <v>4</v>
      </c>
      <c r="F1571" t="s">
        <v>201</v>
      </c>
    </row>
    <row r="1572" spans="1:6">
      <c r="A1572" t="str">
        <f t="shared" si="24"/>
        <v>GenericE&amp;DtemplateCIandGOA</v>
      </c>
      <c r="B1572">
        <v>61</v>
      </c>
      <c r="C1572">
        <v>11</v>
      </c>
      <c r="D1572" s="649">
        <f ca="1">IF(E1572=4,INDEX(crude_exp_dist,MATCH(B1572,'Crude Exp Dist'!$B$6:$B$78,0),MATCH(C1572,'Crude Exp Dist'!$AD$2:$BC$2,0))*INDEX(crude_exp_by_year,MATCH(B1572,'Data Export'!$B$6:$B$78,0),1),IF(E1572=5,INDEX(ref_exp_dist,MATCH(B1572,'Refined Petro Exp Dist'!$B$6:$B$78,0),MATCH(C1572,'Refined Petro Exp Dist'!$AD$2:$BC$2,0))*INDEX(ref_exp_by_year,MATCH(B1572,'Data Export'!$B$6:$B$78,0),1)))</f>
        <v>0</v>
      </c>
      <c r="E1572">
        <v>4</v>
      </c>
      <c r="F1572" t="s">
        <v>921</v>
      </c>
    </row>
    <row r="1573" spans="1:6">
      <c r="A1573" t="str">
        <f t="shared" si="24"/>
        <v>GenericE&amp;DtemplateCIandGOA</v>
      </c>
      <c r="B1573">
        <v>61</v>
      </c>
      <c r="C1573">
        <v>12</v>
      </c>
      <c r="D1573" s="649">
        <f ca="1">IF(E1573=4,INDEX(crude_exp_dist,MATCH(B1573,'Crude Exp Dist'!$B$6:$B$78,0),MATCH(C1573,'Crude Exp Dist'!$AD$2:$BC$2,0))*INDEX(crude_exp_by_year,MATCH(B1573,'Data Export'!$B$6:$B$78,0),1),IF(E1573=5,INDEX(ref_exp_dist,MATCH(B1573,'Refined Petro Exp Dist'!$B$6:$B$78,0),MATCH(C1573,'Refined Petro Exp Dist'!$AD$2:$BC$2,0))*INDEX(ref_exp_by_year,MATCH(B1573,'Data Export'!$B$6:$B$78,0),1)))</f>
        <v>0</v>
      </c>
      <c r="E1573">
        <v>4</v>
      </c>
      <c r="F1573" t="s">
        <v>208</v>
      </c>
    </row>
    <row r="1574" spans="1:6">
      <c r="A1574" t="str">
        <f t="shared" si="24"/>
        <v>GenericE&amp;DtemplateCIandGOA</v>
      </c>
      <c r="B1574">
        <v>61</v>
      </c>
      <c r="C1574">
        <v>13</v>
      </c>
      <c r="D1574" s="649">
        <f ca="1">IF(E1574=4,INDEX(crude_exp_dist,MATCH(B1574,'Crude Exp Dist'!$B$6:$B$78,0),MATCH(C1574,'Crude Exp Dist'!$AD$2:$BC$2,0))*INDEX(crude_exp_by_year,MATCH(B1574,'Data Export'!$B$6:$B$78,0),1),IF(E1574=5,INDEX(ref_exp_dist,MATCH(B1574,'Refined Petro Exp Dist'!$B$6:$B$78,0),MATCH(C1574,'Refined Petro Exp Dist'!$AD$2:$BC$2,0))*INDEX(ref_exp_by_year,MATCH(B1574,'Data Export'!$B$6:$B$78,0),1)))</f>
        <v>0</v>
      </c>
      <c r="E1574">
        <v>4</v>
      </c>
      <c r="F1574" t="s">
        <v>211</v>
      </c>
    </row>
    <row r="1575" spans="1:6">
      <c r="A1575" t="str">
        <f t="shared" si="24"/>
        <v>GenericE&amp;DtemplateCIandGOA</v>
      </c>
      <c r="B1575">
        <v>61</v>
      </c>
      <c r="C1575">
        <v>14</v>
      </c>
      <c r="D1575" s="649">
        <f ca="1">IF(E1575=4,INDEX(crude_exp_dist,MATCH(B1575,'Crude Exp Dist'!$B$6:$B$78,0),MATCH(C1575,'Crude Exp Dist'!$AD$2:$BC$2,0))*INDEX(crude_exp_by_year,MATCH(B1575,'Data Export'!$B$6:$B$78,0),1),IF(E1575=5,INDEX(ref_exp_dist,MATCH(B1575,'Refined Petro Exp Dist'!$B$6:$B$78,0),MATCH(C1575,'Refined Petro Exp Dist'!$AD$2:$BC$2,0))*INDEX(ref_exp_by_year,MATCH(B1575,'Data Export'!$B$6:$B$78,0),1)))</f>
        <v>0</v>
      </c>
      <c r="E1575">
        <v>4</v>
      </c>
      <c r="F1575" t="s">
        <v>213</v>
      </c>
    </row>
    <row r="1576" spans="1:6">
      <c r="A1576" t="str">
        <f t="shared" si="24"/>
        <v>GenericE&amp;DtemplateCIandGOA</v>
      </c>
      <c r="B1576">
        <v>61</v>
      </c>
      <c r="C1576">
        <v>15</v>
      </c>
      <c r="D1576" s="649">
        <f ca="1">IF(E1576=4,INDEX(crude_exp_dist,MATCH(B1576,'Crude Exp Dist'!$B$6:$B$78,0),MATCH(C1576,'Crude Exp Dist'!$AD$2:$BC$2,0))*INDEX(crude_exp_by_year,MATCH(B1576,'Data Export'!$B$6:$B$78,0),1),IF(E1576=5,INDEX(ref_exp_dist,MATCH(B1576,'Refined Petro Exp Dist'!$B$6:$B$78,0),MATCH(C1576,'Refined Petro Exp Dist'!$AD$2:$BC$2,0))*INDEX(ref_exp_by_year,MATCH(B1576,'Data Export'!$B$6:$B$78,0),1)))</f>
        <v>0</v>
      </c>
      <c r="E1576">
        <v>4</v>
      </c>
      <c r="F1576" t="s">
        <v>215</v>
      </c>
    </row>
    <row r="1577" spans="1:6">
      <c r="A1577" t="str">
        <f t="shared" si="24"/>
        <v>GenericE&amp;DtemplateCIandGOA</v>
      </c>
      <c r="B1577">
        <v>61</v>
      </c>
      <c r="C1577">
        <v>16</v>
      </c>
      <c r="D1577" s="649">
        <f ca="1">IF(E1577=4,INDEX(crude_exp_dist,MATCH(B1577,'Crude Exp Dist'!$B$6:$B$78,0),MATCH(C1577,'Crude Exp Dist'!$AD$2:$BC$2,0))*INDEX(crude_exp_by_year,MATCH(B1577,'Data Export'!$B$6:$B$78,0),1),IF(E1577=5,INDEX(ref_exp_dist,MATCH(B1577,'Refined Petro Exp Dist'!$B$6:$B$78,0),MATCH(C1577,'Refined Petro Exp Dist'!$AD$2:$BC$2,0))*INDEX(ref_exp_by_year,MATCH(B1577,'Data Export'!$B$6:$B$78,0),1)))</f>
        <v>0</v>
      </c>
      <c r="E1577">
        <v>4</v>
      </c>
      <c r="F1577" t="s">
        <v>219</v>
      </c>
    </row>
    <row r="1578" spans="1:6">
      <c r="A1578" t="str">
        <f t="shared" si="24"/>
        <v>GenericE&amp;DtemplateCIandGOA</v>
      </c>
      <c r="B1578">
        <v>61</v>
      </c>
      <c r="C1578">
        <v>17</v>
      </c>
      <c r="D1578" s="649">
        <f ca="1">IF(E1578=4,INDEX(crude_exp_dist,MATCH(B1578,'Crude Exp Dist'!$B$6:$B$78,0),MATCH(C1578,'Crude Exp Dist'!$AD$2:$BC$2,0))*INDEX(crude_exp_by_year,MATCH(B1578,'Data Export'!$B$6:$B$78,0),1),IF(E1578=5,INDEX(ref_exp_dist,MATCH(B1578,'Refined Petro Exp Dist'!$B$6:$B$78,0),MATCH(C1578,'Refined Petro Exp Dist'!$AD$2:$BC$2,0))*INDEX(ref_exp_by_year,MATCH(B1578,'Data Export'!$B$6:$B$78,0),1)))</f>
        <v>0</v>
      </c>
      <c r="E1578">
        <v>4</v>
      </c>
      <c r="F1578" t="s">
        <v>222</v>
      </c>
    </row>
    <row r="1579" spans="1:6">
      <c r="A1579" t="str">
        <f t="shared" si="24"/>
        <v>GenericE&amp;DtemplateCIandGOA</v>
      </c>
      <c r="B1579">
        <v>61</v>
      </c>
      <c r="C1579">
        <v>18</v>
      </c>
      <c r="D1579" s="649">
        <f ca="1">IF(E1579=4,INDEX(crude_exp_dist,MATCH(B1579,'Crude Exp Dist'!$B$6:$B$78,0),MATCH(C1579,'Crude Exp Dist'!$AD$2:$BC$2,0))*INDEX(crude_exp_by_year,MATCH(B1579,'Data Export'!$B$6:$B$78,0),1),IF(E1579=5,INDEX(ref_exp_dist,MATCH(B1579,'Refined Petro Exp Dist'!$B$6:$B$78,0),MATCH(C1579,'Refined Petro Exp Dist'!$AD$2:$BC$2,0))*INDEX(ref_exp_by_year,MATCH(B1579,'Data Export'!$B$6:$B$78,0),1)))</f>
        <v>0</v>
      </c>
      <c r="E1579">
        <v>4</v>
      </c>
      <c r="F1579" t="s">
        <v>224</v>
      </c>
    </row>
    <row r="1580" spans="1:6">
      <c r="A1580" t="str">
        <f t="shared" si="24"/>
        <v>GenericE&amp;DtemplateCIandGOA</v>
      </c>
      <c r="B1580">
        <v>61</v>
      </c>
      <c r="C1580">
        <v>19</v>
      </c>
      <c r="D1580" s="649">
        <f ca="1">IF(E1580=4,INDEX(crude_exp_dist,MATCH(B1580,'Crude Exp Dist'!$B$6:$B$78,0),MATCH(C1580,'Crude Exp Dist'!$AD$2:$BC$2,0))*INDEX(crude_exp_by_year,MATCH(B1580,'Data Export'!$B$6:$B$78,0),1),IF(E1580=5,INDEX(ref_exp_dist,MATCH(B1580,'Refined Petro Exp Dist'!$B$6:$B$78,0),MATCH(C1580,'Refined Petro Exp Dist'!$AD$2:$BC$2,0))*INDEX(ref_exp_by_year,MATCH(B1580,'Data Export'!$B$6:$B$78,0),1)))</f>
        <v>0</v>
      </c>
      <c r="E1580">
        <v>4</v>
      </c>
      <c r="F1580" t="s">
        <v>228</v>
      </c>
    </row>
    <row r="1581" spans="1:6">
      <c r="A1581" t="str">
        <f t="shared" si="24"/>
        <v>GenericE&amp;DtemplateCIandGOA</v>
      </c>
      <c r="B1581">
        <v>61</v>
      </c>
      <c r="C1581">
        <v>20</v>
      </c>
      <c r="D1581" s="649">
        <f ca="1">IF(E1581=4,INDEX(crude_exp_dist,MATCH(B1581,'Crude Exp Dist'!$B$6:$B$78,0),MATCH(C1581,'Crude Exp Dist'!$AD$2:$BC$2,0))*INDEX(crude_exp_by_year,MATCH(B1581,'Data Export'!$B$6:$B$78,0),1),IF(E1581=5,INDEX(ref_exp_dist,MATCH(B1581,'Refined Petro Exp Dist'!$B$6:$B$78,0),MATCH(C1581,'Refined Petro Exp Dist'!$AD$2:$BC$2,0))*INDEX(ref_exp_by_year,MATCH(B1581,'Data Export'!$B$6:$B$78,0),1)))</f>
        <v>0</v>
      </c>
      <c r="E1581">
        <v>4</v>
      </c>
      <c r="F1581" t="s">
        <v>231</v>
      </c>
    </row>
    <row r="1582" spans="1:6">
      <c r="A1582" t="str">
        <f t="shared" si="24"/>
        <v>GenericE&amp;DtemplateCIandGOA</v>
      </c>
      <c r="B1582">
        <v>61</v>
      </c>
      <c r="C1582">
        <v>21</v>
      </c>
      <c r="D1582" s="649">
        <f ca="1">IF(E1582=4,INDEX(crude_exp_dist,MATCH(B1582,'Crude Exp Dist'!$B$6:$B$78,0),MATCH(C1582,'Crude Exp Dist'!$AD$2:$BC$2,0))*INDEX(crude_exp_by_year,MATCH(B1582,'Data Export'!$B$6:$B$78,0),1),IF(E1582=5,INDEX(ref_exp_dist,MATCH(B1582,'Refined Petro Exp Dist'!$B$6:$B$78,0),MATCH(C1582,'Refined Petro Exp Dist'!$AD$2:$BC$2,0))*INDEX(ref_exp_by_year,MATCH(B1582,'Data Export'!$B$6:$B$78,0),1)))</f>
        <v>0</v>
      </c>
      <c r="E1582">
        <v>4</v>
      </c>
      <c r="F1582" t="s">
        <v>232</v>
      </c>
    </row>
    <row r="1583" spans="1:6">
      <c r="A1583" t="str">
        <f t="shared" si="24"/>
        <v>GenericE&amp;DtemplateCIandGOA</v>
      </c>
      <c r="B1583">
        <v>61</v>
      </c>
      <c r="C1583">
        <v>22</v>
      </c>
      <c r="D1583" s="649">
        <f ca="1">IF(E1583=4,INDEX(crude_exp_dist,MATCH(B1583,'Crude Exp Dist'!$B$6:$B$78,0),MATCH(C1583,'Crude Exp Dist'!$AD$2:$BC$2,0))*INDEX(crude_exp_by_year,MATCH(B1583,'Data Export'!$B$6:$B$78,0),1),IF(E1583=5,INDEX(ref_exp_dist,MATCH(B1583,'Refined Petro Exp Dist'!$B$6:$B$78,0),MATCH(C1583,'Refined Petro Exp Dist'!$AD$2:$BC$2,0))*INDEX(ref_exp_by_year,MATCH(B1583,'Data Export'!$B$6:$B$78,0),1)))</f>
        <v>0</v>
      </c>
      <c r="E1583">
        <v>4</v>
      </c>
      <c r="F1583" t="s">
        <v>235</v>
      </c>
    </row>
    <row r="1584" spans="1:6">
      <c r="A1584" t="str">
        <f t="shared" si="24"/>
        <v>GenericE&amp;DtemplateCIandGOA</v>
      </c>
      <c r="B1584">
        <v>61</v>
      </c>
      <c r="C1584">
        <v>23</v>
      </c>
      <c r="D1584" s="649">
        <f ca="1">IF(E1584=4,INDEX(crude_exp_dist,MATCH(B1584,'Crude Exp Dist'!$B$6:$B$78,0),MATCH(C1584,'Crude Exp Dist'!$AD$2:$BC$2,0))*INDEX(crude_exp_by_year,MATCH(B1584,'Data Export'!$B$6:$B$78,0),1),IF(E1584=5,INDEX(ref_exp_dist,MATCH(B1584,'Refined Petro Exp Dist'!$B$6:$B$78,0),MATCH(C1584,'Refined Petro Exp Dist'!$AD$2:$BC$2,0))*INDEX(ref_exp_by_year,MATCH(B1584,'Data Export'!$B$6:$B$78,0),1)))</f>
        <v>0</v>
      </c>
      <c r="E1584">
        <v>4</v>
      </c>
      <c r="F1584" t="s">
        <v>237</v>
      </c>
    </row>
    <row r="1585" spans="1:6">
      <c r="A1585" t="str">
        <f t="shared" si="24"/>
        <v>GenericE&amp;DtemplateCIandGOA</v>
      </c>
      <c r="B1585">
        <v>61</v>
      </c>
      <c r="C1585">
        <v>24</v>
      </c>
      <c r="D1585" s="649">
        <f ca="1">IF(E1585=4,INDEX(crude_exp_dist,MATCH(B1585,'Crude Exp Dist'!$B$6:$B$78,0),MATCH(C1585,'Crude Exp Dist'!$AD$2:$BC$2,0))*INDEX(crude_exp_by_year,MATCH(B1585,'Data Export'!$B$6:$B$78,0),1),IF(E1585=5,INDEX(ref_exp_dist,MATCH(B1585,'Refined Petro Exp Dist'!$B$6:$B$78,0),MATCH(C1585,'Refined Petro Exp Dist'!$AD$2:$BC$2,0))*INDEX(ref_exp_by_year,MATCH(B1585,'Data Export'!$B$6:$B$78,0),1)))</f>
        <v>0</v>
      </c>
      <c r="E1585">
        <v>4</v>
      </c>
      <c r="F1585" t="s">
        <v>239</v>
      </c>
    </row>
    <row r="1586" spans="1:6">
      <c r="A1586" t="str">
        <f t="shared" si="24"/>
        <v>GenericE&amp;DtemplateCIandGOA</v>
      </c>
      <c r="B1586">
        <v>61</v>
      </c>
      <c r="C1586">
        <v>25</v>
      </c>
      <c r="D1586" s="649">
        <f ca="1">IF(E1586=4,INDEX(crude_exp_dist,MATCH(B1586,'Crude Exp Dist'!$B$6:$B$78,0),MATCH(C1586,'Crude Exp Dist'!$AD$2:$BC$2,0))*INDEX(crude_exp_by_year,MATCH(B1586,'Data Export'!$B$6:$B$78,0),1),IF(E1586=5,INDEX(ref_exp_dist,MATCH(B1586,'Refined Petro Exp Dist'!$B$6:$B$78,0),MATCH(C1586,'Refined Petro Exp Dist'!$AD$2:$BC$2,0))*INDEX(ref_exp_by_year,MATCH(B1586,'Data Export'!$B$6:$B$78,0),1)))</f>
        <v>0</v>
      </c>
      <c r="E1586">
        <v>4</v>
      </c>
      <c r="F1586" t="s">
        <v>242</v>
      </c>
    </row>
    <row r="1587" spans="1:6">
      <c r="A1587" t="str">
        <f t="shared" si="24"/>
        <v>GenericE&amp;DtemplateCIandGOA</v>
      </c>
      <c r="B1587">
        <v>61</v>
      </c>
      <c r="C1587">
        <v>26</v>
      </c>
      <c r="D1587" s="649">
        <f ca="1">IF(E1587=4,INDEX(crude_exp_dist,MATCH(B1587,'Crude Exp Dist'!$B$6:$B$78,0),MATCH(C1587,'Crude Exp Dist'!$AD$2:$BC$2,0))*INDEX(crude_exp_by_year,MATCH(B1587,'Data Export'!$B$6:$B$78,0),1),IF(E1587=5,INDEX(ref_exp_dist,MATCH(B1587,'Refined Petro Exp Dist'!$B$6:$B$78,0),MATCH(C1587,'Refined Petro Exp Dist'!$AD$2:$BC$2,0))*INDEX(ref_exp_by_year,MATCH(B1587,'Data Export'!$B$6:$B$78,0),1)))</f>
        <v>0</v>
      </c>
      <c r="E1587">
        <v>4</v>
      </c>
      <c r="F1587" t="s">
        <v>245</v>
      </c>
    </row>
    <row r="1588" spans="1:6">
      <c r="A1588" t="str">
        <f t="shared" si="24"/>
        <v>GenericE&amp;DtemplateCIandGOA</v>
      </c>
      <c r="B1588">
        <v>62</v>
      </c>
      <c r="C1588">
        <v>1</v>
      </c>
      <c r="D1588" s="649">
        <f ca="1">IF(E1588=4,INDEX(crude_exp_dist,MATCH(B1588,'Crude Exp Dist'!$B$6:$B$78,0),MATCH(C1588,'Crude Exp Dist'!$AD$2:$BC$2,0))*INDEX(crude_exp_by_year,MATCH(B1588,'Data Export'!$B$6:$B$78,0),1),IF(E1588=5,INDEX(ref_exp_dist,MATCH(B1588,'Refined Petro Exp Dist'!$B$6:$B$78,0),MATCH(C1588,'Refined Petro Exp Dist'!$AD$2:$BC$2,0))*INDEX(ref_exp_by_year,MATCH(B1588,'Data Export'!$B$6:$B$78,0),1)))</f>
        <v>0</v>
      </c>
      <c r="E1588">
        <v>4</v>
      </c>
      <c r="F1588" t="s">
        <v>158</v>
      </c>
    </row>
    <row r="1589" spans="1:6">
      <c r="A1589" t="str">
        <f t="shared" si="24"/>
        <v>GenericE&amp;DtemplateCIandGOA</v>
      </c>
      <c r="B1589">
        <v>62</v>
      </c>
      <c r="C1589">
        <v>2</v>
      </c>
      <c r="D1589" s="649">
        <f ca="1">IF(E1589=4,INDEX(crude_exp_dist,MATCH(B1589,'Crude Exp Dist'!$B$6:$B$78,0),MATCH(C1589,'Crude Exp Dist'!$AD$2:$BC$2,0))*INDEX(crude_exp_by_year,MATCH(B1589,'Data Export'!$B$6:$B$78,0),1),IF(E1589=5,INDEX(ref_exp_dist,MATCH(B1589,'Refined Petro Exp Dist'!$B$6:$B$78,0),MATCH(C1589,'Refined Petro Exp Dist'!$AD$2:$BC$2,0))*INDEX(ref_exp_by_year,MATCH(B1589,'Data Export'!$B$6:$B$78,0),1)))</f>
        <v>0</v>
      </c>
      <c r="E1589">
        <v>4</v>
      </c>
      <c r="F1589" t="s">
        <v>166</v>
      </c>
    </row>
    <row r="1590" spans="1:6">
      <c r="A1590" t="str">
        <f t="shared" si="24"/>
        <v>GenericE&amp;DtemplateCIandGOA</v>
      </c>
      <c r="B1590">
        <v>62</v>
      </c>
      <c r="C1590">
        <v>3</v>
      </c>
      <c r="D1590" s="649">
        <f ca="1">IF(E1590=4,INDEX(crude_exp_dist,MATCH(B1590,'Crude Exp Dist'!$B$6:$B$78,0),MATCH(C1590,'Crude Exp Dist'!$AD$2:$BC$2,0))*INDEX(crude_exp_by_year,MATCH(B1590,'Data Export'!$B$6:$B$78,0),1),IF(E1590=5,INDEX(ref_exp_dist,MATCH(B1590,'Refined Petro Exp Dist'!$B$6:$B$78,0),MATCH(C1590,'Refined Petro Exp Dist'!$AD$2:$BC$2,0))*INDEX(ref_exp_by_year,MATCH(B1590,'Data Export'!$B$6:$B$78,0),1)))</f>
        <v>0</v>
      </c>
      <c r="E1590">
        <v>4</v>
      </c>
      <c r="F1590" t="s">
        <v>171</v>
      </c>
    </row>
    <row r="1591" spans="1:6">
      <c r="A1591" t="str">
        <f t="shared" si="24"/>
        <v>GenericE&amp;DtemplateCIandGOA</v>
      </c>
      <c r="B1591">
        <v>62</v>
      </c>
      <c r="C1591">
        <v>4</v>
      </c>
      <c r="D1591" s="649">
        <f ca="1">IF(E1591=4,INDEX(crude_exp_dist,MATCH(B1591,'Crude Exp Dist'!$B$6:$B$78,0),MATCH(C1591,'Crude Exp Dist'!$AD$2:$BC$2,0))*INDEX(crude_exp_by_year,MATCH(B1591,'Data Export'!$B$6:$B$78,0),1),IF(E1591=5,INDEX(ref_exp_dist,MATCH(B1591,'Refined Petro Exp Dist'!$B$6:$B$78,0),MATCH(C1591,'Refined Petro Exp Dist'!$AD$2:$BC$2,0))*INDEX(ref_exp_by_year,MATCH(B1591,'Data Export'!$B$6:$B$78,0),1)))</f>
        <v>0</v>
      </c>
      <c r="E1591">
        <v>4</v>
      </c>
      <c r="F1591" t="s">
        <v>173</v>
      </c>
    </row>
    <row r="1592" spans="1:6">
      <c r="A1592" t="str">
        <f t="shared" si="24"/>
        <v>GenericE&amp;DtemplateCIandGOA</v>
      </c>
      <c r="B1592">
        <v>62</v>
      </c>
      <c r="C1592">
        <v>5</v>
      </c>
      <c r="D1592" s="649">
        <f ca="1">IF(E1592=4,INDEX(crude_exp_dist,MATCH(B1592,'Crude Exp Dist'!$B$6:$B$78,0),MATCH(C1592,'Crude Exp Dist'!$AD$2:$BC$2,0))*INDEX(crude_exp_by_year,MATCH(B1592,'Data Export'!$B$6:$B$78,0),1),IF(E1592=5,INDEX(ref_exp_dist,MATCH(B1592,'Refined Petro Exp Dist'!$B$6:$B$78,0),MATCH(C1592,'Refined Petro Exp Dist'!$AD$2:$BC$2,0))*INDEX(ref_exp_by_year,MATCH(B1592,'Data Export'!$B$6:$B$78,0),1)))</f>
        <v>0</v>
      </c>
      <c r="E1592">
        <v>4</v>
      </c>
      <c r="F1592" t="s">
        <v>180</v>
      </c>
    </row>
    <row r="1593" spans="1:6">
      <c r="A1593" t="str">
        <f t="shared" si="24"/>
        <v>GenericE&amp;DtemplateCIandGOA</v>
      </c>
      <c r="B1593">
        <v>62</v>
      </c>
      <c r="C1593">
        <v>6</v>
      </c>
      <c r="D1593" s="649">
        <f ca="1">IF(E1593=4,INDEX(crude_exp_dist,MATCH(B1593,'Crude Exp Dist'!$B$6:$B$78,0),MATCH(C1593,'Crude Exp Dist'!$AD$2:$BC$2,0))*INDEX(crude_exp_by_year,MATCH(B1593,'Data Export'!$B$6:$B$78,0),1),IF(E1593=5,INDEX(ref_exp_dist,MATCH(B1593,'Refined Petro Exp Dist'!$B$6:$B$78,0),MATCH(C1593,'Refined Petro Exp Dist'!$AD$2:$BC$2,0))*INDEX(ref_exp_by_year,MATCH(B1593,'Data Export'!$B$6:$B$78,0),1)))</f>
        <v>0</v>
      </c>
      <c r="E1593">
        <v>4</v>
      </c>
      <c r="F1593" t="s">
        <v>186</v>
      </c>
    </row>
    <row r="1594" spans="1:6">
      <c r="A1594" t="str">
        <f t="shared" si="24"/>
        <v>GenericE&amp;DtemplateCIandGOA</v>
      </c>
      <c r="B1594">
        <v>62</v>
      </c>
      <c r="C1594">
        <v>7</v>
      </c>
      <c r="D1594" s="649">
        <f ca="1">IF(E1594=4,INDEX(crude_exp_dist,MATCH(B1594,'Crude Exp Dist'!$B$6:$B$78,0),MATCH(C1594,'Crude Exp Dist'!$AD$2:$BC$2,0))*INDEX(crude_exp_by_year,MATCH(B1594,'Data Export'!$B$6:$B$78,0),1),IF(E1594=5,INDEX(ref_exp_dist,MATCH(B1594,'Refined Petro Exp Dist'!$B$6:$B$78,0),MATCH(C1594,'Refined Petro Exp Dist'!$AD$2:$BC$2,0))*INDEX(ref_exp_by_year,MATCH(B1594,'Data Export'!$B$6:$B$78,0),1)))</f>
        <v>0</v>
      </c>
      <c r="E1594">
        <v>4</v>
      </c>
      <c r="F1594" t="s">
        <v>191</v>
      </c>
    </row>
    <row r="1595" spans="1:6">
      <c r="A1595" t="str">
        <f t="shared" si="24"/>
        <v>GenericE&amp;DtemplateCIandGOA</v>
      </c>
      <c r="B1595">
        <v>62</v>
      </c>
      <c r="C1595">
        <v>8</v>
      </c>
      <c r="D1595" s="649">
        <f ca="1">IF(E1595=4,INDEX(crude_exp_dist,MATCH(B1595,'Crude Exp Dist'!$B$6:$B$78,0),MATCH(C1595,'Crude Exp Dist'!$AD$2:$BC$2,0))*INDEX(crude_exp_by_year,MATCH(B1595,'Data Export'!$B$6:$B$78,0),1),IF(E1595=5,INDEX(ref_exp_dist,MATCH(B1595,'Refined Petro Exp Dist'!$B$6:$B$78,0),MATCH(C1595,'Refined Petro Exp Dist'!$AD$2:$BC$2,0))*INDEX(ref_exp_by_year,MATCH(B1595,'Data Export'!$B$6:$B$78,0),1)))</f>
        <v>0</v>
      </c>
      <c r="E1595">
        <v>4</v>
      </c>
      <c r="F1595" t="s">
        <v>197</v>
      </c>
    </row>
    <row r="1596" spans="1:6">
      <c r="A1596" t="str">
        <f t="shared" si="24"/>
        <v>GenericE&amp;DtemplateCIandGOA</v>
      </c>
      <c r="B1596">
        <v>62</v>
      </c>
      <c r="C1596">
        <v>9</v>
      </c>
      <c r="D1596" s="649">
        <f ca="1">IF(E1596=4,INDEX(crude_exp_dist,MATCH(B1596,'Crude Exp Dist'!$B$6:$B$78,0),MATCH(C1596,'Crude Exp Dist'!$AD$2:$BC$2,0))*INDEX(crude_exp_by_year,MATCH(B1596,'Data Export'!$B$6:$B$78,0),1),IF(E1596=5,INDEX(ref_exp_dist,MATCH(B1596,'Refined Petro Exp Dist'!$B$6:$B$78,0),MATCH(C1596,'Refined Petro Exp Dist'!$AD$2:$BC$2,0))*INDEX(ref_exp_by_year,MATCH(B1596,'Data Export'!$B$6:$B$78,0),1)))</f>
        <v>0</v>
      </c>
      <c r="E1596">
        <v>4</v>
      </c>
      <c r="F1596" t="s">
        <v>199</v>
      </c>
    </row>
    <row r="1597" spans="1:6">
      <c r="A1597" t="str">
        <f t="shared" si="24"/>
        <v>GenericE&amp;DtemplateCIandGOA</v>
      </c>
      <c r="B1597">
        <v>62</v>
      </c>
      <c r="C1597">
        <v>10</v>
      </c>
      <c r="D1597" s="649">
        <f ca="1">IF(E1597=4,INDEX(crude_exp_dist,MATCH(B1597,'Crude Exp Dist'!$B$6:$B$78,0),MATCH(C1597,'Crude Exp Dist'!$AD$2:$BC$2,0))*INDEX(crude_exp_by_year,MATCH(B1597,'Data Export'!$B$6:$B$78,0),1),IF(E1597=5,INDEX(ref_exp_dist,MATCH(B1597,'Refined Petro Exp Dist'!$B$6:$B$78,0),MATCH(C1597,'Refined Petro Exp Dist'!$AD$2:$BC$2,0))*INDEX(ref_exp_by_year,MATCH(B1597,'Data Export'!$B$6:$B$78,0),1)))</f>
        <v>0</v>
      </c>
      <c r="E1597">
        <v>4</v>
      </c>
      <c r="F1597" t="s">
        <v>201</v>
      </c>
    </row>
    <row r="1598" spans="1:6">
      <c r="A1598" t="str">
        <f t="shared" si="24"/>
        <v>GenericE&amp;DtemplateCIandGOA</v>
      </c>
      <c r="B1598">
        <v>62</v>
      </c>
      <c r="C1598">
        <v>11</v>
      </c>
      <c r="D1598" s="649">
        <f ca="1">IF(E1598=4,INDEX(crude_exp_dist,MATCH(B1598,'Crude Exp Dist'!$B$6:$B$78,0),MATCH(C1598,'Crude Exp Dist'!$AD$2:$BC$2,0))*INDEX(crude_exp_by_year,MATCH(B1598,'Data Export'!$B$6:$B$78,0),1),IF(E1598=5,INDEX(ref_exp_dist,MATCH(B1598,'Refined Petro Exp Dist'!$B$6:$B$78,0),MATCH(C1598,'Refined Petro Exp Dist'!$AD$2:$BC$2,0))*INDEX(ref_exp_by_year,MATCH(B1598,'Data Export'!$B$6:$B$78,0),1)))</f>
        <v>0</v>
      </c>
      <c r="E1598">
        <v>4</v>
      </c>
      <c r="F1598" t="s">
        <v>921</v>
      </c>
    </row>
    <row r="1599" spans="1:6">
      <c r="A1599" t="str">
        <f t="shared" si="24"/>
        <v>GenericE&amp;DtemplateCIandGOA</v>
      </c>
      <c r="B1599">
        <v>62</v>
      </c>
      <c r="C1599">
        <v>12</v>
      </c>
      <c r="D1599" s="649">
        <f ca="1">IF(E1599=4,INDEX(crude_exp_dist,MATCH(B1599,'Crude Exp Dist'!$B$6:$B$78,0),MATCH(C1599,'Crude Exp Dist'!$AD$2:$BC$2,0))*INDEX(crude_exp_by_year,MATCH(B1599,'Data Export'!$B$6:$B$78,0),1),IF(E1599=5,INDEX(ref_exp_dist,MATCH(B1599,'Refined Petro Exp Dist'!$B$6:$B$78,0),MATCH(C1599,'Refined Petro Exp Dist'!$AD$2:$BC$2,0))*INDEX(ref_exp_by_year,MATCH(B1599,'Data Export'!$B$6:$B$78,0),1)))</f>
        <v>0</v>
      </c>
      <c r="E1599">
        <v>4</v>
      </c>
      <c r="F1599" t="s">
        <v>208</v>
      </c>
    </row>
    <row r="1600" spans="1:6">
      <c r="A1600" t="str">
        <f t="shared" si="24"/>
        <v>GenericE&amp;DtemplateCIandGOA</v>
      </c>
      <c r="B1600">
        <v>62</v>
      </c>
      <c r="C1600">
        <v>13</v>
      </c>
      <c r="D1600" s="649">
        <f ca="1">IF(E1600=4,INDEX(crude_exp_dist,MATCH(B1600,'Crude Exp Dist'!$B$6:$B$78,0),MATCH(C1600,'Crude Exp Dist'!$AD$2:$BC$2,0))*INDEX(crude_exp_by_year,MATCH(B1600,'Data Export'!$B$6:$B$78,0),1),IF(E1600=5,INDEX(ref_exp_dist,MATCH(B1600,'Refined Petro Exp Dist'!$B$6:$B$78,0),MATCH(C1600,'Refined Petro Exp Dist'!$AD$2:$BC$2,0))*INDEX(ref_exp_by_year,MATCH(B1600,'Data Export'!$B$6:$B$78,0),1)))</f>
        <v>0</v>
      </c>
      <c r="E1600">
        <v>4</v>
      </c>
      <c r="F1600" t="s">
        <v>211</v>
      </c>
    </row>
    <row r="1601" spans="1:6">
      <c r="A1601" t="str">
        <f t="shared" si="24"/>
        <v>GenericE&amp;DtemplateCIandGOA</v>
      </c>
      <c r="B1601">
        <v>62</v>
      </c>
      <c r="C1601">
        <v>14</v>
      </c>
      <c r="D1601" s="649">
        <f ca="1">IF(E1601=4,INDEX(crude_exp_dist,MATCH(B1601,'Crude Exp Dist'!$B$6:$B$78,0),MATCH(C1601,'Crude Exp Dist'!$AD$2:$BC$2,0))*INDEX(crude_exp_by_year,MATCH(B1601,'Data Export'!$B$6:$B$78,0),1),IF(E1601=5,INDEX(ref_exp_dist,MATCH(B1601,'Refined Petro Exp Dist'!$B$6:$B$78,0),MATCH(C1601,'Refined Petro Exp Dist'!$AD$2:$BC$2,0))*INDEX(ref_exp_by_year,MATCH(B1601,'Data Export'!$B$6:$B$78,0),1)))</f>
        <v>0</v>
      </c>
      <c r="E1601">
        <v>4</v>
      </c>
      <c r="F1601" t="s">
        <v>213</v>
      </c>
    </row>
    <row r="1602" spans="1:6">
      <c r="A1602" t="str">
        <f t="shared" ref="A1602:A1665" si="25">scenario_name</f>
        <v>GenericE&amp;DtemplateCIandGOA</v>
      </c>
      <c r="B1602">
        <v>62</v>
      </c>
      <c r="C1602">
        <v>15</v>
      </c>
      <c r="D1602" s="649">
        <f ca="1">IF(E1602=4,INDEX(crude_exp_dist,MATCH(B1602,'Crude Exp Dist'!$B$6:$B$78,0),MATCH(C1602,'Crude Exp Dist'!$AD$2:$BC$2,0))*INDEX(crude_exp_by_year,MATCH(B1602,'Data Export'!$B$6:$B$78,0),1),IF(E1602=5,INDEX(ref_exp_dist,MATCH(B1602,'Refined Petro Exp Dist'!$B$6:$B$78,0),MATCH(C1602,'Refined Petro Exp Dist'!$AD$2:$BC$2,0))*INDEX(ref_exp_by_year,MATCH(B1602,'Data Export'!$B$6:$B$78,0),1)))</f>
        <v>0</v>
      </c>
      <c r="E1602">
        <v>4</v>
      </c>
      <c r="F1602" t="s">
        <v>215</v>
      </c>
    </row>
    <row r="1603" spans="1:6">
      <c r="A1603" t="str">
        <f t="shared" si="25"/>
        <v>GenericE&amp;DtemplateCIandGOA</v>
      </c>
      <c r="B1603">
        <v>62</v>
      </c>
      <c r="C1603">
        <v>16</v>
      </c>
      <c r="D1603" s="649">
        <f ca="1">IF(E1603=4,INDEX(crude_exp_dist,MATCH(B1603,'Crude Exp Dist'!$B$6:$B$78,0),MATCH(C1603,'Crude Exp Dist'!$AD$2:$BC$2,0))*INDEX(crude_exp_by_year,MATCH(B1603,'Data Export'!$B$6:$B$78,0),1),IF(E1603=5,INDEX(ref_exp_dist,MATCH(B1603,'Refined Petro Exp Dist'!$B$6:$B$78,0),MATCH(C1603,'Refined Petro Exp Dist'!$AD$2:$BC$2,0))*INDEX(ref_exp_by_year,MATCH(B1603,'Data Export'!$B$6:$B$78,0),1)))</f>
        <v>0</v>
      </c>
      <c r="E1603">
        <v>4</v>
      </c>
      <c r="F1603" t="s">
        <v>219</v>
      </c>
    </row>
    <row r="1604" spans="1:6">
      <c r="A1604" t="str">
        <f t="shared" si="25"/>
        <v>GenericE&amp;DtemplateCIandGOA</v>
      </c>
      <c r="B1604">
        <v>62</v>
      </c>
      <c r="C1604">
        <v>17</v>
      </c>
      <c r="D1604" s="649">
        <f ca="1">IF(E1604=4,INDEX(crude_exp_dist,MATCH(B1604,'Crude Exp Dist'!$B$6:$B$78,0),MATCH(C1604,'Crude Exp Dist'!$AD$2:$BC$2,0))*INDEX(crude_exp_by_year,MATCH(B1604,'Data Export'!$B$6:$B$78,0),1),IF(E1604=5,INDEX(ref_exp_dist,MATCH(B1604,'Refined Petro Exp Dist'!$B$6:$B$78,0),MATCH(C1604,'Refined Petro Exp Dist'!$AD$2:$BC$2,0))*INDEX(ref_exp_by_year,MATCH(B1604,'Data Export'!$B$6:$B$78,0),1)))</f>
        <v>0</v>
      </c>
      <c r="E1604">
        <v>4</v>
      </c>
      <c r="F1604" t="s">
        <v>222</v>
      </c>
    </row>
    <row r="1605" spans="1:6">
      <c r="A1605" t="str">
        <f t="shared" si="25"/>
        <v>GenericE&amp;DtemplateCIandGOA</v>
      </c>
      <c r="B1605">
        <v>62</v>
      </c>
      <c r="C1605">
        <v>18</v>
      </c>
      <c r="D1605" s="649">
        <f ca="1">IF(E1605=4,INDEX(crude_exp_dist,MATCH(B1605,'Crude Exp Dist'!$B$6:$B$78,0),MATCH(C1605,'Crude Exp Dist'!$AD$2:$BC$2,0))*INDEX(crude_exp_by_year,MATCH(B1605,'Data Export'!$B$6:$B$78,0),1),IF(E1605=5,INDEX(ref_exp_dist,MATCH(B1605,'Refined Petro Exp Dist'!$B$6:$B$78,0),MATCH(C1605,'Refined Petro Exp Dist'!$AD$2:$BC$2,0))*INDEX(ref_exp_by_year,MATCH(B1605,'Data Export'!$B$6:$B$78,0),1)))</f>
        <v>0</v>
      </c>
      <c r="E1605">
        <v>4</v>
      </c>
      <c r="F1605" t="s">
        <v>224</v>
      </c>
    </row>
    <row r="1606" spans="1:6">
      <c r="A1606" t="str">
        <f t="shared" si="25"/>
        <v>GenericE&amp;DtemplateCIandGOA</v>
      </c>
      <c r="B1606">
        <v>62</v>
      </c>
      <c r="C1606">
        <v>19</v>
      </c>
      <c r="D1606" s="649">
        <f ca="1">IF(E1606=4,INDEX(crude_exp_dist,MATCH(B1606,'Crude Exp Dist'!$B$6:$B$78,0),MATCH(C1606,'Crude Exp Dist'!$AD$2:$BC$2,0))*INDEX(crude_exp_by_year,MATCH(B1606,'Data Export'!$B$6:$B$78,0),1),IF(E1606=5,INDEX(ref_exp_dist,MATCH(B1606,'Refined Petro Exp Dist'!$B$6:$B$78,0),MATCH(C1606,'Refined Petro Exp Dist'!$AD$2:$BC$2,0))*INDEX(ref_exp_by_year,MATCH(B1606,'Data Export'!$B$6:$B$78,0),1)))</f>
        <v>0</v>
      </c>
      <c r="E1606">
        <v>4</v>
      </c>
      <c r="F1606" t="s">
        <v>228</v>
      </c>
    </row>
    <row r="1607" spans="1:6">
      <c r="A1607" t="str">
        <f t="shared" si="25"/>
        <v>GenericE&amp;DtemplateCIandGOA</v>
      </c>
      <c r="B1607">
        <v>62</v>
      </c>
      <c r="C1607">
        <v>20</v>
      </c>
      <c r="D1607" s="649">
        <f ca="1">IF(E1607=4,INDEX(crude_exp_dist,MATCH(B1607,'Crude Exp Dist'!$B$6:$B$78,0),MATCH(C1607,'Crude Exp Dist'!$AD$2:$BC$2,0))*INDEX(crude_exp_by_year,MATCH(B1607,'Data Export'!$B$6:$B$78,0),1),IF(E1607=5,INDEX(ref_exp_dist,MATCH(B1607,'Refined Petro Exp Dist'!$B$6:$B$78,0),MATCH(C1607,'Refined Petro Exp Dist'!$AD$2:$BC$2,0))*INDEX(ref_exp_by_year,MATCH(B1607,'Data Export'!$B$6:$B$78,0),1)))</f>
        <v>0</v>
      </c>
      <c r="E1607">
        <v>4</v>
      </c>
      <c r="F1607" t="s">
        <v>231</v>
      </c>
    </row>
    <row r="1608" spans="1:6">
      <c r="A1608" t="str">
        <f t="shared" si="25"/>
        <v>GenericE&amp;DtemplateCIandGOA</v>
      </c>
      <c r="B1608">
        <v>62</v>
      </c>
      <c r="C1608">
        <v>21</v>
      </c>
      <c r="D1608" s="649">
        <f ca="1">IF(E1608=4,INDEX(crude_exp_dist,MATCH(B1608,'Crude Exp Dist'!$B$6:$B$78,0),MATCH(C1608,'Crude Exp Dist'!$AD$2:$BC$2,0))*INDEX(crude_exp_by_year,MATCH(B1608,'Data Export'!$B$6:$B$78,0),1),IF(E1608=5,INDEX(ref_exp_dist,MATCH(B1608,'Refined Petro Exp Dist'!$B$6:$B$78,0),MATCH(C1608,'Refined Petro Exp Dist'!$AD$2:$BC$2,0))*INDEX(ref_exp_by_year,MATCH(B1608,'Data Export'!$B$6:$B$78,0),1)))</f>
        <v>0</v>
      </c>
      <c r="E1608">
        <v>4</v>
      </c>
      <c r="F1608" t="s">
        <v>232</v>
      </c>
    </row>
    <row r="1609" spans="1:6">
      <c r="A1609" t="str">
        <f t="shared" si="25"/>
        <v>GenericE&amp;DtemplateCIandGOA</v>
      </c>
      <c r="B1609">
        <v>62</v>
      </c>
      <c r="C1609">
        <v>22</v>
      </c>
      <c r="D1609" s="649">
        <f ca="1">IF(E1609=4,INDEX(crude_exp_dist,MATCH(B1609,'Crude Exp Dist'!$B$6:$B$78,0),MATCH(C1609,'Crude Exp Dist'!$AD$2:$BC$2,0))*INDEX(crude_exp_by_year,MATCH(B1609,'Data Export'!$B$6:$B$78,0),1),IF(E1609=5,INDEX(ref_exp_dist,MATCH(B1609,'Refined Petro Exp Dist'!$B$6:$B$78,0),MATCH(C1609,'Refined Petro Exp Dist'!$AD$2:$BC$2,0))*INDEX(ref_exp_by_year,MATCH(B1609,'Data Export'!$B$6:$B$78,0),1)))</f>
        <v>0</v>
      </c>
      <c r="E1609">
        <v>4</v>
      </c>
      <c r="F1609" t="s">
        <v>235</v>
      </c>
    </row>
    <row r="1610" spans="1:6">
      <c r="A1610" t="str">
        <f t="shared" si="25"/>
        <v>GenericE&amp;DtemplateCIandGOA</v>
      </c>
      <c r="B1610">
        <v>62</v>
      </c>
      <c r="C1610">
        <v>23</v>
      </c>
      <c r="D1610" s="649">
        <f ca="1">IF(E1610=4,INDEX(crude_exp_dist,MATCH(B1610,'Crude Exp Dist'!$B$6:$B$78,0),MATCH(C1610,'Crude Exp Dist'!$AD$2:$BC$2,0))*INDEX(crude_exp_by_year,MATCH(B1610,'Data Export'!$B$6:$B$78,0),1),IF(E1610=5,INDEX(ref_exp_dist,MATCH(B1610,'Refined Petro Exp Dist'!$B$6:$B$78,0),MATCH(C1610,'Refined Petro Exp Dist'!$AD$2:$BC$2,0))*INDEX(ref_exp_by_year,MATCH(B1610,'Data Export'!$B$6:$B$78,0),1)))</f>
        <v>0</v>
      </c>
      <c r="E1610">
        <v>4</v>
      </c>
      <c r="F1610" t="s">
        <v>237</v>
      </c>
    </row>
    <row r="1611" spans="1:6">
      <c r="A1611" t="str">
        <f t="shared" si="25"/>
        <v>GenericE&amp;DtemplateCIandGOA</v>
      </c>
      <c r="B1611">
        <v>62</v>
      </c>
      <c r="C1611">
        <v>24</v>
      </c>
      <c r="D1611" s="649">
        <f ca="1">IF(E1611=4,INDEX(crude_exp_dist,MATCH(B1611,'Crude Exp Dist'!$B$6:$B$78,0),MATCH(C1611,'Crude Exp Dist'!$AD$2:$BC$2,0))*INDEX(crude_exp_by_year,MATCH(B1611,'Data Export'!$B$6:$B$78,0),1),IF(E1611=5,INDEX(ref_exp_dist,MATCH(B1611,'Refined Petro Exp Dist'!$B$6:$B$78,0),MATCH(C1611,'Refined Petro Exp Dist'!$AD$2:$BC$2,0))*INDEX(ref_exp_by_year,MATCH(B1611,'Data Export'!$B$6:$B$78,0),1)))</f>
        <v>0</v>
      </c>
      <c r="E1611">
        <v>4</v>
      </c>
      <c r="F1611" t="s">
        <v>239</v>
      </c>
    </row>
    <row r="1612" spans="1:6">
      <c r="A1612" t="str">
        <f t="shared" si="25"/>
        <v>GenericE&amp;DtemplateCIandGOA</v>
      </c>
      <c r="B1612">
        <v>62</v>
      </c>
      <c r="C1612">
        <v>25</v>
      </c>
      <c r="D1612" s="649">
        <f ca="1">IF(E1612=4,INDEX(crude_exp_dist,MATCH(B1612,'Crude Exp Dist'!$B$6:$B$78,0),MATCH(C1612,'Crude Exp Dist'!$AD$2:$BC$2,0))*INDEX(crude_exp_by_year,MATCH(B1612,'Data Export'!$B$6:$B$78,0),1),IF(E1612=5,INDEX(ref_exp_dist,MATCH(B1612,'Refined Petro Exp Dist'!$B$6:$B$78,0),MATCH(C1612,'Refined Petro Exp Dist'!$AD$2:$BC$2,0))*INDEX(ref_exp_by_year,MATCH(B1612,'Data Export'!$B$6:$B$78,0),1)))</f>
        <v>0</v>
      </c>
      <c r="E1612">
        <v>4</v>
      </c>
      <c r="F1612" t="s">
        <v>242</v>
      </c>
    </row>
    <row r="1613" spans="1:6">
      <c r="A1613" t="str">
        <f t="shared" si="25"/>
        <v>GenericE&amp;DtemplateCIandGOA</v>
      </c>
      <c r="B1613">
        <v>62</v>
      </c>
      <c r="C1613">
        <v>26</v>
      </c>
      <c r="D1613" s="649">
        <f ca="1">IF(E1613=4,INDEX(crude_exp_dist,MATCH(B1613,'Crude Exp Dist'!$B$6:$B$78,0),MATCH(C1613,'Crude Exp Dist'!$AD$2:$BC$2,0))*INDEX(crude_exp_by_year,MATCH(B1613,'Data Export'!$B$6:$B$78,0),1),IF(E1613=5,INDEX(ref_exp_dist,MATCH(B1613,'Refined Petro Exp Dist'!$B$6:$B$78,0),MATCH(C1613,'Refined Petro Exp Dist'!$AD$2:$BC$2,0))*INDEX(ref_exp_by_year,MATCH(B1613,'Data Export'!$B$6:$B$78,0),1)))</f>
        <v>0</v>
      </c>
      <c r="E1613">
        <v>4</v>
      </c>
      <c r="F1613" t="s">
        <v>245</v>
      </c>
    </row>
    <row r="1614" spans="1:6">
      <c r="A1614" t="str">
        <f t="shared" si="25"/>
        <v>GenericE&amp;DtemplateCIandGOA</v>
      </c>
      <c r="B1614">
        <v>63</v>
      </c>
      <c r="C1614">
        <v>1</v>
      </c>
      <c r="D1614" s="649">
        <f ca="1">IF(E1614=4,INDEX(crude_exp_dist,MATCH(B1614,'Crude Exp Dist'!$B$6:$B$78,0),MATCH(C1614,'Crude Exp Dist'!$AD$2:$BC$2,0))*INDEX(crude_exp_by_year,MATCH(B1614,'Data Export'!$B$6:$B$78,0),1),IF(E1614=5,INDEX(ref_exp_dist,MATCH(B1614,'Refined Petro Exp Dist'!$B$6:$B$78,0),MATCH(C1614,'Refined Petro Exp Dist'!$AD$2:$BC$2,0))*INDEX(ref_exp_by_year,MATCH(B1614,'Data Export'!$B$6:$B$78,0),1)))</f>
        <v>0</v>
      </c>
      <c r="E1614">
        <v>4</v>
      </c>
      <c r="F1614" t="s">
        <v>158</v>
      </c>
    </row>
    <row r="1615" spans="1:6">
      <c r="A1615" t="str">
        <f t="shared" si="25"/>
        <v>GenericE&amp;DtemplateCIandGOA</v>
      </c>
      <c r="B1615">
        <v>63</v>
      </c>
      <c r="C1615">
        <v>2</v>
      </c>
      <c r="D1615" s="649">
        <f ca="1">IF(E1615=4,INDEX(crude_exp_dist,MATCH(B1615,'Crude Exp Dist'!$B$6:$B$78,0),MATCH(C1615,'Crude Exp Dist'!$AD$2:$BC$2,0))*INDEX(crude_exp_by_year,MATCH(B1615,'Data Export'!$B$6:$B$78,0),1),IF(E1615=5,INDEX(ref_exp_dist,MATCH(B1615,'Refined Petro Exp Dist'!$B$6:$B$78,0),MATCH(C1615,'Refined Petro Exp Dist'!$AD$2:$BC$2,0))*INDEX(ref_exp_by_year,MATCH(B1615,'Data Export'!$B$6:$B$78,0),1)))</f>
        <v>0</v>
      </c>
      <c r="E1615">
        <v>4</v>
      </c>
      <c r="F1615" t="s">
        <v>166</v>
      </c>
    </row>
    <row r="1616" spans="1:6">
      <c r="A1616" t="str">
        <f t="shared" si="25"/>
        <v>GenericE&amp;DtemplateCIandGOA</v>
      </c>
      <c r="B1616">
        <v>63</v>
      </c>
      <c r="C1616">
        <v>3</v>
      </c>
      <c r="D1616" s="649">
        <f ca="1">IF(E1616=4,INDEX(crude_exp_dist,MATCH(B1616,'Crude Exp Dist'!$B$6:$B$78,0),MATCH(C1616,'Crude Exp Dist'!$AD$2:$BC$2,0))*INDEX(crude_exp_by_year,MATCH(B1616,'Data Export'!$B$6:$B$78,0),1),IF(E1616=5,INDEX(ref_exp_dist,MATCH(B1616,'Refined Petro Exp Dist'!$B$6:$B$78,0),MATCH(C1616,'Refined Petro Exp Dist'!$AD$2:$BC$2,0))*INDEX(ref_exp_by_year,MATCH(B1616,'Data Export'!$B$6:$B$78,0),1)))</f>
        <v>0</v>
      </c>
      <c r="E1616">
        <v>4</v>
      </c>
      <c r="F1616" t="s">
        <v>171</v>
      </c>
    </row>
    <row r="1617" spans="1:6">
      <c r="A1617" t="str">
        <f t="shared" si="25"/>
        <v>GenericE&amp;DtemplateCIandGOA</v>
      </c>
      <c r="B1617">
        <v>63</v>
      </c>
      <c r="C1617">
        <v>4</v>
      </c>
      <c r="D1617" s="649">
        <f ca="1">IF(E1617=4,INDEX(crude_exp_dist,MATCH(B1617,'Crude Exp Dist'!$B$6:$B$78,0),MATCH(C1617,'Crude Exp Dist'!$AD$2:$BC$2,0))*INDEX(crude_exp_by_year,MATCH(B1617,'Data Export'!$B$6:$B$78,0),1),IF(E1617=5,INDEX(ref_exp_dist,MATCH(B1617,'Refined Petro Exp Dist'!$B$6:$B$78,0),MATCH(C1617,'Refined Petro Exp Dist'!$AD$2:$BC$2,0))*INDEX(ref_exp_by_year,MATCH(B1617,'Data Export'!$B$6:$B$78,0),1)))</f>
        <v>0</v>
      </c>
      <c r="E1617">
        <v>4</v>
      </c>
      <c r="F1617" t="s">
        <v>173</v>
      </c>
    </row>
    <row r="1618" spans="1:6">
      <c r="A1618" t="str">
        <f t="shared" si="25"/>
        <v>GenericE&amp;DtemplateCIandGOA</v>
      </c>
      <c r="B1618">
        <v>63</v>
      </c>
      <c r="C1618">
        <v>5</v>
      </c>
      <c r="D1618" s="649">
        <f ca="1">IF(E1618=4,INDEX(crude_exp_dist,MATCH(B1618,'Crude Exp Dist'!$B$6:$B$78,0),MATCH(C1618,'Crude Exp Dist'!$AD$2:$BC$2,0))*INDEX(crude_exp_by_year,MATCH(B1618,'Data Export'!$B$6:$B$78,0),1),IF(E1618=5,INDEX(ref_exp_dist,MATCH(B1618,'Refined Petro Exp Dist'!$B$6:$B$78,0),MATCH(C1618,'Refined Petro Exp Dist'!$AD$2:$BC$2,0))*INDEX(ref_exp_by_year,MATCH(B1618,'Data Export'!$B$6:$B$78,0),1)))</f>
        <v>0</v>
      </c>
      <c r="E1618">
        <v>4</v>
      </c>
      <c r="F1618" t="s">
        <v>180</v>
      </c>
    </row>
    <row r="1619" spans="1:6">
      <c r="A1619" t="str">
        <f t="shared" si="25"/>
        <v>GenericE&amp;DtemplateCIandGOA</v>
      </c>
      <c r="B1619">
        <v>63</v>
      </c>
      <c r="C1619">
        <v>6</v>
      </c>
      <c r="D1619" s="649">
        <f ca="1">IF(E1619=4,INDEX(crude_exp_dist,MATCH(B1619,'Crude Exp Dist'!$B$6:$B$78,0),MATCH(C1619,'Crude Exp Dist'!$AD$2:$BC$2,0))*INDEX(crude_exp_by_year,MATCH(B1619,'Data Export'!$B$6:$B$78,0),1),IF(E1619=5,INDEX(ref_exp_dist,MATCH(B1619,'Refined Petro Exp Dist'!$B$6:$B$78,0),MATCH(C1619,'Refined Petro Exp Dist'!$AD$2:$BC$2,0))*INDEX(ref_exp_by_year,MATCH(B1619,'Data Export'!$B$6:$B$78,0),1)))</f>
        <v>0</v>
      </c>
      <c r="E1619">
        <v>4</v>
      </c>
      <c r="F1619" t="s">
        <v>186</v>
      </c>
    </row>
    <row r="1620" spans="1:6">
      <c r="A1620" t="str">
        <f t="shared" si="25"/>
        <v>GenericE&amp;DtemplateCIandGOA</v>
      </c>
      <c r="B1620">
        <v>63</v>
      </c>
      <c r="C1620">
        <v>7</v>
      </c>
      <c r="D1620" s="649">
        <f ca="1">IF(E1620=4,INDEX(crude_exp_dist,MATCH(B1620,'Crude Exp Dist'!$B$6:$B$78,0),MATCH(C1620,'Crude Exp Dist'!$AD$2:$BC$2,0))*INDEX(crude_exp_by_year,MATCH(B1620,'Data Export'!$B$6:$B$78,0),1),IF(E1620=5,INDEX(ref_exp_dist,MATCH(B1620,'Refined Petro Exp Dist'!$B$6:$B$78,0),MATCH(C1620,'Refined Petro Exp Dist'!$AD$2:$BC$2,0))*INDEX(ref_exp_by_year,MATCH(B1620,'Data Export'!$B$6:$B$78,0),1)))</f>
        <v>0</v>
      </c>
      <c r="E1620">
        <v>4</v>
      </c>
      <c r="F1620" t="s">
        <v>191</v>
      </c>
    </row>
    <row r="1621" spans="1:6">
      <c r="A1621" t="str">
        <f t="shared" si="25"/>
        <v>GenericE&amp;DtemplateCIandGOA</v>
      </c>
      <c r="B1621">
        <v>63</v>
      </c>
      <c r="C1621">
        <v>8</v>
      </c>
      <c r="D1621" s="649">
        <f ca="1">IF(E1621=4,INDEX(crude_exp_dist,MATCH(B1621,'Crude Exp Dist'!$B$6:$B$78,0),MATCH(C1621,'Crude Exp Dist'!$AD$2:$BC$2,0))*INDEX(crude_exp_by_year,MATCH(B1621,'Data Export'!$B$6:$B$78,0),1),IF(E1621=5,INDEX(ref_exp_dist,MATCH(B1621,'Refined Petro Exp Dist'!$B$6:$B$78,0),MATCH(C1621,'Refined Petro Exp Dist'!$AD$2:$BC$2,0))*INDEX(ref_exp_by_year,MATCH(B1621,'Data Export'!$B$6:$B$78,0),1)))</f>
        <v>0</v>
      </c>
      <c r="E1621">
        <v>4</v>
      </c>
      <c r="F1621" t="s">
        <v>197</v>
      </c>
    </row>
    <row r="1622" spans="1:6">
      <c r="A1622" t="str">
        <f t="shared" si="25"/>
        <v>GenericE&amp;DtemplateCIandGOA</v>
      </c>
      <c r="B1622">
        <v>63</v>
      </c>
      <c r="C1622">
        <v>9</v>
      </c>
      <c r="D1622" s="649">
        <f ca="1">IF(E1622=4,INDEX(crude_exp_dist,MATCH(B1622,'Crude Exp Dist'!$B$6:$B$78,0),MATCH(C1622,'Crude Exp Dist'!$AD$2:$BC$2,0))*INDEX(crude_exp_by_year,MATCH(B1622,'Data Export'!$B$6:$B$78,0),1),IF(E1622=5,INDEX(ref_exp_dist,MATCH(B1622,'Refined Petro Exp Dist'!$B$6:$B$78,0),MATCH(C1622,'Refined Petro Exp Dist'!$AD$2:$BC$2,0))*INDEX(ref_exp_by_year,MATCH(B1622,'Data Export'!$B$6:$B$78,0),1)))</f>
        <v>0</v>
      </c>
      <c r="E1622">
        <v>4</v>
      </c>
      <c r="F1622" t="s">
        <v>199</v>
      </c>
    </row>
    <row r="1623" spans="1:6">
      <c r="A1623" t="str">
        <f t="shared" si="25"/>
        <v>GenericE&amp;DtemplateCIandGOA</v>
      </c>
      <c r="B1623">
        <v>63</v>
      </c>
      <c r="C1623">
        <v>10</v>
      </c>
      <c r="D1623" s="649">
        <f ca="1">IF(E1623=4,INDEX(crude_exp_dist,MATCH(B1623,'Crude Exp Dist'!$B$6:$B$78,0),MATCH(C1623,'Crude Exp Dist'!$AD$2:$BC$2,0))*INDEX(crude_exp_by_year,MATCH(B1623,'Data Export'!$B$6:$B$78,0),1),IF(E1623=5,INDEX(ref_exp_dist,MATCH(B1623,'Refined Petro Exp Dist'!$B$6:$B$78,0),MATCH(C1623,'Refined Petro Exp Dist'!$AD$2:$BC$2,0))*INDEX(ref_exp_by_year,MATCH(B1623,'Data Export'!$B$6:$B$78,0),1)))</f>
        <v>0</v>
      </c>
      <c r="E1623">
        <v>4</v>
      </c>
      <c r="F1623" t="s">
        <v>201</v>
      </c>
    </row>
    <row r="1624" spans="1:6">
      <c r="A1624" t="str">
        <f t="shared" si="25"/>
        <v>GenericE&amp;DtemplateCIandGOA</v>
      </c>
      <c r="B1624">
        <v>63</v>
      </c>
      <c r="C1624">
        <v>11</v>
      </c>
      <c r="D1624" s="649">
        <f ca="1">IF(E1624=4,INDEX(crude_exp_dist,MATCH(B1624,'Crude Exp Dist'!$B$6:$B$78,0),MATCH(C1624,'Crude Exp Dist'!$AD$2:$BC$2,0))*INDEX(crude_exp_by_year,MATCH(B1624,'Data Export'!$B$6:$B$78,0),1),IF(E1624=5,INDEX(ref_exp_dist,MATCH(B1624,'Refined Petro Exp Dist'!$B$6:$B$78,0),MATCH(C1624,'Refined Petro Exp Dist'!$AD$2:$BC$2,0))*INDEX(ref_exp_by_year,MATCH(B1624,'Data Export'!$B$6:$B$78,0),1)))</f>
        <v>0</v>
      </c>
      <c r="E1624">
        <v>4</v>
      </c>
      <c r="F1624" t="s">
        <v>921</v>
      </c>
    </row>
    <row r="1625" spans="1:6">
      <c r="A1625" t="str">
        <f t="shared" si="25"/>
        <v>GenericE&amp;DtemplateCIandGOA</v>
      </c>
      <c r="B1625">
        <v>63</v>
      </c>
      <c r="C1625">
        <v>12</v>
      </c>
      <c r="D1625" s="649">
        <f ca="1">IF(E1625=4,INDEX(crude_exp_dist,MATCH(B1625,'Crude Exp Dist'!$B$6:$B$78,0),MATCH(C1625,'Crude Exp Dist'!$AD$2:$BC$2,0))*INDEX(crude_exp_by_year,MATCH(B1625,'Data Export'!$B$6:$B$78,0),1),IF(E1625=5,INDEX(ref_exp_dist,MATCH(B1625,'Refined Petro Exp Dist'!$B$6:$B$78,0),MATCH(C1625,'Refined Petro Exp Dist'!$AD$2:$BC$2,0))*INDEX(ref_exp_by_year,MATCH(B1625,'Data Export'!$B$6:$B$78,0),1)))</f>
        <v>0</v>
      </c>
      <c r="E1625">
        <v>4</v>
      </c>
      <c r="F1625" t="s">
        <v>208</v>
      </c>
    </row>
    <row r="1626" spans="1:6">
      <c r="A1626" t="str">
        <f t="shared" si="25"/>
        <v>GenericE&amp;DtemplateCIandGOA</v>
      </c>
      <c r="B1626">
        <v>63</v>
      </c>
      <c r="C1626">
        <v>13</v>
      </c>
      <c r="D1626" s="649">
        <f ca="1">IF(E1626=4,INDEX(crude_exp_dist,MATCH(B1626,'Crude Exp Dist'!$B$6:$B$78,0),MATCH(C1626,'Crude Exp Dist'!$AD$2:$BC$2,0))*INDEX(crude_exp_by_year,MATCH(B1626,'Data Export'!$B$6:$B$78,0),1),IF(E1626=5,INDEX(ref_exp_dist,MATCH(B1626,'Refined Petro Exp Dist'!$B$6:$B$78,0),MATCH(C1626,'Refined Petro Exp Dist'!$AD$2:$BC$2,0))*INDEX(ref_exp_by_year,MATCH(B1626,'Data Export'!$B$6:$B$78,0),1)))</f>
        <v>0</v>
      </c>
      <c r="E1626">
        <v>4</v>
      </c>
      <c r="F1626" t="s">
        <v>211</v>
      </c>
    </row>
    <row r="1627" spans="1:6">
      <c r="A1627" t="str">
        <f t="shared" si="25"/>
        <v>GenericE&amp;DtemplateCIandGOA</v>
      </c>
      <c r="B1627">
        <v>63</v>
      </c>
      <c r="C1627">
        <v>14</v>
      </c>
      <c r="D1627" s="649">
        <f ca="1">IF(E1627=4,INDEX(crude_exp_dist,MATCH(B1627,'Crude Exp Dist'!$B$6:$B$78,0),MATCH(C1627,'Crude Exp Dist'!$AD$2:$BC$2,0))*INDEX(crude_exp_by_year,MATCH(B1627,'Data Export'!$B$6:$B$78,0),1),IF(E1627=5,INDEX(ref_exp_dist,MATCH(B1627,'Refined Petro Exp Dist'!$B$6:$B$78,0),MATCH(C1627,'Refined Petro Exp Dist'!$AD$2:$BC$2,0))*INDEX(ref_exp_by_year,MATCH(B1627,'Data Export'!$B$6:$B$78,0),1)))</f>
        <v>0</v>
      </c>
      <c r="E1627">
        <v>4</v>
      </c>
      <c r="F1627" t="s">
        <v>213</v>
      </c>
    </row>
    <row r="1628" spans="1:6">
      <c r="A1628" t="str">
        <f t="shared" si="25"/>
        <v>GenericE&amp;DtemplateCIandGOA</v>
      </c>
      <c r="B1628">
        <v>63</v>
      </c>
      <c r="C1628">
        <v>15</v>
      </c>
      <c r="D1628" s="649">
        <f ca="1">IF(E1628=4,INDEX(crude_exp_dist,MATCH(B1628,'Crude Exp Dist'!$B$6:$B$78,0),MATCH(C1628,'Crude Exp Dist'!$AD$2:$BC$2,0))*INDEX(crude_exp_by_year,MATCH(B1628,'Data Export'!$B$6:$B$78,0),1),IF(E1628=5,INDEX(ref_exp_dist,MATCH(B1628,'Refined Petro Exp Dist'!$B$6:$B$78,0),MATCH(C1628,'Refined Petro Exp Dist'!$AD$2:$BC$2,0))*INDEX(ref_exp_by_year,MATCH(B1628,'Data Export'!$B$6:$B$78,0),1)))</f>
        <v>0</v>
      </c>
      <c r="E1628">
        <v>4</v>
      </c>
      <c r="F1628" t="s">
        <v>215</v>
      </c>
    </row>
    <row r="1629" spans="1:6">
      <c r="A1629" t="str">
        <f t="shared" si="25"/>
        <v>GenericE&amp;DtemplateCIandGOA</v>
      </c>
      <c r="B1629">
        <v>63</v>
      </c>
      <c r="C1629">
        <v>16</v>
      </c>
      <c r="D1629" s="649">
        <f ca="1">IF(E1629=4,INDEX(crude_exp_dist,MATCH(B1629,'Crude Exp Dist'!$B$6:$B$78,0),MATCH(C1629,'Crude Exp Dist'!$AD$2:$BC$2,0))*INDEX(crude_exp_by_year,MATCH(B1629,'Data Export'!$B$6:$B$78,0),1),IF(E1629=5,INDEX(ref_exp_dist,MATCH(B1629,'Refined Petro Exp Dist'!$B$6:$B$78,0),MATCH(C1629,'Refined Petro Exp Dist'!$AD$2:$BC$2,0))*INDEX(ref_exp_by_year,MATCH(B1629,'Data Export'!$B$6:$B$78,0),1)))</f>
        <v>0</v>
      </c>
      <c r="E1629">
        <v>4</v>
      </c>
      <c r="F1629" t="s">
        <v>219</v>
      </c>
    </row>
    <row r="1630" spans="1:6">
      <c r="A1630" t="str">
        <f t="shared" si="25"/>
        <v>GenericE&amp;DtemplateCIandGOA</v>
      </c>
      <c r="B1630">
        <v>63</v>
      </c>
      <c r="C1630">
        <v>17</v>
      </c>
      <c r="D1630" s="649">
        <f ca="1">IF(E1630=4,INDEX(crude_exp_dist,MATCH(B1630,'Crude Exp Dist'!$B$6:$B$78,0),MATCH(C1630,'Crude Exp Dist'!$AD$2:$BC$2,0))*INDEX(crude_exp_by_year,MATCH(B1630,'Data Export'!$B$6:$B$78,0),1),IF(E1630=5,INDEX(ref_exp_dist,MATCH(B1630,'Refined Petro Exp Dist'!$B$6:$B$78,0),MATCH(C1630,'Refined Petro Exp Dist'!$AD$2:$BC$2,0))*INDEX(ref_exp_by_year,MATCH(B1630,'Data Export'!$B$6:$B$78,0),1)))</f>
        <v>0</v>
      </c>
      <c r="E1630">
        <v>4</v>
      </c>
      <c r="F1630" t="s">
        <v>222</v>
      </c>
    </row>
    <row r="1631" spans="1:6">
      <c r="A1631" t="str">
        <f t="shared" si="25"/>
        <v>GenericE&amp;DtemplateCIandGOA</v>
      </c>
      <c r="B1631">
        <v>63</v>
      </c>
      <c r="C1631">
        <v>18</v>
      </c>
      <c r="D1631" s="649">
        <f ca="1">IF(E1631=4,INDEX(crude_exp_dist,MATCH(B1631,'Crude Exp Dist'!$B$6:$B$78,0),MATCH(C1631,'Crude Exp Dist'!$AD$2:$BC$2,0))*INDEX(crude_exp_by_year,MATCH(B1631,'Data Export'!$B$6:$B$78,0),1),IF(E1631=5,INDEX(ref_exp_dist,MATCH(B1631,'Refined Petro Exp Dist'!$B$6:$B$78,0),MATCH(C1631,'Refined Petro Exp Dist'!$AD$2:$BC$2,0))*INDEX(ref_exp_by_year,MATCH(B1631,'Data Export'!$B$6:$B$78,0),1)))</f>
        <v>0</v>
      </c>
      <c r="E1631">
        <v>4</v>
      </c>
      <c r="F1631" t="s">
        <v>224</v>
      </c>
    </row>
    <row r="1632" spans="1:6">
      <c r="A1632" t="str">
        <f t="shared" si="25"/>
        <v>GenericE&amp;DtemplateCIandGOA</v>
      </c>
      <c r="B1632">
        <v>63</v>
      </c>
      <c r="C1632">
        <v>19</v>
      </c>
      <c r="D1632" s="649">
        <f ca="1">IF(E1632=4,INDEX(crude_exp_dist,MATCH(B1632,'Crude Exp Dist'!$B$6:$B$78,0),MATCH(C1632,'Crude Exp Dist'!$AD$2:$BC$2,0))*INDEX(crude_exp_by_year,MATCH(B1632,'Data Export'!$B$6:$B$78,0),1),IF(E1632=5,INDEX(ref_exp_dist,MATCH(B1632,'Refined Petro Exp Dist'!$B$6:$B$78,0),MATCH(C1632,'Refined Petro Exp Dist'!$AD$2:$BC$2,0))*INDEX(ref_exp_by_year,MATCH(B1632,'Data Export'!$B$6:$B$78,0),1)))</f>
        <v>0</v>
      </c>
      <c r="E1632">
        <v>4</v>
      </c>
      <c r="F1632" t="s">
        <v>228</v>
      </c>
    </row>
    <row r="1633" spans="1:6">
      <c r="A1633" t="str">
        <f t="shared" si="25"/>
        <v>GenericE&amp;DtemplateCIandGOA</v>
      </c>
      <c r="B1633">
        <v>63</v>
      </c>
      <c r="C1633">
        <v>20</v>
      </c>
      <c r="D1633" s="649">
        <f ca="1">IF(E1633=4,INDEX(crude_exp_dist,MATCH(B1633,'Crude Exp Dist'!$B$6:$B$78,0),MATCH(C1633,'Crude Exp Dist'!$AD$2:$BC$2,0))*INDEX(crude_exp_by_year,MATCH(B1633,'Data Export'!$B$6:$B$78,0),1),IF(E1633=5,INDEX(ref_exp_dist,MATCH(B1633,'Refined Petro Exp Dist'!$B$6:$B$78,0),MATCH(C1633,'Refined Petro Exp Dist'!$AD$2:$BC$2,0))*INDEX(ref_exp_by_year,MATCH(B1633,'Data Export'!$B$6:$B$78,0),1)))</f>
        <v>0</v>
      </c>
      <c r="E1633">
        <v>4</v>
      </c>
      <c r="F1633" t="s">
        <v>231</v>
      </c>
    </row>
    <row r="1634" spans="1:6">
      <c r="A1634" t="str">
        <f t="shared" si="25"/>
        <v>GenericE&amp;DtemplateCIandGOA</v>
      </c>
      <c r="B1634">
        <v>63</v>
      </c>
      <c r="C1634">
        <v>21</v>
      </c>
      <c r="D1634" s="649">
        <f ca="1">IF(E1634=4,INDEX(crude_exp_dist,MATCH(B1634,'Crude Exp Dist'!$B$6:$B$78,0),MATCH(C1634,'Crude Exp Dist'!$AD$2:$BC$2,0))*INDEX(crude_exp_by_year,MATCH(B1634,'Data Export'!$B$6:$B$78,0),1),IF(E1634=5,INDEX(ref_exp_dist,MATCH(B1634,'Refined Petro Exp Dist'!$B$6:$B$78,0),MATCH(C1634,'Refined Petro Exp Dist'!$AD$2:$BC$2,0))*INDEX(ref_exp_by_year,MATCH(B1634,'Data Export'!$B$6:$B$78,0),1)))</f>
        <v>0</v>
      </c>
      <c r="E1634">
        <v>4</v>
      </c>
      <c r="F1634" t="s">
        <v>232</v>
      </c>
    </row>
    <row r="1635" spans="1:6">
      <c r="A1635" t="str">
        <f t="shared" si="25"/>
        <v>GenericE&amp;DtemplateCIandGOA</v>
      </c>
      <c r="B1635">
        <v>63</v>
      </c>
      <c r="C1635">
        <v>22</v>
      </c>
      <c r="D1635" s="649">
        <f ca="1">IF(E1635=4,INDEX(crude_exp_dist,MATCH(B1635,'Crude Exp Dist'!$B$6:$B$78,0),MATCH(C1635,'Crude Exp Dist'!$AD$2:$BC$2,0))*INDEX(crude_exp_by_year,MATCH(B1635,'Data Export'!$B$6:$B$78,0),1),IF(E1635=5,INDEX(ref_exp_dist,MATCH(B1635,'Refined Petro Exp Dist'!$B$6:$B$78,0),MATCH(C1635,'Refined Petro Exp Dist'!$AD$2:$BC$2,0))*INDEX(ref_exp_by_year,MATCH(B1635,'Data Export'!$B$6:$B$78,0),1)))</f>
        <v>0</v>
      </c>
      <c r="E1635">
        <v>4</v>
      </c>
      <c r="F1635" t="s">
        <v>235</v>
      </c>
    </row>
    <row r="1636" spans="1:6">
      <c r="A1636" t="str">
        <f t="shared" si="25"/>
        <v>GenericE&amp;DtemplateCIandGOA</v>
      </c>
      <c r="B1636">
        <v>63</v>
      </c>
      <c r="C1636">
        <v>23</v>
      </c>
      <c r="D1636" s="649">
        <f ca="1">IF(E1636=4,INDEX(crude_exp_dist,MATCH(B1636,'Crude Exp Dist'!$B$6:$B$78,0),MATCH(C1636,'Crude Exp Dist'!$AD$2:$BC$2,0))*INDEX(crude_exp_by_year,MATCH(B1636,'Data Export'!$B$6:$B$78,0),1),IF(E1636=5,INDEX(ref_exp_dist,MATCH(B1636,'Refined Petro Exp Dist'!$B$6:$B$78,0),MATCH(C1636,'Refined Petro Exp Dist'!$AD$2:$BC$2,0))*INDEX(ref_exp_by_year,MATCH(B1636,'Data Export'!$B$6:$B$78,0),1)))</f>
        <v>0</v>
      </c>
      <c r="E1636">
        <v>4</v>
      </c>
      <c r="F1636" t="s">
        <v>237</v>
      </c>
    </row>
    <row r="1637" spans="1:6">
      <c r="A1637" t="str">
        <f t="shared" si="25"/>
        <v>GenericE&amp;DtemplateCIandGOA</v>
      </c>
      <c r="B1637">
        <v>63</v>
      </c>
      <c r="C1637">
        <v>24</v>
      </c>
      <c r="D1637" s="649">
        <f ca="1">IF(E1637=4,INDEX(crude_exp_dist,MATCH(B1637,'Crude Exp Dist'!$B$6:$B$78,0),MATCH(C1637,'Crude Exp Dist'!$AD$2:$BC$2,0))*INDEX(crude_exp_by_year,MATCH(B1637,'Data Export'!$B$6:$B$78,0),1),IF(E1637=5,INDEX(ref_exp_dist,MATCH(B1637,'Refined Petro Exp Dist'!$B$6:$B$78,0),MATCH(C1637,'Refined Petro Exp Dist'!$AD$2:$BC$2,0))*INDEX(ref_exp_by_year,MATCH(B1637,'Data Export'!$B$6:$B$78,0),1)))</f>
        <v>0</v>
      </c>
      <c r="E1637">
        <v>4</v>
      </c>
      <c r="F1637" t="s">
        <v>239</v>
      </c>
    </row>
    <row r="1638" spans="1:6">
      <c r="A1638" t="str">
        <f t="shared" si="25"/>
        <v>GenericE&amp;DtemplateCIandGOA</v>
      </c>
      <c r="B1638">
        <v>63</v>
      </c>
      <c r="C1638">
        <v>25</v>
      </c>
      <c r="D1638" s="649">
        <f ca="1">IF(E1638=4,INDEX(crude_exp_dist,MATCH(B1638,'Crude Exp Dist'!$B$6:$B$78,0),MATCH(C1638,'Crude Exp Dist'!$AD$2:$BC$2,0))*INDEX(crude_exp_by_year,MATCH(B1638,'Data Export'!$B$6:$B$78,0),1),IF(E1638=5,INDEX(ref_exp_dist,MATCH(B1638,'Refined Petro Exp Dist'!$B$6:$B$78,0),MATCH(C1638,'Refined Petro Exp Dist'!$AD$2:$BC$2,0))*INDEX(ref_exp_by_year,MATCH(B1638,'Data Export'!$B$6:$B$78,0),1)))</f>
        <v>0</v>
      </c>
      <c r="E1638">
        <v>4</v>
      </c>
      <c r="F1638" t="s">
        <v>242</v>
      </c>
    </row>
    <row r="1639" spans="1:6">
      <c r="A1639" t="str">
        <f t="shared" si="25"/>
        <v>GenericE&amp;DtemplateCIandGOA</v>
      </c>
      <c r="B1639">
        <v>63</v>
      </c>
      <c r="C1639">
        <v>26</v>
      </c>
      <c r="D1639" s="649">
        <f ca="1">IF(E1639=4,INDEX(crude_exp_dist,MATCH(B1639,'Crude Exp Dist'!$B$6:$B$78,0),MATCH(C1639,'Crude Exp Dist'!$AD$2:$BC$2,0))*INDEX(crude_exp_by_year,MATCH(B1639,'Data Export'!$B$6:$B$78,0),1),IF(E1639=5,INDEX(ref_exp_dist,MATCH(B1639,'Refined Petro Exp Dist'!$B$6:$B$78,0),MATCH(C1639,'Refined Petro Exp Dist'!$AD$2:$BC$2,0))*INDEX(ref_exp_by_year,MATCH(B1639,'Data Export'!$B$6:$B$78,0),1)))</f>
        <v>0</v>
      </c>
      <c r="E1639">
        <v>4</v>
      </c>
      <c r="F1639" t="s">
        <v>245</v>
      </c>
    </row>
    <row r="1640" spans="1:6">
      <c r="A1640" t="str">
        <f t="shared" si="25"/>
        <v>GenericE&amp;DtemplateCIandGOA</v>
      </c>
      <c r="B1640">
        <v>64</v>
      </c>
      <c r="C1640">
        <v>1</v>
      </c>
      <c r="D1640" s="649">
        <f ca="1">IF(E1640=4,INDEX(crude_exp_dist,MATCH(B1640,'Crude Exp Dist'!$B$6:$B$78,0),MATCH(C1640,'Crude Exp Dist'!$AD$2:$BC$2,0))*INDEX(crude_exp_by_year,MATCH(B1640,'Data Export'!$B$6:$B$78,0),1),IF(E1640=5,INDEX(ref_exp_dist,MATCH(B1640,'Refined Petro Exp Dist'!$B$6:$B$78,0),MATCH(C1640,'Refined Petro Exp Dist'!$AD$2:$BC$2,0))*INDEX(ref_exp_by_year,MATCH(B1640,'Data Export'!$B$6:$B$78,0),1)))</f>
        <v>0</v>
      </c>
      <c r="E1640">
        <v>4</v>
      </c>
      <c r="F1640" t="s">
        <v>158</v>
      </c>
    </row>
    <row r="1641" spans="1:6">
      <c r="A1641" t="str">
        <f t="shared" si="25"/>
        <v>GenericE&amp;DtemplateCIandGOA</v>
      </c>
      <c r="B1641">
        <v>64</v>
      </c>
      <c r="C1641">
        <v>2</v>
      </c>
      <c r="D1641" s="649">
        <f ca="1">IF(E1641=4,INDEX(crude_exp_dist,MATCH(B1641,'Crude Exp Dist'!$B$6:$B$78,0),MATCH(C1641,'Crude Exp Dist'!$AD$2:$BC$2,0))*INDEX(crude_exp_by_year,MATCH(B1641,'Data Export'!$B$6:$B$78,0),1),IF(E1641=5,INDEX(ref_exp_dist,MATCH(B1641,'Refined Petro Exp Dist'!$B$6:$B$78,0),MATCH(C1641,'Refined Petro Exp Dist'!$AD$2:$BC$2,0))*INDEX(ref_exp_by_year,MATCH(B1641,'Data Export'!$B$6:$B$78,0),1)))</f>
        <v>0</v>
      </c>
      <c r="E1641">
        <v>4</v>
      </c>
      <c r="F1641" t="s">
        <v>166</v>
      </c>
    </row>
    <row r="1642" spans="1:6">
      <c r="A1642" t="str">
        <f t="shared" si="25"/>
        <v>GenericE&amp;DtemplateCIandGOA</v>
      </c>
      <c r="B1642">
        <v>64</v>
      </c>
      <c r="C1642">
        <v>3</v>
      </c>
      <c r="D1642" s="649">
        <f ca="1">IF(E1642=4,INDEX(crude_exp_dist,MATCH(B1642,'Crude Exp Dist'!$B$6:$B$78,0),MATCH(C1642,'Crude Exp Dist'!$AD$2:$BC$2,0))*INDEX(crude_exp_by_year,MATCH(B1642,'Data Export'!$B$6:$B$78,0),1),IF(E1642=5,INDEX(ref_exp_dist,MATCH(B1642,'Refined Petro Exp Dist'!$B$6:$B$78,0),MATCH(C1642,'Refined Petro Exp Dist'!$AD$2:$BC$2,0))*INDEX(ref_exp_by_year,MATCH(B1642,'Data Export'!$B$6:$B$78,0),1)))</f>
        <v>0</v>
      </c>
      <c r="E1642">
        <v>4</v>
      </c>
      <c r="F1642" t="s">
        <v>171</v>
      </c>
    </row>
    <row r="1643" spans="1:6">
      <c r="A1643" t="str">
        <f t="shared" si="25"/>
        <v>GenericE&amp;DtemplateCIandGOA</v>
      </c>
      <c r="B1643">
        <v>64</v>
      </c>
      <c r="C1643">
        <v>4</v>
      </c>
      <c r="D1643" s="649">
        <f ca="1">IF(E1643=4,INDEX(crude_exp_dist,MATCH(B1643,'Crude Exp Dist'!$B$6:$B$78,0),MATCH(C1643,'Crude Exp Dist'!$AD$2:$BC$2,0))*INDEX(crude_exp_by_year,MATCH(B1643,'Data Export'!$B$6:$B$78,0),1),IF(E1643=5,INDEX(ref_exp_dist,MATCH(B1643,'Refined Petro Exp Dist'!$B$6:$B$78,0),MATCH(C1643,'Refined Petro Exp Dist'!$AD$2:$BC$2,0))*INDEX(ref_exp_by_year,MATCH(B1643,'Data Export'!$B$6:$B$78,0),1)))</f>
        <v>0</v>
      </c>
      <c r="E1643">
        <v>4</v>
      </c>
      <c r="F1643" t="s">
        <v>173</v>
      </c>
    </row>
    <row r="1644" spans="1:6">
      <c r="A1644" t="str">
        <f t="shared" si="25"/>
        <v>GenericE&amp;DtemplateCIandGOA</v>
      </c>
      <c r="B1644">
        <v>64</v>
      </c>
      <c r="C1644">
        <v>5</v>
      </c>
      <c r="D1644" s="649">
        <f ca="1">IF(E1644=4,INDEX(crude_exp_dist,MATCH(B1644,'Crude Exp Dist'!$B$6:$B$78,0),MATCH(C1644,'Crude Exp Dist'!$AD$2:$BC$2,0))*INDEX(crude_exp_by_year,MATCH(B1644,'Data Export'!$B$6:$B$78,0),1),IF(E1644=5,INDEX(ref_exp_dist,MATCH(B1644,'Refined Petro Exp Dist'!$B$6:$B$78,0),MATCH(C1644,'Refined Petro Exp Dist'!$AD$2:$BC$2,0))*INDEX(ref_exp_by_year,MATCH(B1644,'Data Export'!$B$6:$B$78,0),1)))</f>
        <v>0</v>
      </c>
      <c r="E1644">
        <v>4</v>
      </c>
      <c r="F1644" t="s">
        <v>180</v>
      </c>
    </row>
    <row r="1645" spans="1:6">
      <c r="A1645" t="str">
        <f t="shared" si="25"/>
        <v>GenericE&amp;DtemplateCIandGOA</v>
      </c>
      <c r="B1645">
        <v>64</v>
      </c>
      <c r="C1645">
        <v>6</v>
      </c>
      <c r="D1645" s="649">
        <f ca="1">IF(E1645=4,INDEX(crude_exp_dist,MATCH(B1645,'Crude Exp Dist'!$B$6:$B$78,0),MATCH(C1645,'Crude Exp Dist'!$AD$2:$BC$2,0))*INDEX(crude_exp_by_year,MATCH(B1645,'Data Export'!$B$6:$B$78,0),1),IF(E1645=5,INDEX(ref_exp_dist,MATCH(B1645,'Refined Petro Exp Dist'!$B$6:$B$78,0),MATCH(C1645,'Refined Petro Exp Dist'!$AD$2:$BC$2,0))*INDEX(ref_exp_by_year,MATCH(B1645,'Data Export'!$B$6:$B$78,0),1)))</f>
        <v>0</v>
      </c>
      <c r="E1645">
        <v>4</v>
      </c>
      <c r="F1645" t="s">
        <v>186</v>
      </c>
    </row>
    <row r="1646" spans="1:6">
      <c r="A1646" t="str">
        <f t="shared" si="25"/>
        <v>GenericE&amp;DtemplateCIandGOA</v>
      </c>
      <c r="B1646">
        <v>64</v>
      </c>
      <c r="C1646">
        <v>7</v>
      </c>
      <c r="D1646" s="649">
        <f ca="1">IF(E1646=4,INDEX(crude_exp_dist,MATCH(B1646,'Crude Exp Dist'!$B$6:$B$78,0),MATCH(C1646,'Crude Exp Dist'!$AD$2:$BC$2,0))*INDEX(crude_exp_by_year,MATCH(B1646,'Data Export'!$B$6:$B$78,0),1),IF(E1646=5,INDEX(ref_exp_dist,MATCH(B1646,'Refined Petro Exp Dist'!$B$6:$B$78,0),MATCH(C1646,'Refined Petro Exp Dist'!$AD$2:$BC$2,0))*INDEX(ref_exp_by_year,MATCH(B1646,'Data Export'!$B$6:$B$78,0),1)))</f>
        <v>0</v>
      </c>
      <c r="E1646">
        <v>4</v>
      </c>
      <c r="F1646" t="s">
        <v>191</v>
      </c>
    </row>
    <row r="1647" spans="1:6">
      <c r="A1647" t="str">
        <f t="shared" si="25"/>
        <v>GenericE&amp;DtemplateCIandGOA</v>
      </c>
      <c r="B1647">
        <v>64</v>
      </c>
      <c r="C1647">
        <v>8</v>
      </c>
      <c r="D1647" s="649">
        <f ca="1">IF(E1647=4,INDEX(crude_exp_dist,MATCH(B1647,'Crude Exp Dist'!$B$6:$B$78,0),MATCH(C1647,'Crude Exp Dist'!$AD$2:$BC$2,0))*INDEX(crude_exp_by_year,MATCH(B1647,'Data Export'!$B$6:$B$78,0),1),IF(E1647=5,INDEX(ref_exp_dist,MATCH(B1647,'Refined Petro Exp Dist'!$B$6:$B$78,0),MATCH(C1647,'Refined Petro Exp Dist'!$AD$2:$BC$2,0))*INDEX(ref_exp_by_year,MATCH(B1647,'Data Export'!$B$6:$B$78,0),1)))</f>
        <v>0</v>
      </c>
      <c r="E1647">
        <v>4</v>
      </c>
      <c r="F1647" t="s">
        <v>197</v>
      </c>
    </row>
    <row r="1648" spans="1:6">
      <c r="A1648" t="str">
        <f t="shared" si="25"/>
        <v>GenericE&amp;DtemplateCIandGOA</v>
      </c>
      <c r="B1648">
        <v>64</v>
      </c>
      <c r="C1648">
        <v>9</v>
      </c>
      <c r="D1648" s="649">
        <f ca="1">IF(E1648=4,INDEX(crude_exp_dist,MATCH(B1648,'Crude Exp Dist'!$B$6:$B$78,0),MATCH(C1648,'Crude Exp Dist'!$AD$2:$BC$2,0))*INDEX(crude_exp_by_year,MATCH(B1648,'Data Export'!$B$6:$B$78,0),1),IF(E1648=5,INDEX(ref_exp_dist,MATCH(B1648,'Refined Petro Exp Dist'!$B$6:$B$78,0),MATCH(C1648,'Refined Petro Exp Dist'!$AD$2:$BC$2,0))*INDEX(ref_exp_by_year,MATCH(B1648,'Data Export'!$B$6:$B$78,0),1)))</f>
        <v>0</v>
      </c>
      <c r="E1648">
        <v>4</v>
      </c>
      <c r="F1648" t="s">
        <v>199</v>
      </c>
    </row>
    <row r="1649" spans="1:6">
      <c r="A1649" t="str">
        <f t="shared" si="25"/>
        <v>GenericE&amp;DtemplateCIandGOA</v>
      </c>
      <c r="B1649">
        <v>64</v>
      </c>
      <c r="C1649">
        <v>10</v>
      </c>
      <c r="D1649" s="649">
        <f ca="1">IF(E1649=4,INDEX(crude_exp_dist,MATCH(B1649,'Crude Exp Dist'!$B$6:$B$78,0),MATCH(C1649,'Crude Exp Dist'!$AD$2:$BC$2,0))*INDEX(crude_exp_by_year,MATCH(B1649,'Data Export'!$B$6:$B$78,0),1),IF(E1649=5,INDEX(ref_exp_dist,MATCH(B1649,'Refined Petro Exp Dist'!$B$6:$B$78,0),MATCH(C1649,'Refined Petro Exp Dist'!$AD$2:$BC$2,0))*INDEX(ref_exp_by_year,MATCH(B1649,'Data Export'!$B$6:$B$78,0),1)))</f>
        <v>0</v>
      </c>
      <c r="E1649">
        <v>4</v>
      </c>
      <c r="F1649" t="s">
        <v>201</v>
      </c>
    </row>
    <row r="1650" spans="1:6">
      <c r="A1650" t="str">
        <f t="shared" si="25"/>
        <v>GenericE&amp;DtemplateCIandGOA</v>
      </c>
      <c r="B1650">
        <v>64</v>
      </c>
      <c r="C1650">
        <v>11</v>
      </c>
      <c r="D1650" s="649">
        <f ca="1">IF(E1650=4,INDEX(crude_exp_dist,MATCH(B1650,'Crude Exp Dist'!$B$6:$B$78,0),MATCH(C1650,'Crude Exp Dist'!$AD$2:$BC$2,0))*INDEX(crude_exp_by_year,MATCH(B1650,'Data Export'!$B$6:$B$78,0),1),IF(E1650=5,INDEX(ref_exp_dist,MATCH(B1650,'Refined Petro Exp Dist'!$B$6:$B$78,0),MATCH(C1650,'Refined Petro Exp Dist'!$AD$2:$BC$2,0))*INDEX(ref_exp_by_year,MATCH(B1650,'Data Export'!$B$6:$B$78,0),1)))</f>
        <v>0</v>
      </c>
      <c r="E1650">
        <v>4</v>
      </c>
      <c r="F1650" t="s">
        <v>921</v>
      </c>
    </row>
    <row r="1651" spans="1:6">
      <c r="A1651" t="str">
        <f t="shared" si="25"/>
        <v>GenericE&amp;DtemplateCIandGOA</v>
      </c>
      <c r="B1651">
        <v>64</v>
      </c>
      <c r="C1651">
        <v>12</v>
      </c>
      <c r="D1651" s="649">
        <f ca="1">IF(E1651=4,INDEX(crude_exp_dist,MATCH(B1651,'Crude Exp Dist'!$B$6:$B$78,0),MATCH(C1651,'Crude Exp Dist'!$AD$2:$BC$2,0))*INDEX(crude_exp_by_year,MATCH(B1651,'Data Export'!$B$6:$B$78,0),1),IF(E1651=5,INDEX(ref_exp_dist,MATCH(B1651,'Refined Petro Exp Dist'!$B$6:$B$78,0),MATCH(C1651,'Refined Petro Exp Dist'!$AD$2:$BC$2,0))*INDEX(ref_exp_by_year,MATCH(B1651,'Data Export'!$B$6:$B$78,0),1)))</f>
        <v>0</v>
      </c>
      <c r="E1651">
        <v>4</v>
      </c>
      <c r="F1651" t="s">
        <v>208</v>
      </c>
    </row>
    <row r="1652" spans="1:6">
      <c r="A1652" t="str">
        <f t="shared" si="25"/>
        <v>GenericE&amp;DtemplateCIandGOA</v>
      </c>
      <c r="B1652">
        <v>64</v>
      </c>
      <c r="C1652">
        <v>13</v>
      </c>
      <c r="D1652" s="649">
        <f ca="1">IF(E1652=4,INDEX(crude_exp_dist,MATCH(B1652,'Crude Exp Dist'!$B$6:$B$78,0),MATCH(C1652,'Crude Exp Dist'!$AD$2:$BC$2,0))*INDEX(crude_exp_by_year,MATCH(B1652,'Data Export'!$B$6:$B$78,0),1),IF(E1652=5,INDEX(ref_exp_dist,MATCH(B1652,'Refined Petro Exp Dist'!$B$6:$B$78,0),MATCH(C1652,'Refined Petro Exp Dist'!$AD$2:$BC$2,0))*INDEX(ref_exp_by_year,MATCH(B1652,'Data Export'!$B$6:$B$78,0),1)))</f>
        <v>0</v>
      </c>
      <c r="E1652">
        <v>4</v>
      </c>
      <c r="F1652" t="s">
        <v>211</v>
      </c>
    </row>
    <row r="1653" spans="1:6">
      <c r="A1653" t="str">
        <f t="shared" si="25"/>
        <v>GenericE&amp;DtemplateCIandGOA</v>
      </c>
      <c r="B1653">
        <v>64</v>
      </c>
      <c r="C1653">
        <v>14</v>
      </c>
      <c r="D1653" s="649">
        <f ca="1">IF(E1653=4,INDEX(crude_exp_dist,MATCH(B1653,'Crude Exp Dist'!$B$6:$B$78,0),MATCH(C1653,'Crude Exp Dist'!$AD$2:$BC$2,0))*INDEX(crude_exp_by_year,MATCH(B1653,'Data Export'!$B$6:$B$78,0),1),IF(E1653=5,INDEX(ref_exp_dist,MATCH(B1653,'Refined Petro Exp Dist'!$B$6:$B$78,0),MATCH(C1653,'Refined Petro Exp Dist'!$AD$2:$BC$2,0))*INDEX(ref_exp_by_year,MATCH(B1653,'Data Export'!$B$6:$B$78,0),1)))</f>
        <v>0</v>
      </c>
      <c r="E1653">
        <v>4</v>
      </c>
      <c r="F1653" t="s">
        <v>213</v>
      </c>
    </row>
    <row r="1654" spans="1:6">
      <c r="A1654" t="str">
        <f t="shared" si="25"/>
        <v>GenericE&amp;DtemplateCIandGOA</v>
      </c>
      <c r="B1654">
        <v>64</v>
      </c>
      <c r="C1654">
        <v>15</v>
      </c>
      <c r="D1654" s="649">
        <f ca="1">IF(E1654=4,INDEX(crude_exp_dist,MATCH(B1654,'Crude Exp Dist'!$B$6:$B$78,0),MATCH(C1654,'Crude Exp Dist'!$AD$2:$BC$2,0))*INDEX(crude_exp_by_year,MATCH(B1654,'Data Export'!$B$6:$B$78,0),1),IF(E1654=5,INDEX(ref_exp_dist,MATCH(B1654,'Refined Petro Exp Dist'!$B$6:$B$78,0),MATCH(C1654,'Refined Petro Exp Dist'!$AD$2:$BC$2,0))*INDEX(ref_exp_by_year,MATCH(B1654,'Data Export'!$B$6:$B$78,0),1)))</f>
        <v>0</v>
      </c>
      <c r="E1654">
        <v>4</v>
      </c>
      <c r="F1654" t="s">
        <v>215</v>
      </c>
    </row>
    <row r="1655" spans="1:6">
      <c r="A1655" t="str">
        <f t="shared" si="25"/>
        <v>GenericE&amp;DtemplateCIandGOA</v>
      </c>
      <c r="B1655">
        <v>64</v>
      </c>
      <c r="C1655">
        <v>16</v>
      </c>
      <c r="D1655" s="649">
        <f ca="1">IF(E1655=4,INDEX(crude_exp_dist,MATCH(B1655,'Crude Exp Dist'!$B$6:$B$78,0),MATCH(C1655,'Crude Exp Dist'!$AD$2:$BC$2,0))*INDEX(crude_exp_by_year,MATCH(B1655,'Data Export'!$B$6:$B$78,0),1),IF(E1655=5,INDEX(ref_exp_dist,MATCH(B1655,'Refined Petro Exp Dist'!$B$6:$B$78,0),MATCH(C1655,'Refined Petro Exp Dist'!$AD$2:$BC$2,0))*INDEX(ref_exp_by_year,MATCH(B1655,'Data Export'!$B$6:$B$78,0),1)))</f>
        <v>0</v>
      </c>
      <c r="E1655">
        <v>4</v>
      </c>
      <c r="F1655" t="s">
        <v>219</v>
      </c>
    </row>
    <row r="1656" spans="1:6">
      <c r="A1656" t="str">
        <f t="shared" si="25"/>
        <v>GenericE&amp;DtemplateCIandGOA</v>
      </c>
      <c r="B1656">
        <v>64</v>
      </c>
      <c r="C1656">
        <v>17</v>
      </c>
      <c r="D1656" s="649">
        <f ca="1">IF(E1656=4,INDEX(crude_exp_dist,MATCH(B1656,'Crude Exp Dist'!$B$6:$B$78,0),MATCH(C1656,'Crude Exp Dist'!$AD$2:$BC$2,0))*INDEX(crude_exp_by_year,MATCH(B1656,'Data Export'!$B$6:$B$78,0),1),IF(E1656=5,INDEX(ref_exp_dist,MATCH(B1656,'Refined Petro Exp Dist'!$B$6:$B$78,0),MATCH(C1656,'Refined Petro Exp Dist'!$AD$2:$BC$2,0))*INDEX(ref_exp_by_year,MATCH(B1656,'Data Export'!$B$6:$B$78,0),1)))</f>
        <v>0</v>
      </c>
      <c r="E1656">
        <v>4</v>
      </c>
      <c r="F1656" t="s">
        <v>222</v>
      </c>
    </row>
    <row r="1657" spans="1:6">
      <c r="A1657" t="str">
        <f t="shared" si="25"/>
        <v>GenericE&amp;DtemplateCIandGOA</v>
      </c>
      <c r="B1657">
        <v>64</v>
      </c>
      <c r="C1657">
        <v>18</v>
      </c>
      <c r="D1657" s="649">
        <f ca="1">IF(E1657=4,INDEX(crude_exp_dist,MATCH(B1657,'Crude Exp Dist'!$B$6:$B$78,0),MATCH(C1657,'Crude Exp Dist'!$AD$2:$BC$2,0))*INDEX(crude_exp_by_year,MATCH(B1657,'Data Export'!$B$6:$B$78,0),1),IF(E1657=5,INDEX(ref_exp_dist,MATCH(B1657,'Refined Petro Exp Dist'!$B$6:$B$78,0),MATCH(C1657,'Refined Petro Exp Dist'!$AD$2:$BC$2,0))*INDEX(ref_exp_by_year,MATCH(B1657,'Data Export'!$B$6:$B$78,0),1)))</f>
        <v>0</v>
      </c>
      <c r="E1657">
        <v>4</v>
      </c>
      <c r="F1657" t="s">
        <v>224</v>
      </c>
    </row>
    <row r="1658" spans="1:6">
      <c r="A1658" t="str">
        <f t="shared" si="25"/>
        <v>GenericE&amp;DtemplateCIandGOA</v>
      </c>
      <c r="B1658">
        <v>64</v>
      </c>
      <c r="C1658">
        <v>19</v>
      </c>
      <c r="D1658" s="649">
        <f ca="1">IF(E1658=4,INDEX(crude_exp_dist,MATCH(B1658,'Crude Exp Dist'!$B$6:$B$78,0),MATCH(C1658,'Crude Exp Dist'!$AD$2:$BC$2,0))*INDEX(crude_exp_by_year,MATCH(B1658,'Data Export'!$B$6:$B$78,0),1),IF(E1658=5,INDEX(ref_exp_dist,MATCH(B1658,'Refined Petro Exp Dist'!$B$6:$B$78,0),MATCH(C1658,'Refined Petro Exp Dist'!$AD$2:$BC$2,0))*INDEX(ref_exp_by_year,MATCH(B1658,'Data Export'!$B$6:$B$78,0),1)))</f>
        <v>0</v>
      </c>
      <c r="E1658">
        <v>4</v>
      </c>
      <c r="F1658" t="s">
        <v>228</v>
      </c>
    </row>
    <row r="1659" spans="1:6">
      <c r="A1659" t="str">
        <f t="shared" si="25"/>
        <v>GenericE&amp;DtemplateCIandGOA</v>
      </c>
      <c r="B1659">
        <v>64</v>
      </c>
      <c r="C1659">
        <v>20</v>
      </c>
      <c r="D1659" s="649">
        <f ca="1">IF(E1659=4,INDEX(crude_exp_dist,MATCH(B1659,'Crude Exp Dist'!$B$6:$B$78,0),MATCH(C1659,'Crude Exp Dist'!$AD$2:$BC$2,0))*INDEX(crude_exp_by_year,MATCH(B1659,'Data Export'!$B$6:$B$78,0),1),IF(E1659=5,INDEX(ref_exp_dist,MATCH(B1659,'Refined Petro Exp Dist'!$B$6:$B$78,0),MATCH(C1659,'Refined Petro Exp Dist'!$AD$2:$BC$2,0))*INDEX(ref_exp_by_year,MATCH(B1659,'Data Export'!$B$6:$B$78,0),1)))</f>
        <v>0</v>
      </c>
      <c r="E1659">
        <v>4</v>
      </c>
      <c r="F1659" t="s">
        <v>231</v>
      </c>
    </row>
    <row r="1660" spans="1:6">
      <c r="A1660" t="str">
        <f t="shared" si="25"/>
        <v>GenericE&amp;DtemplateCIandGOA</v>
      </c>
      <c r="B1660">
        <v>64</v>
      </c>
      <c r="C1660">
        <v>21</v>
      </c>
      <c r="D1660" s="649">
        <f ca="1">IF(E1660=4,INDEX(crude_exp_dist,MATCH(B1660,'Crude Exp Dist'!$B$6:$B$78,0),MATCH(C1660,'Crude Exp Dist'!$AD$2:$BC$2,0))*INDEX(crude_exp_by_year,MATCH(B1660,'Data Export'!$B$6:$B$78,0),1),IF(E1660=5,INDEX(ref_exp_dist,MATCH(B1660,'Refined Petro Exp Dist'!$B$6:$B$78,0),MATCH(C1660,'Refined Petro Exp Dist'!$AD$2:$BC$2,0))*INDEX(ref_exp_by_year,MATCH(B1660,'Data Export'!$B$6:$B$78,0),1)))</f>
        <v>0</v>
      </c>
      <c r="E1660">
        <v>4</v>
      </c>
      <c r="F1660" t="s">
        <v>232</v>
      </c>
    </row>
    <row r="1661" spans="1:6">
      <c r="A1661" t="str">
        <f t="shared" si="25"/>
        <v>GenericE&amp;DtemplateCIandGOA</v>
      </c>
      <c r="B1661">
        <v>64</v>
      </c>
      <c r="C1661">
        <v>22</v>
      </c>
      <c r="D1661" s="649">
        <f ca="1">IF(E1661=4,INDEX(crude_exp_dist,MATCH(B1661,'Crude Exp Dist'!$B$6:$B$78,0),MATCH(C1661,'Crude Exp Dist'!$AD$2:$BC$2,0))*INDEX(crude_exp_by_year,MATCH(B1661,'Data Export'!$B$6:$B$78,0),1),IF(E1661=5,INDEX(ref_exp_dist,MATCH(B1661,'Refined Petro Exp Dist'!$B$6:$B$78,0),MATCH(C1661,'Refined Petro Exp Dist'!$AD$2:$BC$2,0))*INDEX(ref_exp_by_year,MATCH(B1661,'Data Export'!$B$6:$B$78,0),1)))</f>
        <v>0</v>
      </c>
      <c r="E1661">
        <v>4</v>
      </c>
      <c r="F1661" t="s">
        <v>235</v>
      </c>
    </row>
    <row r="1662" spans="1:6">
      <c r="A1662" t="str">
        <f t="shared" si="25"/>
        <v>GenericE&amp;DtemplateCIandGOA</v>
      </c>
      <c r="B1662">
        <v>64</v>
      </c>
      <c r="C1662">
        <v>23</v>
      </c>
      <c r="D1662" s="649">
        <f ca="1">IF(E1662=4,INDEX(crude_exp_dist,MATCH(B1662,'Crude Exp Dist'!$B$6:$B$78,0),MATCH(C1662,'Crude Exp Dist'!$AD$2:$BC$2,0))*INDEX(crude_exp_by_year,MATCH(B1662,'Data Export'!$B$6:$B$78,0),1),IF(E1662=5,INDEX(ref_exp_dist,MATCH(B1662,'Refined Petro Exp Dist'!$B$6:$B$78,0),MATCH(C1662,'Refined Petro Exp Dist'!$AD$2:$BC$2,0))*INDEX(ref_exp_by_year,MATCH(B1662,'Data Export'!$B$6:$B$78,0),1)))</f>
        <v>0</v>
      </c>
      <c r="E1662">
        <v>4</v>
      </c>
      <c r="F1662" t="s">
        <v>237</v>
      </c>
    </row>
    <row r="1663" spans="1:6">
      <c r="A1663" t="str">
        <f t="shared" si="25"/>
        <v>GenericE&amp;DtemplateCIandGOA</v>
      </c>
      <c r="B1663">
        <v>64</v>
      </c>
      <c r="C1663">
        <v>24</v>
      </c>
      <c r="D1663" s="649">
        <f ca="1">IF(E1663=4,INDEX(crude_exp_dist,MATCH(B1663,'Crude Exp Dist'!$B$6:$B$78,0),MATCH(C1663,'Crude Exp Dist'!$AD$2:$BC$2,0))*INDEX(crude_exp_by_year,MATCH(B1663,'Data Export'!$B$6:$B$78,0),1),IF(E1663=5,INDEX(ref_exp_dist,MATCH(B1663,'Refined Petro Exp Dist'!$B$6:$B$78,0),MATCH(C1663,'Refined Petro Exp Dist'!$AD$2:$BC$2,0))*INDEX(ref_exp_by_year,MATCH(B1663,'Data Export'!$B$6:$B$78,0),1)))</f>
        <v>0</v>
      </c>
      <c r="E1663">
        <v>4</v>
      </c>
      <c r="F1663" t="s">
        <v>239</v>
      </c>
    </row>
    <row r="1664" spans="1:6">
      <c r="A1664" t="str">
        <f t="shared" si="25"/>
        <v>GenericE&amp;DtemplateCIandGOA</v>
      </c>
      <c r="B1664">
        <v>64</v>
      </c>
      <c r="C1664">
        <v>25</v>
      </c>
      <c r="D1664" s="649">
        <f ca="1">IF(E1664=4,INDEX(crude_exp_dist,MATCH(B1664,'Crude Exp Dist'!$B$6:$B$78,0),MATCH(C1664,'Crude Exp Dist'!$AD$2:$BC$2,0))*INDEX(crude_exp_by_year,MATCH(B1664,'Data Export'!$B$6:$B$78,0),1),IF(E1664=5,INDEX(ref_exp_dist,MATCH(B1664,'Refined Petro Exp Dist'!$B$6:$B$78,0),MATCH(C1664,'Refined Petro Exp Dist'!$AD$2:$BC$2,0))*INDEX(ref_exp_by_year,MATCH(B1664,'Data Export'!$B$6:$B$78,0),1)))</f>
        <v>0</v>
      </c>
      <c r="E1664">
        <v>4</v>
      </c>
      <c r="F1664" t="s">
        <v>242</v>
      </c>
    </row>
    <row r="1665" spans="1:6">
      <c r="A1665" t="str">
        <f t="shared" si="25"/>
        <v>GenericE&amp;DtemplateCIandGOA</v>
      </c>
      <c r="B1665">
        <v>64</v>
      </c>
      <c r="C1665">
        <v>26</v>
      </c>
      <c r="D1665" s="649">
        <f ca="1">IF(E1665=4,INDEX(crude_exp_dist,MATCH(B1665,'Crude Exp Dist'!$B$6:$B$78,0),MATCH(C1665,'Crude Exp Dist'!$AD$2:$BC$2,0))*INDEX(crude_exp_by_year,MATCH(B1665,'Data Export'!$B$6:$B$78,0),1),IF(E1665=5,INDEX(ref_exp_dist,MATCH(B1665,'Refined Petro Exp Dist'!$B$6:$B$78,0),MATCH(C1665,'Refined Petro Exp Dist'!$AD$2:$BC$2,0))*INDEX(ref_exp_by_year,MATCH(B1665,'Data Export'!$B$6:$B$78,0),1)))</f>
        <v>0</v>
      </c>
      <c r="E1665">
        <v>4</v>
      </c>
      <c r="F1665" t="s">
        <v>245</v>
      </c>
    </row>
    <row r="1666" spans="1:6">
      <c r="A1666" t="str">
        <f t="shared" ref="A1666:A1729" si="26">scenario_name</f>
        <v>GenericE&amp;DtemplateCIandGOA</v>
      </c>
      <c r="B1666">
        <v>65</v>
      </c>
      <c r="C1666">
        <v>1</v>
      </c>
      <c r="D1666" s="649">
        <f ca="1">IF(E1666=4,INDEX(crude_exp_dist,MATCH(B1666,'Crude Exp Dist'!$B$6:$B$78,0),MATCH(C1666,'Crude Exp Dist'!$AD$2:$BC$2,0))*INDEX(crude_exp_by_year,MATCH(B1666,'Data Export'!$B$6:$B$78,0),1),IF(E1666=5,INDEX(ref_exp_dist,MATCH(B1666,'Refined Petro Exp Dist'!$B$6:$B$78,0),MATCH(C1666,'Refined Petro Exp Dist'!$AD$2:$BC$2,0))*INDEX(ref_exp_by_year,MATCH(B1666,'Data Export'!$B$6:$B$78,0),1)))</f>
        <v>0</v>
      </c>
      <c r="E1666">
        <v>4</v>
      </c>
      <c r="F1666" t="s">
        <v>158</v>
      </c>
    </row>
    <row r="1667" spans="1:6">
      <c r="A1667" t="str">
        <f t="shared" si="26"/>
        <v>GenericE&amp;DtemplateCIandGOA</v>
      </c>
      <c r="B1667">
        <v>65</v>
      </c>
      <c r="C1667">
        <v>2</v>
      </c>
      <c r="D1667" s="649">
        <f ca="1">IF(E1667=4,INDEX(crude_exp_dist,MATCH(B1667,'Crude Exp Dist'!$B$6:$B$78,0),MATCH(C1667,'Crude Exp Dist'!$AD$2:$BC$2,0))*INDEX(crude_exp_by_year,MATCH(B1667,'Data Export'!$B$6:$B$78,0),1),IF(E1667=5,INDEX(ref_exp_dist,MATCH(B1667,'Refined Petro Exp Dist'!$B$6:$B$78,0),MATCH(C1667,'Refined Petro Exp Dist'!$AD$2:$BC$2,0))*INDEX(ref_exp_by_year,MATCH(B1667,'Data Export'!$B$6:$B$78,0),1)))</f>
        <v>0</v>
      </c>
      <c r="E1667">
        <v>4</v>
      </c>
      <c r="F1667" t="s">
        <v>166</v>
      </c>
    </row>
    <row r="1668" spans="1:6">
      <c r="A1668" t="str">
        <f t="shared" si="26"/>
        <v>GenericE&amp;DtemplateCIandGOA</v>
      </c>
      <c r="B1668">
        <v>65</v>
      </c>
      <c r="C1668">
        <v>3</v>
      </c>
      <c r="D1668" s="649">
        <f ca="1">IF(E1668=4,INDEX(crude_exp_dist,MATCH(B1668,'Crude Exp Dist'!$B$6:$B$78,0),MATCH(C1668,'Crude Exp Dist'!$AD$2:$BC$2,0))*INDEX(crude_exp_by_year,MATCH(B1668,'Data Export'!$B$6:$B$78,0),1),IF(E1668=5,INDEX(ref_exp_dist,MATCH(B1668,'Refined Petro Exp Dist'!$B$6:$B$78,0),MATCH(C1668,'Refined Petro Exp Dist'!$AD$2:$BC$2,0))*INDEX(ref_exp_by_year,MATCH(B1668,'Data Export'!$B$6:$B$78,0),1)))</f>
        <v>0</v>
      </c>
      <c r="E1668">
        <v>4</v>
      </c>
      <c r="F1668" t="s">
        <v>171</v>
      </c>
    </row>
    <row r="1669" spans="1:6">
      <c r="A1669" t="str">
        <f t="shared" si="26"/>
        <v>GenericE&amp;DtemplateCIandGOA</v>
      </c>
      <c r="B1669">
        <v>65</v>
      </c>
      <c r="C1669">
        <v>4</v>
      </c>
      <c r="D1669" s="649">
        <f ca="1">IF(E1669=4,INDEX(crude_exp_dist,MATCH(B1669,'Crude Exp Dist'!$B$6:$B$78,0),MATCH(C1669,'Crude Exp Dist'!$AD$2:$BC$2,0))*INDEX(crude_exp_by_year,MATCH(B1669,'Data Export'!$B$6:$B$78,0),1),IF(E1669=5,INDEX(ref_exp_dist,MATCH(B1669,'Refined Petro Exp Dist'!$B$6:$B$78,0),MATCH(C1669,'Refined Petro Exp Dist'!$AD$2:$BC$2,0))*INDEX(ref_exp_by_year,MATCH(B1669,'Data Export'!$B$6:$B$78,0),1)))</f>
        <v>0</v>
      </c>
      <c r="E1669">
        <v>4</v>
      </c>
      <c r="F1669" t="s">
        <v>173</v>
      </c>
    </row>
    <row r="1670" spans="1:6">
      <c r="A1670" t="str">
        <f t="shared" si="26"/>
        <v>GenericE&amp;DtemplateCIandGOA</v>
      </c>
      <c r="B1670">
        <v>65</v>
      </c>
      <c r="C1670">
        <v>5</v>
      </c>
      <c r="D1670" s="649">
        <f ca="1">IF(E1670=4,INDEX(crude_exp_dist,MATCH(B1670,'Crude Exp Dist'!$B$6:$B$78,0),MATCH(C1670,'Crude Exp Dist'!$AD$2:$BC$2,0))*INDEX(crude_exp_by_year,MATCH(B1670,'Data Export'!$B$6:$B$78,0),1),IF(E1670=5,INDEX(ref_exp_dist,MATCH(B1670,'Refined Petro Exp Dist'!$B$6:$B$78,0),MATCH(C1670,'Refined Petro Exp Dist'!$AD$2:$BC$2,0))*INDEX(ref_exp_by_year,MATCH(B1670,'Data Export'!$B$6:$B$78,0),1)))</f>
        <v>0</v>
      </c>
      <c r="E1670">
        <v>4</v>
      </c>
      <c r="F1670" t="s">
        <v>180</v>
      </c>
    </row>
    <row r="1671" spans="1:6">
      <c r="A1671" t="str">
        <f t="shared" si="26"/>
        <v>GenericE&amp;DtemplateCIandGOA</v>
      </c>
      <c r="B1671">
        <v>65</v>
      </c>
      <c r="C1671">
        <v>6</v>
      </c>
      <c r="D1671" s="649">
        <f ca="1">IF(E1671=4,INDEX(crude_exp_dist,MATCH(B1671,'Crude Exp Dist'!$B$6:$B$78,0),MATCH(C1671,'Crude Exp Dist'!$AD$2:$BC$2,0))*INDEX(crude_exp_by_year,MATCH(B1671,'Data Export'!$B$6:$B$78,0),1),IF(E1671=5,INDEX(ref_exp_dist,MATCH(B1671,'Refined Petro Exp Dist'!$B$6:$B$78,0),MATCH(C1671,'Refined Petro Exp Dist'!$AD$2:$BC$2,0))*INDEX(ref_exp_by_year,MATCH(B1671,'Data Export'!$B$6:$B$78,0),1)))</f>
        <v>0</v>
      </c>
      <c r="E1671">
        <v>4</v>
      </c>
      <c r="F1671" t="s">
        <v>186</v>
      </c>
    </row>
    <row r="1672" spans="1:6">
      <c r="A1672" t="str">
        <f t="shared" si="26"/>
        <v>GenericE&amp;DtemplateCIandGOA</v>
      </c>
      <c r="B1672">
        <v>65</v>
      </c>
      <c r="C1672">
        <v>7</v>
      </c>
      <c r="D1672" s="649">
        <f ca="1">IF(E1672=4,INDEX(crude_exp_dist,MATCH(B1672,'Crude Exp Dist'!$B$6:$B$78,0),MATCH(C1672,'Crude Exp Dist'!$AD$2:$BC$2,0))*INDEX(crude_exp_by_year,MATCH(B1672,'Data Export'!$B$6:$B$78,0),1),IF(E1672=5,INDEX(ref_exp_dist,MATCH(B1672,'Refined Petro Exp Dist'!$B$6:$B$78,0),MATCH(C1672,'Refined Petro Exp Dist'!$AD$2:$BC$2,0))*INDEX(ref_exp_by_year,MATCH(B1672,'Data Export'!$B$6:$B$78,0),1)))</f>
        <v>0</v>
      </c>
      <c r="E1672">
        <v>4</v>
      </c>
      <c r="F1672" t="s">
        <v>191</v>
      </c>
    </row>
    <row r="1673" spans="1:6">
      <c r="A1673" t="str">
        <f t="shared" si="26"/>
        <v>GenericE&amp;DtemplateCIandGOA</v>
      </c>
      <c r="B1673">
        <v>65</v>
      </c>
      <c r="C1673">
        <v>8</v>
      </c>
      <c r="D1673" s="649">
        <f ca="1">IF(E1673=4,INDEX(crude_exp_dist,MATCH(B1673,'Crude Exp Dist'!$B$6:$B$78,0),MATCH(C1673,'Crude Exp Dist'!$AD$2:$BC$2,0))*INDEX(crude_exp_by_year,MATCH(B1673,'Data Export'!$B$6:$B$78,0),1),IF(E1673=5,INDEX(ref_exp_dist,MATCH(B1673,'Refined Petro Exp Dist'!$B$6:$B$78,0),MATCH(C1673,'Refined Petro Exp Dist'!$AD$2:$BC$2,0))*INDEX(ref_exp_by_year,MATCH(B1673,'Data Export'!$B$6:$B$78,0),1)))</f>
        <v>0</v>
      </c>
      <c r="E1673">
        <v>4</v>
      </c>
      <c r="F1673" t="s">
        <v>197</v>
      </c>
    </row>
    <row r="1674" spans="1:6">
      <c r="A1674" t="str">
        <f t="shared" si="26"/>
        <v>GenericE&amp;DtemplateCIandGOA</v>
      </c>
      <c r="B1674">
        <v>65</v>
      </c>
      <c r="C1674">
        <v>9</v>
      </c>
      <c r="D1674" s="649">
        <f ca="1">IF(E1674=4,INDEX(crude_exp_dist,MATCH(B1674,'Crude Exp Dist'!$B$6:$B$78,0),MATCH(C1674,'Crude Exp Dist'!$AD$2:$BC$2,0))*INDEX(crude_exp_by_year,MATCH(B1674,'Data Export'!$B$6:$B$78,0),1),IF(E1674=5,INDEX(ref_exp_dist,MATCH(B1674,'Refined Petro Exp Dist'!$B$6:$B$78,0),MATCH(C1674,'Refined Petro Exp Dist'!$AD$2:$BC$2,0))*INDEX(ref_exp_by_year,MATCH(B1674,'Data Export'!$B$6:$B$78,0),1)))</f>
        <v>0</v>
      </c>
      <c r="E1674">
        <v>4</v>
      </c>
      <c r="F1674" t="s">
        <v>199</v>
      </c>
    </row>
    <row r="1675" spans="1:6">
      <c r="A1675" t="str">
        <f t="shared" si="26"/>
        <v>GenericE&amp;DtemplateCIandGOA</v>
      </c>
      <c r="B1675">
        <v>65</v>
      </c>
      <c r="C1675">
        <v>10</v>
      </c>
      <c r="D1675" s="649">
        <f ca="1">IF(E1675=4,INDEX(crude_exp_dist,MATCH(B1675,'Crude Exp Dist'!$B$6:$B$78,0),MATCH(C1675,'Crude Exp Dist'!$AD$2:$BC$2,0))*INDEX(crude_exp_by_year,MATCH(B1675,'Data Export'!$B$6:$B$78,0),1),IF(E1675=5,INDEX(ref_exp_dist,MATCH(B1675,'Refined Petro Exp Dist'!$B$6:$B$78,0),MATCH(C1675,'Refined Petro Exp Dist'!$AD$2:$BC$2,0))*INDEX(ref_exp_by_year,MATCH(B1675,'Data Export'!$B$6:$B$78,0),1)))</f>
        <v>0</v>
      </c>
      <c r="E1675">
        <v>4</v>
      </c>
      <c r="F1675" t="s">
        <v>201</v>
      </c>
    </row>
    <row r="1676" spans="1:6">
      <c r="A1676" t="str">
        <f t="shared" si="26"/>
        <v>GenericE&amp;DtemplateCIandGOA</v>
      </c>
      <c r="B1676">
        <v>65</v>
      </c>
      <c r="C1676">
        <v>11</v>
      </c>
      <c r="D1676" s="649">
        <f ca="1">IF(E1676=4,INDEX(crude_exp_dist,MATCH(B1676,'Crude Exp Dist'!$B$6:$B$78,0),MATCH(C1676,'Crude Exp Dist'!$AD$2:$BC$2,0))*INDEX(crude_exp_by_year,MATCH(B1676,'Data Export'!$B$6:$B$78,0),1),IF(E1676=5,INDEX(ref_exp_dist,MATCH(B1676,'Refined Petro Exp Dist'!$B$6:$B$78,0),MATCH(C1676,'Refined Petro Exp Dist'!$AD$2:$BC$2,0))*INDEX(ref_exp_by_year,MATCH(B1676,'Data Export'!$B$6:$B$78,0),1)))</f>
        <v>0</v>
      </c>
      <c r="E1676">
        <v>4</v>
      </c>
      <c r="F1676" t="s">
        <v>921</v>
      </c>
    </row>
    <row r="1677" spans="1:6">
      <c r="A1677" t="str">
        <f t="shared" si="26"/>
        <v>GenericE&amp;DtemplateCIandGOA</v>
      </c>
      <c r="B1677">
        <v>65</v>
      </c>
      <c r="C1677">
        <v>12</v>
      </c>
      <c r="D1677" s="649">
        <f ca="1">IF(E1677=4,INDEX(crude_exp_dist,MATCH(B1677,'Crude Exp Dist'!$B$6:$B$78,0),MATCH(C1677,'Crude Exp Dist'!$AD$2:$BC$2,0))*INDEX(crude_exp_by_year,MATCH(B1677,'Data Export'!$B$6:$B$78,0),1),IF(E1677=5,INDEX(ref_exp_dist,MATCH(B1677,'Refined Petro Exp Dist'!$B$6:$B$78,0),MATCH(C1677,'Refined Petro Exp Dist'!$AD$2:$BC$2,0))*INDEX(ref_exp_by_year,MATCH(B1677,'Data Export'!$B$6:$B$78,0),1)))</f>
        <v>0</v>
      </c>
      <c r="E1677">
        <v>4</v>
      </c>
      <c r="F1677" t="s">
        <v>208</v>
      </c>
    </row>
    <row r="1678" spans="1:6">
      <c r="A1678" t="str">
        <f t="shared" si="26"/>
        <v>GenericE&amp;DtemplateCIandGOA</v>
      </c>
      <c r="B1678">
        <v>65</v>
      </c>
      <c r="C1678">
        <v>13</v>
      </c>
      <c r="D1678" s="649">
        <f ca="1">IF(E1678=4,INDEX(crude_exp_dist,MATCH(B1678,'Crude Exp Dist'!$B$6:$B$78,0),MATCH(C1678,'Crude Exp Dist'!$AD$2:$BC$2,0))*INDEX(crude_exp_by_year,MATCH(B1678,'Data Export'!$B$6:$B$78,0),1),IF(E1678=5,INDEX(ref_exp_dist,MATCH(B1678,'Refined Petro Exp Dist'!$B$6:$B$78,0),MATCH(C1678,'Refined Petro Exp Dist'!$AD$2:$BC$2,0))*INDEX(ref_exp_by_year,MATCH(B1678,'Data Export'!$B$6:$B$78,0),1)))</f>
        <v>0</v>
      </c>
      <c r="E1678">
        <v>4</v>
      </c>
      <c r="F1678" t="s">
        <v>211</v>
      </c>
    </row>
    <row r="1679" spans="1:6">
      <c r="A1679" t="str">
        <f t="shared" si="26"/>
        <v>GenericE&amp;DtemplateCIandGOA</v>
      </c>
      <c r="B1679">
        <v>65</v>
      </c>
      <c r="C1679">
        <v>14</v>
      </c>
      <c r="D1679" s="649">
        <f ca="1">IF(E1679=4,INDEX(crude_exp_dist,MATCH(B1679,'Crude Exp Dist'!$B$6:$B$78,0),MATCH(C1679,'Crude Exp Dist'!$AD$2:$BC$2,0))*INDEX(crude_exp_by_year,MATCH(B1679,'Data Export'!$B$6:$B$78,0),1),IF(E1679=5,INDEX(ref_exp_dist,MATCH(B1679,'Refined Petro Exp Dist'!$B$6:$B$78,0),MATCH(C1679,'Refined Petro Exp Dist'!$AD$2:$BC$2,0))*INDEX(ref_exp_by_year,MATCH(B1679,'Data Export'!$B$6:$B$78,0),1)))</f>
        <v>0</v>
      </c>
      <c r="E1679">
        <v>4</v>
      </c>
      <c r="F1679" t="s">
        <v>213</v>
      </c>
    </row>
    <row r="1680" spans="1:6">
      <c r="A1680" t="str">
        <f t="shared" si="26"/>
        <v>GenericE&amp;DtemplateCIandGOA</v>
      </c>
      <c r="B1680">
        <v>65</v>
      </c>
      <c r="C1680">
        <v>15</v>
      </c>
      <c r="D1680" s="649">
        <f ca="1">IF(E1680=4,INDEX(crude_exp_dist,MATCH(B1680,'Crude Exp Dist'!$B$6:$B$78,0),MATCH(C1680,'Crude Exp Dist'!$AD$2:$BC$2,0))*INDEX(crude_exp_by_year,MATCH(B1680,'Data Export'!$B$6:$B$78,0),1),IF(E1680=5,INDEX(ref_exp_dist,MATCH(B1680,'Refined Petro Exp Dist'!$B$6:$B$78,0),MATCH(C1680,'Refined Petro Exp Dist'!$AD$2:$BC$2,0))*INDEX(ref_exp_by_year,MATCH(B1680,'Data Export'!$B$6:$B$78,0),1)))</f>
        <v>0</v>
      </c>
      <c r="E1680">
        <v>4</v>
      </c>
      <c r="F1680" t="s">
        <v>215</v>
      </c>
    </row>
    <row r="1681" spans="1:6">
      <c r="A1681" t="str">
        <f t="shared" si="26"/>
        <v>GenericE&amp;DtemplateCIandGOA</v>
      </c>
      <c r="B1681">
        <v>65</v>
      </c>
      <c r="C1681">
        <v>16</v>
      </c>
      <c r="D1681" s="649">
        <f ca="1">IF(E1681=4,INDEX(crude_exp_dist,MATCH(B1681,'Crude Exp Dist'!$B$6:$B$78,0),MATCH(C1681,'Crude Exp Dist'!$AD$2:$BC$2,0))*INDEX(crude_exp_by_year,MATCH(B1681,'Data Export'!$B$6:$B$78,0),1),IF(E1681=5,INDEX(ref_exp_dist,MATCH(B1681,'Refined Petro Exp Dist'!$B$6:$B$78,0),MATCH(C1681,'Refined Petro Exp Dist'!$AD$2:$BC$2,0))*INDEX(ref_exp_by_year,MATCH(B1681,'Data Export'!$B$6:$B$78,0),1)))</f>
        <v>0</v>
      </c>
      <c r="E1681">
        <v>4</v>
      </c>
      <c r="F1681" t="s">
        <v>219</v>
      </c>
    </row>
    <row r="1682" spans="1:6">
      <c r="A1682" t="str">
        <f t="shared" si="26"/>
        <v>GenericE&amp;DtemplateCIandGOA</v>
      </c>
      <c r="B1682">
        <v>65</v>
      </c>
      <c r="C1682">
        <v>17</v>
      </c>
      <c r="D1682" s="649">
        <f ca="1">IF(E1682=4,INDEX(crude_exp_dist,MATCH(B1682,'Crude Exp Dist'!$B$6:$B$78,0),MATCH(C1682,'Crude Exp Dist'!$AD$2:$BC$2,0))*INDEX(crude_exp_by_year,MATCH(B1682,'Data Export'!$B$6:$B$78,0),1),IF(E1682=5,INDEX(ref_exp_dist,MATCH(B1682,'Refined Petro Exp Dist'!$B$6:$B$78,0),MATCH(C1682,'Refined Petro Exp Dist'!$AD$2:$BC$2,0))*INDEX(ref_exp_by_year,MATCH(B1682,'Data Export'!$B$6:$B$78,0),1)))</f>
        <v>0</v>
      </c>
      <c r="E1682">
        <v>4</v>
      </c>
      <c r="F1682" t="s">
        <v>222</v>
      </c>
    </row>
    <row r="1683" spans="1:6">
      <c r="A1683" t="str">
        <f t="shared" si="26"/>
        <v>GenericE&amp;DtemplateCIandGOA</v>
      </c>
      <c r="B1683">
        <v>65</v>
      </c>
      <c r="C1683">
        <v>18</v>
      </c>
      <c r="D1683" s="649">
        <f ca="1">IF(E1683=4,INDEX(crude_exp_dist,MATCH(B1683,'Crude Exp Dist'!$B$6:$B$78,0),MATCH(C1683,'Crude Exp Dist'!$AD$2:$BC$2,0))*INDEX(crude_exp_by_year,MATCH(B1683,'Data Export'!$B$6:$B$78,0),1),IF(E1683=5,INDEX(ref_exp_dist,MATCH(B1683,'Refined Petro Exp Dist'!$B$6:$B$78,0),MATCH(C1683,'Refined Petro Exp Dist'!$AD$2:$BC$2,0))*INDEX(ref_exp_by_year,MATCH(B1683,'Data Export'!$B$6:$B$78,0),1)))</f>
        <v>0</v>
      </c>
      <c r="E1683">
        <v>4</v>
      </c>
      <c r="F1683" t="s">
        <v>224</v>
      </c>
    </row>
    <row r="1684" spans="1:6">
      <c r="A1684" t="str">
        <f t="shared" si="26"/>
        <v>GenericE&amp;DtemplateCIandGOA</v>
      </c>
      <c r="B1684">
        <v>65</v>
      </c>
      <c r="C1684">
        <v>19</v>
      </c>
      <c r="D1684" s="649">
        <f ca="1">IF(E1684=4,INDEX(crude_exp_dist,MATCH(B1684,'Crude Exp Dist'!$B$6:$B$78,0),MATCH(C1684,'Crude Exp Dist'!$AD$2:$BC$2,0))*INDEX(crude_exp_by_year,MATCH(B1684,'Data Export'!$B$6:$B$78,0),1),IF(E1684=5,INDEX(ref_exp_dist,MATCH(B1684,'Refined Petro Exp Dist'!$B$6:$B$78,0),MATCH(C1684,'Refined Petro Exp Dist'!$AD$2:$BC$2,0))*INDEX(ref_exp_by_year,MATCH(B1684,'Data Export'!$B$6:$B$78,0),1)))</f>
        <v>0</v>
      </c>
      <c r="E1684">
        <v>4</v>
      </c>
      <c r="F1684" t="s">
        <v>228</v>
      </c>
    </row>
    <row r="1685" spans="1:6">
      <c r="A1685" t="str">
        <f t="shared" si="26"/>
        <v>GenericE&amp;DtemplateCIandGOA</v>
      </c>
      <c r="B1685">
        <v>65</v>
      </c>
      <c r="C1685">
        <v>20</v>
      </c>
      <c r="D1685" s="649">
        <f ca="1">IF(E1685=4,INDEX(crude_exp_dist,MATCH(B1685,'Crude Exp Dist'!$B$6:$B$78,0),MATCH(C1685,'Crude Exp Dist'!$AD$2:$BC$2,0))*INDEX(crude_exp_by_year,MATCH(B1685,'Data Export'!$B$6:$B$78,0),1),IF(E1685=5,INDEX(ref_exp_dist,MATCH(B1685,'Refined Petro Exp Dist'!$B$6:$B$78,0),MATCH(C1685,'Refined Petro Exp Dist'!$AD$2:$BC$2,0))*INDEX(ref_exp_by_year,MATCH(B1685,'Data Export'!$B$6:$B$78,0),1)))</f>
        <v>0</v>
      </c>
      <c r="E1685">
        <v>4</v>
      </c>
      <c r="F1685" t="s">
        <v>231</v>
      </c>
    </row>
    <row r="1686" spans="1:6">
      <c r="A1686" t="str">
        <f t="shared" si="26"/>
        <v>GenericE&amp;DtemplateCIandGOA</v>
      </c>
      <c r="B1686">
        <v>65</v>
      </c>
      <c r="C1686">
        <v>21</v>
      </c>
      <c r="D1686" s="649">
        <f ca="1">IF(E1686=4,INDEX(crude_exp_dist,MATCH(B1686,'Crude Exp Dist'!$B$6:$B$78,0),MATCH(C1686,'Crude Exp Dist'!$AD$2:$BC$2,0))*INDEX(crude_exp_by_year,MATCH(B1686,'Data Export'!$B$6:$B$78,0),1),IF(E1686=5,INDEX(ref_exp_dist,MATCH(B1686,'Refined Petro Exp Dist'!$B$6:$B$78,0),MATCH(C1686,'Refined Petro Exp Dist'!$AD$2:$BC$2,0))*INDEX(ref_exp_by_year,MATCH(B1686,'Data Export'!$B$6:$B$78,0),1)))</f>
        <v>0</v>
      </c>
      <c r="E1686">
        <v>4</v>
      </c>
      <c r="F1686" t="s">
        <v>232</v>
      </c>
    </row>
    <row r="1687" spans="1:6">
      <c r="A1687" t="str">
        <f t="shared" si="26"/>
        <v>GenericE&amp;DtemplateCIandGOA</v>
      </c>
      <c r="B1687">
        <v>65</v>
      </c>
      <c r="C1687">
        <v>22</v>
      </c>
      <c r="D1687" s="649">
        <f ca="1">IF(E1687=4,INDEX(crude_exp_dist,MATCH(B1687,'Crude Exp Dist'!$B$6:$B$78,0),MATCH(C1687,'Crude Exp Dist'!$AD$2:$BC$2,0))*INDEX(crude_exp_by_year,MATCH(B1687,'Data Export'!$B$6:$B$78,0),1),IF(E1687=5,INDEX(ref_exp_dist,MATCH(B1687,'Refined Petro Exp Dist'!$B$6:$B$78,0),MATCH(C1687,'Refined Petro Exp Dist'!$AD$2:$BC$2,0))*INDEX(ref_exp_by_year,MATCH(B1687,'Data Export'!$B$6:$B$78,0),1)))</f>
        <v>0</v>
      </c>
      <c r="E1687">
        <v>4</v>
      </c>
      <c r="F1687" t="s">
        <v>235</v>
      </c>
    </row>
    <row r="1688" spans="1:6">
      <c r="A1688" t="str">
        <f t="shared" si="26"/>
        <v>GenericE&amp;DtemplateCIandGOA</v>
      </c>
      <c r="B1688">
        <v>65</v>
      </c>
      <c r="C1688">
        <v>23</v>
      </c>
      <c r="D1688" s="649">
        <f ca="1">IF(E1688=4,INDEX(crude_exp_dist,MATCH(B1688,'Crude Exp Dist'!$B$6:$B$78,0),MATCH(C1688,'Crude Exp Dist'!$AD$2:$BC$2,0))*INDEX(crude_exp_by_year,MATCH(B1688,'Data Export'!$B$6:$B$78,0),1),IF(E1688=5,INDEX(ref_exp_dist,MATCH(B1688,'Refined Petro Exp Dist'!$B$6:$B$78,0),MATCH(C1688,'Refined Petro Exp Dist'!$AD$2:$BC$2,0))*INDEX(ref_exp_by_year,MATCH(B1688,'Data Export'!$B$6:$B$78,0),1)))</f>
        <v>0</v>
      </c>
      <c r="E1688">
        <v>4</v>
      </c>
      <c r="F1688" t="s">
        <v>237</v>
      </c>
    </row>
    <row r="1689" spans="1:6">
      <c r="A1689" t="str">
        <f t="shared" si="26"/>
        <v>GenericE&amp;DtemplateCIandGOA</v>
      </c>
      <c r="B1689">
        <v>65</v>
      </c>
      <c r="C1689">
        <v>24</v>
      </c>
      <c r="D1689" s="649">
        <f ca="1">IF(E1689=4,INDEX(crude_exp_dist,MATCH(B1689,'Crude Exp Dist'!$B$6:$B$78,0),MATCH(C1689,'Crude Exp Dist'!$AD$2:$BC$2,0))*INDEX(crude_exp_by_year,MATCH(B1689,'Data Export'!$B$6:$B$78,0),1),IF(E1689=5,INDEX(ref_exp_dist,MATCH(B1689,'Refined Petro Exp Dist'!$B$6:$B$78,0),MATCH(C1689,'Refined Petro Exp Dist'!$AD$2:$BC$2,0))*INDEX(ref_exp_by_year,MATCH(B1689,'Data Export'!$B$6:$B$78,0),1)))</f>
        <v>0</v>
      </c>
      <c r="E1689">
        <v>4</v>
      </c>
      <c r="F1689" t="s">
        <v>239</v>
      </c>
    </row>
    <row r="1690" spans="1:6">
      <c r="A1690" t="str">
        <f t="shared" si="26"/>
        <v>GenericE&amp;DtemplateCIandGOA</v>
      </c>
      <c r="B1690">
        <v>65</v>
      </c>
      <c r="C1690">
        <v>25</v>
      </c>
      <c r="D1690" s="649">
        <f ca="1">IF(E1690=4,INDEX(crude_exp_dist,MATCH(B1690,'Crude Exp Dist'!$B$6:$B$78,0),MATCH(C1690,'Crude Exp Dist'!$AD$2:$BC$2,0))*INDEX(crude_exp_by_year,MATCH(B1690,'Data Export'!$B$6:$B$78,0),1),IF(E1690=5,INDEX(ref_exp_dist,MATCH(B1690,'Refined Petro Exp Dist'!$B$6:$B$78,0),MATCH(C1690,'Refined Petro Exp Dist'!$AD$2:$BC$2,0))*INDEX(ref_exp_by_year,MATCH(B1690,'Data Export'!$B$6:$B$78,0),1)))</f>
        <v>0</v>
      </c>
      <c r="E1690">
        <v>4</v>
      </c>
      <c r="F1690" t="s">
        <v>242</v>
      </c>
    </row>
    <row r="1691" spans="1:6">
      <c r="A1691" t="str">
        <f t="shared" si="26"/>
        <v>GenericE&amp;DtemplateCIandGOA</v>
      </c>
      <c r="B1691">
        <v>65</v>
      </c>
      <c r="C1691">
        <v>26</v>
      </c>
      <c r="D1691" s="649">
        <f ca="1">IF(E1691=4,INDEX(crude_exp_dist,MATCH(B1691,'Crude Exp Dist'!$B$6:$B$78,0),MATCH(C1691,'Crude Exp Dist'!$AD$2:$BC$2,0))*INDEX(crude_exp_by_year,MATCH(B1691,'Data Export'!$B$6:$B$78,0),1),IF(E1691=5,INDEX(ref_exp_dist,MATCH(B1691,'Refined Petro Exp Dist'!$B$6:$B$78,0),MATCH(C1691,'Refined Petro Exp Dist'!$AD$2:$BC$2,0))*INDEX(ref_exp_by_year,MATCH(B1691,'Data Export'!$B$6:$B$78,0),1)))</f>
        <v>0</v>
      </c>
      <c r="E1691">
        <v>4</v>
      </c>
      <c r="F1691" t="s">
        <v>245</v>
      </c>
    </row>
    <row r="1692" spans="1:6">
      <c r="A1692" t="str">
        <f t="shared" si="26"/>
        <v>GenericE&amp;DtemplateCIandGOA</v>
      </c>
      <c r="B1692">
        <v>66</v>
      </c>
      <c r="C1692">
        <v>1</v>
      </c>
      <c r="D1692" s="649">
        <f ca="1">IF(E1692=4,INDEX(crude_exp_dist,MATCH(B1692,'Crude Exp Dist'!$B$6:$B$78,0),MATCH(C1692,'Crude Exp Dist'!$AD$2:$BC$2,0))*INDEX(crude_exp_by_year,MATCH(B1692,'Data Export'!$B$6:$B$78,0),1),IF(E1692=5,INDEX(ref_exp_dist,MATCH(B1692,'Refined Petro Exp Dist'!$B$6:$B$78,0),MATCH(C1692,'Refined Petro Exp Dist'!$AD$2:$BC$2,0))*INDEX(ref_exp_by_year,MATCH(B1692,'Data Export'!$B$6:$B$78,0),1)))</f>
        <v>0</v>
      </c>
      <c r="E1692">
        <v>4</v>
      </c>
      <c r="F1692" t="s">
        <v>158</v>
      </c>
    </row>
    <row r="1693" spans="1:6">
      <c r="A1693" t="str">
        <f t="shared" si="26"/>
        <v>GenericE&amp;DtemplateCIandGOA</v>
      </c>
      <c r="B1693">
        <v>66</v>
      </c>
      <c r="C1693">
        <v>2</v>
      </c>
      <c r="D1693" s="649">
        <f ca="1">IF(E1693=4,INDEX(crude_exp_dist,MATCH(B1693,'Crude Exp Dist'!$B$6:$B$78,0),MATCH(C1693,'Crude Exp Dist'!$AD$2:$BC$2,0))*INDEX(crude_exp_by_year,MATCH(B1693,'Data Export'!$B$6:$B$78,0),1),IF(E1693=5,INDEX(ref_exp_dist,MATCH(B1693,'Refined Petro Exp Dist'!$B$6:$B$78,0),MATCH(C1693,'Refined Petro Exp Dist'!$AD$2:$BC$2,0))*INDEX(ref_exp_by_year,MATCH(B1693,'Data Export'!$B$6:$B$78,0),1)))</f>
        <v>0</v>
      </c>
      <c r="E1693">
        <v>4</v>
      </c>
      <c r="F1693" t="s">
        <v>166</v>
      </c>
    </row>
    <row r="1694" spans="1:6">
      <c r="A1694" t="str">
        <f t="shared" si="26"/>
        <v>GenericE&amp;DtemplateCIandGOA</v>
      </c>
      <c r="B1694">
        <v>66</v>
      </c>
      <c r="C1694">
        <v>3</v>
      </c>
      <c r="D1694" s="649">
        <f ca="1">IF(E1694=4,INDEX(crude_exp_dist,MATCH(B1694,'Crude Exp Dist'!$B$6:$B$78,0),MATCH(C1694,'Crude Exp Dist'!$AD$2:$BC$2,0))*INDEX(crude_exp_by_year,MATCH(B1694,'Data Export'!$B$6:$B$78,0),1),IF(E1694=5,INDEX(ref_exp_dist,MATCH(B1694,'Refined Petro Exp Dist'!$B$6:$B$78,0),MATCH(C1694,'Refined Petro Exp Dist'!$AD$2:$BC$2,0))*INDEX(ref_exp_by_year,MATCH(B1694,'Data Export'!$B$6:$B$78,0),1)))</f>
        <v>0</v>
      </c>
      <c r="E1694">
        <v>4</v>
      </c>
      <c r="F1694" t="s">
        <v>171</v>
      </c>
    </row>
    <row r="1695" spans="1:6">
      <c r="A1695" t="str">
        <f t="shared" si="26"/>
        <v>GenericE&amp;DtemplateCIandGOA</v>
      </c>
      <c r="B1695">
        <v>66</v>
      </c>
      <c r="C1695">
        <v>4</v>
      </c>
      <c r="D1695" s="649">
        <f ca="1">IF(E1695=4,INDEX(crude_exp_dist,MATCH(B1695,'Crude Exp Dist'!$B$6:$B$78,0),MATCH(C1695,'Crude Exp Dist'!$AD$2:$BC$2,0))*INDEX(crude_exp_by_year,MATCH(B1695,'Data Export'!$B$6:$B$78,0),1),IF(E1695=5,INDEX(ref_exp_dist,MATCH(B1695,'Refined Petro Exp Dist'!$B$6:$B$78,0),MATCH(C1695,'Refined Petro Exp Dist'!$AD$2:$BC$2,0))*INDEX(ref_exp_by_year,MATCH(B1695,'Data Export'!$B$6:$B$78,0),1)))</f>
        <v>0</v>
      </c>
      <c r="E1695">
        <v>4</v>
      </c>
      <c r="F1695" t="s">
        <v>173</v>
      </c>
    </row>
    <row r="1696" spans="1:6">
      <c r="A1696" t="str">
        <f t="shared" si="26"/>
        <v>GenericE&amp;DtemplateCIandGOA</v>
      </c>
      <c r="B1696">
        <v>66</v>
      </c>
      <c r="C1696">
        <v>5</v>
      </c>
      <c r="D1696" s="649">
        <f ca="1">IF(E1696=4,INDEX(crude_exp_dist,MATCH(B1696,'Crude Exp Dist'!$B$6:$B$78,0),MATCH(C1696,'Crude Exp Dist'!$AD$2:$BC$2,0))*INDEX(crude_exp_by_year,MATCH(B1696,'Data Export'!$B$6:$B$78,0),1),IF(E1696=5,INDEX(ref_exp_dist,MATCH(B1696,'Refined Petro Exp Dist'!$B$6:$B$78,0),MATCH(C1696,'Refined Petro Exp Dist'!$AD$2:$BC$2,0))*INDEX(ref_exp_by_year,MATCH(B1696,'Data Export'!$B$6:$B$78,0),1)))</f>
        <v>0</v>
      </c>
      <c r="E1696">
        <v>4</v>
      </c>
      <c r="F1696" t="s">
        <v>180</v>
      </c>
    </row>
    <row r="1697" spans="1:6">
      <c r="A1697" t="str">
        <f t="shared" si="26"/>
        <v>GenericE&amp;DtemplateCIandGOA</v>
      </c>
      <c r="B1697">
        <v>66</v>
      </c>
      <c r="C1697">
        <v>6</v>
      </c>
      <c r="D1697" s="649">
        <f ca="1">IF(E1697=4,INDEX(crude_exp_dist,MATCH(B1697,'Crude Exp Dist'!$B$6:$B$78,0),MATCH(C1697,'Crude Exp Dist'!$AD$2:$BC$2,0))*INDEX(crude_exp_by_year,MATCH(B1697,'Data Export'!$B$6:$B$78,0),1),IF(E1697=5,INDEX(ref_exp_dist,MATCH(B1697,'Refined Petro Exp Dist'!$B$6:$B$78,0),MATCH(C1697,'Refined Petro Exp Dist'!$AD$2:$BC$2,0))*INDEX(ref_exp_by_year,MATCH(B1697,'Data Export'!$B$6:$B$78,0),1)))</f>
        <v>0</v>
      </c>
      <c r="E1697">
        <v>4</v>
      </c>
      <c r="F1697" t="s">
        <v>186</v>
      </c>
    </row>
    <row r="1698" spans="1:6">
      <c r="A1698" t="str">
        <f t="shared" si="26"/>
        <v>GenericE&amp;DtemplateCIandGOA</v>
      </c>
      <c r="B1698">
        <v>66</v>
      </c>
      <c r="C1698">
        <v>7</v>
      </c>
      <c r="D1698" s="649">
        <f ca="1">IF(E1698=4,INDEX(crude_exp_dist,MATCH(B1698,'Crude Exp Dist'!$B$6:$B$78,0),MATCH(C1698,'Crude Exp Dist'!$AD$2:$BC$2,0))*INDEX(crude_exp_by_year,MATCH(B1698,'Data Export'!$B$6:$B$78,0),1),IF(E1698=5,INDEX(ref_exp_dist,MATCH(B1698,'Refined Petro Exp Dist'!$B$6:$B$78,0),MATCH(C1698,'Refined Petro Exp Dist'!$AD$2:$BC$2,0))*INDEX(ref_exp_by_year,MATCH(B1698,'Data Export'!$B$6:$B$78,0),1)))</f>
        <v>0</v>
      </c>
      <c r="E1698">
        <v>4</v>
      </c>
      <c r="F1698" t="s">
        <v>191</v>
      </c>
    </row>
    <row r="1699" spans="1:6">
      <c r="A1699" t="str">
        <f t="shared" si="26"/>
        <v>GenericE&amp;DtemplateCIandGOA</v>
      </c>
      <c r="B1699">
        <v>66</v>
      </c>
      <c r="C1699">
        <v>8</v>
      </c>
      <c r="D1699" s="649">
        <f ca="1">IF(E1699=4,INDEX(crude_exp_dist,MATCH(B1699,'Crude Exp Dist'!$B$6:$B$78,0),MATCH(C1699,'Crude Exp Dist'!$AD$2:$BC$2,0))*INDEX(crude_exp_by_year,MATCH(B1699,'Data Export'!$B$6:$B$78,0),1),IF(E1699=5,INDEX(ref_exp_dist,MATCH(B1699,'Refined Petro Exp Dist'!$B$6:$B$78,0),MATCH(C1699,'Refined Petro Exp Dist'!$AD$2:$BC$2,0))*INDEX(ref_exp_by_year,MATCH(B1699,'Data Export'!$B$6:$B$78,0),1)))</f>
        <v>0</v>
      </c>
      <c r="E1699">
        <v>4</v>
      </c>
      <c r="F1699" t="s">
        <v>197</v>
      </c>
    </row>
    <row r="1700" spans="1:6">
      <c r="A1700" t="str">
        <f t="shared" si="26"/>
        <v>GenericE&amp;DtemplateCIandGOA</v>
      </c>
      <c r="B1700">
        <v>66</v>
      </c>
      <c r="C1700">
        <v>9</v>
      </c>
      <c r="D1700" s="649">
        <f ca="1">IF(E1700=4,INDEX(crude_exp_dist,MATCH(B1700,'Crude Exp Dist'!$B$6:$B$78,0),MATCH(C1700,'Crude Exp Dist'!$AD$2:$BC$2,0))*INDEX(crude_exp_by_year,MATCH(B1700,'Data Export'!$B$6:$B$78,0),1),IF(E1700=5,INDEX(ref_exp_dist,MATCH(B1700,'Refined Petro Exp Dist'!$B$6:$B$78,0),MATCH(C1700,'Refined Petro Exp Dist'!$AD$2:$BC$2,0))*INDEX(ref_exp_by_year,MATCH(B1700,'Data Export'!$B$6:$B$78,0),1)))</f>
        <v>0</v>
      </c>
      <c r="E1700">
        <v>4</v>
      </c>
      <c r="F1700" t="s">
        <v>199</v>
      </c>
    </row>
    <row r="1701" spans="1:6">
      <c r="A1701" t="str">
        <f t="shared" si="26"/>
        <v>GenericE&amp;DtemplateCIandGOA</v>
      </c>
      <c r="B1701">
        <v>66</v>
      </c>
      <c r="C1701">
        <v>10</v>
      </c>
      <c r="D1701" s="649">
        <f ca="1">IF(E1701=4,INDEX(crude_exp_dist,MATCH(B1701,'Crude Exp Dist'!$B$6:$B$78,0),MATCH(C1701,'Crude Exp Dist'!$AD$2:$BC$2,0))*INDEX(crude_exp_by_year,MATCH(B1701,'Data Export'!$B$6:$B$78,0),1),IF(E1701=5,INDEX(ref_exp_dist,MATCH(B1701,'Refined Petro Exp Dist'!$B$6:$B$78,0),MATCH(C1701,'Refined Petro Exp Dist'!$AD$2:$BC$2,0))*INDEX(ref_exp_by_year,MATCH(B1701,'Data Export'!$B$6:$B$78,0),1)))</f>
        <v>0</v>
      </c>
      <c r="E1701">
        <v>4</v>
      </c>
      <c r="F1701" t="s">
        <v>201</v>
      </c>
    </row>
    <row r="1702" spans="1:6">
      <c r="A1702" t="str">
        <f t="shared" si="26"/>
        <v>GenericE&amp;DtemplateCIandGOA</v>
      </c>
      <c r="B1702">
        <v>66</v>
      </c>
      <c r="C1702">
        <v>11</v>
      </c>
      <c r="D1702" s="649">
        <f ca="1">IF(E1702=4,INDEX(crude_exp_dist,MATCH(B1702,'Crude Exp Dist'!$B$6:$B$78,0),MATCH(C1702,'Crude Exp Dist'!$AD$2:$BC$2,0))*INDEX(crude_exp_by_year,MATCH(B1702,'Data Export'!$B$6:$B$78,0),1),IF(E1702=5,INDEX(ref_exp_dist,MATCH(B1702,'Refined Petro Exp Dist'!$B$6:$B$78,0),MATCH(C1702,'Refined Petro Exp Dist'!$AD$2:$BC$2,0))*INDEX(ref_exp_by_year,MATCH(B1702,'Data Export'!$B$6:$B$78,0),1)))</f>
        <v>0</v>
      </c>
      <c r="E1702">
        <v>4</v>
      </c>
      <c r="F1702" t="s">
        <v>921</v>
      </c>
    </row>
    <row r="1703" spans="1:6">
      <c r="A1703" t="str">
        <f t="shared" si="26"/>
        <v>GenericE&amp;DtemplateCIandGOA</v>
      </c>
      <c r="B1703">
        <v>66</v>
      </c>
      <c r="C1703">
        <v>12</v>
      </c>
      <c r="D1703" s="649">
        <f ca="1">IF(E1703=4,INDEX(crude_exp_dist,MATCH(B1703,'Crude Exp Dist'!$B$6:$B$78,0),MATCH(C1703,'Crude Exp Dist'!$AD$2:$BC$2,0))*INDEX(crude_exp_by_year,MATCH(B1703,'Data Export'!$B$6:$B$78,0),1),IF(E1703=5,INDEX(ref_exp_dist,MATCH(B1703,'Refined Petro Exp Dist'!$B$6:$B$78,0),MATCH(C1703,'Refined Petro Exp Dist'!$AD$2:$BC$2,0))*INDEX(ref_exp_by_year,MATCH(B1703,'Data Export'!$B$6:$B$78,0),1)))</f>
        <v>0</v>
      </c>
      <c r="E1703">
        <v>4</v>
      </c>
      <c r="F1703" t="s">
        <v>208</v>
      </c>
    </row>
    <row r="1704" spans="1:6">
      <c r="A1704" t="str">
        <f t="shared" si="26"/>
        <v>GenericE&amp;DtemplateCIandGOA</v>
      </c>
      <c r="B1704">
        <v>66</v>
      </c>
      <c r="C1704">
        <v>13</v>
      </c>
      <c r="D1704" s="649">
        <f ca="1">IF(E1704=4,INDEX(crude_exp_dist,MATCH(B1704,'Crude Exp Dist'!$B$6:$B$78,0),MATCH(C1704,'Crude Exp Dist'!$AD$2:$BC$2,0))*INDEX(crude_exp_by_year,MATCH(B1704,'Data Export'!$B$6:$B$78,0),1),IF(E1704=5,INDEX(ref_exp_dist,MATCH(B1704,'Refined Petro Exp Dist'!$B$6:$B$78,0),MATCH(C1704,'Refined Petro Exp Dist'!$AD$2:$BC$2,0))*INDEX(ref_exp_by_year,MATCH(B1704,'Data Export'!$B$6:$B$78,0),1)))</f>
        <v>0</v>
      </c>
      <c r="E1704">
        <v>4</v>
      </c>
      <c r="F1704" t="s">
        <v>211</v>
      </c>
    </row>
    <row r="1705" spans="1:6">
      <c r="A1705" t="str">
        <f t="shared" si="26"/>
        <v>GenericE&amp;DtemplateCIandGOA</v>
      </c>
      <c r="B1705">
        <v>66</v>
      </c>
      <c r="C1705">
        <v>14</v>
      </c>
      <c r="D1705" s="649">
        <f ca="1">IF(E1705=4,INDEX(crude_exp_dist,MATCH(B1705,'Crude Exp Dist'!$B$6:$B$78,0),MATCH(C1705,'Crude Exp Dist'!$AD$2:$BC$2,0))*INDEX(crude_exp_by_year,MATCH(B1705,'Data Export'!$B$6:$B$78,0),1),IF(E1705=5,INDEX(ref_exp_dist,MATCH(B1705,'Refined Petro Exp Dist'!$B$6:$B$78,0),MATCH(C1705,'Refined Petro Exp Dist'!$AD$2:$BC$2,0))*INDEX(ref_exp_by_year,MATCH(B1705,'Data Export'!$B$6:$B$78,0),1)))</f>
        <v>0</v>
      </c>
      <c r="E1705">
        <v>4</v>
      </c>
      <c r="F1705" t="s">
        <v>213</v>
      </c>
    </row>
    <row r="1706" spans="1:6">
      <c r="A1706" t="str">
        <f t="shared" si="26"/>
        <v>GenericE&amp;DtemplateCIandGOA</v>
      </c>
      <c r="B1706">
        <v>66</v>
      </c>
      <c r="C1706">
        <v>15</v>
      </c>
      <c r="D1706" s="649">
        <f ca="1">IF(E1706=4,INDEX(crude_exp_dist,MATCH(B1706,'Crude Exp Dist'!$B$6:$B$78,0),MATCH(C1706,'Crude Exp Dist'!$AD$2:$BC$2,0))*INDEX(crude_exp_by_year,MATCH(B1706,'Data Export'!$B$6:$B$78,0),1),IF(E1706=5,INDEX(ref_exp_dist,MATCH(B1706,'Refined Petro Exp Dist'!$B$6:$B$78,0),MATCH(C1706,'Refined Petro Exp Dist'!$AD$2:$BC$2,0))*INDEX(ref_exp_by_year,MATCH(B1706,'Data Export'!$B$6:$B$78,0),1)))</f>
        <v>0</v>
      </c>
      <c r="E1706">
        <v>4</v>
      </c>
      <c r="F1706" t="s">
        <v>215</v>
      </c>
    </row>
    <row r="1707" spans="1:6">
      <c r="A1707" t="str">
        <f t="shared" si="26"/>
        <v>GenericE&amp;DtemplateCIandGOA</v>
      </c>
      <c r="B1707">
        <v>66</v>
      </c>
      <c r="C1707">
        <v>16</v>
      </c>
      <c r="D1707" s="649">
        <f ca="1">IF(E1707=4,INDEX(crude_exp_dist,MATCH(B1707,'Crude Exp Dist'!$B$6:$B$78,0),MATCH(C1707,'Crude Exp Dist'!$AD$2:$BC$2,0))*INDEX(crude_exp_by_year,MATCH(B1707,'Data Export'!$B$6:$B$78,0),1),IF(E1707=5,INDEX(ref_exp_dist,MATCH(B1707,'Refined Petro Exp Dist'!$B$6:$B$78,0),MATCH(C1707,'Refined Petro Exp Dist'!$AD$2:$BC$2,0))*INDEX(ref_exp_by_year,MATCH(B1707,'Data Export'!$B$6:$B$78,0),1)))</f>
        <v>0</v>
      </c>
      <c r="E1707">
        <v>4</v>
      </c>
      <c r="F1707" t="s">
        <v>219</v>
      </c>
    </row>
    <row r="1708" spans="1:6">
      <c r="A1708" t="str">
        <f t="shared" si="26"/>
        <v>GenericE&amp;DtemplateCIandGOA</v>
      </c>
      <c r="B1708">
        <v>66</v>
      </c>
      <c r="C1708">
        <v>17</v>
      </c>
      <c r="D1708" s="649">
        <f ca="1">IF(E1708=4,INDEX(crude_exp_dist,MATCH(B1708,'Crude Exp Dist'!$B$6:$B$78,0),MATCH(C1708,'Crude Exp Dist'!$AD$2:$BC$2,0))*INDEX(crude_exp_by_year,MATCH(B1708,'Data Export'!$B$6:$B$78,0),1),IF(E1708=5,INDEX(ref_exp_dist,MATCH(B1708,'Refined Petro Exp Dist'!$B$6:$B$78,0),MATCH(C1708,'Refined Petro Exp Dist'!$AD$2:$BC$2,0))*INDEX(ref_exp_by_year,MATCH(B1708,'Data Export'!$B$6:$B$78,0),1)))</f>
        <v>0</v>
      </c>
      <c r="E1708">
        <v>4</v>
      </c>
      <c r="F1708" t="s">
        <v>222</v>
      </c>
    </row>
    <row r="1709" spans="1:6">
      <c r="A1709" t="str">
        <f t="shared" si="26"/>
        <v>GenericE&amp;DtemplateCIandGOA</v>
      </c>
      <c r="B1709">
        <v>66</v>
      </c>
      <c r="C1709">
        <v>18</v>
      </c>
      <c r="D1709" s="649">
        <f ca="1">IF(E1709=4,INDEX(crude_exp_dist,MATCH(B1709,'Crude Exp Dist'!$B$6:$B$78,0),MATCH(C1709,'Crude Exp Dist'!$AD$2:$BC$2,0))*INDEX(crude_exp_by_year,MATCH(B1709,'Data Export'!$B$6:$B$78,0),1),IF(E1709=5,INDEX(ref_exp_dist,MATCH(B1709,'Refined Petro Exp Dist'!$B$6:$B$78,0),MATCH(C1709,'Refined Petro Exp Dist'!$AD$2:$BC$2,0))*INDEX(ref_exp_by_year,MATCH(B1709,'Data Export'!$B$6:$B$78,0),1)))</f>
        <v>0</v>
      </c>
      <c r="E1709">
        <v>4</v>
      </c>
      <c r="F1709" t="s">
        <v>224</v>
      </c>
    </row>
    <row r="1710" spans="1:6">
      <c r="A1710" t="str">
        <f t="shared" si="26"/>
        <v>GenericE&amp;DtemplateCIandGOA</v>
      </c>
      <c r="B1710">
        <v>66</v>
      </c>
      <c r="C1710">
        <v>19</v>
      </c>
      <c r="D1710" s="649">
        <f ca="1">IF(E1710=4,INDEX(crude_exp_dist,MATCH(B1710,'Crude Exp Dist'!$B$6:$B$78,0),MATCH(C1710,'Crude Exp Dist'!$AD$2:$BC$2,0))*INDEX(crude_exp_by_year,MATCH(B1710,'Data Export'!$B$6:$B$78,0),1),IF(E1710=5,INDEX(ref_exp_dist,MATCH(B1710,'Refined Petro Exp Dist'!$B$6:$B$78,0),MATCH(C1710,'Refined Petro Exp Dist'!$AD$2:$BC$2,0))*INDEX(ref_exp_by_year,MATCH(B1710,'Data Export'!$B$6:$B$78,0),1)))</f>
        <v>0</v>
      </c>
      <c r="E1710">
        <v>4</v>
      </c>
      <c r="F1710" t="s">
        <v>228</v>
      </c>
    </row>
    <row r="1711" spans="1:6">
      <c r="A1711" t="str">
        <f t="shared" si="26"/>
        <v>GenericE&amp;DtemplateCIandGOA</v>
      </c>
      <c r="B1711">
        <v>66</v>
      </c>
      <c r="C1711">
        <v>20</v>
      </c>
      <c r="D1711" s="649">
        <f ca="1">IF(E1711=4,INDEX(crude_exp_dist,MATCH(B1711,'Crude Exp Dist'!$B$6:$B$78,0),MATCH(C1711,'Crude Exp Dist'!$AD$2:$BC$2,0))*INDEX(crude_exp_by_year,MATCH(B1711,'Data Export'!$B$6:$B$78,0),1),IF(E1711=5,INDEX(ref_exp_dist,MATCH(B1711,'Refined Petro Exp Dist'!$B$6:$B$78,0),MATCH(C1711,'Refined Petro Exp Dist'!$AD$2:$BC$2,0))*INDEX(ref_exp_by_year,MATCH(B1711,'Data Export'!$B$6:$B$78,0),1)))</f>
        <v>0</v>
      </c>
      <c r="E1711">
        <v>4</v>
      </c>
      <c r="F1711" t="s">
        <v>231</v>
      </c>
    </row>
    <row r="1712" spans="1:6">
      <c r="A1712" t="str">
        <f t="shared" si="26"/>
        <v>GenericE&amp;DtemplateCIandGOA</v>
      </c>
      <c r="B1712">
        <v>66</v>
      </c>
      <c r="C1712">
        <v>21</v>
      </c>
      <c r="D1712" s="649">
        <f ca="1">IF(E1712=4,INDEX(crude_exp_dist,MATCH(B1712,'Crude Exp Dist'!$B$6:$B$78,0),MATCH(C1712,'Crude Exp Dist'!$AD$2:$BC$2,0))*INDEX(crude_exp_by_year,MATCH(B1712,'Data Export'!$B$6:$B$78,0),1),IF(E1712=5,INDEX(ref_exp_dist,MATCH(B1712,'Refined Petro Exp Dist'!$B$6:$B$78,0),MATCH(C1712,'Refined Petro Exp Dist'!$AD$2:$BC$2,0))*INDEX(ref_exp_by_year,MATCH(B1712,'Data Export'!$B$6:$B$78,0),1)))</f>
        <v>0</v>
      </c>
      <c r="E1712">
        <v>4</v>
      </c>
      <c r="F1712" t="s">
        <v>232</v>
      </c>
    </row>
    <row r="1713" spans="1:6">
      <c r="A1713" t="str">
        <f t="shared" si="26"/>
        <v>GenericE&amp;DtemplateCIandGOA</v>
      </c>
      <c r="B1713">
        <v>66</v>
      </c>
      <c r="C1713">
        <v>22</v>
      </c>
      <c r="D1713" s="649">
        <f ca="1">IF(E1713=4,INDEX(crude_exp_dist,MATCH(B1713,'Crude Exp Dist'!$B$6:$B$78,0),MATCH(C1713,'Crude Exp Dist'!$AD$2:$BC$2,0))*INDEX(crude_exp_by_year,MATCH(B1713,'Data Export'!$B$6:$B$78,0),1),IF(E1713=5,INDEX(ref_exp_dist,MATCH(B1713,'Refined Petro Exp Dist'!$B$6:$B$78,0),MATCH(C1713,'Refined Petro Exp Dist'!$AD$2:$BC$2,0))*INDEX(ref_exp_by_year,MATCH(B1713,'Data Export'!$B$6:$B$78,0),1)))</f>
        <v>0</v>
      </c>
      <c r="E1713">
        <v>4</v>
      </c>
      <c r="F1713" t="s">
        <v>235</v>
      </c>
    </row>
    <row r="1714" spans="1:6">
      <c r="A1714" t="str">
        <f t="shared" si="26"/>
        <v>GenericE&amp;DtemplateCIandGOA</v>
      </c>
      <c r="B1714">
        <v>66</v>
      </c>
      <c r="C1714">
        <v>23</v>
      </c>
      <c r="D1714" s="649">
        <f ca="1">IF(E1714=4,INDEX(crude_exp_dist,MATCH(B1714,'Crude Exp Dist'!$B$6:$B$78,0),MATCH(C1714,'Crude Exp Dist'!$AD$2:$BC$2,0))*INDEX(crude_exp_by_year,MATCH(B1714,'Data Export'!$B$6:$B$78,0),1),IF(E1714=5,INDEX(ref_exp_dist,MATCH(B1714,'Refined Petro Exp Dist'!$B$6:$B$78,0),MATCH(C1714,'Refined Petro Exp Dist'!$AD$2:$BC$2,0))*INDEX(ref_exp_by_year,MATCH(B1714,'Data Export'!$B$6:$B$78,0),1)))</f>
        <v>0</v>
      </c>
      <c r="E1714">
        <v>4</v>
      </c>
      <c r="F1714" t="s">
        <v>237</v>
      </c>
    </row>
    <row r="1715" spans="1:6">
      <c r="A1715" t="str">
        <f t="shared" si="26"/>
        <v>GenericE&amp;DtemplateCIandGOA</v>
      </c>
      <c r="B1715">
        <v>66</v>
      </c>
      <c r="C1715">
        <v>24</v>
      </c>
      <c r="D1715" s="649">
        <f ca="1">IF(E1715=4,INDEX(crude_exp_dist,MATCH(B1715,'Crude Exp Dist'!$B$6:$B$78,0),MATCH(C1715,'Crude Exp Dist'!$AD$2:$BC$2,0))*INDEX(crude_exp_by_year,MATCH(B1715,'Data Export'!$B$6:$B$78,0),1),IF(E1715=5,INDEX(ref_exp_dist,MATCH(B1715,'Refined Petro Exp Dist'!$B$6:$B$78,0),MATCH(C1715,'Refined Petro Exp Dist'!$AD$2:$BC$2,0))*INDEX(ref_exp_by_year,MATCH(B1715,'Data Export'!$B$6:$B$78,0),1)))</f>
        <v>0</v>
      </c>
      <c r="E1715">
        <v>4</v>
      </c>
      <c r="F1715" t="s">
        <v>239</v>
      </c>
    </row>
    <row r="1716" spans="1:6">
      <c r="A1716" t="str">
        <f t="shared" si="26"/>
        <v>GenericE&amp;DtemplateCIandGOA</v>
      </c>
      <c r="B1716">
        <v>66</v>
      </c>
      <c r="C1716">
        <v>25</v>
      </c>
      <c r="D1716" s="649">
        <f ca="1">IF(E1716=4,INDEX(crude_exp_dist,MATCH(B1716,'Crude Exp Dist'!$B$6:$B$78,0),MATCH(C1716,'Crude Exp Dist'!$AD$2:$BC$2,0))*INDEX(crude_exp_by_year,MATCH(B1716,'Data Export'!$B$6:$B$78,0),1),IF(E1716=5,INDEX(ref_exp_dist,MATCH(B1716,'Refined Petro Exp Dist'!$B$6:$B$78,0),MATCH(C1716,'Refined Petro Exp Dist'!$AD$2:$BC$2,0))*INDEX(ref_exp_by_year,MATCH(B1716,'Data Export'!$B$6:$B$78,0),1)))</f>
        <v>0</v>
      </c>
      <c r="E1716">
        <v>4</v>
      </c>
      <c r="F1716" t="s">
        <v>242</v>
      </c>
    </row>
    <row r="1717" spans="1:6">
      <c r="A1717" t="str">
        <f t="shared" si="26"/>
        <v>GenericE&amp;DtemplateCIandGOA</v>
      </c>
      <c r="B1717">
        <v>66</v>
      </c>
      <c r="C1717">
        <v>26</v>
      </c>
      <c r="D1717" s="649">
        <f ca="1">IF(E1717=4,INDEX(crude_exp_dist,MATCH(B1717,'Crude Exp Dist'!$B$6:$B$78,0),MATCH(C1717,'Crude Exp Dist'!$AD$2:$BC$2,0))*INDEX(crude_exp_by_year,MATCH(B1717,'Data Export'!$B$6:$B$78,0),1),IF(E1717=5,INDEX(ref_exp_dist,MATCH(B1717,'Refined Petro Exp Dist'!$B$6:$B$78,0),MATCH(C1717,'Refined Petro Exp Dist'!$AD$2:$BC$2,0))*INDEX(ref_exp_by_year,MATCH(B1717,'Data Export'!$B$6:$B$78,0),1)))</f>
        <v>0</v>
      </c>
      <c r="E1717">
        <v>4</v>
      </c>
      <c r="F1717" t="s">
        <v>245</v>
      </c>
    </row>
    <row r="1718" spans="1:6">
      <c r="A1718" t="str">
        <f t="shared" si="26"/>
        <v>GenericE&amp;DtemplateCIandGOA</v>
      </c>
      <c r="B1718">
        <v>67</v>
      </c>
      <c r="C1718">
        <v>1</v>
      </c>
      <c r="D1718" s="649">
        <f ca="1">IF(E1718=4,INDEX(crude_exp_dist,MATCH(B1718,'Crude Exp Dist'!$B$6:$B$78,0),MATCH(C1718,'Crude Exp Dist'!$AD$2:$BC$2,0))*INDEX(crude_exp_by_year,MATCH(B1718,'Data Export'!$B$6:$B$78,0),1),IF(E1718=5,INDEX(ref_exp_dist,MATCH(B1718,'Refined Petro Exp Dist'!$B$6:$B$78,0),MATCH(C1718,'Refined Petro Exp Dist'!$AD$2:$BC$2,0))*INDEX(ref_exp_by_year,MATCH(B1718,'Data Export'!$B$6:$B$78,0),1)))</f>
        <v>0</v>
      </c>
      <c r="E1718">
        <v>4</v>
      </c>
      <c r="F1718" t="s">
        <v>158</v>
      </c>
    </row>
    <row r="1719" spans="1:6">
      <c r="A1719" t="str">
        <f t="shared" si="26"/>
        <v>GenericE&amp;DtemplateCIandGOA</v>
      </c>
      <c r="B1719">
        <v>67</v>
      </c>
      <c r="C1719">
        <v>2</v>
      </c>
      <c r="D1719" s="649">
        <f ca="1">IF(E1719=4,INDEX(crude_exp_dist,MATCH(B1719,'Crude Exp Dist'!$B$6:$B$78,0),MATCH(C1719,'Crude Exp Dist'!$AD$2:$BC$2,0))*INDEX(crude_exp_by_year,MATCH(B1719,'Data Export'!$B$6:$B$78,0),1),IF(E1719=5,INDEX(ref_exp_dist,MATCH(B1719,'Refined Petro Exp Dist'!$B$6:$B$78,0),MATCH(C1719,'Refined Petro Exp Dist'!$AD$2:$BC$2,0))*INDEX(ref_exp_by_year,MATCH(B1719,'Data Export'!$B$6:$B$78,0),1)))</f>
        <v>0</v>
      </c>
      <c r="E1719">
        <v>4</v>
      </c>
      <c r="F1719" t="s">
        <v>166</v>
      </c>
    </row>
    <row r="1720" spans="1:6">
      <c r="A1720" t="str">
        <f t="shared" si="26"/>
        <v>GenericE&amp;DtemplateCIandGOA</v>
      </c>
      <c r="B1720">
        <v>67</v>
      </c>
      <c r="C1720">
        <v>3</v>
      </c>
      <c r="D1720" s="649">
        <f ca="1">IF(E1720=4,INDEX(crude_exp_dist,MATCH(B1720,'Crude Exp Dist'!$B$6:$B$78,0),MATCH(C1720,'Crude Exp Dist'!$AD$2:$BC$2,0))*INDEX(crude_exp_by_year,MATCH(B1720,'Data Export'!$B$6:$B$78,0),1),IF(E1720=5,INDEX(ref_exp_dist,MATCH(B1720,'Refined Petro Exp Dist'!$B$6:$B$78,0),MATCH(C1720,'Refined Petro Exp Dist'!$AD$2:$BC$2,0))*INDEX(ref_exp_by_year,MATCH(B1720,'Data Export'!$B$6:$B$78,0),1)))</f>
        <v>0</v>
      </c>
      <c r="E1720">
        <v>4</v>
      </c>
      <c r="F1720" t="s">
        <v>171</v>
      </c>
    </row>
    <row r="1721" spans="1:6">
      <c r="A1721" t="str">
        <f t="shared" si="26"/>
        <v>GenericE&amp;DtemplateCIandGOA</v>
      </c>
      <c r="B1721">
        <v>67</v>
      </c>
      <c r="C1721">
        <v>4</v>
      </c>
      <c r="D1721" s="649">
        <f ca="1">IF(E1721=4,INDEX(crude_exp_dist,MATCH(B1721,'Crude Exp Dist'!$B$6:$B$78,0),MATCH(C1721,'Crude Exp Dist'!$AD$2:$BC$2,0))*INDEX(crude_exp_by_year,MATCH(B1721,'Data Export'!$B$6:$B$78,0),1),IF(E1721=5,INDEX(ref_exp_dist,MATCH(B1721,'Refined Petro Exp Dist'!$B$6:$B$78,0),MATCH(C1721,'Refined Petro Exp Dist'!$AD$2:$BC$2,0))*INDEX(ref_exp_by_year,MATCH(B1721,'Data Export'!$B$6:$B$78,0),1)))</f>
        <v>0</v>
      </c>
      <c r="E1721">
        <v>4</v>
      </c>
      <c r="F1721" t="s">
        <v>173</v>
      </c>
    </row>
    <row r="1722" spans="1:6">
      <c r="A1722" t="str">
        <f t="shared" si="26"/>
        <v>GenericE&amp;DtemplateCIandGOA</v>
      </c>
      <c r="B1722">
        <v>67</v>
      </c>
      <c r="C1722">
        <v>5</v>
      </c>
      <c r="D1722" s="649">
        <f ca="1">IF(E1722=4,INDEX(crude_exp_dist,MATCH(B1722,'Crude Exp Dist'!$B$6:$B$78,0),MATCH(C1722,'Crude Exp Dist'!$AD$2:$BC$2,0))*INDEX(crude_exp_by_year,MATCH(B1722,'Data Export'!$B$6:$B$78,0),1),IF(E1722=5,INDEX(ref_exp_dist,MATCH(B1722,'Refined Petro Exp Dist'!$B$6:$B$78,0),MATCH(C1722,'Refined Petro Exp Dist'!$AD$2:$BC$2,0))*INDEX(ref_exp_by_year,MATCH(B1722,'Data Export'!$B$6:$B$78,0),1)))</f>
        <v>0</v>
      </c>
      <c r="E1722">
        <v>4</v>
      </c>
      <c r="F1722" t="s">
        <v>180</v>
      </c>
    </row>
    <row r="1723" spans="1:6">
      <c r="A1723" t="str">
        <f t="shared" si="26"/>
        <v>GenericE&amp;DtemplateCIandGOA</v>
      </c>
      <c r="B1723">
        <v>67</v>
      </c>
      <c r="C1723">
        <v>6</v>
      </c>
      <c r="D1723" s="649">
        <f ca="1">IF(E1723=4,INDEX(crude_exp_dist,MATCH(B1723,'Crude Exp Dist'!$B$6:$B$78,0),MATCH(C1723,'Crude Exp Dist'!$AD$2:$BC$2,0))*INDEX(crude_exp_by_year,MATCH(B1723,'Data Export'!$B$6:$B$78,0),1),IF(E1723=5,INDEX(ref_exp_dist,MATCH(B1723,'Refined Petro Exp Dist'!$B$6:$B$78,0),MATCH(C1723,'Refined Petro Exp Dist'!$AD$2:$BC$2,0))*INDEX(ref_exp_by_year,MATCH(B1723,'Data Export'!$B$6:$B$78,0),1)))</f>
        <v>0</v>
      </c>
      <c r="E1723">
        <v>4</v>
      </c>
      <c r="F1723" t="s">
        <v>186</v>
      </c>
    </row>
    <row r="1724" spans="1:6">
      <c r="A1724" t="str">
        <f t="shared" si="26"/>
        <v>GenericE&amp;DtemplateCIandGOA</v>
      </c>
      <c r="B1724">
        <v>67</v>
      </c>
      <c r="C1724">
        <v>7</v>
      </c>
      <c r="D1724" s="649">
        <f ca="1">IF(E1724=4,INDEX(crude_exp_dist,MATCH(B1724,'Crude Exp Dist'!$B$6:$B$78,0),MATCH(C1724,'Crude Exp Dist'!$AD$2:$BC$2,0))*INDEX(crude_exp_by_year,MATCH(B1724,'Data Export'!$B$6:$B$78,0),1),IF(E1724=5,INDEX(ref_exp_dist,MATCH(B1724,'Refined Petro Exp Dist'!$B$6:$B$78,0),MATCH(C1724,'Refined Petro Exp Dist'!$AD$2:$BC$2,0))*INDEX(ref_exp_by_year,MATCH(B1724,'Data Export'!$B$6:$B$78,0),1)))</f>
        <v>0</v>
      </c>
      <c r="E1724">
        <v>4</v>
      </c>
      <c r="F1724" t="s">
        <v>191</v>
      </c>
    </row>
    <row r="1725" spans="1:6">
      <c r="A1725" t="str">
        <f t="shared" si="26"/>
        <v>GenericE&amp;DtemplateCIandGOA</v>
      </c>
      <c r="B1725">
        <v>67</v>
      </c>
      <c r="C1725">
        <v>8</v>
      </c>
      <c r="D1725" s="649">
        <f ca="1">IF(E1725=4,INDEX(crude_exp_dist,MATCH(B1725,'Crude Exp Dist'!$B$6:$B$78,0),MATCH(C1725,'Crude Exp Dist'!$AD$2:$BC$2,0))*INDEX(crude_exp_by_year,MATCH(B1725,'Data Export'!$B$6:$B$78,0),1),IF(E1725=5,INDEX(ref_exp_dist,MATCH(B1725,'Refined Petro Exp Dist'!$B$6:$B$78,0),MATCH(C1725,'Refined Petro Exp Dist'!$AD$2:$BC$2,0))*INDEX(ref_exp_by_year,MATCH(B1725,'Data Export'!$B$6:$B$78,0),1)))</f>
        <v>0</v>
      </c>
      <c r="E1725">
        <v>4</v>
      </c>
      <c r="F1725" t="s">
        <v>197</v>
      </c>
    </row>
    <row r="1726" spans="1:6">
      <c r="A1726" t="str">
        <f t="shared" si="26"/>
        <v>GenericE&amp;DtemplateCIandGOA</v>
      </c>
      <c r="B1726">
        <v>67</v>
      </c>
      <c r="C1726">
        <v>9</v>
      </c>
      <c r="D1726" s="649">
        <f ca="1">IF(E1726=4,INDEX(crude_exp_dist,MATCH(B1726,'Crude Exp Dist'!$B$6:$B$78,0),MATCH(C1726,'Crude Exp Dist'!$AD$2:$BC$2,0))*INDEX(crude_exp_by_year,MATCH(B1726,'Data Export'!$B$6:$B$78,0),1),IF(E1726=5,INDEX(ref_exp_dist,MATCH(B1726,'Refined Petro Exp Dist'!$B$6:$B$78,0),MATCH(C1726,'Refined Petro Exp Dist'!$AD$2:$BC$2,0))*INDEX(ref_exp_by_year,MATCH(B1726,'Data Export'!$B$6:$B$78,0),1)))</f>
        <v>0</v>
      </c>
      <c r="E1726">
        <v>4</v>
      </c>
      <c r="F1726" t="s">
        <v>199</v>
      </c>
    </row>
    <row r="1727" spans="1:6">
      <c r="A1727" t="str">
        <f t="shared" si="26"/>
        <v>GenericE&amp;DtemplateCIandGOA</v>
      </c>
      <c r="B1727">
        <v>67</v>
      </c>
      <c r="C1727">
        <v>10</v>
      </c>
      <c r="D1727" s="649">
        <f ca="1">IF(E1727=4,INDEX(crude_exp_dist,MATCH(B1727,'Crude Exp Dist'!$B$6:$B$78,0),MATCH(C1727,'Crude Exp Dist'!$AD$2:$BC$2,0))*INDEX(crude_exp_by_year,MATCH(B1727,'Data Export'!$B$6:$B$78,0),1),IF(E1727=5,INDEX(ref_exp_dist,MATCH(B1727,'Refined Petro Exp Dist'!$B$6:$B$78,0),MATCH(C1727,'Refined Petro Exp Dist'!$AD$2:$BC$2,0))*INDEX(ref_exp_by_year,MATCH(B1727,'Data Export'!$B$6:$B$78,0),1)))</f>
        <v>0</v>
      </c>
      <c r="E1727">
        <v>4</v>
      </c>
      <c r="F1727" t="s">
        <v>201</v>
      </c>
    </row>
    <row r="1728" spans="1:6">
      <c r="A1728" t="str">
        <f t="shared" si="26"/>
        <v>GenericE&amp;DtemplateCIandGOA</v>
      </c>
      <c r="B1728">
        <v>67</v>
      </c>
      <c r="C1728">
        <v>11</v>
      </c>
      <c r="D1728" s="649">
        <f ca="1">IF(E1728=4,INDEX(crude_exp_dist,MATCH(B1728,'Crude Exp Dist'!$B$6:$B$78,0),MATCH(C1728,'Crude Exp Dist'!$AD$2:$BC$2,0))*INDEX(crude_exp_by_year,MATCH(B1728,'Data Export'!$B$6:$B$78,0),1),IF(E1728=5,INDEX(ref_exp_dist,MATCH(B1728,'Refined Petro Exp Dist'!$B$6:$B$78,0),MATCH(C1728,'Refined Petro Exp Dist'!$AD$2:$BC$2,0))*INDEX(ref_exp_by_year,MATCH(B1728,'Data Export'!$B$6:$B$78,0),1)))</f>
        <v>0</v>
      </c>
      <c r="E1728">
        <v>4</v>
      </c>
      <c r="F1728" t="s">
        <v>921</v>
      </c>
    </row>
    <row r="1729" spans="1:6">
      <c r="A1729" t="str">
        <f t="shared" si="26"/>
        <v>GenericE&amp;DtemplateCIandGOA</v>
      </c>
      <c r="B1729">
        <v>67</v>
      </c>
      <c r="C1729">
        <v>12</v>
      </c>
      <c r="D1729" s="649">
        <f ca="1">IF(E1729=4,INDEX(crude_exp_dist,MATCH(B1729,'Crude Exp Dist'!$B$6:$B$78,0),MATCH(C1729,'Crude Exp Dist'!$AD$2:$BC$2,0))*INDEX(crude_exp_by_year,MATCH(B1729,'Data Export'!$B$6:$B$78,0),1),IF(E1729=5,INDEX(ref_exp_dist,MATCH(B1729,'Refined Petro Exp Dist'!$B$6:$B$78,0),MATCH(C1729,'Refined Petro Exp Dist'!$AD$2:$BC$2,0))*INDEX(ref_exp_by_year,MATCH(B1729,'Data Export'!$B$6:$B$78,0),1)))</f>
        <v>0</v>
      </c>
      <c r="E1729">
        <v>4</v>
      </c>
      <c r="F1729" t="s">
        <v>208</v>
      </c>
    </row>
    <row r="1730" spans="1:6">
      <c r="A1730" t="str">
        <f t="shared" ref="A1730:A1793" si="27">scenario_name</f>
        <v>GenericE&amp;DtemplateCIandGOA</v>
      </c>
      <c r="B1730">
        <v>67</v>
      </c>
      <c r="C1730">
        <v>13</v>
      </c>
      <c r="D1730" s="649">
        <f ca="1">IF(E1730=4,INDEX(crude_exp_dist,MATCH(B1730,'Crude Exp Dist'!$B$6:$B$78,0),MATCH(C1730,'Crude Exp Dist'!$AD$2:$BC$2,0))*INDEX(crude_exp_by_year,MATCH(B1730,'Data Export'!$B$6:$B$78,0),1),IF(E1730=5,INDEX(ref_exp_dist,MATCH(B1730,'Refined Petro Exp Dist'!$B$6:$B$78,0),MATCH(C1730,'Refined Petro Exp Dist'!$AD$2:$BC$2,0))*INDEX(ref_exp_by_year,MATCH(B1730,'Data Export'!$B$6:$B$78,0),1)))</f>
        <v>0</v>
      </c>
      <c r="E1730">
        <v>4</v>
      </c>
      <c r="F1730" t="s">
        <v>211</v>
      </c>
    </row>
    <row r="1731" spans="1:6">
      <c r="A1731" t="str">
        <f t="shared" si="27"/>
        <v>GenericE&amp;DtemplateCIandGOA</v>
      </c>
      <c r="B1731">
        <v>67</v>
      </c>
      <c r="C1731">
        <v>14</v>
      </c>
      <c r="D1731" s="649">
        <f ca="1">IF(E1731=4,INDEX(crude_exp_dist,MATCH(B1731,'Crude Exp Dist'!$B$6:$B$78,0),MATCH(C1731,'Crude Exp Dist'!$AD$2:$BC$2,0))*INDEX(crude_exp_by_year,MATCH(B1731,'Data Export'!$B$6:$B$78,0),1),IF(E1731=5,INDEX(ref_exp_dist,MATCH(B1731,'Refined Petro Exp Dist'!$B$6:$B$78,0),MATCH(C1731,'Refined Petro Exp Dist'!$AD$2:$BC$2,0))*INDEX(ref_exp_by_year,MATCH(B1731,'Data Export'!$B$6:$B$78,0),1)))</f>
        <v>0</v>
      </c>
      <c r="E1731">
        <v>4</v>
      </c>
      <c r="F1731" t="s">
        <v>213</v>
      </c>
    </row>
    <row r="1732" spans="1:6">
      <c r="A1732" t="str">
        <f t="shared" si="27"/>
        <v>GenericE&amp;DtemplateCIandGOA</v>
      </c>
      <c r="B1732">
        <v>67</v>
      </c>
      <c r="C1732">
        <v>15</v>
      </c>
      <c r="D1732" s="649">
        <f ca="1">IF(E1732=4,INDEX(crude_exp_dist,MATCH(B1732,'Crude Exp Dist'!$B$6:$B$78,0),MATCH(C1732,'Crude Exp Dist'!$AD$2:$BC$2,0))*INDEX(crude_exp_by_year,MATCH(B1732,'Data Export'!$B$6:$B$78,0),1),IF(E1732=5,INDEX(ref_exp_dist,MATCH(B1732,'Refined Petro Exp Dist'!$B$6:$B$78,0),MATCH(C1732,'Refined Petro Exp Dist'!$AD$2:$BC$2,0))*INDEX(ref_exp_by_year,MATCH(B1732,'Data Export'!$B$6:$B$78,0),1)))</f>
        <v>0</v>
      </c>
      <c r="E1732">
        <v>4</v>
      </c>
      <c r="F1732" t="s">
        <v>215</v>
      </c>
    </row>
    <row r="1733" spans="1:6">
      <c r="A1733" t="str">
        <f t="shared" si="27"/>
        <v>GenericE&amp;DtemplateCIandGOA</v>
      </c>
      <c r="B1733">
        <v>67</v>
      </c>
      <c r="C1733">
        <v>16</v>
      </c>
      <c r="D1733" s="649">
        <f ca="1">IF(E1733=4,INDEX(crude_exp_dist,MATCH(B1733,'Crude Exp Dist'!$B$6:$B$78,0),MATCH(C1733,'Crude Exp Dist'!$AD$2:$BC$2,0))*INDEX(crude_exp_by_year,MATCH(B1733,'Data Export'!$B$6:$B$78,0),1),IF(E1733=5,INDEX(ref_exp_dist,MATCH(B1733,'Refined Petro Exp Dist'!$B$6:$B$78,0),MATCH(C1733,'Refined Petro Exp Dist'!$AD$2:$BC$2,0))*INDEX(ref_exp_by_year,MATCH(B1733,'Data Export'!$B$6:$B$78,0),1)))</f>
        <v>0</v>
      </c>
      <c r="E1733">
        <v>4</v>
      </c>
      <c r="F1733" t="s">
        <v>219</v>
      </c>
    </row>
    <row r="1734" spans="1:6">
      <c r="A1734" t="str">
        <f t="shared" si="27"/>
        <v>GenericE&amp;DtemplateCIandGOA</v>
      </c>
      <c r="B1734">
        <v>67</v>
      </c>
      <c r="C1734">
        <v>17</v>
      </c>
      <c r="D1734" s="649">
        <f ca="1">IF(E1734=4,INDEX(crude_exp_dist,MATCH(B1734,'Crude Exp Dist'!$B$6:$B$78,0),MATCH(C1734,'Crude Exp Dist'!$AD$2:$BC$2,0))*INDEX(crude_exp_by_year,MATCH(B1734,'Data Export'!$B$6:$B$78,0),1),IF(E1734=5,INDEX(ref_exp_dist,MATCH(B1734,'Refined Petro Exp Dist'!$B$6:$B$78,0),MATCH(C1734,'Refined Petro Exp Dist'!$AD$2:$BC$2,0))*INDEX(ref_exp_by_year,MATCH(B1734,'Data Export'!$B$6:$B$78,0),1)))</f>
        <v>0</v>
      </c>
      <c r="E1734">
        <v>4</v>
      </c>
      <c r="F1734" t="s">
        <v>222</v>
      </c>
    </row>
    <row r="1735" spans="1:6">
      <c r="A1735" t="str">
        <f t="shared" si="27"/>
        <v>GenericE&amp;DtemplateCIandGOA</v>
      </c>
      <c r="B1735">
        <v>67</v>
      </c>
      <c r="C1735">
        <v>18</v>
      </c>
      <c r="D1735" s="649">
        <f ca="1">IF(E1735=4,INDEX(crude_exp_dist,MATCH(B1735,'Crude Exp Dist'!$B$6:$B$78,0),MATCH(C1735,'Crude Exp Dist'!$AD$2:$BC$2,0))*INDEX(crude_exp_by_year,MATCH(B1735,'Data Export'!$B$6:$B$78,0),1),IF(E1735=5,INDEX(ref_exp_dist,MATCH(B1735,'Refined Petro Exp Dist'!$B$6:$B$78,0),MATCH(C1735,'Refined Petro Exp Dist'!$AD$2:$BC$2,0))*INDEX(ref_exp_by_year,MATCH(B1735,'Data Export'!$B$6:$B$78,0),1)))</f>
        <v>0</v>
      </c>
      <c r="E1735">
        <v>4</v>
      </c>
      <c r="F1735" t="s">
        <v>224</v>
      </c>
    </row>
    <row r="1736" spans="1:6">
      <c r="A1736" t="str">
        <f t="shared" si="27"/>
        <v>GenericE&amp;DtemplateCIandGOA</v>
      </c>
      <c r="B1736">
        <v>67</v>
      </c>
      <c r="C1736">
        <v>19</v>
      </c>
      <c r="D1736" s="649">
        <f ca="1">IF(E1736=4,INDEX(crude_exp_dist,MATCH(B1736,'Crude Exp Dist'!$B$6:$B$78,0),MATCH(C1736,'Crude Exp Dist'!$AD$2:$BC$2,0))*INDEX(crude_exp_by_year,MATCH(B1736,'Data Export'!$B$6:$B$78,0),1),IF(E1736=5,INDEX(ref_exp_dist,MATCH(B1736,'Refined Petro Exp Dist'!$B$6:$B$78,0),MATCH(C1736,'Refined Petro Exp Dist'!$AD$2:$BC$2,0))*INDEX(ref_exp_by_year,MATCH(B1736,'Data Export'!$B$6:$B$78,0),1)))</f>
        <v>0</v>
      </c>
      <c r="E1736">
        <v>4</v>
      </c>
      <c r="F1736" t="s">
        <v>228</v>
      </c>
    </row>
    <row r="1737" spans="1:6">
      <c r="A1737" t="str">
        <f t="shared" si="27"/>
        <v>GenericE&amp;DtemplateCIandGOA</v>
      </c>
      <c r="B1737">
        <v>67</v>
      </c>
      <c r="C1737">
        <v>20</v>
      </c>
      <c r="D1737" s="649">
        <f ca="1">IF(E1737=4,INDEX(crude_exp_dist,MATCH(B1737,'Crude Exp Dist'!$B$6:$B$78,0),MATCH(C1737,'Crude Exp Dist'!$AD$2:$BC$2,0))*INDEX(crude_exp_by_year,MATCH(B1737,'Data Export'!$B$6:$B$78,0),1),IF(E1737=5,INDEX(ref_exp_dist,MATCH(B1737,'Refined Petro Exp Dist'!$B$6:$B$78,0),MATCH(C1737,'Refined Petro Exp Dist'!$AD$2:$BC$2,0))*INDEX(ref_exp_by_year,MATCH(B1737,'Data Export'!$B$6:$B$78,0),1)))</f>
        <v>0</v>
      </c>
      <c r="E1737">
        <v>4</v>
      </c>
      <c r="F1737" t="s">
        <v>231</v>
      </c>
    </row>
    <row r="1738" spans="1:6">
      <c r="A1738" t="str">
        <f t="shared" si="27"/>
        <v>GenericE&amp;DtemplateCIandGOA</v>
      </c>
      <c r="B1738">
        <v>67</v>
      </c>
      <c r="C1738">
        <v>21</v>
      </c>
      <c r="D1738" s="649">
        <f ca="1">IF(E1738=4,INDEX(crude_exp_dist,MATCH(B1738,'Crude Exp Dist'!$B$6:$B$78,0),MATCH(C1738,'Crude Exp Dist'!$AD$2:$BC$2,0))*INDEX(crude_exp_by_year,MATCH(B1738,'Data Export'!$B$6:$B$78,0),1),IF(E1738=5,INDEX(ref_exp_dist,MATCH(B1738,'Refined Petro Exp Dist'!$B$6:$B$78,0),MATCH(C1738,'Refined Petro Exp Dist'!$AD$2:$BC$2,0))*INDEX(ref_exp_by_year,MATCH(B1738,'Data Export'!$B$6:$B$78,0),1)))</f>
        <v>0</v>
      </c>
      <c r="E1738">
        <v>4</v>
      </c>
      <c r="F1738" t="s">
        <v>232</v>
      </c>
    </row>
    <row r="1739" spans="1:6">
      <c r="A1739" t="str">
        <f t="shared" si="27"/>
        <v>GenericE&amp;DtemplateCIandGOA</v>
      </c>
      <c r="B1739">
        <v>67</v>
      </c>
      <c r="C1739">
        <v>22</v>
      </c>
      <c r="D1739" s="649">
        <f ca="1">IF(E1739=4,INDEX(crude_exp_dist,MATCH(B1739,'Crude Exp Dist'!$B$6:$B$78,0),MATCH(C1739,'Crude Exp Dist'!$AD$2:$BC$2,0))*INDEX(crude_exp_by_year,MATCH(B1739,'Data Export'!$B$6:$B$78,0),1),IF(E1739=5,INDEX(ref_exp_dist,MATCH(B1739,'Refined Petro Exp Dist'!$B$6:$B$78,0),MATCH(C1739,'Refined Petro Exp Dist'!$AD$2:$BC$2,0))*INDEX(ref_exp_by_year,MATCH(B1739,'Data Export'!$B$6:$B$78,0),1)))</f>
        <v>0</v>
      </c>
      <c r="E1739">
        <v>4</v>
      </c>
      <c r="F1739" t="s">
        <v>235</v>
      </c>
    </row>
    <row r="1740" spans="1:6">
      <c r="A1740" t="str">
        <f t="shared" si="27"/>
        <v>GenericE&amp;DtemplateCIandGOA</v>
      </c>
      <c r="B1740">
        <v>67</v>
      </c>
      <c r="C1740">
        <v>23</v>
      </c>
      <c r="D1740" s="649">
        <f ca="1">IF(E1740=4,INDEX(crude_exp_dist,MATCH(B1740,'Crude Exp Dist'!$B$6:$B$78,0),MATCH(C1740,'Crude Exp Dist'!$AD$2:$BC$2,0))*INDEX(crude_exp_by_year,MATCH(B1740,'Data Export'!$B$6:$B$78,0),1),IF(E1740=5,INDEX(ref_exp_dist,MATCH(B1740,'Refined Petro Exp Dist'!$B$6:$B$78,0),MATCH(C1740,'Refined Petro Exp Dist'!$AD$2:$BC$2,0))*INDEX(ref_exp_by_year,MATCH(B1740,'Data Export'!$B$6:$B$78,0),1)))</f>
        <v>0</v>
      </c>
      <c r="E1740">
        <v>4</v>
      </c>
      <c r="F1740" t="s">
        <v>237</v>
      </c>
    </row>
    <row r="1741" spans="1:6">
      <c r="A1741" t="str">
        <f t="shared" si="27"/>
        <v>GenericE&amp;DtemplateCIandGOA</v>
      </c>
      <c r="B1741">
        <v>67</v>
      </c>
      <c r="C1741">
        <v>24</v>
      </c>
      <c r="D1741" s="649">
        <f ca="1">IF(E1741=4,INDEX(crude_exp_dist,MATCH(B1741,'Crude Exp Dist'!$B$6:$B$78,0),MATCH(C1741,'Crude Exp Dist'!$AD$2:$BC$2,0))*INDEX(crude_exp_by_year,MATCH(B1741,'Data Export'!$B$6:$B$78,0),1),IF(E1741=5,INDEX(ref_exp_dist,MATCH(B1741,'Refined Petro Exp Dist'!$B$6:$B$78,0),MATCH(C1741,'Refined Petro Exp Dist'!$AD$2:$BC$2,0))*INDEX(ref_exp_by_year,MATCH(B1741,'Data Export'!$B$6:$B$78,0),1)))</f>
        <v>0</v>
      </c>
      <c r="E1741">
        <v>4</v>
      </c>
      <c r="F1741" t="s">
        <v>239</v>
      </c>
    </row>
    <row r="1742" spans="1:6">
      <c r="A1742" t="str">
        <f t="shared" si="27"/>
        <v>GenericE&amp;DtemplateCIandGOA</v>
      </c>
      <c r="B1742">
        <v>67</v>
      </c>
      <c r="C1742">
        <v>25</v>
      </c>
      <c r="D1742" s="649">
        <f ca="1">IF(E1742=4,INDEX(crude_exp_dist,MATCH(B1742,'Crude Exp Dist'!$B$6:$B$78,0),MATCH(C1742,'Crude Exp Dist'!$AD$2:$BC$2,0))*INDEX(crude_exp_by_year,MATCH(B1742,'Data Export'!$B$6:$B$78,0),1),IF(E1742=5,INDEX(ref_exp_dist,MATCH(B1742,'Refined Petro Exp Dist'!$B$6:$B$78,0),MATCH(C1742,'Refined Petro Exp Dist'!$AD$2:$BC$2,0))*INDEX(ref_exp_by_year,MATCH(B1742,'Data Export'!$B$6:$B$78,0),1)))</f>
        <v>0</v>
      </c>
      <c r="E1742">
        <v>4</v>
      </c>
      <c r="F1742" t="s">
        <v>242</v>
      </c>
    </row>
    <row r="1743" spans="1:6">
      <c r="A1743" t="str">
        <f t="shared" si="27"/>
        <v>GenericE&amp;DtemplateCIandGOA</v>
      </c>
      <c r="B1743">
        <v>67</v>
      </c>
      <c r="C1743">
        <v>26</v>
      </c>
      <c r="D1743" s="649">
        <f ca="1">IF(E1743=4,INDEX(crude_exp_dist,MATCH(B1743,'Crude Exp Dist'!$B$6:$B$78,0),MATCH(C1743,'Crude Exp Dist'!$AD$2:$BC$2,0))*INDEX(crude_exp_by_year,MATCH(B1743,'Data Export'!$B$6:$B$78,0),1),IF(E1743=5,INDEX(ref_exp_dist,MATCH(B1743,'Refined Petro Exp Dist'!$B$6:$B$78,0),MATCH(C1743,'Refined Petro Exp Dist'!$AD$2:$BC$2,0))*INDEX(ref_exp_by_year,MATCH(B1743,'Data Export'!$B$6:$B$78,0),1)))</f>
        <v>0</v>
      </c>
      <c r="E1743">
        <v>4</v>
      </c>
      <c r="F1743" t="s">
        <v>245</v>
      </c>
    </row>
    <row r="1744" spans="1:6">
      <c r="A1744" t="str">
        <f t="shared" si="27"/>
        <v>GenericE&amp;DtemplateCIandGOA</v>
      </c>
      <c r="B1744">
        <v>68</v>
      </c>
      <c r="C1744">
        <v>1</v>
      </c>
      <c r="D1744" s="649">
        <f ca="1">IF(E1744=4,INDEX(crude_exp_dist,MATCH(B1744,'Crude Exp Dist'!$B$6:$B$78,0),MATCH(C1744,'Crude Exp Dist'!$AD$2:$BC$2,0))*INDEX(crude_exp_by_year,MATCH(B1744,'Data Export'!$B$6:$B$78,0),1),IF(E1744=5,INDEX(ref_exp_dist,MATCH(B1744,'Refined Petro Exp Dist'!$B$6:$B$78,0),MATCH(C1744,'Refined Petro Exp Dist'!$AD$2:$BC$2,0))*INDEX(ref_exp_by_year,MATCH(B1744,'Data Export'!$B$6:$B$78,0),1)))</f>
        <v>0</v>
      </c>
      <c r="E1744">
        <v>4</v>
      </c>
      <c r="F1744" t="s">
        <v>158</v>
      </c>
    </row>
    <row r="1745" spans="1:6">
      <c r="A1745" t="str">
        <f t="shared" si="27"/>
        <v>GenericE&amp;DtemplateCIandGOA</v>
      </c>
      <c r="B1745">
        <v>68</v>
      </c>
      <c r="C1745">
        <v>2</v>
      </c>
      <c r="D1745" s="649">
        <f ca="1">IF(E1745=4,INDEX(crude_exp_dist,MATCH(B1745,'Crude Exp Dist'!$B$6:$B$78,0),MATCH(C1745,'Crude Exp Dist'!$AD$2:$BC$2,0))*INDEX(crude_exp_by_year,MATCH(B1745,'Data Export'!$B$6:$B$78,0),1),IF(E1745=5,INDEX(ref_exp_dist,MATCH(B1745,'Refined Petro Exp Dist'!$B$6:$B$78,0),MATCH(C1745,'Refined Petro Exp Dist'!$AD$2:$BC$2,0))*INDEX(ref_exp_by_year,MATCH(B1745,'Data Export'!$B$6:$B$78,0),1)))</f>
        <v>0</v>
      </c>
      <c r="E1745">
        <v>4</v>
      </c>
      <c r="F1745" t="s">
        <v>166</v>
      </c>
    </row>
    <row r="1746" spans="1:6">
      <c r="A1746" t="str">
        <f t="shared" si="27"/>
        <v>GenericE&amp;DtemplateCIandGOA</v>
      </c>
      <c r="B1746">
        <v>68</v>
      </c>
      <c r="C1746">
        <v>3</v>
      </c>
      <c r="D1746" s="649">
        <f ca="1">IF(E1746=4,INDEX(crude_exp_dist,MATCH(B1746,'Crude Exp Dist'!$B$6:$B$78,0),MATCH(C1746,'Crude Exp Dist'!$AD$2:$BC$2,0))*INDEX(crude_exp_by_year,MATCH(B1746,'Data Export'!$B$6:$B$78,0),1),IF(E1746=5,INDEX(ref_exp_dist,MATCH(B1746,'Refined Petro Exp Dist'!$B$6:$B$78,0),MATCH(C1746,'Refined Petro Exp Dist'!$AD$2:$BC$2,0))*INDEX(ref_exp_by_year,MATCH(B1746,'Data Export'!$B$6:$B$78,0),1)))</f>
        <v>0</v>
      </c>
      <c r="E1746">
        <v>4</v>
      </c>
      <c r="F1746" t="s">
        <v>171</v>
      </c>
    </row>
    <row r="1747" spans="1:6">
      <c r="A1747" t="str">
        <f t="shared" si="27"/>
        <v>GenericE&amp;DtemplateCIandGOA</v>
      </c>
      <c r="B1747">
        <v>68</v>
      </c>
      <c r="C1747">
        <v>4</v>
      </c>
      <c r="D1747" s="649">
        <f ca="1">IF(E1747=4,INDEX(crude_exp_dist,MATCH(B1747,'Crude Exp Dist'!$B$6:$B$78,0),MATCH(C1747,'Crude Exp Dist'!$AD$2:$BC$2,0))*INDEX(crude_exp_by_year,MATCH(B1747,'Data Export'!$B$6:$B$78,0),1),IF(E1747=5,INDEX(ref_exp_dist,MATCH(B1747,'Refined Petro Exp Dist'!$B$6:$B$78,0),MATCH(C1747,'Refined Petro Exp Dist'!$AD$2:$BC$2,0))*INDEX(ref_exp_by_year,MATCH(B1747,'Data Export'!$B$6:$B$78,0),1)))</f>
        <v>0</v>
      </c>
      <c r="E1747">
        <v>4</v>
      </c>
      <c r="F1747" t="s">
        <v>173</v>
      </c>
    </row>
    <row r="1748" spans="1:6">
      <c r="A1748" t="str">
        <f t="shared" si="27"/>
        <v>GenericE&amp;DtemplateCIandGOA</v>
      </c>
      <c r="B1748">
        <v>68</v>
      </c>
      <c r="C1748">
        <v>5</v>
      </c>
      <c r="D1748" s="649">
        <f ca="1">IF(E1748=4,INDEX(crude_exp_dist,MATCH(B1748,'Crude Exp Dist'!$B$6:$B$78,0),MATCH(C1748,'Crude Exp Dist'!$AD$2:$BC$2,0))*INDEX(crude_exp_by_year,MATCH(B1748,'Data Export'!$B$6:$B$78,0),1),IF(E1748=5,INDEX(ref_exp_dist,MATCH(B1748,'Refined Petro Exp Dist'!$B$6:$B$78,0),MATCH(C1748,'Refined Petro Exp Dist'!$AD$2:$BC$2,0))*INDEX(ref_exp_by_year,MATCH(B1748,'Data Export'!$B$6:$B$78,0),1)))</f>
        <v>0</v>
      </c>
      <c r="E1748">
        <v>4</v>
      </c>
      <c r="F1748" t="s">
        <v>180</v>
      </c>
    </row>
    <row r="1749" spans="1:6">
      <c r="A1749" t="str">
        <f t="shared" si="27"/>
        <v>GenericE&amp;DtemplateCIandGOA</v>
      </c>
      <c r="B1749">
        <v>68</v>
      </c>
      <c r="C1749">
        <v>6</v>
      </c>
      <c r="D1749" s="649">
        <f ca="1">IF(E1749=4,INDEX(crude_exp_dist,MATCH(B1749,'Crude Exp Dist'!$B$6:$B$78,0),MATCH(C1749,'Crude Exp Dist'!$AD$2:$BC$2,0))*INDEX(crude_exp_by_year,MATCH(B1749,'Data Export'!$B$6:$B$78,0),1),IF(E1749=5,INDEX(ref_exp_dist,MATCH(B1749,'Refined Petro Exp Dist'!$B$6:$B$78,0),MATCH(C1749,'Refined Petro Exp Dist'!$AD$2:$BC$2,0))*INDEX(ref_exp_by_year,MATCH(B1749,'Data Export'!$B$6:$B$78,0),1)))</f>
        <v>0</v>
      </c>
      <c r="E1749">
        <v>4</v>
      </c>
      <c r="F1749" t="s">
        <v>186</v>
      </c>
    </row>
    <row r="1750" spans="1:6">
      <c r="A1750" t="str">
        <f t="shared" si="27"/>
        <v>GenericE&amp;DtemplateCIandGOA</v>
      </c>
      <c r="B1750">
        <v>68</v>
      </c>
      <c r="C1750">
        <v>7</v>
      </c>
      <c r="D1750" s="649">
        <f ca="1">IF(E1750=4,INDEX(crude_exp_dist,MATCH(B1750,'Crude Exp Dist'!$B$6:$B$78,0),MATCH(C1750,'Crude Exp Dist'!$AD$2:$BC$2,0))*INDEX(crude_exp_by_year,MATCH(B1750,'Data Export'!$B$6:$B$78,0),1),IF(E1750=5,INDEX(ref_exp_dist,MATCH(B1750,'Refined Petro Exp Dist'!$B$6:$B$78,0),MATCH(C1750,'Refined Petro Exp Dist'!$AD$2:$BC$2,0))*INDEX(ref_exp_by_year,MATCH(B1750,'Data Export'!$B$6:$B$78,0),1)))</f>
        <v>0</v>
      </c>
      <c r="E1750">
        <v>4</v>
      </c>
      <c r="F1750" t="s">
        <v>191</v>
      </c>
    </row>
    <row r="1751" spans="1:6">
      <c r="A1751" t="str">
        <f t="shared" si="27"/>
        <v>GenericE&amp;DtemplateCIandGOA</v>
      </c>
      <c r="B1751">
        <v>68</v>
      </c>
      <c r="C1751">
        <v>8</v>
      </c>
      <c r="D1751" s="649">
        <f ca="1">IF(E1751=4,INDEX(crude_exp_dist,MATCH(B1751,'Crude Exp Dist'!$B$6:$B$78,0),MATCH(C1751,'Crude Exp Dist'!$AD$2:$BC$2,0))*INDEX(crude_exp_by_year,MATCH(B1751,'Data Export'!$B$6:$B$78,0),1),IF(E1751=5,INDEX(ref_exp_dist,MATCH(B1751,'Refined Petro Exp Dist'!$B$6:$B$78,0),MATCH(C1751,'Refined Petro Exp Dist'!$AD$2:$BC$2,0))*INDEX(ref_exp_by_year,MATCH(B1751,'Data Export'!$B$6:$B$78,0),1)))</f>
        <v>0</v>
      </c>
      <c r="E1751">
        <v>4</v>
      </c>
      <c r="F1751" t="s">
        <v>197</v>
      </c>
    </row>
    <row r="1752" spans="1:6">
      <c r="A1752" t="str">
        <f t="shared" si="27"/>
        <v>GenericE&amp;DtemplateCIandGOA</v>
      </c>
      <c r="B1752">
        <v>68</v>
      </c>
      <c r="C1752">
        <v>9</v>
      </c>
      <c r="D1752" s="649">
        <f ca="1">IF(E1752=4,INDEX(crude_exp_dist,MATCH(B1752,'Crude Exp Dist'!$B$6:$B$78,0),MATCH(C1752,'Crude Exp Dist'!$AD$2:$BC$2,0))*INDEX(crude_exp_by_year,MATCH(B1752,'Data Export'!$B$6:$B$78,0),1),IF(E1752=5,INDEX(ref_exp_dist,MATCH(B1752,'Refined Petro Exp Dist'!$B$6:$B$78,0),MATCH(C1752,'Refined Petro Exp Dist'!$AD$2:$BC$2,0))*INDEX(ref_exp_by_year,MATCH(B1752,'Data Export'!$B$6:$B$78,0),1)))</f>
        <v>0</v>
      </c>
      <c r="E1752">
        <v>4</v>
      </c>
      <c r="F1752" t="s">
        <v>199</v>
      </c>
    </row>
    <row r="1753" spans="1:6">
      <c r="A1753" t="str">
        <f t="shared" si="27"/>
        <v>GenericE&amp;DtemplateCIandGOA</v>
      </c>
      <c r="B1753">
        <v>68</v>
      </c>
      <c r="C1753">
        <v>10</v>
      </c>
      <c r="D1753" s="649">
        <f ca="1">IF(E1753=4,INDEX(crude_exp_dist,MATCH(B1753,'Crude Exp Dist'!$B$6:$B$78,0),MATCH(C1753,'Crude Exp Dist'!$AD$2:$BC$2,0))*INDEX(crude_exp_by_year,MATCH(B1753,'Data Export'!$B$6:$B$78,0),1),IF(E1753=5,INDEX(ref_exp_dist,MATCH(B1753,'Refined Petro Exp Dist'!$B$6:$B$78,0),MATCH(C1753,'Refined Petro Exp Dist'!$AD$2:$BC$2,0))*INDEX(ref_exp_by_year,MATCH(B1753,'Data Export'!$B$6:$B$78,0),1)))</f>
        <v>0</v>
      </c>
      <c r="E1753">
        <v>4</v>
      </c>
      <c r="F1753" t="s">
        <v>201</v>
      </c>
    </row>
    <row r="1754" spans="1:6">
      <c r="A1754" t="str">
        <f t="shared" si="27"/>
        <v>GenericE&amp;DtemplateCIandGOA</v>
      </c>
      <c r="B1754">
        <v>68</v>
      </c>
      <c r="C1754">
        <v>11</v>
      </c>
      <c r="D1754" s="649">
        <f ca="1">IF(E1754=4,INDEX(crude_exp_dist,MATCH(B1754,'Crude Exp Dist'!$B$6:$B$78,0),MATCH(C1754,'Crude Exp Dist'!$AD$2:$BC$2,0))*INDEX(crude_exp_by_year,MATCH(B1754,'Data Export'!$B$6:$B$78,0),1),IF(E1754=5,INDEX(ref_exp_dist,MATCH(B1754,'Refined Petro Exp Dist'!$B$6:$B$78,0),MATCH(C1754,'Refined Petro Exp Dist'!$AD$2:$BC$2,0))*INDEX(ref_exp_by_year,MATCH(B1754,'Data Export'!$B$6:$B$78,0),1)))</f>
        <v>0</v>
      </c>
      <c r="E1754">
        <v>4</v>
      </c>
      <c r="F1754" t="s">
        <v>921</v>
      </c>
    </row>
    <row r="1755" spans="1:6">
      <c r="A1755" t="str">
        <f t="shared" si="27"/>
        <v>GenericE&amp;DtemplateCIandGOA</v>
      </c>
      <c r="B1755">
        <v>68</v>
      </c>
      <c r="C1755">
        <v>12</v>
      </c>
      <c r="D1755" s="649">
        <f ca="1">IF(E1755=4,INDEX(crude_exp_dist,MATCH(B1755,'Crude Exp Dist'!$B$6:$B$78,0),MATCH(C1755,'Crude Exp Dist'!$AD$2:$BC$2,0))*INDEX(crude_exp_by_year,MATCH(B1755,'Data Export'!$B$6:$B$78,0),1),IF(E1755=5,INDEX(ref_exp_dist,MATCH(B1755,'Refined Petro Exp Dist'!$B$6:$B$78,0),MATCH(C1755,'Refined Petro Exp Dist'!$AD$2:$BC$2,0))*INDEX(ref_exp_by_year,MATCH(B1755,'Data Export'!$B$6:$B$78,0),1)))</f>
        <v>0</v>
      </c>
      <c r="E1755">
        <v>4</v>
      </c>
      <c r="F1755" t="s">
        <v>208</v>
      </c>
    </row>
    <row r="1756" spans="1:6">
      <c r="A1756" t="str">
        <f t="shared" si="27"/>
        <v>GenericE&amp;DtemplateCIandGOA</v>
      </c>
      <c r="B1756">
        <v>68</v>
      </c>
      <c r="C1756">
        <v>13</v>
      </c>
      <c r="D1756" s="649">
        <f ca="1">IF(E1756=4,INDEX(crude_exp_dist,MATCH(B1756,'Crude Exp Dist'!$B$6:$B$78,0),MATCH(C1756,'Crude Exp Dist'!$AD$2:$BC$2,0))*INDEX(crude_exp_by_year,MATCH(B1756,'Data Export'!$B$6:$B$78,0),1),IF(E1756=5,INDEX(ref_exp_dist,MATCH(B1756,'Refined Petro Exp Dist'!$B$6:$B$78,0),MATCH(C1756,'Refined Petro Exp Dist'!$AD$2:$BC$2,0))*INDEX(ref_exp_by_year,MATCH(B1756,'Data Export'!$B$6:$B$78,0),1)))</f>
        <v>0</v>
      </c>
      <c r="E1756">
        <v>4</v>
      </c>
      <c r="F1756" t="s">
        <v>211</v>
      </c>
    </row>
    <row r="1757" spans="1:6">
      <c r="A1757" t="str">
        <f t="shared" si="27"/>
        <v>GenericE&amp;DtemplateCIandGOA</v>
      </c>
      <c r="B1757">
        <v>68</v>
      </c>
      <c r="C1757">
        <v>14</v>
      </c>
      <c r="D1757" s="649">
        <f ca="1">IF(E1757=4,INDEX(crude_exp_dist,MATCH(B1757,'Crude Exp Dist'!$B$6:$B$78,0),MATCH(C1757,'Crude Exp Dist'!$AD$2:$BC$2,0))*INDEX(crude_exp_by_year,MATCH(B1757,'Data Export'!$B$6:$B$78,0),1),IF(E1757=5,INDEX(ref_exp_dist,MATCH(B1757,'Refined Petro Exp Dist'!$B$6:$B$78,0),MATCH(C1757,'Refined Petro Exp Dist'!$AD$2:$BC$2,0))*INDEX(ref_exp_by_year,MATCH(B1757,'Data Export'!$B$6:$B$78,0),1)))</f>
        <v>0</v>
      </c>
      <c r="E1757">
        <v>4</v>
      </c>
      <c r="F1757" t="s">
        <v>213</v>
      </c>
    </row>
    <row r="1758" spans="1:6">
      <c r="A1758" t="str">
        <f t="shared" si="27"/>
        <v>GenericE&amp;DtemplateCIandGOA</v>
      </c>
      <c r="B1758">
        <v>68</v>
      </c>
      <c r="C1758">
        <v>15</v>
      </c>
      <c r="D1758" s="649">
        <f ca="1">IF(E1758=4,INDEX(crude_exp_dist,MATCH(B1758,'Crude Exp Dist'!$B$6:$B$78,0),MATCH(C1758,'Crude Exp Dist'!$AD$2:$BC$2,0))*INDEX(crude_exp_by_year,MATCH(B1758,'Data Export'!$B$6:$B$78,0),1),IF(E1758=5,INDEX(ref_exp_dist,MATCH(B1758,'Refined Petro Exp Dist'!$B$6:$B$78,0),MATCH(C1758,'Refined Petro Exp Dist'!$AD$2:$BC$2,0))*INDEX(ref_exp_by_year,MATCH(B1758,'Data Export'!$B$6:$B$78,0),1)))</f>
        <v>0</v>
      </c>
      <c r="E1758">
        <v>4</v>
      </c>
      <c r="F1758" t="s">
        <v>215</v>
      </c>
    </row>
    <row r="1759" spans="1:6">
      <c r="A1759" t="str">
        <f t="shared" si="27"/>
        <v>GenericE&amp;DtemplateCIandGOA</v>
      </c>
      <c r="B1759">
        <v>68</v>
      </c>
      <c r="C1759">
        <v>16</v>
      </c>
      <c r="D1759" s="649">
        <f ca="1">IF(E1759=4,INDEX(crude_exp_dist,MATCH(B1759,'Crude Exp Dist'!$B$6:$B$78,0),MATCH(C1759,'Crude Exp Dist'!$AD$2:$BC$2,0))*INDEX(crude_exp_by_year,MATCH(B1759,'Data Export'!$B$6:$B$78,0),1),IF(E1759=5,INDEX(ref_exp_dist,MATCH(B1759,'Refined Petro Exp Dist'!$B$6:$B$78,0),MATCH(C1759,'Refined Petro Exp Dist'!$AD$2:$BC$2,0))*INDEX(ref_exp_by_year,MATCH(B1759,'Data Export'!$B$6:$B$78,0),1)))</f>
        <v>0</v>
      </c>
      <c r="E1759">
        <v>4</v>
      </c>
      <c r="F1759" t="s">
        <v>219</v>
      </c>
    </row>
    <row r="1760" spans="1:6">
      <c r="A1760" t="str">
        <f t="shared" si="27"/>
        <v>GenericE&amp;DtemplateCIandGOA</v>
      </c>
      <c r="B1760">
        <v>68</v>
      </c>
      <c r="C1760">
        <v>17</v>
      </c>
      <c r="D1760" s="649">
        <f ca="1">IF(E1760=4,INDEX(crude_exp_dist,MATCH(B1760,'Crude Exp Dist'!$B$6:$B$78,0),MATCH(C1760,'Crude Exp Dist'!$AD$2:$BC$2,0))*INDEX(crude_exp_by_year,MATCH(B1760,'Data Export'!$B$6:$B$78,0),1),IF(E1760=5,INDEX(ref_exp_dist,MATCH(B1760,'Refined Petro Exp Dist'!$B$6:$B$78,0),MATCH(C1760,'Refined Petro Exp Dist'!$AD$2:$BC$2,0))*INDEX(ref_exp_by_year,MATCH(B1760,'Data Export'!$B$6:$B$78,0),1)))</f>
        <v>0</v>
      </c>
      <c r="E1760">
        <v>4</v>
      </c>
      <c r="F1760" t="s">
        <v>222</v>
      </c>
    </row>
    <row r="1761" spans="1:6">
      <c r="A1761" t="str">
        <f t="shared" si="27"/>
        <v>GenericE&amp;DtemplateCIandGOA</v>
      </c>
      <c r="B1761">
        <v>68</v>
      </c>
      <c r="C1761">
        <v>18</v>
      </c>
      <c r="D1761" s="649">
        <f ca="1">IF(E1761=4,INDEX(crude_exp_dist,MATCH(B1761,'Crude Exp Dist'!$B$6:$B$78,0),MATCH(C1761,'Crude Exp Dist'!$AD$2:$BC$2,0))*INDEX(crude_exp_by_year,MATCH(B1761,'Data Export'!$B$6:$B$78,0),1),IF(E1761=5,INDEX(ref_exp_dist,MATCH(B1761,'Refined Petro Exp Dist'!$B$6:$B$78,0),MATCH(C1761,'Refined Petro Exp Dist'!$AD$2:$BC$2,0))*INDEX(ref_exp_by_year,MATCH(B1761,'Data Export'!$B$6:$B$78,0),1)))</f>
        <v>0</v>
      </c>
      <c r="E1761">
        <v>4</v>
      </c>
      <c r="F1761" t="s">
        <v>224</v>
      </c>
    </row>
    <row r="1762" spans="1:6">
      <c r="A1762" t="str">
        <f t="shared" si="27"/>
        <v>GenericE&amp;DtemplateCIandGOA</v>
      </c>
      <c r="B1762">
        <v>68</v>
      </c>
      <c r="C1762">
        <v>19</v>
      </c>
      <c r="D1762" s="649">
        <f ca="1">IF(E1762=4,INDEX(crude_exp_dist,MATCH(B1762,'Crude Exp Dist'!$B$6:$B$78,0),MATCH(C1762,'Crude Exp Dist'!$AD$2:$BC$2,0))*INDEX(crude_exp_by_year,MATCH(B1762,'Data Export'!$B$6:$B$78,0),1),IF(E1762=5,INDEX(ref_exp_dist,MATCH(B1762,'Refined Petro Exp Dist'!$B$6:$B$78,0),MATCH(C1762,'Refined Petro Exp Dist'!$AD$2:$BC$2,0))*INDEX(ref_exp_by_year,MATCH(B1762,'Data Export'!$B$6:$B$78,0),1)))</f>
        <v>0</v>
      </c>
      <c r="E1762">
        <v>4</v>
      </c>
      <c r="F1762" t="s">
        <v>228</v>
      </c>
    </row>
    <row r="1763" spans="1:6">
      <c r="A1763" t="str">
        <f t="shared" si="27"/>
        <v>GenericE&amp;DtemplateCIandGOA</v>
      </c>
      <c r="B1763">
        <v>68</v>
      </c>
      <c r="C1763">
        <v>20</v>
      </c>
      <c r="D1763" s="649">
        <f ca="1">IF(E1763=4,INDEX(crude_exp_dist,MATCH(B1763,'Crude Exp Dist'!$B$6:$B$78,0),MATCH(C1763,'Crude Exp Dist'!$AD$2:$BC$2,0))*INDEX(crude_exp_by_year,MATCH(B1763,'Data Export'!$B$6:$B$78,0),1),IF(E1763=5,INDEX(ref_exp_dist,MATCH(B1763,'Refined Petro Exp Dist'!$B$6:$B$78,0),MATCH(C1763,'Refined Petro Exp Dist'!$AD$2:$BC$2,0))*INDEX(ref_exp_by_year,MATCH(B1763,'Data Export'!$B$6:$B$78,0),1)))</f>
        <v>0</v>
      </c>
      <c r="E1763">
        <v>4</v>
      </c>
      <c r="F1763" t="s">
        <v>231</v>
      </c>
    </row>
    <row r="1764" spans="1:6">
      <c r="A1764" t="str">
        <f t="shared" si="27"/>
        <v>GenericE&amp;DtemplateCIandGOA</v>
      </c>
      <c r="B1764">
        <v>68</v>
      </c>
      <c r="C1764">
        <v>21</v>
      </c>
      <c r="D1764" s="649">
        <f ca="1">IF(E1764=4,INDEX(crude_exp_dist,MATCH(B1764,'Crude Exp Dist'!$B$6:$B$78,0),MATCH(C1764,'Crude Exp Dist'!$AD$2:$BC$2,0))*INDEX(crude_exp_by_year,MATCH(B1764,'Data Export'!$B$6:$B$78,0),1),IF(E1764=5,INDEX(ref_exp_dist,MATCH(B1764,'Refined Petro Exp Dist'!$B$6:$B$78,0),MATCH(C1764,'Refined Petro Exp Dist'!$AD$2:$BC$2,0))*INDEX(ref_exp_by_year,MATCH(B1764,'Data Export'!$B$6:$B$78,0),1)))</f>
        <v>0</v>
      </c>
      <c r="E1764">
        <v>4</v>
      </c>
      <c r="F1764" t="s">
        <v>232</v>
      </c>
    </row>
    <row r="1765" spans="1:6">
      <c r="A1765" t="str">
        <f t="shared" si="27"/>
        <v>GenericE&amp;DtemplateCIandGOA</v>
      </c>
      <c r="B1765">
        <v>68</v>
      </c>
      <c r="C1765">
        <v>22</v>
      </c>
      <c r="D1765" s="649">
        <f ca="1">IF(E1765=4,INDEX(crude_exp_dist,MATCH(B1765,'Crude Exp Dist'!$B$6:$B$78,0),MATCH(C1765,'Crude Exp Dist'!$AD$2:$BC$2,0))*INDEX(crude_exp_by_year,MATCH(B1765,'Data Export'!$B$6:$B$78,0),1),IF(E1765=5,INDEX(ref_exp_dist,MATCH(B1765,'Refined Petro Exp Dist'!$B$6:$B$78,0),MATCH(C1765,'Refined Petro Exp Dist'!$AD$2:$BC$2,0))*INDEX(ref_exp_by_year,MATCH(B1765,'Data Export'!$B$6:$B$78,0),1)))</f>
        <v>0</v>
      </c>
      <c r="E1765">
        <v>4</v>
      </c>
      <c r="F1765" t="s">
        <v>235</v>
      </c>
    </row>
    <row r="1766" spans="1:6">
      <c r="A1766" t="str">
        <f t="shared" si="27"/>
        <v>GenericE&amp;DtemplateCIandGOA</v>
      </c>
      <c r="B1766">
        <v>68</v>
      </c>
      <c r="C1766">
        <v>23</v>
      </c>
      <c r="D1766" s="649">
        <f ca="1">IF(E1766=4,INDEX(crude_exp_dist,MATCH(B1766,'Crude Exp Dist'!$B$6:$B$78,0),MATCH(C1766,'Crude Exp Dist'!$AD$2:$BC$2,0))*INDEX(crude_exp_by_year,MATCH(B1766,'Data Export'!$B$6:$B$78,0),1),IF(E1766=5,INDEX(ref_exp_dist,MATCH(B1766,'Refined Petro Exp Dist'!$B$6:$B$78,0),MATCH(C1766,'Refined Petro Exp Dist'!$AD$2:$BC$2,0))*INDEX(ref_exp_by_year,MATCH(B1766,'Data Export'!$B$6:$B$78,0),1)))</f>
        <v>0</v>
      </c>
      <c r="E1766">
        <v>4</v>
      </c>
      <c r="F1766" t="s">
        <v>237</v>
      </c>
    </row>
    <row r="1767" spans="1:6">
      <c r="A1767" t="str">
        <f t="shared" si="27"/>
        <v>GenericE&amp;DtemplateCIandGOA</v>
      </c>
      <c r="B1767">
        <v>68</v>
      </c>
      <c r="C1767">
        <v>24</v>
      </c>
      <c r="D1767" s="649">
        <f ca="1">IF(E1767=4,INDEX(crude_exp_dist,MATCH(B1767,'Crude Exp Dist'!$B$6:$B$78,0),MATCH(C1767,'Crude Exp Dist'!$AD$2:$BC$2,0))*INDEX(crude_exp_by_year,MATCH(B1767,'Data Export'!$B$6:$B$78,0),1),IF(E1767=5,INDEX(ref_exp_dist,MATCH(B1767,'Refined Petro Exp Dist'!$B$6:$B$78,0),MATCH(C1767,'Refined Petro Exp Dist'!$AD$2:$BC$2,0))*INDEX(ref_exp_by_year,MATCH(B1767,'Data Export'!$B$6:$B$78,0),1)))</f>
        <v>0</v>
      </c>
      <c r="E1767">
        <v>4</v>
      </c>
      <c r="F1767" t="s">
        <v>239</v>
      </c>
    </row>
    <row r="1768" spans="1:6">
      <c r="A1768" t="str">
        <f t="shared" si="27"/>
        <v>GenericE&amp;DtemplateCIandGOA</v>
      </c>
      <c r="B1768">
        <v>68</v>
      </c>
      <c r="C1768">
        <v>25</v>
      </c>
      <c r="D1768" s="649">
        <f ca="1">IF(E1768=4,INDEX(crude_exp_dist,MATCH(B1768,'Crude Exp Dist'!$B$6:$B$78,0),MATCH(C1768,'Crude Exp Dist'!$AD$2:$BC$2,0))*INDEX(crude_exp_by_year,MATCH(B1768,'Data Export'!$B$6:$B$78,0),1),IF(E1768=5,INDEX(ref_exp_dist,MATCH(B1768,'Refined Petro Exp Dist'!$B$6:$B$78,0),MATCH(C1768,'Refined Petro Exp Dist'!$AD$2:$BC$2,0))*INDEX(ref_exp_by_year,MATCH(B1768,'Data Export'!$B$6:$B$78,0),1)))</f>
        <v>0</v>
      </c>
      <c r="E1768">
        <v>4</v>
      </c>
      <c r="F1768" t="s">
        <v>242</v>
      </c>
    </row>
    <row r="1769" spans="1:6">
      <c r="A1769" t="str">
        <f t="shared" si="27"/>
        <v>GenericE&amp;DtemplateCIandGOA</v>
      </c>
      <c r="B1769">
        <v>68</v>
      </c>
      <c r="C1769">
        <v>26</v>
      </c>
      <c r="D1769" s="649">
        <f ca="1">IF(E1769=4,INDEX(crude_exp_dist,MATCH(B1769,'Crude Exp Dist'!$B$6:$B$78,0),MATCH(C1769,'Crude Exp Dist'!$AD$2:$BC$2,0))*INDEX(crude_exp_by_year,MATCH(B1769,'Data Export'!$B$6:$B$78,0),1),IF(E1769=5,INDEX(ref_exp_dist,MATCH(B1769,'Refined Petro Exp Dist'!$B$6:$B$78,0),MATCH(C1769,'Refined Petro Exp Dist'!$AD$2:$BC$2,0))*INDEX(ref_exp_by_year,MATCH(B1769,'Data Export'!$B$6:$B$78,0),1)))</f>
        <v>0</v>
      </c>
      <c r="E1769">
        <v>4</v>
      </c>
      <c r="F1769" t="s">
        <v>245</v>
      </c>
    </row>
    <row r="1770" spans="1:6">
      <c r="A1770" t="str">
        <f t="shared" si="27"/>
        <v>GenericE&amp;DtemplateCIandGOA</v>
      </c>
      <c r="B1770">
        <v>69</v>
      </c>
      <c r="C1770">
        <v>1</v>
      </c>
      <c r="D1770" s="649">
        <f ca="1">IF(E1770=4,INDEX(crude_exp_dist,MATCH(B1770,'Crude Exp Dist'!$B$6:$B$78,0),MATCH(C1770,'Crude Exp Dist'!$AD$2:$BC$2,0))*INDEX(crude_exp_by_year,MATCH(B1770,'Data Export'!$B$6:$B$78,0),1),IF(E1770=5,INDEX(ref_exp_dist,MATCH(B1770,'Refined Petro Exp Dist'!$B$6:$B$78,0),MATCH(C1770,'Refined Petro Exp Dist'!$AD$2:$BC$2,0))*INDEX(ref_exp_by_year,MATCH(B1770,'Data Export'!$B$6:$B$78,0),1)))</f>
        <v>0</v>
      </c>
      <c r="E1770">
        <v>4</v>
      </c>
      <c r="F1770" t="s">
        <v>158</v>
      </c>
    </row>
    <row r="1771" spans="1:6">
      <c r="A1771" t="str">
        <f t="shared" si="27"/>
        <v>GenericE&amp;DtemplateCIandGOA</v>
      </c>
      <c r="B1771">
        <v>69</v>
      </c>
      <c r="C1771">
        <v>2</v>
      </c>
      <c r="D1771" s="649">
        <f ca="1">IF(E1771=4,INDEX(crude_exp_dist,MATCH(B1771,'Crude Exp Dist'!$B$6:$B$78,0),MATCH(C1771,'Crude Exp Dist'!$AD$2:$BC$2,0))*INDEX(crude_exp_by_year,MATCH(B1771,'Data Export'!$B$6:$B$78,0),1),IF(E1771=5,INDEX(ref_exp_dist,MATCH(B1771,'Refined Petro Exp Dist'!$B$6:$B$78,0),MATCH(C1771,'Refined Petro Exp Dist'!$AD$2:$BC$2,0))*INDEX(ref_exp_by_year,MATCH(B1771,'Data Export'!$B$6:$B$78,0),1)))</f>
        <v>0</v>
      </c>
      <c r="E1771">
        <v>4</v>
      </c>
      <c r="F1771" t="s">
        <v>166</v>
      </c>
    </row>
    <row r="1772" spans="1:6">
      <c r="A1772" t="str">
        <f t="shared" si="27"/>
        <v>GenericE&amp;DtemplateCIandGOA</v>
      </c>
      <c r="B1772">
        <v>69</v>
      </c>
      <c r="C1772">
        <v>3</v>
      </c>
      <c r="D1772" s="649">
        <f ca="1">IF(E1772=4,INDEX(crude_exp_dist,MATCH(B1772,'Crude Exp Dist'!$B$6:$B$78,0),MATCH(C1772,'Crude Exp Dist'!$AD$2:$BC$2,0))*INDEX(crude_exp_by_year,MATCH(B1772,'Data Export'!$B$6:$B$78,0),1),IF(E1772=5,INDEX(ref_exp_dist,MATCH(B1772,'Refined Petro Exp Dist'!$B$6:$B$78,0),MATCH(C1772,'Refined Petro Exp Dist'!$AD$2:$BC$2,0))*INDEX(ref_exp_by_year,MATCH(B1772,'Data Export'!$B$6:$B$78,0),1)))</f>
        <v>0</v>
      </c>
      <c r="E1772">
        <v>4</v>
      </c>
      <c r="F1772" t="s">
        <v>171</v>
      </c>
    </row>
    <row r="1773" spans="1:6">
      <c r="A1773" t="str">
        <f t="shared" si="27"/>
        <v>GenericE&amp;DtemplateCIandGOA</v>
      </c>
      <c r="B1773">
        <v>69</v>
      </c>
      <c r="C1773">
        <v>4</v>
      </c>
      <c r="D1773" s="649">
        <f ca="1">IF(E1773=4,INDEX(crude_exp_dist,MATCH(B1773,'Crude Exp Dist'!$B$6:$B$78,0),MATCH(C1773,'Crude Exp Dist'!$AD$2:$BC$2,0))*INDEX(crude_exp_by_year,MATCH(B1773,'Data Export'!$B$6:$B$78,0),1),IF(E1773=5,INDEX(ref_exp_dist,MATCH(B1773,'Refined Petro Exp Dist'!$B$6:$B$78,0),MATCH(C1773,'Refined Petro Exp Dist'!$AD$2:$BC$2,0))*INDEX(ref_exp_by_year,MATCH(B1773,'Data Export'!$B$6:$B$78,0),1)))</f>
        <v>0</v>
      </c>
      <c r="E1773">
        <v>4</v>
      </c>
      <c r="F1773" t="s">
        <v>173</v>
      </c>
    </row>
    <row r="1774" spans="1:6">
      <c r="A1774" t="str">
        <f t="shared" si="27"/>
        <v>GenericE&amp;DtemplateCIandGOA</v>
      </c>
      <c r="B1774">
        <v>69</v>
      </c>
      <c r="C1774">
        <v>5</v>
      </c>
      <c r="D1774" s="649">
        <f ca="1">IF(E1774=4,INDEX(crude_exp_dist,MATCH(B1774,'Crude Exp Dist'!$B$6:$B$78,0),MATCH(C1774,'Crude Exp Dist'!$AD$2:$BC$2,0))*INDEX(crude_exp_by_year,MATCH(B1774,'Data Export'!$B$6:$B$78,0),1),IF(E1774=5,INDEX(ref_exp_dist,MATCH(B1774,'Refined Petro Exp Dist'!$B$6:$B$78,0),MATCH(C1774,'Refined Petro Exp Dist'!$AD$2:$BC$2,0))*INDEX(ref_exp_by_year,MATCH(B1774,'Data Export'!$B$6:$B$78,0),1)))</f>
        <v>0</v>
      </c>
      <c r="E1774">
        <v>4</v>
      </c>
      <c r="F1774" t="s">
        <v>180</v>
      </c>
    </row>
    <row r="1775" spans="1:6">
      <c r="A1775" t="str">
        <f t="shared" si="27"/>
        <v>GenericE&amp;DtemplateCIandGOA</v>
      </c>
      <c r="B1775">
        <v>69</v>
      </c>
      <c r="C1775">
        <v>6</v>
      </c>
      <c r="D1775" s="649">
        <f ca="1">IF(E1775=4,INDEX(crude_exp_dist,MATCH(B1775,'Crude Exp Dist'!$B$6:$B$78,0),MATCH(C1775,'Crude Exp Dist'!$AD$2:$BC$2,0))*INDEX(crude_exp_by_year,MATCH(B1775,'Data Export'!$B$6:$B$78,0),1),IF(E1775=5,INDEX(ref_exp_dist,MATCH(B1775,'Refined Petro Exp Dist'!$B$6:$B$78,0),MATCH(C1775,'Refined Petro Exp Dist'!$AD$2:$BC$2,0))*INDEX(ref_exp_by_year,MATCH(B1775,'Data Export'!$B$6:$B$78,0),1)))</f>
        <v>0</v>
      </c>
      <c r="E1775">
        <v>4</v>
      </c>
      <c r="F1775" t="s">
        <v>186</v>
      </c>
    </row>
    <row r="1776" spans="1:6">
      <c r="A1776" t="str">
        <f t="shared" si="27"/>
        <v>GenericE&amp;DtemplateCIandGOA</v>
      </c>
      <c r="B1776">
        <v>69</v>
      </c>
      <c r="C1776">
        <v>7</v>
      </c>
      <c r="D1776" s="649">
        <f ca="1">IF(E1776=4,INDEX(crude_exp_dist,MATCH(B1776,'Crude Exp Dist'!$B$6:$B$78,0),MATCH(C1776,'Crude Exp Dist'!$AD$2:$BC$2,0))*INDEX(crude_exp_by_year,MATCH(B1776,'Data Export'!$B$6:$B$78,0),1),IF(E1776=5,INDEX(ref_exp_dist,MATCH(B1776,'Refined Petro Exp Dist'!$B$6:$B$78,0),MATCH(C1776,'Refined Petro Exp Dist'!$AD$2:$BC$2,0))*INDEX(ref_exp_by_year,MATCH(B1776,'Data Export'!$B$6:$B$78,0),1)))</f>
        <v>0</v>
      </c>
      <c r="E1776">
        <v>4</v>
      </c>
      <c r="F1776" t="s">
        <v>191</v>
      </c>
    </row>
    <row r="1777" spans="1:6">
      <c r="A1777" t="str">
        <f t="shared" si="27"/>
        <v>GenericE&amp;DtemplateCIandGOA</v>
      </c>
      <c r="B1777">
        <v>69</v>
      </c>
      <c r="C1777">
        <v>8</v>
      </c>
      <c r="D1777" s="649">
        <f ca="1">IF(E1777=4,INDEX(crude_exp_dist,MATCH(B1777,'Crude Exp Dist'!$B$6:$B$78,0),MATCH(C1777,'Crude Exp Dist'!$AD$2:$BC$2,0))*INDEX(crude_exp_by_year,MATCH(B1777,'Data Export'!$B$6:$B$78,0),1),IF(E1777=5,INDEX(ref_exp_dist,MATCH(B1777,'Refined Petro Exp Dist'!$B$6:$B$78,0),MATCH(C1777,'Refined Petro Exp Dist'!$AD$2:$BC$2,0))*INDEX(ref_exp_by_year,MATCH(B1777,'Data Export'!$B$6:$B$78,0),1)))</f>
        <v>0</v>
      </c>
      <c r="E1777">
        <v>4</v>
      </c>
      <c r="F1777" t="s">
        <v>197</v>
      </c>
    </row>
    <row r="1778" spans="1:6">
      <c r="A1778" t="str">
        <f t="shared" si="27"/>
        <v>GenericE&amp;DtemplateCIandGOA</v>
      </c>
      <c r="B1778">
        <v>69</v>
      </c>
      <c r="C1778">
        <v>9</v>
      </c>
      <c r="D1778" s="649">
        <f ca="1">IF(E1778=4,INDEX(crude_exp_dist,MATCH(B1778,'Crude Exp Dist'!$B$6:$B$78,0),MATCH(C1778,'Crude Exp Dist'!$AD$2:$BC$2,0))*INDEX(crude_exp_by_year,MATCH(B1778,'Data Export'!$B$6:$B$78,0),1),IF(E1778=5,INDEX(ref_exp_dist,MATCH(B1778,'Refined Petro Exp Dist'!$B$6:$B$78,0),MATCH(C1778,'Refined Petro Exp Dist'!$AD$2:$BC$2,0))*INDEX(ref_exp_by_year,MATCH(B1778,'Data Export'!$B$6:$B$78,0),1)))</f>
        <v>0</v>
      </c>
      <c r="E1778">
        <v>4</v>
      </c>
      <c r="F1778" t="s">
        <v>199</v>
      </c>
    </row>
    <row r="1779" spans="1:6">
      <c r="A1779" t="str">
        <f t="shared" si="27"/>
        <v>GenericE&amp;DtemplateCIandGOA</v>
      </c>
      <c r="B1779">
        <v>69</v>
      </c>
      <c r="C1779">
        <v>10</v>
      </c>
      <c r="D1779" s="649">
        <f ca="1">IF(E1779=4,INDEX(crude_exp_dist,MATCH(B1779,'Crude Exp Dist'!$B$6:$B$78,0),MATCH(C1779,'Crude Exp Dist'!$AD$2:$BC$2,0))*INDEX(crude_exp_by_year,MATCH(B1779,'Data Export'!$B$6:$B$78,0),1),IF(E1779=5,INDEX(ref_exp_dist,MATCH(B1779,'Refined Petro Exp Dist'!$B$6:$B$78,0),MATCH(C1779,'Refined Petro Exp Dist'!$AD$2:$BC$2,0))*INDEX(ref_exp_by_year,MATCH(B1779,'Data Export'!$B$6:$B$78,0),1)))</f>
        <v>0</v>
      </c>
      <c r="E1779">
        <v>4</v>
      </c>
      <c r="F1779" t="s">
        <v>201</v>
      </c>
    </row>
    <row r="1780" spans="1:6">
      <c r="A1780" t="str">
        <f t="shared" si="27"/>
        <v>GenericE&amp;DtemplateCIandGOA</v>
      </c>
      <c r="B1780">
        <v>69</v>
      </c>
      <c r="C1780">
        <v>11</v>
      </c>
      <c r="D1780" s="649">
        <f ca="1">IF(E1780=4,INDEX(crude_exp_dist,MATCH(B1780,'Crude Exp Dist'!$B$6:$B$78,0),MATCH(C1780,'Crude Exp Dist'!$AD$2:$BC$2,0))*INDEX(crude_exp_by_year,MATCH(B1780,'Data Export'!$B$6:$B$78,0),1),IF(E1780=5,INDEX(ref_exp_dist,MATCH(B1780,'Refined Petro Exp Dist'!$B$6:$B$78,0),MATCH(C1780,'Refined Petro Exp Dist'!$AD$2:$BC$2,0))*INDEX(ref_exp_by_year,MATCH(B1780,'Data Export'!$B$6:$B$78,0),1)))</f>
        <v>0</v>
      </c>
      <c r="E1780">
        <v>4</v>
      </c>
      <c r="F1780" t="s">
        <v>921</v>
      </c>
    </row>
    <row r="1781" spans="1:6">
      <c r="A1781" t="str">
        <f t="shared" si="27"/>
        <v>GenericE&amp;DtemplateCIandGOA</v>
      </c>
      <c r="B1781">
        <v>69</v>
      </c>
      <c r="C1781">
        <v>12</v>
      </c>
      <c r="D1781" s="649">
        <f ca="1">IF(E1781=4,INDEX(crude_exp_dist,MATCH(B1781,'Crude Exp Dist'!$B$6:$B$78,0),MATCH(C1781,'Crude Exp Dist'!$AD$2:$BC$2,0))*INDEX(crude_exp_by_year,MATCH(B1781,'Data Export'!$B$6:$B$78,0),1),IF(E1781=5,INDEX(ref_exp_dist,MATCH(B1781,'Refined Petro Exp Dist'!$B$6:$B$78,0),MATCH(C1781,'Refined Petro Exp Dist'!$AD$2:$BC$2,0))*INDEX(ref_exp_by_year,MATCH(B1781,'Data Export'!$B$6:$B$78,0),1)))</f>
        <v>0</v>
      </c>
      <c r="E1781">
        <v>4</v>
      </c>
      <c r="F1781" t="s">
        <v>208</v>
      </c>
    </row>
    <row r="1782" spans="1:6">
      <c r="A1782" t="str">
        <f t="shared" si="27"/>
        <v>GenericE&amp;DtemplateCIandGOA</v>
      </c>
      <c r="B1782">
        <v>69</v>
      </c>
      <c r="C1782">
        <v>13</v>
      </c>
      <c r="D1782" s="649">
        <f ca="1">IF(E1782=4,INDEX(crude_exp_dist,MATCH(B1782,'Crude Exp Dist'!$B$6:$B$78,0),MATCH(C1782,'Crude Exp Dist'!$AD$2:$BC$2,0))*INDEX(crude_exp_by_year,MATCH(B1782,'Data Export'!$B$6:$B$78,0),1),IF(E1782=5,INDEX(ref_exp_dist,MATCH(B1782,'Refined Petro Exp Dist'!$B$6:$B$78,0),MATCH(C1782,'Refined Petro Exp Dist'!$AD$2:$BC$2,0))*INDEX(ref_exp_by_year,MATCH(B1782,'Data Export'!$B$6:$B$78,0),1)))</f>
        <v>0</v>
      </c>
      <c r="E1782">
        <v>4</v>
      </c>
      <c r="F1782" t="s">
        <v>211</v>
      </c>
    </row>
    <row r="1783" spans="1:6">
      <c r="A1783" t="str">
        <f t="shared" si="27"/>
        <v>GenericE&amp;DtemplateCIandGOA</v>
      </c>
      <c r="B1783">
        <v>69</v>
      </c>
      <c r="C1783">
        <v>14</v>
      </c>
      <c r="D1783" s="649">
        <f ca="1">IF(E1783=4,INDEX(crude_exp_dist,MATCH(B1783,'Crude Exp Dist'!$B$6:$B$78,0),MATCH(C1783,'Crude Exp Dist'!$AD$2:$BC$2,0))*INDEX(crude_exp_by_year,MATCH(B1783,'Data Export'!$B$6:$B$78,0),1),IF(E1783=5,INDEX(ref_exp_dist,MATCH(B1783,'Refined Petro Exp Dist'!$B$6:$B$78,0),MATCH(C1783,'Refined Petro Exp Dist'!$AD$2:$BC$2,0))*INDEX(ref_exp_by_year,MATCH(B1783,'Data Export'!$B$6:$B$78,0),1)))</f>
        <v>0</v>
      </c>
      <c r="E1783">
        <v>4</v>
      </c>
      <c r="F1783" t="s">
        <v>213</v>
      </c>
    </row>
    <row r="1784" spans="1:6">
      <c r="A1784" t="str">
        <f t="shared" si="27"/>
        <v>GenericE&amp;DtemplateCIandGOA</v>
      </c>
      <c r="B1784">
        <v>69</v>
      </c>
      <c r="C1784">
        <v>15</v>
      </c>
      <c r="D1784" s="649">
        <f ca="1">IF(E1784=4,INDEX(crude_exp_dist,MATCH(B1784,'Crude Exp Dist'!$B$6:$B$78,0),MATCH(C1784,'Crude Exp Dist'!$AD$2:$BC$2,0))*INDEX(crude_exp_by_year,MATCH(B1784,'Data Export'!$B$6:$B$78,0),1),IF(E1784=5,INDEX(ref_exp_dist,MATCH(B1784,'Refined Petro Exp Dist'!$B$6:$B$78,0),MATCH(C1784,'Refined Petro Exp Dist'!$AD$2:$BC$2,0))*INDEX(ref_exp_by_year,MATCH(B1784,'Data Export'!$B$6:$B$78,0),1)))</f>
        <v>0</v>
      </c>
      <c r="E1784">
        <v>4</v>
      </c>
      <c r="F1784" t="s">
        <v>215</v>
      </c>
    </row>
    <row r="1785" spans="1:6">
      <c r="A1785" t="str">
        <f t="shared" si="27"/>
        <v>GenericE&amp;DtemplateCIandGOA</v>
      </c>
      <c r="B1785">
        <v>69</v>
      </c>
      <c r="C1785">
        <v>16</v>
      </c>
      <c r="D1785" s="649">
        <f ca="1">IF(E1785=4,INDEX(crude_exp_dist,MATCH(B1785,'Crude Exp Dist'!$B$6:$B$78,0),MATCH(C1785,'Crude Exp Dist'!$AD$2:$BC$2,0))*INDEX(crude_exp_by_year,MATCH(B1785,'Data Export'!$B$6:$B$78,0),1),IF(E1785=5,INDEX(ref_exp_dist,MATCH(B1785,'Refined Petro Exp Dist'!$B$6:$B$78,0),MATCH(C1785,'Refined Petro Exp Dist'!$AD$2:$BC$2,0))*INDEX(ref_exp_by_year,MATCH(B1785,'Data Export'!$B$6:$B$78,0),1)))</f>
        <v>0</v>
      </c>
      <c r="E1785">
        <v>4</v>
      </c>
      <c r="F1785" t="s">
        <v>219</v>
      </c>
    </row>
    <row r="1786" spans="1:6">
      <c r="A1786" t="str">
        <f t="shared" si="27"/>
        <v>GenericE&amp;DtemplateCIandGOA</v>
      </c>
      <c r="B1786">
        <v>69</v>
      </c>
      <c r="C1786">
        <v>17</v>
      </c>
      <c r="D1786" s="649">
        <f ca="1">IF(E1786=4,INDEX(crude_exp_dist,MATCH(B1786,'Crude Exp Dist'!$B$6:$B$78,0),MATCH(C1786,'Crude Exp Dist'!$AD$2:$BC$2,0))*INDEX(crude_exp_by_year,MATCH(B1786,'Data Export'!$B$6:$B$78,0),1),IF(E1786=5,INDEX(ref_exp_dist,MATCH(B1786,'Refined Petro Exp Dist'!$B$6:$B$78,0),MATCH(C1786,'Refined Petro Exp Dist'!$AD$2:$BC$2,0))*INDEX(ref_exp_by_year,MATCH(B1786,'Data Export'!$B$6:$B$78,0),1)))</f>
        <v>0</v>
      </c>
      <c r="E1786">
        <v>4</v>
      </c>
      <c r="F1786" t="s">
        <v>222</v>
      </c>
    </row>
    <row r="1787" spans="1:6">
      <c r="A1787" t="str">
        <f t="shared" si="27"/>
        <v>GenericE&amp;DtemplateCIandGOA</v>
      </c>
      <c r="B1787">
        <v>69</v>
      </c>
      <c r="C1787">
        <v>18</v>
      </c>
      <c r="D1787" s="649">
        <f ca="1">IF(E1787=4,INDEX(crude_exp_dist,MATCH(B1787,'Crude Exp Dist'!$B$6:$B$78,0),MATCH(C1787,'Crude Exp Dist'!$AD$2:$BC$2,0))*INDEX(crude_exp_by_year,MATCH(B1787,'Data Export'!$B$6:$B$78,0),1),IF(E1787=5,INDEX(ref_exp_dist,MATCH(B1787,'Refined Petro Exp Dist'!$B$6:$B$78,0),MATCH(C1787,'Refined Petro Exp Dist'!$AD$2:$BC$2,0))*INDEX(ref_exp_by_year,MATCH(B1787,'Data Export'!$B$6:$B$78,0),1)))</f>
        <v>0</v>
      </c>
      <c r="E1787">
        <v>4</v>
      </c>
      <c r="F1787" t="s">
        <v>224</v>
      </c>
    </row>
    <row r="1788" spans="1:6">
      <c r="A1788" t="str">
        <f t="shared" si="27"/>
        <v>GenericE&amp;DtemplateCIandGOA</v>
      </c>
      <c r="B1788">
        <v>69</v>
      </c>
      <c r="C1788">
        <v>19</v>
      </c>
      <c r="D1788" s="649">
        <f ca="1">IF(E1788=4,INDEX(crude_exp_dist,MATCH(B1788,'Crude Exp Dist'!$B$6:$B$78,0),MATCH(C1788,'Crude Exp Dist'!$AD$2:$BC$2,0))*INDEX(crude_exp_by_year,MATCH(B1788,'Data Export'!$B$6:$B$78,0),1),IF(E1788=5,INDEX(ref_exp_dist,MATCH(B1788,'Refined Petro Exp Dist'!$B$6:$B$78,0),MATCH(C1788,'Refined Petro Exp Dist'!$AD$2:$BC$2,0))*INDEX(ref_exp_by_year,MATCH(B1788,'Data Export'!$B$6:$B$78,0),1)))</f>
        <v>0</v>
      </c>
      <c r="E1788">
        <v>4</v>
      </c>
      <c r="F1788" t="s">
        <v>228</v>
      </c>
    </row>
    <row r="1789" spans="1:6">
      <c r="A1789" t="str">
        <f t="shared" si="27"/>
        <v>GenericE&amp;DtemplateCIandGOA</v>
      </c>
      <c r="B1789">
        <v>69</v>
      </c>
      <c r="C1789">
        <v>20</v>
      </c>
      <c r="D1789" s="649">
        <f ca="1">IF(E1789=4,INDEX(crude_exp_dist,MATCH(B1789,'Crude Exp Dist'!$B$6:$B$78,0),MATCH(C1789,'Crude Exp Dist'!$AD$2:$BC$2,0))*INDEX(crude_exp_by_year,MATCH(B1789,'Data Export'!$B$6:$B$78,0),1),IF(E1789=5,INDEX(ref_exp_dist,MATCH(B1789,'Refined Petro Exp Dist'!$B$6:$B$78,0),MATCH(C1789,'Refined Petro Exp Dist'!$AD$2:$BC$2,0))*INDEX(ref_exp_by_year,MATCH(B1789,'Data Export'!$B$6:$B$78,0),1)))</f>
        <v>0</v>
      </c>
      <c r="E1789">
        <v>4</v>
      </c>
      <c r="F1789" t="s">
        <v>231</v>
      </c>
    </row>
    <row r="1790" spans="1:6">
      <c r="A1790" t="str">
        <f t="shared" si="27"/>
        <v>GenericE&amp;DtemplateCIandGOA</v>
      </c>
      <c r="B1790">
        <v>69</v>
      </c>
      <c r="C1790">
        <v>21</v>
      </c>
      <c r="D1790" s="649">
        <f ca="1">IF(E1790=4,INDEX(crude_exp_dist,MATCH(B1790,'Crude Exp Dist'!$B$6:$B$78,0),MATCH(C1790,'Crude Exp Dist'!$AD$2:$BC$2,0))*INDEX(crude_exp_by_year,MATCH(B1790,'Data Export'!$B$6:$B$78,0),1),IF(E1790=5,INDEX(ref_exp_dist,MATCH(B1790,'Refined Petro Exp Dist'!$B$6:$B$78,0),MATCH(C1790,'Refined Petro Exp Dist'!$AD$2:$BC$2,0))*INDEX(ref_exp_by_year,MATCH(B1790,'Data Export'!$B$6:$B$78,0),1)))</f>
        <v>0</v>
      </c>
      <c r="E1790">
        <v>4</v>
      </c>
      <c r="F1790" t="s">
        <v>232</v>
      </c>
    </row>
    <row r="1791" spans="1:6">
      <c r="A1791" t="str">
        <f t="shared" si="27"/>
        <v>GenericE&amp;DtemplateCIandGOA</v>
      </c>
      <c r="B1791">
        <v>69</v>
      </c>
      <c r="C1791">
        <v>22</v>
      </c>
      <c r="D1791" s="649">
        <f ca="1">IF(E1791=4,INDEX(crude_exp_dist,MATCH(B1791,'Crude Exp Dist'!$B$6:$B$78,0),MATCH(C1791,'Crude Exp Dist'!$AD$2:$BC$2,0))*INDEX(crude_exp_by_year,MATCH(B1791,'Data Export'!$B$6:$B$78,0),1),IF(E1791=5,INDEX(ref_exp_dist,MATCH(B1791,'Refined Petro Exp Dist'!$B$6:$B$78,0),MATCH(C1791,'Refined Petro Exp Dist'!$AD$2:$BC$2,0))*INDEX(ref_exp_by_year,MATCH(B1791,'Data Export'!$B$6:$B$78,0),1)))</f>
        <v>0</v>
      </c>
      <c r="E1791">
        <v>4</v>
      </c>
      <c r="F1791" t="s">
        <v>235</v>
      </c>
    </row>
    <row r="1792" spans="1:6">
      <c r="A1792" t="str">
        <f t="shared" si="27"/>
        <v>GenericE&amp;DtemplateCIandGOA</v>
      </c>
      <c r="B1792">
        <v>69</v>
      </c>
      <c r="C1792">
        <v>23</v>
      </c>
      <c r="D1792" s="649">
        <f ca="1">IF(E1792=4,INDEX(crude_exp_dist,MATCH(B1792,'Crude Exp Dist'!$B$6:$B$78,0),MATCH(C1792,'Crude Exp Dist'!$AD$2:$BC$2,0))*INDEX(crude_exp_by_year,MATCH(B1792,'Data Export'!$B$6:$B$78,0),1),IF(E1792=5,INDEX(ref_exp_dist,MATCH(B1792,'Refined Petro Exp Dist'!$B$6:$B$78,0),MATCH(C1792,'Refined Petro Exp Dist'!$AD$2:$BC$2,0))*INDEX(ref_exp_by_year,MATCH(B1792,'Data Export'!$B$6:$B$78,0),1)))</f>
        <v>0</v>
      </c>
      <c r="E1792">
        <v>4</v>
      </c>
      <c r="F1792" t="s">
        <v>237</v>
      </c>
    </row>
    <row r="1793" spans="1:6">
      <c r="A1793" t="str">
        <f t="shared" si="27"/>
        <v>GenericE&amp;DtemplateCIandGOA</v>
      </c>
      <c r="B1793">
        <v>69</v>
      </c>
      <c r="C1793">
        <v>24</v>
      </c>
      <c r="D1793" s="649">
        <f ca="1">IF(E1793=4,INDEX(crude_exp_dist,MATCH(B1793,'Crude Exp Dist'!$B$6:$B$78,0),MATCH(C1793,'Crude Exp Dist'!$AD$2:$BC$2,0))*INDEX(crude_exp_by_year,MATCH(B1793,'Data Export'!$B$6:$B$78,0),1),IF(E1793=5,INDEX(ref_exp_dist,MATCH(B1793,'Refined Petro Exp Dist'!$B$6:$B$78,0),MATCH(C1793,'Refined Petro Exp Dist'!$AD$2:$BC$2,0))*INDEX(ref_exp_by_year,MATCH(B1793,'Data Export'!$B$6:$B$78,0),1)))</f>
        <v>0</v>
      </c>
      <c r="E1793">
        <v>4</v>
      </c>
      <c r="F1793" t="s">
        <v>239</v>
      </c>
    </row>
    <row r="1794" spans="1:6">
      <c r="A1794" t="str">
        <f t="shared" ref="A1794:A1857" si="28">scenario_name</f>
        <v>GenericE&amp;DtemplateCIandGOA</v>
      </c>
      <c r="B1794">
        <v>69</v>
      </c>
      <c r="C1794">
        <v>25</v>
      </c>
      <c r="D1794" s="649">
        <f ca="1">IF(E1794=4,INDEX(crude_exp_dist,MATCH(B1794,'Crude Exp Dist'!$B$6:$B$78,0),MATCH(C1794,'Crude Exp Dist'!$AD$2:$BC$2,0))*INDEX(crude_exp_by_year,MATCH(B1794,'Data Export'!$B$6:$B$78,0),1),IF(E1794=5,INDEX(ref_exp_dist,MATCH(B1794,'Refined Petro Exp Dist'!$B$6:$B$78,0),MATCH(C1794,'Refined Petro Exp Dist'!$AD$2:$BC$2,0))*INDEX(ref_exp_by_year,MATCH(B1794,'Data Export'!$B$6:$B$78,0),1)))</f>
        <v>0</v>
      </c>
      <c r="E1794">
        <v>4</v>
      </c>
      <c r="F1794" t="s">
        <v>242</v>
      </c>
    </row>
    <row r="1795" spans="1:6">
      <c r="A1795" t="str">
        <f t="shared" si="28"/>
        <v>GenericE&amp;DtemplateCIandGOA</v>
      </c>
      <c r="B1795">
        <v>69</v>
      </c>
      <c r="C1795">
        <v>26</v>
      </c>
      <c r="D1795" s="649">
        <f ca="1">IF(E1795=4,INDEX(crude_exp_dist,MATCH(B1795,'Crude Exp Dist'!$B$6:$B$78,0),MATCH(C1795,'Crude Exp Dist'!$AD$2:$BC$2,0))*INDEX(crude_exp_by_year,MATCH(B1795,'Data Export'!$B$6:$B$78,0),1),IF(E1795=5,INDEX(ref_exp_dist,MATCH(B1795,'Refined Petro Exp Dist'!$B$6:$B$78,0),MATCH(C1795,'Refined Petro Exp Dist'!$AD$2:$BC$2,0))*INDEX(ref_exp_by_year,MATCH(B1795,'Data Export'!$B$6:$B$78,0),1)))</f>
        <v>0</v>
      </c>
      <c r="E1795">
        <v>4</v>
      </c>
      <c r="F1795" t="s">
        <v>245</v>
      </c>
    </row>
    <row r="1796" spans="1:6">
      <c r="A1796" t="str">
        <f t="shared" si="28"/>
        <v>GenericE&amp;DtemplateCIandGOA</v>
      </c>
      <c r="B1796">
        <v>70</v>
      </c>
      <c r="C1796">
        <v>1</v>
      </c>
      <c r="D1796" s="649">
        <f ca="1">IF(E1796=4,INDEX(crude_exp_dist,MATCH(B1796,'Crude Exp Dist'!$B$6:$B$78,0),MATCH(C1796,'Crude Exp Dist'!$AD$2:$BC$2,0))*INDEX(crude_exp_by_year,MATCH(B1796,'Data Export'!$B$6:$B$78,0),1),IF(E1796=5,INDEX(ref_exp_dist,MATCH(B1796,'Refined Petro Exp Dist'!$B$6:$B$78,0),MATCH(C1796,'Refined Petro Exp Dist'!$AD$2:$BC$2,0))*INDEX(ref_exp_by_year,MATCH(B1796,'Data Export'!$B$6:$B$78,0),1)))</f>
        <v>0</v>
      </c>
      <c r="E1796">
        <v>4</v>
      </c>
      <c r="F1796" t="s">
        <v>158</v>
      </c>
    </row>
    <row r="1797" spans="1:6">
      <c r="A1797" t="str">
        <f t="shared" si="28"/>
        <v>GenericE&amp;DtemplateCIandGOA</v>
      </c>
      <c r="B1797">
        <v>70</v>
      </c>
      <c r="C1797">
        <v>2</v>
      </c>
      <c r="D1797" s="649">
        <f ca="1">IF(E1797=4,INDEX(crude_exp_dist,MATCH(B1797,'Crude Exp Dist'!$B$6:$B$78,0),MATCH(C1797,'Crude Exp Dist'!$AD$2:$BC$2,0))*INDEX(crude_exp_by_year,MATCH(B1797,'Data Export'!$B$6:$B$78,0),1),IF(E1797=5,INDEX(ref_exp_dist,MATCH(B1797,'Refined Petro Exp Dist'!$B$6:$B$78,0),MATCH(C1797,'Refined Petro Exp Dist'!$AD$2:$BC$2,0))*INDEX(ref_exp_by_year,MATCH(B1797,'Data Export'!$B$6:$B$78,0),1)))</f>
        <v>0</v>
      </c>
      <c r="E1797">
        <v>4</v>
      </c>
      <c r="F1797" t="s">
        <v>166</v>
      </c>
    </row>
    <row r="1798" spans="1:6">
      <c r="A1798" t="str">
        <f t="shared" si="28"/>
        <v>GenericE&amp;DtemplateCIandGOA</v>
      </c>
      <c r="B1798">
        <v>70</v>
      </c>
      <c r="C1798">
        <v>3</v>
      </c>
      <c r="D1798" s="649">
        <f ca="1">IF(E1798=4,INDEX(crude_exp_dist,MATCH(B1798,'Crude Exp Dist'!$B$6:$B$78,0),MATCH(C1798,'Crude Exp Dist'!$AD$2:$BC$2,0))*INDEX(crude_exp_by_year,MATCH(B1798,'Data Export'!$B$6:$B$78,0),1),IF(E1798=5,INDEX(ref_exp_dist,MATCH(B1798,'Refined Petro Exp Dist'!$B$6:$B$78,0),MATCH(C1798,'Refined Petro Exp Dist'!$AD$2:$BC$2,0))*INDEX(ref_exp_by_year,MATCH(B1798,'Data Export'!$B$6:$B$78,0),1)))</f>
        <v>0</v>
      </c>
      <c r="E1798">
        <v>4</v>
      </c>
      <c r="F1798" t="s">
        <v>171</v>
      </c>
    </row>
    <row r="1799" spans="1:6">
      <c r="A1799" t="str">
        <f t="shared" si="28"/>
        <v>GenericE&amp;DtemplateCIandGOA</v>
      </c>
      <c r="B1799">
        <v>70</v>
      </c>
      <c r="C1799">
        <v>4</v>
      </c>
      <c r="D1799" s="649">
        <f ca="1">IF(E1799=4,INDEX(crude_exp_dist,MATCH(B1799,'Crude Exp Dist'!$B$6:$B$78,0),MATCH(C1799,'Crude Exp Dist'!$AD$2:$BC$2,0))*INDEX(crude_exp_by_year,MATCH(B1799,'Data Export'!$B$6:$B$78,0),1),IF(E1799=5,INDEX(ref_exp_dist,MATCH(B1799,'Refined Petro Exp Dist'!$B$6:$B$78,0),MATCH(C1799,'Refined Petro Exp Dist'!$AD$2:$BC$2,0))*INDEX(ref_exp_by_year,MATCH(B1799,'Data Export'!$B$6:$B$78,0),1)))</f>
        <v>0</v>
      </c>
      <c r="E1799">
        <v>4</v>
      </c>
      <c r="F1799" t="s">
        <v>173</v>
      </c>
    </row>
    <row r="1800" spans="1:6">
      <c r="A1800" t="str">
        <f t="shared" si="28"/>
        <v>GenericE&amp;DtemplateCIandGOA</v>
      </c>
      <c r="B1800">
        <v>70</v>
      </c>
      <c r="C1800">
        <v>5</v>
      </c>
      <c r="D1800" s="649">
        <f ca="1">IF(E1800=4,INDEX(crude_exp_dist,MATCH(B1800,'Crude Exp Dist'!$B$6:$B$78,0),MATCH(C1800,'Crude Exp Dist'!$AD$2:$BC$2,0))*INDEX(crude_exp_by_year,MATCH(B1800,'Data Export'!$B$6:$B$78,0),1),IF(E1800=5,INDEX(ref_exp_dist,MATCH(B1800,'Refined Petro Exp Dist'!$B$6:$B$78,0),MATCH(C1800,'Refined Petro Exp Dist'!$AD$2:$BC$2,0))*INDEX(ref_exp_by_year,MATCH(B1800,'Data Export'!$B$6:$B$78,0),1)))</f>
        <v>0</v>
      </c>
      <c r="E1800">
        <v>4</v>
      </c>
      <c r="F1800" t="s">
        <v>180</v>
      </c>
    </row>
    <row r="1801" spans="1:6">
      <c r="A1801" t="str">
        <f t="shared" si="28"/>
        <v>GenericE&amp;DtemplateCIandGOA</v>
      </c>
      <c r="B1801">
        <v>70</v>
      </c>
      <c r="C1801">
        <v>6</v>
      </c>
      <c r="D1801" s="649">
        <f ca="1">IF(E1801=4,INDEX(crude_exp_dist,MATCH(B1801,'Crude Exp Dist'!$B$6:$B$78,0),MATCH(C1801,'Crude Exp Dist'!$AD$2:$BC$2,0))*INDEX(crude_exp_by_year,MATCH(B1801,'Data Export'!$B$6:$B$78,0),1),IF(E1801=5,INDEX(ref_exp_dist,MATCH(B1801,'Refined Petro Exp Dist'!$B$6:$B$78,0),MATCH(C1801,'Refined Petro Exp Dist'!$AD$2:$BC$2,0))*INDEX(ref_exp_by_year,MATCH(B1801,'Data Export'!$B$6:$B$78,0),1)))</f>
        <v>0</v>
      </c>
      <c r="E1801">
        <v>4</v>
      </c>
      <c r="F1801" t="s">
        <v>186</v>
      </c>
    </row>
    <row r="1802" spans="1:6">
      <c r="A1802" t="str">
        <f t="shared" si="28"/>
        <v>GenericE&amp;DtemplateCIandGOA</v>
      </c>
      <c r="B1802">
        <v>70</v>
      </c>
      <c r="C1802">
        <v>7</v>
      </c>
      <c r="D1802" s="649">
        <f ca="1">IF(E1802=4,INDEX(crude_exp_dist,MATCH(B1802,'Crude Exp Dist'!$B$6:$B$78,0),MATCH(C1802,'Crude Exp Dist'!$AD$2:$BC$2,0))*INDEX(crude_exp_by_year,MATCH(B1802,'Data Export'!$B$6:$B$78,0),1),IF(E1802=5,INDEX(ref_exp_dist,MATCH(B1802,'Refined Petro Exp Dist'!$B$6:$B$78,0),MATCH(C1802,'Refined Petro Exp Dist'!$AD$2:$BC$2,0))*INDEX(ref_exp_by_year,MATCH(B1802,'Data Export'!$B$6:$B$78,0),1)))</f>
        <v>0</v>
      </c>
      <c r="E1802">
        <v>4</v>
      </c>
      <c r="F1802" t="s">
        <v>191</v>
      </c>
    </row>
    <row r="1803" spans="1:6">
      <c r="A1803" t="str">
        <f t="shared" si="28"/>
        <v>GenericE&amp;DtemplateCIandGOA</v>
      </c>
      <c r="B1803">
        <v>70</v>
      </c>
      <c r="C1803">
        <v>8</v>
      </c>
      <c r="D1803" s="649">
        <f ca="1">IF(E1803=4,INDEX(crude_exp_dist,MATCH(B1803,'Crude Exp Dist'!$B$6:$B$78,0),MATCH(C1803,'Crude Exp Dist'!$AD$2:$BC$2,0))*INDEX(crude_exp_by_year,MATCH(B1803,'Data Export'!$B$6:$B$78,0),1),IF(E1803=5,INDEX(ref_exp_dist,MATCH(B1803,'Refined Petro Exp Dist'!$B$6:$B$78,0),MATCH(C1803,'Refined Petro Exp Dist'!$AD$2:$BC$2,0))*INDEX(ref_exp_by_year,MATCH(B1803,'Data Export'!$B$6:$B$78,0),1)))</f>
        <v>0</v>
      </c>
      <c r="E1803">
        <v>4</v>
      </c>
      <c r="F1803" t="s">
        <v>197</v>
      </c>
    </row>
    <row r="1804" spans="1:6">
      <c r="A1804" t="str">
        <f t="shared" si="28"/>
        <v>GenericE&amp;DtemplateCIandGOA</v>
      </c>
      <c r="B1804">
        <v>70</v>
      </c>
      <c r="C1804">
        <v>9</v>
      </c>
      <c r="D1804" s="649">
        <f ca="1">IF(E1804=4,INDEX(crude_exp_dist,MATCH(B1804,'Crude Exp Dist'!$B$6:$B$78,0),MATCH(C1804,'Crude Exp Dist'!$AD$2:$BC$2,0))*INDEX(crude_exp_by_year,MATCH(B1804,'Data Export'!$B$6:$B$78,0),1),IF(E1804=5,INDEX(ref_exp_dist,MATCH(B1804,'Refined Petro Exp Dist'!$B$6:$B$78,0),MATCH(C1804,'Refined Petro Exp Dist'!$AD$2:$BC$2,0))*INDEX(ref_exp_by_year,MATCH(B1804,'Data Export'!$B$6:$B$78,0),1)))</f>
        <v>0</v>
      </c>
      <c r="E1804">
        <v>4</v>
      </c>
      <c r="F1804" t="s">
        <v>199</v>
      </c>
    </row>
    <row r="1805" spans="1:6">
      <c r="A1805" t="str">
        <f t="shared" si="28"/>
        <v>GenericE&amp;DtemplateCIandGOA</v>
      </c>
      <c r="B1805">
        <v>70</v>
      </c>
      <c r="C1805">
        <v>10</v>
      </c>
      <c r="D1805" s="649">
        <f ca="1">IF(E1805=4,INDEX(crude_exp_dist,MATCH(B1805,'Crude Exp Dist'!$B$6:$B$78,0),MATCH(C1805,'Crude Exp Dist'!$AD$2:$BC$2,0))*INDEX(crude_exp_by_year,MATCH(B1805,'Data Export'!$B$6:$B$78,0),1),IF(E1805=5,INDEX(ref_exp_dist,MATCH(B1805,'Refined Petro Exp Dist'!$B$6:$B$78,0),MATCH(C1805,'Refined Petro Exp Dist'!$AD$2:$BC$2,0))*INDEX(ref_exp_by_year,MATCH(B1805,'Data Export'!$B$6:$B$78,0),1)))</f>
        <v>0</v>
      </c>
      <c r="E1805">
        <v>4</v>
      </c>
      <c r="F1805" t="s">
        <v>201</v>
      </c>
    </row>
    <row r="1806" spans="1:6">
      <c r="A1806" t="str">
        <f t="shared" si="28"/>
        <v>GenericE&amp;DtemplateCIandGOA</v>
      </c>
      <c r="B1806">
        <v>70</v>
      </c>
      <c r="C1806">
        <v>11</v>
      </c>
      <c r="D1806" s="649">
        <f ca="1">IF(E1806=4,INDEX(crude_exp_dist,MATCH(B1806,'Crude Exp Dist'!$B$6:$B$78,0),MATCH(C1806,'Crude Exp Dist'!$AD$2:$BC$2,0))*INDEX(crude_exp_by_year,MATCH(B1806,'Data Export'!$B$6:$B$78,0),1),IF(E1806=5,INDEX(ref_exp_dist,MATCH(B1806,'Refined Petro Exp Dist'!$B$6:$B$78,0),MATCH(C1806,'Refined Petro Exp Dist'!$AD$2:$BC$2,0))*INDEX(ref_exp_by_year,MATCH(B1806,'Data Export'!$B$6:$B$78,0),1)))</f>
        <v>0</v>
      </c>
      <c r="E1806">
        <v>4</v>
      </c>
      <c r="F1806" t="s">
        <v>921</v>
      </c>
    </row>
    <row r="1807" spans="1:6">
      <c r="A1807" t="str">
        <f t="shared" si="28"/>
        <v>GenericE&amp;DtemplateCIandGOA</v>
      </c>
      <c r="B1807">
        <v>70</v>
      </c>
      <c r="C1807">
        <v>12</v>
      </c>
      <c r="D1807" s="649">
        <f ca="1">IF(E1807=4,INDEX(crude_exp_dist,MATCH(B1807,'Crude Exp Dist'!$B$6:$B$78,0),MATCH(C1807,'Crude Exp Dist'!$AD$2:$BC$2,0))*INDEX(crude_exp_by_year,MATCH(B1807,'Data Export'!$B$6:$B$78,0),1),IF(E1807=5,INDEX(ref_exp_dist,MATCH(B1807,'Refined Petro Exp Dist'!$B$6:$B$78,0),MATCH(C1807,'Refined Petro Exp Dist'!$AD$2:$BC$2,0))*INDEX(ref_exp_by_year,MATCH(B1807,'Data Export'!$B$6:$B$78,0),1)))</f>
        <v>0</v>
      </c>
      <c r="E1807">
        <v>4</v>
      </c>
      <c r="F1807" t="s">
        <v>208</v>
      </c>
    </row>
    <row r="1808" spans="1:6">
      <c r="A1808" t="str">
        <f t="shared" si="28"/>
        <v>GenericE&amp;DtemplateCIandGOA</v>
      </c>
      <c r="B1808">
        <v>70</v>
      </c>
      <c r="C1808">
        <v>13</v>
      </c>
      <c r="D1808" s="649">
        <f ca="1">IF(E1808=4,INDEX(crude_exp_dist,MATCH(B1808,'Crude Exp Dist'!$B$6:$B$78,0),MATCH(C1808,'Crude Exp Dist'!$AD$2:$BC$2,0))*INDEX(crude_exp_by_year,MATCH(B1808,'Data Export'!$B$6:$B$78,0),1),IF(E1808=5,INDEX(ref_exp_dist,MATCH(B1808,'Refined Petro Exp Dist'!$B$6:$B$78,0),MATCH(C1808,'Refined Petro Exp Dist'!$AD$2:$BC$2,0))*INDEX(ref_exp_by_year,MATCH(B1808,'Data Export'!$B$6:$B$78,0),1)))</f>
        <v>0</v>
      </c>
      <c r="E1808">
        <v>4</v>
      </c>
      <c r="F1808" t="s">
        <v>211</v>
      </c>
    </row>
    <row r="1809" spans="1:6">
      <c r="A1809" t="str">
        <f t="shared" si="28"/>
        <v>GenericE&amp;DtemplateCIandGOA</v>
      </c>
      <c r="B1809">
        <v>70</v>
      </c>
      <c r="C1809">
        <v>14</v>
      </c>
      <c r="D1809" s="649">
        <f ca="1">IF(E1809=4,INDEX(crude_exp_dist,MATCH(B1809,'Crude Exp Dist'!$B$6:$B$78,0),MATCH(C1809,'Crude Exp Dist'!$AD$2:$BC$2,0))*INDEX(crude_exp_by_year,MATCH(B1809,'Data Export'!$B$6:$B$78,0),1),IF(E1809=5,INDEX(ref_exp_dist,MATCH(B1809,'Refined Petro Exp Dist'!$B$6:$B$78,0),MATCH(C1809,'Refined Petro Exp Dist'!$AD$2:$BC$2,0))*INDEX(ref_exp_by_year,MATCH(B1809,'Data Export'!$B$6:$B$78,0),1)))</f>
        <v>0</v>
      </c>
      <c r="E1809">
        <v>4</v>
      </c>
      <c r="F1809" t="s">
        <v>213</v>
      </c>
    </row>
    <row r="1810" spans="1:6">
      <c r="A1810" t="str">
        <f t="shared" si="28"/>
        <v>GenericE&amp;DtemplateCIandGOA</v>
      </c>
      <c r="B1810">
        <v>70</v>
      </c>
      <c r="C1810">
        <v>15</v>
      </c>
      <c r="D1810" s="649">
        <f ca="1">IF(E1810=4,INDEX(crude_exp_dist,MATCH(B1810,'Crude Exp Dist'!$B$6:$B$78,0),MATCH(C1810,'Crude Exp Dist'!$AD$2:$BC$2,0))*INDEX(crude_exp_by_year,MATCH(B1810,'Data Export'!$B$6:$B$78,0),1),IF(E1810=5,INDEX(ref_exp_dist,MATCH(B1810,'Refined Petro Exp Dist'!$B$6:$B$78,0),MATCH(C1810,'Refined Petro Exp Dist'!$AD$2:$BC$2,0))*INDEX(ref_exp_by_year,MATCH(B1810,'Data Export'!$B$6:$B$78,0),1)))</f>
        <v>0</v>
      </c>
      <c r="E1810">
        <v>4</v>
      </c>
      <c r="F1810" t="s">
        <v>215</v>
      </c>
    </row>
    <row r="1811" spans="1:6">
      <c r="A1811" t="str">
        <f t="shared" si="28"/>
        <v>GenericE&amp;DtemplateCIandGOA</v>
      </c>
      <c r="B1811">
        <v>70</v>
      </c>
      <c r="C1811">
        <v>16</v>
      </c>
      <c r="D1811" s="649">
        <f ca="1">IF(E1811=4,INDEX(crude_exp_dist,MATCH(B1811,'Crude Exp Dist'!$B$6:$B$78,0),MATCH(C1811,'Crude Exp Dist'!$AD$2:$BC$2,0))*INDEX(crude_exp_by_year,MATCH(B1811,'Data Export'!$B$6:$B$78,0),1),IF(E1811=5,INDEX(ref_exp_dist,MATCH(B1811,'Refined Petro Exp Dist'!$B$6:$B$78,0),MATCH(C1811,'Refined Petro Exp Dist'!$AD$2:$BC$2,0))*INDEX(ref_exp_by_year,MATCH(B1811,'Data Export'!$B$6:$B$78,0),1)))</f>
        <v>0</v>
      </c>
      <c r="E1811">
        <v>4</v>
      </c>
      <c r="F1811" t="s">
        <v>219</v>
      </c>
    </row>
    <row r="1812" spans="1:6">
      <c r="A1812" t="str">
        <f t="shared" si="28"/>
        <v>GenericE&amp;DtemplateCIandGOA</v>
      </c>
      <c r="B1812">
        <v>70</v>
      </c>
      <c r="C1812">
        <v>17</v>
      </c>
      <c r="D1812" s="649">
        <f ca="1">IF(E1812=4,INDEX(crude_exp_dist,MATCH(B1812,'Crude Exp Dist'!$B$6:$B$78,0),MATCH(C1812,'Crude Exp Dist'!$AD$2:$BC$2,0))*INDEX(crude_exp_by_year,MATCH(B1812,'Data Export'!$B$6:$B$78,0),1),IF(E1812=5,INDEX(ref_exp_dist,MATCH(B1812,'Refined Petro Exp Dist'!$B$6:$B$78,0),MATCH(C1812,'Refined Petro Exp Dist'!$AD$2:$BC$2,0))*INDEX(ref_exp_by_year,MATCH(B1812,'Data Export'!$B$6:$B$78,0),1)))</f>
        <v>0</v>
      </c>
      <c r="E1812">
        <v>4</v>
      </c>
      <c r="F1812" t="s">
        <v>222</v>
      </c>
    </row>
    <row r="1813" spans="1:6">
      <c r="A1813" t="str">
        <f t="shared" si="28"/>
        <v>GenericE&amp;DtemplateCIandGOA</v>
      </c>
      <c r="B1813">
        <v>70</v>
      </c>
      <c r="C1813">
        <v>18</v>
      </c>
      <c r="D1813" s="649">
        <f ca="1">IF(E1813=4,INDEX(crude_exp_dist,MATCH(B1813,'Crude Exp Dist'!$B$6:$B$78,0),MATCH(C1813,'Crude Exp Dist'!$AD$2:$BC$2,0))*INDEX(crude_exp_by_year,MATCH(B1813,'Data Export'!$B$6:$B$78,0),1),IF(E1813=5,INDEX(ref_exp_dist,MATCH(B1813,'Refined Petro Exp Dist'!$B$6:$B$78,0),MATCH(C1813,'Refined Petro Exp Dist'!$AD$2:$BC$2,0))*INDEX(ref_exp_by_year,MATCH(B1813,'Data Export'!$B$6:$B$78,0),1)))</f>
        <v>0</v>
      </c>
      <c r="E1813">
        <v>4</v>
      </c>
      <c r="F1813" t="s">
        <v>224</v>
      </c>
    </row>
    <row r="1814" spans="1:6">
      <c r="A1814" t="str">
        <f t="shared" si="28"/>
        <v>GenericE&amp;DtemplateCIandGOA</v>
      </c>
      <c r="B1814">
        <v>70</v>
      </c>
      <c r="C1814">
        <v>19</v>
      </c>
      <c r="D1814" s="649">
        <f ca="1">IF(E1814=4,INDEX(crude_exp_dist,MATCH(B1814,'Crude Exp Dist'!$B$6:$B$78,0),MATCH(C1814,'Crude Exp Dist'!$AD$2:$BC$2,0))*INDEX(crude_exp_by_year,MATCH(B1814,'Data Export'!$B$6:$B$78,0),1),IF(E1814=5,INDEX(ref_exp_dist,MATCH(B1814,'Refined Petro Exp Dist'!$B$6:$B$78,0),MATCH(C1814,'Refined Petro Exp Dist'!$AD$2:$BC$2,0))*INDEX(ref_exp_by_year,MATCH(B1814,'Data Export'!$B$6:$B$78,0),1)))</f>
        <v>0</v>
      </c>
      <c r="E1814">
        <v>4</v>
      </c>
      <c r="F1814" t="s">
        <v>228</v>
      </c>
    </row>
    <row r="1815" spans="1:6">
      <c r="A1815" t="str">
        <f t="shared" si="28"/>
        <v>GenericE&amp;DtemplateCIandGOA</v>
      </c>
      <c r="B1815">
        <v>70</v>
      </c>
      <c r="C1815">
        <v>20</v>
      </c>
      <c r="D1815" s="649">
        <f ca="1">IF(E1815=4,INDEX(crude_exp_dist,MATCH(B1815,'Crude Exp Dist'!$B$6:$B$78,0),MATCH(C1815,'Crude Exp Dist'!$AD$2:$BC$2,0))*INDEX(crude_exp_by_year,MATCH(B1815,'Data Export'!$B$6:$B$78,0),1),IF(E1815=5,INDEX(ref_exp_dist,MATCH(B1815,'Refined Petro Exp Dist'!$B$6:$B$78,0),MATCH(C1815,'Refined Petro Exp Dist'!$AD$2:$BC$2,0))*INDEX(ref_exp_by_year,MATCH(B1815,'Data Export'!$B$6:$B$78,0),1)))</f>
        <v>0</v>
      </c>
      <c r="E1815">
        <v>4</v>
      </c>
      <c r="F1815" t="s">
        <v>231</v>
      </c>
    </row>
    <row r="1816" spans="1:6">
      <c r="A1816" t="str">
        <f t="shared" si="28"/>
        <v>GenericE&amp;DtemplateCIandGOA</v>
      </c>
      <c r="B1816">
        <v>70</v>
      </c>
      <c r="C1816">
        <v>21</v>
      </c>
      <c r="D1816" s="649">
        <f ca="1">IF(E1816=4,INDEX(crude_exp_dist,MATCH(B1816,'Crude Exp Dist'!$B$6:$B$78,0),MATCH(C1816,'Crude Exp Dist'!$AD$2:$BC$2,0))*INDEX(crude_exp_by_year,MATCH(B1816,'Data Export'!$B$6:$B$78,0),1),IF(E1816=5,INDEX(ref_exp_dist,MATCH(B1816,'Refined Petro Exp Dist'!$B$6:$B$78,0),MATCH(C1816,'Refined Petro Exp Dist'!$AD$2:$BC$2,0))*INDEX(ref_exp_by_year,MATCH(B1816,'Data Export'!$B$6:$B$78,0),1)))</f>
        <v>0</v>
      </c>
      <c r="E1816">
        <v>4</v>
      </c>
      <c r="F1816" t="s">
        <v>232</v>
      </c>
    </row>
    <row r="1817" spans="1:6">
      <c r="A1817" t="str">
        <f t="shared" si="28"/>
        <v>GenericE&amp;DtemplateCIandGOA</v>
      </c>
      <c r="B1817">
        <v>70</v>
      </c>
      <c r="C1817">
        <v>22</v>
      </c>
      <c r="D1817" s="649">
        <f ca="1">IF(E1817=4,INDEX(crude_exp_dist,MATCH(B1817,'Crude Exp Dist'!$B$6:$B$78,0),MATCH(C1817,'Crude Exp Dist'!$AD$2:$BC$2,0))*INDEX(crude_exp_by_year,MATCH(B1817,'Data Export'!$B$6:$B$78,0),1),IF(E1817=5,INDEX(ref_exp_dist,MATCH(B1817,'Refined Petro Exp Dist'!$B$6:$B$78,0),MATCH(C1817,'Refined Petro Exp Dist'!$AD$2:$BC$2,0))*INDEX(ref_exp_by_year,MATCH(B1817,'Data Export'!$B$6:$B$78,0),1)))</f>
        <v>0</v>
      </c>
      <c r="E1817">
        <v>4</v>
      </c>
      <c r="F1817" t="s">
        <v>235</v>
      </c>
    </row>
    <row r="1818" spans="1:6">
      <c r="A1818" t="str">
        <f t="shared" si="28"/>
        <v>GenericE&amp;DtemplateCIandGOA</v>
      </c>
      <c r="B1818">
        <v>70</v>
      </c>
      <c r="C1818">
        <v>23</v>
      </c>
      <c r="D1818" s="649">
        <f ca="1">IF(E1818=4,INDEX(crude_exp_dist,MATCH(B1818,'Crude Exp Dist'!$B$6:$B$78,0),MATCH(C1818,'Crude Exp Dist'!$AD$2:$BC$2,0))*INDEX(crude_exp_by_year,MATCH(B1818,'Data Export'!$B$6:$B$78,0),1),IF(E1818=5,INDEX(ref_exp_dist,MATCH(B1818,'Refined Petro Exp Dist'!$B$6:$B$78,0),MATCH(C1818,'Refined Petro Exp Dist'!$AD$2:$BC$2,0))*INDEX(ref_exp_by_year,MATCH(B1818,'Data Export'!$B$6:$B$78,0),1)))</f>
        <v>0</v>
      </c>
      <c r="E1818">
        <v>4</v>
      </c>
      <c r="F1818" t="s">
        <v>237</v>
      </c>
    </row>
    <row r="1819" spans="1:6">
      <c r="A1819" t="str">
        <f t="shared" si="28"/>
        <v>GenericE&amp;DtemplateCIandGOA</v>
      </c>
      <c r="B1819">
        <v>70</v>
      </c>
      <c r="C1819">
        <v>24</v>
      </c>
      <c r="D1819" s="649">
        <f ca="1">IF(E1819=4,INDEX(crude_exp_dist,MATCH(B1819,'Crude Exp Dist'!$B$6:$B$78,0),MATCH(C1819,'Crude Exp Dist'!$AD$2:$BC$2,0))*INDEX(crude_exp_by_year,MATCH(B1819,'Data Export'!$B$6:$B$78,0),1),IF(E1819=5,INDEX(ref_exp_dist,MATCH(B1819,'Refined Petro Exp Dist'!$B$6:$B$78,0),MATCH(C1819,'Refined Petro Exp Dist'!$AD$2:$BC$2,0))*INDEX(ref_exp_by_year,MATCH(B1819,'Data Export'!$B$6:$B$78,0),1)))</f>
        <v>0</v>
      </c>
      <c r="E1819">
        <v>4</v>
      </c>
      <c r="F1819" t="s">
        <v>239</v>
      </c>
    </row>
    <row r="1820" spans="1:6">
      <c r="A1820" t="str">
        <f t="shared" si="28"/>
        <v>GenericE&amp;DtemplateCIandGOA</v>
      </c>
      <c r="B1820">
        <v>70</v>
      </c>
      <c r="C1820">
        <v>25</v>
      </c>
      <c r="D1820" s="649">
        <f ca="1">IF(E1820=4,INDEX(crude_exp_dist,MATCH(B1820,'Crude Exp Dist'!$B$6:$B$78,0),MATCH(C1820,'Crude Exp Dist'!$AD$2:$BC$2,0))*INDEX(crude_exp_by_year,MATCH(B1820,'Data Export'!$B$6:$B$78,0),1),IF(E1820=5,INDEX(ref_exp_dist,MATCH(B1820,'Refined Petro Exp Dist'!$B$6:$B$78,0),MATCH(C1820,'Refined Petro Exp Dist'!$AD$2:$BC$2,0))*INDEX(ref_exp_by_year,MATCH(B1820,'Data Export'!$B$6:$B$78,0),1)))</f>
        <v>0</v>
      </c>
      <c r="E1820">
        <v>4</v>
      </c>
      <c r="F1820" t="s">
        <v>242</v>
      </c>
    </row>
    <row r="1821" spans="1:6">
      <c r="A1821" t="str">
        <f t="shared" si="28"/>
        <v>GenericE&amp;DtemplateCIandGOA</v>
      </c>
      <c r="B1821">
        <v>70</v>
      </c>
      <c r="C1821">
        <v>26</v>
      </c>
      <c r="D1821" s="649">
        <f ca="1">IF(E1821=4,INDEX(crude_exp_dist,MATCH(B1821,'Crude Exp Dist'!$B$6:$B$78,0),MATCH(C1821,'Crude Exp Dist'!$AD$2:$BC$2,0))*INDEX(crude_exp_by_year,MATCH(B1821,'Data Export'!$B$6:$B$78,0),1),IF(E1821=5,INDEX(ref_exp_dist,MATCH(B1821,'Refined Petro Exp Dist'!$B$6:$B$78,0),MATCH(C1821,'Refined Petro Exp Dist'!$AD$2:$BC$2,0))*INDEX(ref_exp_by_year,MATCH(B1821,'Data Export'!$B$6:$B$78,0),1)))</f>
        <v>0</v>
      </c>
      <c r="E1821">
        <v>4</v>
      </c>
      <c r="F1821" t="s">
        <v>245</v>
      </c>
    </row>
    <row r="1822" spans="1:6">
      <c r="A1822" t="str">
        <f t="shared" si="28"/>
        <v>GenericE&amp;DtemplateCIandGOA</v>
      </c>
      <c r="B1822">
        <v>1</v>
      </c>
      <c r="C1822">
        <v>1</v>
      </c>
      <c r="D1822" s="649">
        <f ca="1">IF(E1822=4,INDEX(crude_exp_dist,MATCH(B1822,'Crude Exp Dist'!$B$6:$B$78,0),MATCH(C1822,'Crude Exp Dist'!$AD$2:$BC$2,0))*INDEX(crude_exp_by_year,MATCH(B1822,'Data Export'!$B$6:$B$78,0),1),IF(E1822=5,INDEX(ref_exp_dist,MATCH(B1822,'Refined Petro Exp Dist'!$B$6:$B$78,0),MATCH(C1822,'Refined Petro Exp Dist'!$AD$2:$BC$2,0))*INDEX(ref_exp_by_year,MATCH(B1822,'Data Export'!$B$6:$B$78,0),1)))</f>
        <v>0</v>
      </c>
      <c r="E1822">
        <v>5</v>
      </c>
      <c r="F1822" t="s">
        <v>158</v>
      </c>
    </row>
    <row r="1823" spans="1:6">
      <c r="A1823" t="str">
        <f t="shared" si="28"/>
        <v>GenericE&amp;DtemplateCIandGOA</v>
      </c>
      <c r="B1823">
        <v>1</v>
      </c>
      <c r="C1823">
        <v>2</v>
      </c>
      <c r="D1823" s="649">
        <f ca="1">IF(E1823=4,INDEX(crude_exp_dist,MATCH(B1823,'Crude Exp Dist'!$B$6:$B$78,0),MATCH(C1823,'Crude Exp Dist'!$AD$2:$BC$2,0))*INDEX(crude_exp_by_year,MATCH(B1823,'Data Export'!$B$6:$B$78,0),1),IF(E1823=5,INDEX(ref_exp_dist,MATCH(B1823,'Refined Petro Exp Dist'!$B$6:$B$78,0),MATCH(C1823,'Refined Petro Exp Dist'!$AD$2:$BC$2,0))*INDEX(ref_exp_by_year,MATCH(B1823,'Data Export'!$B$6:$B$78,0),1)))</f>
        <v>0</v>
      </c>
      <c r="E1823">
        <v>5</v>
      </c>
      <c r="F1823" t="s">
        <v>166</v>
      </c>
    </row>
    <row r="1824" spans="1:6">
      <c r="A1824" t="str">
        <f t="shared" si="28"/>
        <v>GenericE&amp;DtemplateCIandGOA</v>
      </c>
      <c r="B1824">
        <v>1</v>
      </c>
      <c r="C1824">
        <v>3</v>
      </c>
      <c r="D1824" s="649">
        <f ca="1">IF(E1824=4,INDEX(crude_exp_dist,MATCH(B1824,'Crude Exp Dist'!$B$6:$B$78,0),MATCH(C1824,'Crude Exp Dist'!$AD$2:$BC$2,0))*INDEX(crude_exp_by_year,MATCH(B1824,'Data Export'!$B$6:$B$78,0),1),IF(E1824=5,INDEX(ref_exp_dist,MATCH(B1824,'Refined Petro Exp Dist'!$B$6:$B$78,0),MATCH(C1824,'Refined Petro Exp Dist'!$AD$2:$BC$2,0))*INDEX(ref_exp_by_year,MATCH(B1824,'Data Export'!$B$6:$B$78,0),1)))</f>
        <v>0</v>
      </c>
      <c r="E1824">
        <v>5</v>
      </c>
      <c r="F1824" t="s">
        <v>171</v>
      </c>
    </row>
    <row r="1825" spans="1:6">
      <c r="A1825" t="str">
        <f t="shared" si="28"/>
        <v>GenericE&amp;DtemplateCIandGOA</v>
      </c>
      <c r="B1825">
        <v>1</v>
      </c>
      <c r="C1825">
        <v>4</v>
      </c>
      <c r="D1825" s="649">
        <f ca="1">IF(E1825=4,INDEX(crude_exp_dist,MATCH(B1825,'Crude Exp Dist'!$B$6:$B$78,0),MATCH(C1825,'Crude Exp Dist'!$AD$2:$BC$2,0))*INDEX(crude_exp_by_year,MATCH(B1825,'Data Export'!$B$6:$B$78,0),1),IF(E1825=5,INDEX(ref_exp_dist,MATCH(B1825,'Refined Petro Exp Dist'!$B$6:$B$78,0),MATCH(C1825,'Refined Petro Exp Dist'!$AD$2:$BC$2,0))*INDEX(ref_exp_by_year,MATCH(B1825,'Data Export'!$B$6:$B$78,0),1)))</f>
        <v>0</v>
      </c>
      <c r="E1825">
        <v>5</v>
      </c>
      <c r="F1825" t="s">
        <v>173</v>
      </c>
    </row>
    <row r="1826" spans="1:6">
      <c r="A1826" t="str">
        <f t="shared" si="28"/>
        <v>GenericE&amp;DtemplateCIandGOA</v>
      </c>
      <c r="B1826">
        <v>1</v>
      </c>
      <c r="C1826">
        <v>5</v>
      </c>
      <c r="D1826" s="649">
        <f ca="1">IF(E1826=4,INDEX(crude_exp_dist,MATCH(B1826,'Crude Exp Dist'!$B$6:$B$78,0),MATCH(C1826,'Crude Exp Dist'!$AD$2:$BC$2,0))*INDEX(crude_exp_by_year,MATCH(B1826,'Data Export'!$B$6:$B$78,0),1),IF(E1826=5,INDEX(ref_exp_dist,MATCH(B1826,'Refined Petro Exp Dist'!$B$6:$B$78,0),MATCH(C1826,'Refined Petro Exp Dist'!$AD$2:$BC$2,0))*INDEX(ref_exp_by_year,MATCH(B1826,'Data Export'!$B$6:$B$78,0),1)))</f>
        <v>0</v>
      </c>
      <c r="E1826">
        <v>5</v>
      </c>
      <c r="F1826" t="s">
        <v>180</v>
      </c>
    </row>
    <row r="1827" spans="1:6">
      <c r="A1827" t="str">
        <f t="shared" si="28"/>
        <v>GenericE&amp;DtemplateCIandGOA</v>
      </c>
      <c r="B1827">
        <v>1</v>
      </c>
      <c r="C1827">
        <v>6</v>
      </c>
      <c r="D1827" s="649">
        <f ca="1">IF(E1827=4,INDEX(crude_exp_dist,MATCH(B1827,'Crude Exp Dist'!$B$6:$B$78,0),MATCH(C1827,'Crude Exp Dist'!$AD$2:$BC$2,0))*INDEX(crude_exp_by_year,MATCH(B1827,'Data Export'!$B$6:$B$78,0),1),IF(E1827=5,INDEX(ref_exp_dist,MATCH(B1827,'Refined Petro Exp Dist'!$B$6:$B$78,0),MATCH(C1827,'Refined Petro Exp Dist'!$AD$2:$BC$2,0))*INDEX(ref_exp_by_year,MATCH(B1827,'Data Export'!$B$6:$B$78,0),1)))</f>
        <v>0</v>
      </c>
      <c r="E1827">
        <v>5</v>
      </c>
      <c r="F1827" t="s">
        <v>186</v>
      </c>
    </row>
    <row r="1828" spans="1:6">
      <c r="A1828" t="str">
        <f t="shared" si="28"/>
        <v>GenericE&amp;DtemplateCIandGOA</v>
      </c>
      <c r="B1828">
        <v>1</v>
      </c>
      <c r="C1828">
        <v>7</v>
      </c>
      <c r="D1828" s="649">
        <f ca="1">IF(E1828=4,INDEX(crude_exp_dist,MATCH(B1828,'Crude Exp Dist'!$B$6:$B$78,0),MATCH(C1828,'Crude Exp Dist'!$AD$2:$BC$2,0))*INDEX(crude_exp_by_year,MATCH(B1828,'Data Export'!$B$6:$B$78,0),1),IF(E1828=5,INDEX(ref_exp_dist,MATCH(B1828,'Refined Petro Exp Dist'!$B$6:$B$78,0),MATCH(C1828,'Refined Petro Exp Dist'!$AD$2:$BC$2,0))*INDEX(ref_exp_by_year,MATCH(B1828,'Data Export'!$B$6:$B$78,0),1)))</f>
        <v>0</v>
      </c>
      <c r="E1828">
        <v>5</v>
      </c>
      <c r="F1828" t="s">
        <v>191</v>
      </c>
    </row>
    <row r="1829" spans="1:6">
      <c r="A1829" t="str">
        <f t="shared" si="28"/>
        <v>GenericE&amp;DtemplateCIandGOA</v>
      </c>
      <c r="B1829">
        <v>1</v>
      </c>
      <c r="C1829">
        <v>8</v>
      </c>
      <c r="D1829" s="649">
        <f ca="1">IF(E1829=4,INDEX(crude_exp_dist,MATCH(B1829,'Crude Exp Dist'!$B$6:$B$78,0),MATCH(C1829,'Crude Exp Dist'!$AD$2:$BC$2,0))*INDEX(crude_exp_by_year,MATCH(B1829,'Data Export'!$B$6:$B$78,0),1),IF(E1829=5,INDEX(ref_exp_dist,MATCH(B1829,'Refined Petro Exp Dist'!$B$6:$B$78,0),MATCH(C1829,'Refined Petro Exp Dist'!$AD$2:$BC$2,0))*INDEX(ref_exp_by_year,MATCH(B1829,'Data Export'!$B$6:$B$78,0),1)))</f>
        <v>0</v>
      </c>
      <c r="E1829">
        <v>5</v>
      </c>
      <c r="F1829" t="s">
        <v>197</v>
      </c>
    </row>
    <row r="1830" spans="1:6">
      <c r="A1830" t="str">
        <f t="shared" si="28"/>
        <v>GenericE&amp;DtemplateCIandGOA</v>
      </c>
      <c r="B1830">
        <v>1</v>
      </c>
      <c r="C1830">
        <v>9</v>
      </c>
      <c r="D1830" s="649">
        <f ca="1">IF(E1830=4,INDEX(crude_exp_dist,MATCH(B1830,'Crude Exp Dist'!$B$6:$B$78,0),MATCH(C1830,'Crude Exp Dist'!$AD$2:$BC$2,0))*INDEX(crude_exp_by_year,MATCH(B1830,'Data Export'!$B$6:$B$78,0),1),IF(E1830=5,INDEX(ref_exp_dist,MATCH(B1830,'Refined Petro Exp Dist'!$B$6:$B$78,0),MATCH(C1830,'Refined Petro Exp Dist'!$AD$2:$BC$2,0))*INDEX(ref_exp_by_year,MATCH(B1830,'Data Export'!$B$6:$B$78,0),1)))</f>
        <v>0</v>
      </c>
      <c r="E1830">
        <v>5</v>
      </c>
      <c r="F1830" t="s">
        <v>199</v>
      </c>
    </row>
    <row r="1831" spans="1:6">
      <c r="A1831" t="str">
        <f t="shared" si="28"/>
        <v>GenericE&amp;DtemplateCIandGOA</v>
      </c>
      <c r="B1831">
        <v>1</v>
      </c>
      <c r="C1831">
        <v>10</v>
      </c>
      <c r="D1831" s="649">
        <f ca="1">IF(E1831=4,INDEX(crude_exp_dist,MATCH(B1831,'Crude Exp Dist'!$B$6:$B$78,0),MATCH(C1831,'Crude Exp Dist'!$AD$2:$BC$2,0))*INDEX(crude_exp_by_year,MATCH(B1831,'Data Export'!$B$6:$B$78,0),1),IF(E1831=5,INDEX(ref_exp_dist,MATCH(B1831,'Refined Petro Exp Dist'!$B$6:$B$78,0),MATCH(C1831,'Refined Petro Exp Dist'!$AD$2:$BC$2,0))*INDEX(ref_exp_by_year,MATCH(B1831,'Data Export'!$B$6:$B$78,0),1)))</f>
        <v>0</v>
      </c>
      <c r="E1831">
        <v>5</v>
      </c>
      <c r="F1831" t="s">
        <v>201</v>
      </c>
    </row>
    <row r="1832" spans="1:6">
      <c r="A1832" t="str">
        <f t="shared" si="28"/>
        <v>GenericE&amp;DtemplateCIandGOA</v>
      </c>
      <c r="B1832">
        <v>1</v>
      </c>
      <c r="C1832">
        <v>11</v>
      </c>
      <c r="D1832" s="649">
        <f ca="1">IF(E1832=4,INDEX(crude_exp_dist,MATCH(B1832,'Crude Exp Dist'!$B$6:$B$78,0),MATCH(C1832,'Crude Exp Dist'!$AD$2:$BC$2,0))*INDEX(crude_exp_by_year,MATCH(B1832,'Data Export'!$B$6:$B$78,0),1),IF(E1832=5,INDEX(ref_exp_dist,MATCH(B1832,'Refined Petro Exp Dist'!$B$6:$B$78,0),MATCH(C1832,'Refined Petro Exp Dist'!$AD$2:$BC$2,0))*INDEX(ref_exp_by_year,MATCH(B1832,'Data Export'!$B$6:$B$78,0),1)))</f>
        <v>0</v>
      </c>
      <c r="E1832">
        <v>5</v>
      </c>
      <c r="F1832" t="s">
        <v>921</v>
      </c>
    </row>
    <row r="1833" spans="1:6">
      <c r="A1833" t="str">
        <f t="shared" si="28"/>
        <v>GenericE&amp;DtemplateCIandGOA</v>
      </c>
      <c r="B1833">
        <v>1</v>
      </c>
      <c r="C1833">
        <v>12</v>
      </c>
      <c r="D1833" s="649">
        <f ca="1">IF(E1833=4,INDEX(crude_exp_dist,MATCH(B1833,'Crude Exp Dist'!$B$6:$B$78,0),MATCH(C1833,'Crude Exp Dist'!$AD$2:$BC$2,0))*INDEX(crude_exp_by_year,MATCH(B1833,'Data Export'!$B$6:$B$78,0),1),IF(E1833=5,INDEX(ref_exp_dist,MATCH(B1833,'Refined Petro Exp Dist'!$B$6:$B$78,0),MATCH(C1833,'Refined Petro Exp Dist'!$AD$2:$BC$2,0))*INDEX(ref_exp_by_year,MATCH(B1833,'Data Export'!$B$6:$B$78,0),1)))</f>
        <v>0</v>
      </c>
      <c r="E1833">
        <v>5</v>
      </c>
      <c r="F1833" t="s">
        <v>208</v>
      </c>
    </row>
    <row r="1834" spans="1:6">
      <c r="A1834" t="str">
        <f t="shared" si="28"/>
        <v>GenericE&amp;DtemplateCIandGOA</v>
      </c>
      <c r="B1834">
        <v>1</v>
      </c>
      <c r="C1834">
        <v>13</v>
      </c>
      <c r="D1834" s="649">
        <f ca="1">IF(E1834=4,INDEX(crude_exp_dist,MATCH(B1834,'Crude Exp Dist'!$B$6:$B$78,0),MATCH(C1834,'Crude Exp Dist'!$AD$2:$BC$2,0))*INDEX(crude_exp_by_year,MATCH(B1834,'Data Export'!$B$6:$B$78,0),1),IF(E1834=5,INDEX(ref_exp_dist,MATCH(B1834,'Refined Petro Exp Dist'!$B$6:$B$78,0),MATCH(C1834,'Refined Petro Exp Dist'!$AD$2:$BC$2,0))*INDEX(ref_exp_by_year,MATCH(B1834,'Data Export'!$B$6:$B$78,0),1)))</f>
        <v>0</v>
      </c>
      <c r="E1834">
        <v>5</v>
      </c>
      <c r="F1834" t="s">
        <v>211</v>
      </c>
    </row>
    <row r="1835" spans="1:6">
      <c r="A1835" t="str">
        <f t="shared" si="28"/>
        <v>GenericE&amp;DtemplateCIandGOA</v>
      </c>
      <c r="B1835">
        <v>1</v>
      </c>
      <c r="C1835">
        <v>14</v>
      </c>
      <c r="D1835" s="649">
        <f ca="1">IF(E1835=4,INDEX(crude_exp_dist,MATCH(B1835,'Crude Exp Dist'!$B$6:$B$78,0),MATCH(C1835,'Crude Exp Dist'!$AD$2:$BC$2,0))*INDEX(crude_exp_by_year,MATCH(B1835,'Data Export'!$B$6:$B$78,0),1),IF(E1835=5,INDEX(ref_exp_dist,MATCH(B1835,'Refined Petro Exp Dist'!$B$6:$B$78,0),MATCH(C1835,'Refined Petro Exp Dist'!$AD$2:$BC$2,0))*INDEX(ref_exp_by_year,MATCH(B1835,'Data Export'!$B$6:$B$78,0),1)))</f>
        <v>0</v>
      </c>
      <c r="E1835">
        <v>5</v>
      </c>
      <c r="F1835" t="s">
        <v>213</v>
      </c>
    </row>
    <row r="1836" spans="1:6">
      <c r="A1836" t="str">
        <f t="shared" si="28"/>
        <v>GenericE&amp;DtemplateCIandGOA</v>
      </c>
      <c r="B1836">
        <v>1</v>
      </c>
      <c r="C1836">
        <v>15</v>
      </c>
      <c r="D1836" s="649">
        <f ca="1">IF(E1836=4,INDEX(crude_exp_dist,MATCH(B1836,'Crude Exp Dist'!$B$6:$B$78,0),MATCH(C1836,'Crude Exp Dist'!$AD$2:$BC$2,0))*INDEX(crude_exp_by_year,MATCH(B1836,'Data Export'!$B$6:$B$78,0),1),IF(E1836=5,INDEX(ref_exp_dist,MATCH(B1836,'Refined Petro Exp Dist'!$B$6:$B$78,0),MATCH(C1836,'Refined Petro Exp Dist'!$AD$2:$BC$2,0))*INDEX(ref_exp_by_year,MATCH(B1836,'Data Export'!$B$6:$B$78,0),1)))</f>
        <v>0</v>
      </c>
      <c r="E1836">
        <v>5</v>
      </c>
      <c r="F1836" t="s">
        <v>215</v>
      </c>
    </row>
    <row r="1837" spans="1:6">
      <c r="A1837" t="str">
        <f t="shared" si="28"/>
        <v>GenericE&amp;DtemplateCIandGOA</v>
      </c>
      <c r="B1837">
        <v>1</v>
      </c>
      <c r="C1837">
        <v>16</v>
      </c>
      <c r="D1837" s="649">
        <f ca="1">IF(E1837=4,INDEX(crude_exp_dist,MATCH(B1837,'Crude Exp Dist'!$B$6:$B$78,0),MATCH(C1837,'Crude Exp Dist'!$AD$2:$BC$2,0))*INDEX(crude_exp_by_year,MATCH(B1837,'Data Export'!$B$6:$B$78,0),1),IF(E1837=5,INDEX(ref_exp_dist,MATCH(B1837,'Refined Petro Exp Dist'!$B$6:$B$78,0),MATCH(C1837,'Refined Petro Exp Dist'!$AD$2:$BC$2,0))*INDEX(ref_exp_by_year,MATCH(B1837,'Data Export'!$B$6:$B$78,0),1)))</f>
        <v>0</v>
      </c>
      <c r="E1837">
        <v>5</v>
      </c>
      <c r="F1837" t="s">
        <v>219</v>
      </c>
    </row>
    <row r="1838" spans="1:6">
      <c r="A1838" t="str">
        <f t="shared" si="28"/>
        <v>GenericE&amp;DtemplateCIandGOA</v>
      </c>
      <c r="B1838">
        <v>1</v>
      </c>
      <c r="C1838">
        <v>17</v>
      </c>
      <c r="D1838" s="649">
        <f ca="1">IF(E1838=4,INDEX(crude_exp_dist,MATCH(B1838,'Crude Exp Dist'!$B$6:$B$78,0),MATCH(C1838,'Crude Exp Dist'!$AD$2:$BC$2,0))*INDEX(crude_exp_by_year,MATCH(B1838,'Data Export'!$B$6:$B$78,0),1),IF(E1838=5,INDEX(ref_exp_dist,MATCH(B1838,'Refined Petro Exp Dist'!$B$6:$B$78,0),MATCH(C1838,'Refined Petro Exp Dist'!$AD$2:$BC$2,0))*INDEX(ref_exp_by_year,MATCH(B1838,'Data Export'!$B$6:$B$78,0),1)))</f>
        <v>0</v>
      </c>
      <c r="E1838">
        <v>5</v>
      </c>
      <c r="F1838" t="s">
        <v>222</v>
      </c>
    </row>
    <row r="1839" spans="1:6">
      <c r="A1839" t="str">
        <f t="shared" si="28"/>
        <v>GenericE&amp;DtemplateCIandGOA</v>
      </c>
      <c r="B1839">
        <v>1</v>
      </c>
      <c r="C1839">
        <v>18</v>
      </c>
      <c r="D1839" s="649">
        <f ca="1">IF(E1839=4,INDEX(crude_exp_dist,MATCH(B1839,'Crude Exp Dist'!$B$6:$B$78,0),MATCH(C1839,'Crude Exp Dist'!$AD$2:$BC$2,0))*INDEX(crude_exp_by_year,MATCH(B1839,'Data Export'!$B$6:$B$78,0),1),IF(E1839=5,INDEX(ref_exp_dist,MATCH(B1839,'Refined Petro Exp Dist'!$B$6:$B$78,0),MATCH(C1839,'Refined Petro Exp Dist'!$AD$2:$BC$2,0))*INDEX(ref_exp_by_year,MATCH(B1839,'Data Export'!$B$6:$B$78,0),1)))</f>
        <v>0</v>
      </c>
      <c r="E1839">
        <v>5</v>
      </c>
      <c r="F1839" t="s">
        <v>224</v>
      </c>
    </row>
    <row r="1840" spans="1:6">
      <c r="A1840" t="str">
        <f t="shared" si="28"/>
        <v>GenericE&amp;DtemplateCIandGOA</v>
      </c>
      <c r="B1840">
        <v>1</v>
      </c>
      <c r="C1840">
        <v>19</v>
      </c>
      <c r="D1840" s="649">
        <f ca="1">IF(E1840=4,INDEX(crude_exp_dist,MATCH(B1840,'Crude Exp Dist'!$B$6:$B$78,0),MATCH(C1840,'Crude Exp Dist'!$AD$2:$BC$2,0))*INDEX(crude_exp_by_year,MATCH(B1840,'Data Export'!$B$6:$B$78,0),1),IF(E1840=5,INDEX(ref_exp_dist,MATCH(B1840,'Refined Petro Exp Dist'!$B$6:$B$78,0),MATCH(C1840,'Refined Petro Exp Dist'!$AD$2:$BC$2,0))*INDEX(ref_exp_by_year,MATCH(B1840,'Data Export'!$B$6:$B$78,0),1)))</f>
        <v>0</v>
      </c>
      <c r="E1840">
        <v>5</v>
      </c>
      <c r="F1840" t="s">
        <v>228</v>
      </c>
    </row>
    <row r="1841" spans="1:6">
      <c r="A1841" t="str">
        <f t="shared" si="28"/>
        <v>GenericE&amp;DtemplateCIandGOA</v>
      </c>
      <c r="B1841">
        <v>1</v>
      </c>
      <c r="C1841">
        <v>20</v>
      </c>
      <c r="D1841" s="649">
        <f ca="1">IF(E1841=4,INDEX(crude_exp_dist,MATCH(B1841,'Crude Exp Dist'!$B$6:$B$78,0),MATCH(C1841,'Crude Exp Dist'!$AD$2:$BC$2,0))*INDEX(crude_exp_by_year,MATCH(B1841,'Data Export'!$B$6:$B$78,0),1),IF(E1841=5,INDEX(ref_exp_dist,MATCH(B1841,'Refined Petro Exp Dist'!$B$6:$B$78,0),MATCH(C1841,'Refined Petro Exp Dist'!$AD$2:$BC$2,0))*INDEX(ref_exp_by_year,MATCH(B1841,'Data Export'!$B$6:$B$78,0),1)))</f>
        <v>0</v>
      </c>
      <c r="E1841">
        <v>5</v>
      </c>
      <c r="F1841" t="s">
        <v>231</v>
      </c>
    </row>
    <row r="1842" spans="1:6">
      <c r="A1842" t="str">
        <f t="shared" si="28"/>
        <v>GenericE&amp;DtemplateCIandGOA</v>
      </c>
      <c r="B1842">
        <v>1</v>
      </c>
      <c r="C1842">
        <v>21</v>
      </c>
      <c r="D1842" s="649">
        <f ca="1">IF(E1842=4,INDEX(crude_exp_dist,MATCH(B1842,'Crude Exp Dist'!$B$6:$B$78,0),MATCH(C1842,'Crude Exp Dist'!$AD$2:$BC$2,0))*INDEX(crude_exp_by_year,MATCH(B1842,'Data Export'!$B$6:$B$78,0),1),IF(E1842=5,INDEX(ref_exp_dist,MATCH(B1842,'Refined Petro Exp Dist'!$B$6:$B$78,0),MATCH(C1842,'Refined Petro Exp Dist'!$AD$2:$BC$2,0))*INDEX(ref_exp_by_year,MATCH(B1842,'Data Export'!$B$6:$B$78,0),1)))</f>
        <v>0</v>
      </c>
      <c r="E1842">
        <v>5</v>
      </c>
      <c r="F1842" t="s">
        <v>232</v>
      </c>
    </row>
    <row r="1843" spans="1:6">
      <c r="A1843" t="str">
        <f t="shared" si="28"/>
        <v>GenericE&amp;DtemplateCIandGOA</v>
      </c>
      <c r="B1843">
        <v>1</v>
      </c>
      <c r="C1843">
        <v>22</v>
      </c>
      <c r="D1843" s="649">
        <f ca="1">IF(E1843=4,INDEX(crude_exp_dist,MATCH(B1843,'Crude Exp Dist'!$B$6:$B$78,0),MATCH(C1843,'Crude Exp Dist'!$AD$2:$BC$2,0))*INDEX(crude_exp_by_year,MATCH(B1843,'Data Export'!$B$6:$B$78,0),1),IF(E1843=5,INDEX(ref_exp_dist,MATCH(B1843,'Refined Petro Exp Dist'!$B$6:$B$78,0),MATCH(C1843,'Refined Petro Exp Dist'!$AD$2:$BC$2,0))*INDEX(ref_exp_by_year,MATCH(B1843,'Data Export'!$B$6:$B$78,0),1)))</f>
        <v>0</v>
      </c>
      <c r="E1843">
        <v>5</v>
      </c>
      <c r="F1843" t="s">
        <v>235</v>
      </c>
    </row>
    <row r="1844" spans="1:6">
      <c r="A1844" t="str">
        <f t="shared" si="28"/>
        <v>GenericE&amp;DtemplateCIandGOA</v>
      </c>
      <c r="B1844">
        <v>1</v>
      </c>
      <c r="C1844">
        <v>23</v>
      </c>
      <c r="D1844" s="649">
        <f ca="1">IF(E1844=4,INDEX(crude_exp_dist,MATCH(B1844,'Crude Exp Dist'!$B$6:$B$78,0),MATCH(C1844,'Crude Exp Dist'!$AD$2:$BC$2,0))*INDEX(crude_exp_by_year,MATCH(B1844,'Data Export'!$B$6:$B$78,0),1),IF(E1844=5,INDEX(ref_exp_dist,MATCH(B1844,'Refined Petro Exp Dist'!$B$6:$B$78,0),MATCH(C1844,'Refined Petro Exp Dist'!$AD$2:$BC$2,0))*INDEX(ref_exp_by_year,MATCH(B1844,'Data Export'!$B$6:$B$78,0),1)))</f>
        <v>0</v>
      </c>
      <c r="E1844">
        <v>5</v>
      </c>
      <c r="F1844" t="s">
        <v>237</v>
      </c>
    </row>
    <row r="1845" spans="1:6">
      <c r="A1845" t="str">
        <f t="shared" si="28"/>
        <v>GenericE&amp;DtemplateCIandGOA</v>
      </c>
      <c r="B1845">
        <v>1</v>
      </c>
      <c r="C1845">
        <v>24</v>
      </c>
      <c r="D1845" s="649">
        <f ca="1">IF(E1845=4,INDEX(crude_exp_dist,MATCH(B1845,'Crude Exp Dist'!$B$6:$B$78,0),MATCH(C1845,'Crude Exp Dist'!$AD$2:$BC$2,0))*INDEX(crude_exp_by_year,MATCH(B1845,'Data Export'!$B$6:$B$78,0),1),IF(E1845=5,INDEX(ref_exp_dist,MATCH(B1845,'Refined Petro Exp Dist'!$B$6:$B$78,0),MATCH(C1845,'Refined Petro Exp Dist'!$AD$2:$BC$2,0))*INDEX(ref_exp_by_year,MATCH(B1845,'Data Export'!$B$6:$B$78,0),1)))</f>
        <v>0</v>
      </c>
      <c r="E1845">
        <v>5</v>
      </c>
      <c r="F1845" t="s">
        <v>239</v>
      </c>
    </row>
    <row r="1846" spans="1:6">
      <c r="A1846" t="str">
        <f t="shared" si="28"/>
        <v>GenericE&amp;DtemplateCIandGOA</v>
      </c>
      <c r="B1846">
        <v>1</v>
      </c>
      <c r="C1846">
        <v>25</v>
      </c>
      <c r="D1846" s="649">
        <f ca="1">IF(E1846=4,INDEX(crude_exp_dist,MATCH(B1846,'Crude Exp Dist'!$B$6:$B$78,0),MATCH(C1846,'Crude Exp Dist'!$AD$2:$BC$2,0))*INDEX(crude_exp_by_year,MATCH(B1846,'Data Export'!$B$6:$B$78,0),1),IF(E1846=5,INDEX(ref_exp_dist,MATCH(B1846,'Refined Petro Exp Dist'!$B$6:$B$78,0),MATCH(C1846,'Refined Petro Exp Dist'!$AD$2:$BC$2,0))*INDEX(ref_exp_by_year,MATCH(B1846,'Data Export'!$B$6:$B$78,0),1)))</f>
        <v>0</v>
      </c>
      <c r="E1846">
        <v>5</v>
      </c>
      <c r="F1846" t="s">
        <v>242</v>
      </c>
    </row>
    <row r="1847" spans="1:6">
      <c r="A1847" t="str">
        <f t="shared" si="28"/>
        <v>GenericE&amp;DtemplateCIandGOA</v>
      </c>
      <c r="B1847">
        <v>1</v>
      </c>
      <c r="C1847">
        <v>26</v>
      </c>
      <c r="D1847" s="649">
        <f ca="1">IF(E1847=4,INDEX(crude_exp_dist,MATCH(B1847,'Crude Exp Dist'!$B$6:$B$78,0),MATCH(C1847,'Crude Exp Dist'!$AD$2:$BC$2,0))*INDEX(crude_exp_by_year,MATCH(B1847,'Data Export'!$B$6:$B$78,0),1),IF(E1847=5,INDEX(ref_exp_dist,MATCH(B1847,'Refined Petro Exp Dist'!$B$6:$B$78,0),MATCH(C1847,'Refined Petro Exp Dist'!$AD$2:$BC$2,0))*INDEX(ref_exp_by_year,MATCH(B1847,'Data Export'!$B$6:$B$78,0),1)))</f>
        <v>0</v>
      </c>
      <c r="E1847">
        <v>5</v>
      </c>
      <c r="F1847" t="s">
        <v>245</v>
      </c>
    </row>
    <row r="1848" spans="1:6">
      <c r="A1848" t="str">
        <f t="shared" si="28"/>
        <v>GenericE&amp;DtemplateCIandGOA</v>
      </c>
      <c r="B1848">
        <v>2</v>
      </c>
      <c r="C1848">
        <v>1</v>
      </c>
      <c r="D1848" s="649">
        <f ca="1">IF(E1848=4,INDEX(crude_exp_dist,MATCH(B1848,'Crude Exp Dist'!$B$6:$B$78,0),MATCH(C1848,'Crude Exp Dist'!$AD$2:$BC$2,0))*INDEX(crude_exp_by_year,MATCH(B1848,'Data Export'!$B$6:$B$78,0),1),IF(E1848=5,INDEX(ref_exp_dist,MATCH(B1848,'Refined Petro Exp Dist'!$B$6:$B$78,0),MATCH(C1848,'Refined Petro Exp Dist'!$AD$2:$BC$2,0))*INDEX(ref_exp_by_year,MATCH(B1848,'Data Export'!$B$6:$B$78,0),1)))</f>
        <v>0</v>
      </c>
      <c r="E1848">
        <v>5</v>
      </c>
      <c r="F1848" t="s">
        <v>158</v>
      </c>
    </row>
    <row r="1849" spans="1:6">
      <c r="A1849" t="str">
        <f t="shared" si="28"/>
        <v>GenericE&amp;DtemplateCIandGOA</v>
      </c>
      <c r="B1849">
        <v>2</v>
      </c>
      <c r="C1849">
        <v>2</v>
      </c>
      <c r="D1849" s="649">
        <f ca="1">IF(E1849=4,INDEX(crude_exp_dist,MATCH(B1849,'Crude Exp Dist'!$B$6:$B$78,0),MATCH(C1849,'Crude Exp Dist'!$AD$2:$BC$2,0))*INDEX(crude_exp_by_year,MATCH(B1849,'Data Export'!$B$6:$B$78,0),1),IF(E1849=5,INDEX(ref_exp_dist,MATCH(B1849,'Refined Petro Exp Dist'!$B$6:$B$78,0),MATCH(C1849,'Refined Petro Exp Dist'!$AD$2:$BC$2,0))*INDEX(ref_exp_by_year,MATCH(B1849,'Data Export'!$B$6:$B$78,0),1)))</f>
        <v>0</v>
      </c>
      <c r="E1849">
        <v>5</v>
      </c>
      <c r="F1849" t="s">
        <v>166</v>
      </c>
    </row>
    <row r="1850" spans="1:6">
      <c r="A1850" t="str">
        <f t="shared" si="28"/>
        <v>GenericE&amp;DtemplateCIandGOA</v>
      </c>
      <c r="B1850">
        <v>2</v>
      </c>
      <c r="C1850">
        <v>3</v>
      </c>
      <c r="D1850" s="649">
        <f ca="1">IF(E1850=4,INDEX(crude_exp_dist,MATCH(B1850,'Crude Exp Dist'!$B$6:$B$78,0),MATCH(C1850,'Crude Exp Dist'!$AD$2:$BC$2,0))*INDEX(crude_exp_by_year,MATCH(B1850,'Data Export'!$B$6:$B$78,0),1),IF(E1850=5,INDEX(ref_exp_dist,MATCH(B1850,'Refined Petro Exp Dist'!$B$6:$B$78,0),MATCH(C1850,'Refined Petro Exp Dist'!$AD$2:$BC$2,0))*INDEX(ref_exp_by_year,MATCH(B1850,'Data Export'!$B$6:$B$78,0),1)))</f>
        <v>0</v>
      </c>
      <c r="E1850">
        <v>5</v>
      </c>
      <c r="F1850" t="s">
        <v>171</v>
      </c>
    </row>
    <row r="1851" spans="1:6">
      <c r="A1851" t="str">
        <f t="shared" si="28"/>
        <v>GenericE&amp;DtemplateCIandGOA</v>
      </c>
      <c r="B1851">
        <v>2</v>
      </c>
      <c r="C1851">
        <v>4</v>
      </c>
      <c r="D1851" s="649">
        <f ca="1">IF(E1851=4,INDEX(crude_exp_dist,MATCH(B1851,'Crude Exp Dist'!$B$6:$B$78,0),MATCH(C1851,'Crude Exp Dist'!$AD$2:$BC$2,0))*INDEX(crude_exp_by_year,MATCH(B1851,'Data Export'!$B$6:$B$78,0),1),IF(E1851=5,INDEX(ref_exp_dist,MATCH(B1851,'Refined Petro Exp Dist'!$B$6:$B$78,0),MATCH(C1851,'Refined Petro Exp Dist'!$AD$2:$BC$2,0))*INDEX(ref_exp_by_year,MATCH(B1851,'Data Export'!$B$6:$B$78,0),1)))</f>
        <v>0</v>
      </c>
      <c r="E1851">
        <v>5</v>
      </c>
      <c r="F1851" t="s">
        <v>173</v>
      </c>
    </row>
    <row r="1852" spans="1:6">
      <c r="A1852" t="str">
        <f t="shared" si="28"/>
        <v>GenericE&amp;DtemplateCIandGOA</v>
      </c>
      <c r="B1852">
        <v>2</v>
      </c>
      <c r="C1852">
        <v>5</v>
      </c>
      <c r="D1852" s="649">
        <f ca="1">IF(E1852=4,INDEX(crude_exp_dist,MATCH(B1852,'Crude Exp Dist'!$B$6:$B$78,0),MATCH(C1852,'Crude Exp Dist'!$AD$2:$BC$2,0))*INDEX(crude_exp_by_year,MATCH(B1852,'Data Export'!$B$6:$B$78,0),1),IF(E1852=5,INDEX(ref_exp_dist,MATCH(B1852,'Refined Petro Exp Dist'!$B$6:$B$78,0),MATCH(C1852,'Refined Petro Exp Dist'!$AD$2:$BC$2,0))*INDEX(ref_exp_by_year,MATCH(B1852,'Data Export'!$B$6:$B$78,0),1)))</f>
        <v>0</v>
      </c>
      <c r="E1852">
        <v>5</v>
      </c>
      <c r="F1852" t="s">
        <v>180</v>
      </c>
    </row>
    <row r="1853" spans="1:6">
      <c r="A1853" t="str">
        <f t="shared" si="28"/>
        <v>GenericE&amp;DtemplateCIandGOA</v>
      </c>
      <c r="B1853">
        <v>2</v>
      </c>
      <c r="C1853">
        <v>6</v>
      </c>
      <c r="D1853" s="649">
        <f ca="1">IF(E1853=4,INDEX(crude_exp_dist,MATCH(B1853,'Crude Exp Dist'!$B$6:$B$78,0),MATCH(C1853,'Crude Exp Dist'!$AD$2:$BC$2,0))*INDEX(crude_exp_by_year,MATCH(B1853,'Data Export'!$B$6:$B$78,0),1),IF(E1853=5,INDEX(ref_exp_dist,MATCH(B1853,'Refined Petro Exp Dist'!$B$6:$B$78,0),MATCH(C1853,'Refined Petro Exp Dist'!$AD$2:$BC$2,0))*INDEX(ref_exp_by_year,MATCH(B1853,'Data Export'!$B$6:$B$78,0),1)))</f>
        <v>0</v>
      </c>
      <c r="E1853">
        <v>5</v>
      </c>
      <c r="F1853" t="s">
        <v>186</v>
      </c>
    </row>
    <row r="1854" spans="1:6">
      <c r="A1854" t="str">
        <f t="shared" si="28"/>
        <v>GenericE&amp;DtemplateCIandGOA</v>
      </c>
      <c r="B1854">
        <v>2</v>
      </c>
      <c r="C1854">
        <v>7</v>
      </c>
      <c r="D1854" s="649">
        <f ca="1">IF(E1854=4,INDEX(crude_exp_dist,MATCH(B1854,'Crude Exp Dist'!$B$6:$B$78,0),MATCH(C1854,'Crude Exp Dist'!$AD$2:$BC$2,0))*INDEX(crude_exp_by_year,MATCH(B1854,'Data Export'!$B$6:$B$78,0),1),IF(E1854=5,INDEX(ref_exp_dist,MATCH(B1854,'Refined Petro Exp Dist'!$B$6:$B$78,0),MATCH(C1854,'Refined Petro Exp Dist'!$AD$2:$BC$2,0))*INDEX(ref_exp_by_year,MATCH(B1854,'Data Export'!$B$6:$B$78,0),1)))</f>
        <v>0</v>
      </c>
      <c r="E1854">
        <v>5</v>
      </c>
      <c r="F1854" t="s">
        <v>191</v>
      </c>
    </row>
    <row r="1855" spans="1:6">
      <c r="A1855" t="str">
        <f t="shared" si="28"/>
        <v>GenericE&amp;DtemplateCIandGOA</v>
      </c>
      <c r="B1855">
        <v>2</v>
      </c>
      <c r="C1855">
        <v>8</v>
      </c>
      <c r="D1855" s="649">
        <f ca="1">IF(E1855=4,INDEX(crude_exp_dist,MATCH(B1855,'Crude Exp Dist'!$B$6:$B$78,0),MATCH(C1855,'Crude Exp Dist'!$AD$2:$BC$2,0))*INDEX(crude_exp_by_year,MATCH(B1855,'Data Export'!$B$6:$B$78,0),1),IF(E1855=5,INDEX(ref_exp_dist,MATCH(B1855,'Refined Petro Exp Dist'!$B$6:$B$78,0),MATCH(C1855,'Refined Petro Exp Dist'!$AD$2:$BC$2,0))*INDEX(ref_exp_by_year,MATCH(B1855,'Data Export'!$B$6:$B$78,0),1)))</f>
        <v>0</v>
      </c>
      <c r="E1855">
        <v>5</v>
      </c>
      <c r="F1855" t="s">
        <v>197</v>
      </c>
    </row>
    <row r="1856" spans="1:6">
      <c r="A1856" t="str">
        <f t="shared" si="28"/>
        <v>GenericE&amp;DtemplateCIandGOA</v>
      </c>
      <c r="B1856">
        <v>2</v>
      </c>
      <c r="C1856">
        <v>9</v>
      </c>
      <c r="D1856" s="649">
        <f ca="1">IF(E1856=4,INDEX(crude_exp_dist,MATCH(B1856,'Crude Exp Dist'!$B$6:$B$78,0),MATCH(C1856,'Crude Exp Dist'!$AD$2:$BC$2,0))*INDEX(crude_exp_by_year,MATCH(B1856,'Data Export'!$B$6:$B$78,0),1),IF(E1856=5,INDEX(ref_exp_dist,MATCH(B1856,'Refined Petro Exp Dist'!$B$6:$B$78,0),MATCH(C1856,'Refined Petro Exp Dist'!$AD$2:$BC$2,0))*INDEX(ref_exp_by_year,MATCH(B1856,'Data Export'!$B$6:$B$78,0),1)))</f>
        <v>0</v>
      </c>
      <c r="E1856">
        <v>5</v>
      </c>
      <c r="F1856" t="s">
        <v>199</v>
      </c>
    </row>
    <row r="1857" spans="1:6">
      <c r="A1857" t="str">
        <f t="shared" si="28"/>
        <v>GenericE&amp;DtemplateCIandGOA</v>
      </c>
      <c r="B1857">
        <v>2</v>
      </c>
      <c r="C1857">
        <v>10</v>
      </c>
      <c r="D1857" s="649">
        <f ca="1">IF(E1857=4,INDEX(crude_exp_dist,MATCH(B1857,'Crude Exp Dist'!$B$6:$B$78,0),MATCH(C1857,'Crude Exp Dist'!$AD$2:$BC$2,0))*INDEX(crude_exp_by_year,MATCH(B1857,'Data Export'!$B$6:$B$78,0),1),IF(E1857=5,INDEX(ref_exp_dist,MATCH(B1857,'Refined Petro Exp Dist'!$B$6:$B$78,0),MATCH(C1857,'Refined Petro Exp Dist'!$AD$2:$BC$2,0))*INDEX(ref_exp_by_year,MATCH(B1857,'Data Export'!$B$6:$B$78,0),1)))</f>
        <v>0</v>
      </c>
      <c r="E1857">
        <v>5</v>
      </c>
      <c r="F1857" t="s">
        <v>201</v>
      </c>
    </row>
    <row r="1858" spans="1:6">
      <c r="A1858" t="str">
        <f t="shared" ref="A1858:A1921" si="29">scenario_name</f>
        <v>GenericE&amp;DtemplateCIandGOA</v>
      </c>
      <c r="B1858">
        <v>2</v>
      </c>
      <c r="C1858">
        <v>11</v>
      </c>
      <c r="D1858" s="649">
        <f ca="1">IF(E1858=4,INDEX(crude_exp_dist,MATCH(B1858,'Crude Exp Dist'!$B$6:$B$78,0),MATCH(C1858,'Crude Exp Dist'!$AD$2:$BC$2,0))*INDEX(crude_exp_by_year,MATCH(B1858,'Data Export'!$B$6:$B$78,0),1),IF(E1858=5,INDEX(ref_exp_dist,MATCH(B1858,'Refined Petro Exp Dist'!$B$6:$B$78,0),MATCH(C1858,'Refined Petro Exp Dist'!$AD$2:$BC$2,0))*INDEX(ref_exp_by_year,MATCH(B1858,'Data Export'!$B$6:$B$78,0),1)))</f>
        <v>0</v>
      </c>
      <c r="E1858">
        <v>5</v>
      </c>
      <c r="F1858" t="s">
        <v>921</v>
      </c>
    </row>
    <row r="1859" spans="1:6">
      <c r="A1859" t="str">
        <f t="shared" si="29"/>
        <v>GenericE&amp;DtemplateCIandGOA</v>
      </c>
      <c r="B1859">
        <v>2</v>
      </c>
      <c r="C1859">
        <v>12</v>
      </c>
      <c r="D1859" s="649">
        <f ca="1">IF(E1859=4,INDEX(crude_exp_dist,MATCH(B1859,'Crude Exp Dist'!$B$6:$B$78,0),MATCH(C1859,'Crude Exp Dist'!$AD$2:$BC$2,0))*INDEX(crude_exp_by_year,MATCH(B1859,'Data Export'!$B$6:$B$78,0),1),IF(E1859=5,INDEX(ref_exp_dist,MATCH(B1859,'Refined Petro Exp Dist'!$B$6:$B$78,0),MATCH(C1859,'Refined Petro Exp Dist'!$AD$2:$BC$2,0))*INDEX(ref_exp_by_year,MATCH(B1859,'Data Export'!$B$6:$B$78,0),1)))</f>
        <v>0</v>
      </c>
      <c r="E1859">
        <v>5</v>
      </c>
      <c r="F1859" t="s">
        <v>208</v>
      </c>
    </row>
    <row r="1860" spans="1:6">
      <c r="A1860" t="str">
        <f t="shared" si="29"/>
        <v>GenericE&amp;DtemplateCIandGOA</v>
      </c>
      <c r="B1860">
        <v>2</v>
      </c>
      <c r="C1860">
        <v>13</v>
      </c>
      <c r="D1860" s="649">
        <f ca="1">IF(E1860=4,INDEX(crude_exp_dist,MATCH(B1860,'Crude Exp Dist'!$B$6:$B$78,0),MATCH(C1860,'Crude Exp Dist'!$AD$2:$BC$2,0))*INDEX(crude_exp_by_year,MATCH(B1860,'Data Export'!$B$6:$B$78,0),1),IF(E1860=5,INDEX(ref_exp_dist,MATCH(B1860,'Refined Petro Exp Dist'!$B$6:$B$78,0),MATCH(C1860,'Refined Petro Exp Dist'!$AD$2:$BC$2,0))*INDEX(ref_exp_by_year,MATCH(B1860,'Data Export'!$B$6:$B$78,0),1)))</f>
        <v>0</v>
      </c>
      <c r="E1860">
        <v>5</v>
      </c>
      <c r="F1860" t="s">
        <v>211</v>
      </c>
    </row>
    <row r="1861" spans="1:6">
      <c r="A1861" t="str">
        <f t="shared" si="29"/>
        <v>GenericE&amp;DtemplateCIandGOA</v>
      </c>
      <c r="B1861">
        <v>2</v>
      </c>
      <c r="C1861">
        <v>14</v>
      </c>
      <c r="D1861" s="649">
        <f ca="1">IF(E1861=4,INDEX(crude_exp_dist,MATCH(B1861,'Crude Exp Dist'!$B$6:$B$78,0),MATCH(C1861,'Crude Exp Dist'!$AD$2:$BC$2,0))*INDEX(crude_exp_by_year,MATCH(B1861,'Data Export'!$B$6:$B$78,0),1),IF(E1861=5,INDEX(ref_exp_dist,MATCH(B1861,'Refined Petro Exp Dist'!$B$6:$B$78,0),MATCH(C1861,'Refined Petro Exp Dist'!$AD$2:$BC$2,0))*INDEX(ref_exp_by_year,MATCH(B1861,'Data Export'!$B$6:$B$78,0),1)))</f>
        <v>0</v>
      </c>
      <c r="E1861">
        <v>5</v>
      </c>
      <c r="F1861" t="s">
        <v>213</v>
      </c>
    </row>
    <row r="1862" spans="1:6">
      <c r="A1862" t="str">
        <f t="shared" si="29"/>
        <v>GenericE&amp;DtemplateCIandGOA</v>
      </c>
      <c r="B1862">
        <v>2</v>
      </c>
      <c r="C1862">
        <v>15</v>
      </c>
      <c r="D1862" s="649">
        <f ca="1">IF(E1862=4,INDEX(crude_exp_dist,MATCH(B1862,'Crude Exp Dist'!$B$6:$B$78,0),MATCH(C1862,'Crude Exp Dist'!$AD$2:$BC$2,0))*INDEX(crude_exp_by_year,MATCH(B1862,'Data Export'!$B$6:$B$78,0),1),IF(E1862=5,INDEX(ref_exp_dist,MATCH(B1862,'Refined Petro Exp Dist'!$B$6:$B$78,0),MATCH(C1862,'Refined Petro Exp Dist'!$AD$2:$BC$2,0))*INDEX(ref_exp_by_year,MATCH(B1862,'Data Export'!$B$6:$B$78,0),1)))</f>
        <v>0</v>
      </c>
      <c r="E1862">
        <v>5</v>
      </c>
      <c r="F1862" t="s">
        <v>215</v>
      </c>
    </row>
    <row r="1863" spans="1:6">
      <c r="A1863" t="str">
        <f t="shared" si="29"/>
        <v>GenericE&amp;DtemplateCIandGOA</v>
      </c>
      <c r="B1863">
        <v>2</v>
      </c>
      <c r="C1863">
        <v>16</v>
      </c>
      <c r="D1863" s="649">
        <f ca="1">IF(E1863=4,INDEX(crude_exp_dist,MATCH(B1863,'Crude Exp Dist'!$B$6:$B$78,0),MATCH(C1863,'Crude Exp Dist'!$AD$2:$BC$2,0))*INDEX(crude_exp_by_year,MATCH(B1863,'Data Export'!$B$6:$B$78,0),1),IF(E1863=5,INDEX(ref_exp_dist,MATCH(B1863,'Refined Petro Exp Dist'!$B$6:$B$78,0),MATCH(C1863,'Refined Petro Exp Dist'!$AD$2:$BC$2,0))*INDEX(ref_exp_by_year,MATCH(B1863,'Data Export'!$B$6:$B$78,0),1)))</f>
        <v>0</v>
      </c>
      <c r="E1863">
        <v>5</v>
      </c>
      <c r="F1863" t="s">
        <v>219</v>
      </c>
    </row>
    <row r="1864" spans="1:6">
      <c r="A1864" t="str">
        <f t="shared" si="29"/>
        <v>GenericE&amp;DtemplateCIandGOA</v>
      </c>
      <c r="B1864">
        <v>2</v>
      </c>
      <c r="C1864">
        <v>17</v>
      </c>
      <c r="D1864" s="649">
        <f ca="1">IF(E1864=4,INDEX(crude_exp_dist,MATCH(B1864,'Crude Exp Dist'!$B$6:$B$78,0),MATCH(C1864,'Crude Exp Dist'!$AD$2:$BC$2,0))*INDEX(crude_exp_by_year,MATCH(B1864,'Data Export'!$B$6:$B$78,0),1),IF(E1864=5,INDEX(ref_exp_dist,MATCH(B1864,'Refined Petro Exp Dist'!$B$6:$B$78,0),MATCH(C1864,'Refined Petro Exp Dist'!$AD$2:$BC$2,0))*INDEX(ref_exp_by_year,MATCH(B1864,'Data Export'!$B$6:$B$78,0),1)))</f>
        <v>0</v>
      </c>
      <c r="E1864">
        <v>5</v>
      </c>
      <c r="F1864" t="s">
        <v>222</v>
      </c>
    </row>
    <row r="1865" spans="1:6">
      <c r="A1865" t="str">
        <f t="shared" si="29"/>
        <v>GenericE&amp;DtemplateCIandGOA</v>
      </c>
      <c r="B1865">
        <v>2</v>
      </c>
      <c r="C1865">
        <v>18</v>
      </c>
      <c r="D1865" s="649">
        <f ca="1">IF(E1865=4,INDEX(crude_exp_dist,MATCH(B1865,'Crude Exp Dist'!$B$6:$B$78,0),MATCH(C1865,'Crude Exp Dist'!$AD$2:$BC$2,0))*INDEX(crude_exp_by_year,MATCH(B1865,'Data Export'!$B$6:$B$78,0),1),IF(E1865=5,INDEX(ref_exp_dist,MATCH(B1865,'Refined Petro Exp Dist'!$B$6:$B$78,0),MATCH(C1865,'Refined Petro Exp Dist'!$AD$2:$BC$2,0))*INDEX(ref_exp_by_year,MATCH(B1865,'Data Export'!$B$6:$B$78,0),1)))</f>
        <v>0</v>
      </c>
      <c r="E1865">
        <v>5</v>
      </c>
      <c r="F1865" t="s">
        <v>224</v>
      </c>
    </row>
    <row r="1866" spans="1:6">
      <c r="A1866" t="str">
        <f t="shared" si="29"/>
        <v>GenericE&amp;DtemplateCIandGOA</v>
      </c>
      <c r="B1866">
        <v>2</v>
      </c>
      <c r="C1866">
        <v>19</v>
      </c>
      <c r="D1866" s="649">
        <f ca="1">IF(E1866=4,INDEX(crude_exp_dist,MATCH(B1866,'Crude Exp Dist'!$B$6:$B$78,0),MATCH(C1866,'Crude Exp Dist'!$AD$2:$BC$2,0))*INDEX(crude_exp_by_year,MATCH(B1866,'Data Export'!$B$6:$B$78,0),1),IF(E1866=5,INDEX(ref_exp_dist,MATCH(B1866,'Refined Petro Exp Dist'!$B$6:$B$78,0),MATCH(C1866,'Refined Petro Exp Dist'!$AD$2:$BC$2,0))*INDEX(ref_exp_by_year,MATCH(B1866,'Data Export'!$B$6:$B$78,0),1)))</f>
        <v>0</v>
      </c>
      <c r="E1866">
        <v>5</v>
      </c>
      <c r="F1866" t="s">
        <v>228</v>
      </c>
    </row>
    <row r="1867" spans="1:6">
      <c r="A1867" t="str">
        <f t="shared" si="29"/>
        <v>GenericE&amp;DtemplateCIandGOA</v>
      </c>
      <c r="B1867">
        <v>2</v>
      </c>
      <c r="C1867">
        <v>20</v>
      </c>
      <c r="D1867" s="649">
        <f ca="1">IF(E1867=4,INDEX(crude_exp_dist,MATCH(B1867,'Crude Exp Dist'!$B$6:$B$78,0),MATCH(C1867,'Crude Exp Dist'!$AD$2:$BC$2,0))*INDEX(crude_exp_by_year,MATCH(B1867,'Data Export'!$B$6:$B$78,0),1),IF(E1867=5,INDEX(ref_exp_dist,MATCH(B1867,'Refined Petro Exp Dist'!$B$6:$B$78,0),MATCH(C1867,'Refined Petro Exp Dist'!$AD$2:$BC$2,0))*INDEX(ref_exp_by_year,MATCH(B1867,'Data Export'!$B$6:$B$78,0),1)))</f>
        <v>0</v>
      </c>
      <c r="E1867">
        <v>5</v>
      </c>
      <c r="F1867" t="s">
        <v>231</v>
      </c>
    </row>
    <row r="1868" spans="1:6">
      <c r="A1868" t="str">
        <f t="shared" si="29"/>
        <v>GenericE&amp;DtemplateCIandGOA</v>
      </c>
      <c r="B1868">
        <v>2</v>
      </c>
      <c r="C1868">
        <v>21</v>
      </c>
      <c r="D1868" s="649">
        <f ca="1">IF(E1868=4,INDEX(crude_exp_dist,MATCH(B1868,'Crude Exp Dist'!$B$6:$B$78,0),MATCH(C1868,'Crude Exp Dist'!$AD$2:$BC$2,0))*INDEX(crude_exp_by_year,MATCH(B1868,'Data Export'!$B$6:$B$78,0),1),IF(E1868=5,INDEX(ref_exp_dist,MATCH(B1868,'Refined Petro Exp Dist'!$B$6:$B$78,0),MATCH(C1868,'Refined Petro Exp Dist'!$AD$2:$BC$2,0))*INDEX(ref_exp_by_year,MATCH(B1868,'Data Export'!$B$6:$B$78,0),1)))</f>
        <v>0</v>
      </c>
      <c r="E1868">
        <v>5</v>
      </c>
      <c r="F1868" t="s">
        <v>232</v>
      </c>
    </row>
    <row r="1869" spans="1:6">
      <c r="A1869" t="str">
        <f t="shared" si="29"/>
        <v>GenericE&amp;DtemplateCIandGOA</v>
      </c>
      <c r="B1869">
        <v>2</v>
      </c>
      <c r="C1869">
        <v>22</v>
      </c>
      <c r="D1869" s="649">
        <f ca="1">IF(E1869=4,INDEX(crude_exp_dist,MATCH(B1869,'Crude Exp Dist'!$B$6:$B$78,0),MATCH(C1869,'Crude Exp Dist'!$AD$2:$BC$2,0))*INDEX(crude_exp_by_year,MATCH(B1869,'Data Export'!$B$6:$B$78,0),1),IF(E1869=5,INDEX(ref_exp_dist,MATCH(B1869,'Refined Petro Exp Dist'!$B$6:$B$78,0),MATCH(C1869,'Refined Petro Exp Dist'!$AD$2:$BC$2,0))*INDEX(ref_exp_by_year,MATCH(B1869,'Data Export'!$B$6:$B$78,0),1)))</f>
        <v>0</v>
      </c>
      <c r="E1869">
        <v>5</v>
      </c>
      <c r="F1869" t="s">
        <v>235</v>
      </c>
    </row>
    <row r="1870" spans="1:6">
      <c r="A1870" t="str">
        <f t="shared" si="29"/>
        <v>GenericE&amp;DtemplateCIandGOA</v>
      </c>
      <c r="B1870">
        <v>2</v>
      </c>
      <c r="C1870">
        <v>23</v>
      </c>
      <c r="D1870" s="649">
        <f ca="1">IF(E1870=4,INDEX(crude_exp_dist,MATCH(B1870,'Crude Exp Dist'!$B$6:$B$78,0),MATCH(C1870,'Crude Exp Dist'!$AD$2:$BC$2,0))*INDEX(crude_exp_by_year,MATCH(B1870,'Data Export'!$B$6:$B$78,0),1),IF(E1870=5,INDEX(ref_exp_dist,MATCH(B1870,'Refined Petro Exp Dist'!$B$6:$B$78,0),MATCH(C1870,'Refined Petro Exp Dist'!$AD$2:$BC$2,0))*INDEX(ref_exp_by_year,MATCH(B1870,'Data Export'!$B$6:$B$78,0),1)))</f>
        <v>0</v>
      </c>
      <c r="E1870">
        <v>5</v>
      </c>
      <c r="F1870" t="s">
        <v>237</v>
      </c>
    </row>
    <row r="1871" spans="1:6">
      <c r="A1871" t="str">
        <f t="shared" si="29"/>
        <v>GenericE&amp;DtemplateCIandGOA</v>
      </c>
      <c r="B1871">
        <v>2</v>
      </c>
      <c r="C1871">
        <v>24</v>
      </c>
      <c r="D1871" s="649">
        <f ca="1">IF(E1871=4,INDEX(crude_exp_dist,MATCH(B1871,'Crude Exp Dist'!$B$6:$B$78,0),MATCH(C1871,'Crude Exp Dist'!$AD$2:$BC$2,0))*INDEX(crude_exp_by_year,MATCH(B1871,'Data Export'!$B$6:$B$78,0),1),IF(E1871=5,INDEX(ref_exp_dist,MATCH(B1871,'Refined Petro Exp Dist'!$B$6:$B$78,0),MATCH(C1871,'Refined Petro Exp Dist'!$AD$2:$BC$2,0))*INDEX(ref_exp_by_year,MATCH(B1871,'Data Export'!$B$6:$B$78,0),1)))</f>
        <v>0</v>
      </c>
      <c r="E1871">
        <v>5</v>
      </c>
      <c r="F1871" t="s">
        <v>239</v>
      </c>
    </row>
    <row r="1872" spans="1:6">
      <c r="A1872" t="str">
        <f t="shared" si="29"/>
        <v>GenericE&amp;DtemplateCIandGOA</v>
      </c>
      <c r="B1872">
        <v>2</v>
      </c>
      <c r="C1872">
        <v>25</v>
      </c>
      <c r="D1872" s="649">
        <f ca="1">IF(E1872=4,INDEX(crude_exp_dist,MATCH(B1872,'Crude Exp Dist'!$B$6:$B$78,0),MATCH(C1872,'Crude Exp Dist'!$AD$2:$BC$2,0))*INDEX(crude_exp_by_year,MATCH(B1872,'Data Export'!$B$6:$B$78,0),1),IF(E1872=5,INDEX(ref_exp_dist,MATCH(B1872,'Refined Petro Exp Dist'!$B$6:$B$78,0),MATCH(C1872,'Refined Petro Exp Dist'!$AD$2:$BC$2,0))*INDEX(ref_exp_by_year,MATCH(B1872,'Data Export'!$B$6:$B$78,0),1)))</f>
        <v>0</v>
      </c>
      <c r="E1872">
        <v>5</v>
      </c>
      <c r="F1872" t="s">
        <v>242</v>
      </c>
    </row>
    <row r="1873" spans="1:6">
      <c r="A1873" t="str">
        <f t="shared" si="29"/>
        <v>GenericE&amp;DtemplateCIandGOA</v>
      </c>
      <c r="B1873">
        <v>2</v>
      </c>
      <c r="C1873">
        <v>26</v>
      </c>
      <c r="D1873" s="649">
        <f ca="1">IF(E1873=4,INDEX(crude_exp_dist,MATCH(B1873,'Crude Exp Dist'!$B$6:$B$78,0),MATCH(C1873,'Crude Exp Dist'!$AD$2:$BC$2,0))*INDEX(crude_exp_by_year,MATCH(B1873,'Data Export'!$B$6:$B$78,0),1),IF(E1873=5,INDEX(ref_exp_dist,MATCH(B1873,'Refined Petro Exp Dist'!$B$6:$B$78,0),MATCH(C1873,'Refined Petro Exp Dist'!$AD$2:$BC$2,0))*INDEX(ref_exp_by_year,MATCH(B1873,'Data Export'!$B$6:$B$78,0),1)))</f>
        <v>0</v>
      </c>
      <c r="E1873">
        <v>5</v>
      </c>
      <c r="F1873" t="s">
        <v>245</v>
      </c>
    </row>
    <row r="1874" spans="1:6">
      <c r="A1874" t="str">
        <f t="shared" si="29"/>
        <v>GenericE&amp;DtemplateCIandGOA</v>
      </c>
      <c r="B1874">
        <v>3</v>
      </c>
      <c r="C1874">
        <v>1</v>
      </c>
      <c r="D1874" s="649">
        <f ca="1">IF(E1874=4,INDEX(crude_exp_dist,MATCH(B1874,'Crude Exp Dist'!$B$6:$B$78,0),MATCH(C1874,'Crude Exp Dist'!$AD$2:$BC$2,0))*INDEX(crude_exp_by_year,MATCH(B1874,'Data Export'!$B$6:$B$78,0),1),IF(E1874=5,INDEX(ref_exp_dist,MATCH(B1874,'Refined Petro Exp Dist'!$B$6:$B$78,0),MATCH(C1874,'Refined Petro Exp Dist'!$AD$2:$BC$2,0))*INDEX(ref_exp_by_year,MATCH(B1874,'Data Export'!$B$6:$B$78,0),1)))</f>
        <v>0</v>
      </c>
      <c r="E1874">
        <v>5</v>
      </c>
      <c r="F1874" t="s">
        <v>158</v>
      </c>
    </row>
    <row r="1875" spans="1:6">
      <c r="A1875" t="str">
        <f t="shared" si="29"/>
        <v>GenericE&amp;DtemplateCIandGOA</v>
      </c>
      <c r="B1875">
        <v>3</v>
      </c>
      <c r="C1875">
        <v>2</v>
      </c>
      <c r="D1875" s="649">
        <f ca="1">IF(E1875=4,INDEX(crude_exp_dist,MATCH(B1875,'Crude Exp Dist'!$B$6:$B$78,0),MATCH(C1875,'Crude Exp Dist'!$AD$2:$BC$2,0))*INDEX(crude_exp_by_year,MATCH(B1875,'Data Export'!$B$6:$B$78,0),1),IF(E1875=5,INDEX(ref_exp_dist,MATCH(B1875,'Refined Petro Exp Dist'!$B$6:$B$78,0),MATCH(C1875,'Refined Petro Exp Dist'!$AD$2:$BC$2,0))*INDEX(ref_exp_by_year,MATCH(B1875,'Data Export'!$B$6:$B$78,0),1)))</f>
        <v>0</v>
      </c>
      <c r="E1875">
        <v>5</v>
      </c>
      <c r="F1875" t="s">
        <v>166</v>
      </c>
    </row>
    <row r="1876" spans="1:6">
      <c r="A1876" t="str">
        <f t="shared" si="29"/>
        <v>GenericE&amp;DtemplateCIandGOA</v>
      </c>
      <c r="B1876">
        <v>3</v>
      </c>
      <c r="C1876">
        <v>3</v>
      </c>
      <c r="D1876" s="649">
        <f ca="1">IF(E1876=4,INDEX(crude_exp_dist,MATCH(B1876,'Crude Exp Dist'!$B$6:$B$78,0),MATCH(C1876,'Crude Exp Dist'!$AD$2:$BC$2,0))*INDEX(crude_exp_by_year,MATCH(B1876,'Data Export'!$B$6:$B$78,0),1),IF(E1876=5,INDEX(ref_exp_dist,MATCH(B1876,'Refined Petro Exp Dist'!$B$6:$B$78,0),MATCH(C1876,'Refined Petro Exp Dist'!$AD$2:$BC$2,0))*INDEX(ref_exp_by_year,MATCH(B1876,'Data Export'!$B$6:$B$78,0),1)))</f>
        <v>0</v>
      </c>
      <c r="E1876">
        <v>5</v>
      </c>
      <c r="F1876" t="s">
        <v>171</v>
      </c>
    </row>
    <row r="1877" spans="1:6">
      <c r="A1877" t="str">
        <f t="shared" si="29"/>
        <v>GenericE&amp;DtemplateCIandGOA</v>
      </c>
      <c r="B1877">
        <v>3</v>
      </c>
      <c r="C1877">
        <v>4</v>
      </c>
      <c r="D1877" s="649">
        <f ca="1">IF(E1877=4,INDEX(crude_exp_dist,MATCH(B1877,'Crude Exp Dist'!$B$6:$B$78,0),MATCH(C1877,'Crude Exp Dist'!$AD$2:$BC$2,0))*INDEX(crude_exp_by_year,MATCH(B1877,'Data Export'!$B$6:$B$78,0),1),IF(E1877=5,INDEX(ref_exp_dist,MATCH(B1877,'Refined Petro Exp Dist'!$B$6:$B$78,0),MATCH(C1877,'Refined Petro Exp Dist'!$AD$2:$BC$2,0))*INDEX(ref_exp_by_year,MATCH(B1877,'Data Export'!$B$6:$B$78,0),1)))</f>
        <v>0</v>
      </c>
      <c r="E1877">
        <v>5</v>
      </c>
      <c r="F1877" t="s">
        <v>173</v>
      </c>
    </row>
    <row r="1878" spans="1:6">
      <c r="A1878" t="str">
        <f t="shared" si="29"/>
        <v>GenericE&amp;DtemplateCIandGOA</v>
      </c>
      <c r="B1878">
        <v>3</v>
      </c>
      <c r="C1878">
        <v>5</v>
      </c>
      <c r="D1878" s="649">
        <f ca="1">IF(E1878=4,INDEX(crude_exp_dist,MATCH(B1878,'Crude Exp Dist'!$B$6:$B$78,0),MATCH(C1878,'Crude Exp Dist'!$AD$2:$BC$2,0))*INDEX(crude_exp_by_year,MATCH(B1878,'Data Export'!$B$6:$B$78,0),1),IF(E1878=5,INDEX(ref_exp_dist,MATCH(B1878,'Refined Petro Exp Dist'!$B$6:$B$78,0),MATCH(C1878,'Refined Petro Exp Dist'!$AD$2:$BC$2,0))*INDEX(ref_exp_by_year,MATCH(B1878,'Data Export'!$B$6:$B$78,0),1)))</f>
        <v>0</v>
      </c>
      <c r="E1878">
        <v>5</v>
      </c>
      <c r="F1878" t="s">
        <v>180</v>
      </c>
    </row>
    <row r="1879" spans="1:6">
      <c r="A1879" t="str">
        <f t="shared" si="29"/>
        <v>GenericE&amp;DtemplateCIandGOA</v>
      </c>
      <c r="B1879">
        <v>3</v>
      </c>
      <c r="C1879">
        <v>6</v>
      </c>
      <c r="D1879" s="649">
        <f ca="1">IF(E1879=4,INDEX(crude_exp_dist,MATCH(B1879,'Crude Exp Dist'!$B$6:$B$78,0),MATCH(C1879,'Crude Exp Dist'!$AD$2:$BC$2,0))*INDEX(crude_exp_by_year,MATCH(B1879,'Data Export'!$B$6:$B$78,0),1),IF(E1879=5,INDEX(ref_exp_dist,MATCH(B1879,'Refined Petro Exp Dist'!$B$6:$B$78,0),MATCH(C1879,'Refined Petro Exp Dist'!$AD$2:$BC$2,0))*INDEX(ref_exp_by_year,MATCH(B1879,'Data Export'!$B$6:$B$78,0),1)))</f>
        <v>0</v>
      </c>
      <c r="E1879">
        <v>5</v>
      </c>
      <c r="F1879" t="s">
        <v>186</v>
      </c>
    </row>
    <row r="1880" spans="1:6">
      <c r="A1880" t="str">
        <f t="shared" si="29"/>
        <v>GenericE&amp;DtemplateCIandGOA</v>
      </c>
      <c r="B1880">
        <v>3</v>
      </c>
      <c r="C1880">
        <v>7</v>
      </c>
      <c r="D1880" s="649">
        <f ca="1">IF(E1880=4,INDEX(crude_exp_dist,MATCH(B1880,'Crude Exp Dist'!$B$6:$B$78,0),MATCH(C1880,'Crude Exp Dist'!$AD$2:$BC$2,0))*INDEX(crude_exp_by_year,MATCH(B1880,'Data Export'!$B$6:$B$78,0),1),IF(E1880=5,INDEX(ref_exp_dist,MATCH(B1880,'Refined Petro Exp Dist'!$B$6:$B$78,0),MATCH(C1880,'Refined Petro Exp Dist'!$AD$2:$BC$2,0))*INDEX(ref_exp_by_year,MATCH(B1880,'Data Export'!$B$6:$B$78,0),1)))</f>
        <v>0</v>
      </c>
      <c r="E1880">
        <v>5</v>
      </c>
      <c r="F1880" t="s">
        <v>191</v>
      </c>
    </row>
    <row r="1881" spans="1:6">
      <c r="A1881" t="str">
        <f t="shared" si="29"/>
        <v>GenericE&amp;DtemplateCIandGOA</v>
      </c>
      <c r="B1881">
        <v>3</v>
      </c>
      <c r="C1881">
        <v>8</v>
      </c>
      <c r="D1881" s="649">
        <f ca="1">IF(E1881=4,INDEX(crude_exp_dist,MATCH(B1881,'Crude Exp Dist'!$B$6:$B$78,0),MATCH(C1881,'Crude Exp Dist'!$AD$2:$BC$2,0))*INDEX(crude_exp_by_year,MATCH(B1881,'Data Export'!$B$6:$B$78,0),1),IF(E1881=5,INDEX(ref_exp_dist,MATCH(B1881,'Refined Petro Exp Dist'!$B$6:$B$78,0),MATCH(C1881,'Refined Petro Exp Dist'!$AD$2:$BC$2,0))*INDEX(ref_exp_by_year,MATCH(B1881,'Data Export'!$B$6:$B$78,0),1)))</f>
        <v>0</v>
      </c>
      <c r="E1881">
        <v>5</v>
      </c>
      <c r="F1881" t="s">
        <v>197</v>
      </c>
    </row>
    <row r="1882" spans="1:6">
      <c r="A1882" t="str">
        <f t="shared" si="29"/>
        <v>GenericE&amp;DtemplateCIandGOA</v>
      </c>
      <c r="B1882">
        <v>3</v>
      </c>
      <c r="C1882">
        <v>9</v>
      </c>
      <c r="D1882" s="649">
        <f ca="1">IF(E1882=4,INDEX(crude_exp_dist,MATCH(B1882,'Crude Exp Dist'!$B$6:$B$78,0),MATCH(C1882,'Crude Exp Dist'!$AD$2:$BC$2,0))*INDEX(crude_exp_by_year,MATCH(B1882,'Data Export'!$B$6:$B$78,0),1),IF(E1882=5,INDEX(ref_exp_dist,MATCH(B1882,'Refined Petro Exp Dist'!$B$6:$B$78,0),MATCH(C1882,'Refined Petro Exp Dist'!$AD$2:$BC$2,0))*INDEX(ref_exp_by_year,MATCH(B1882,'Data Export'!$B$6:$B$78,0),1)))</f>
        <v>0</v>
      </c>
      <c r="E1882">
        <v>5</v>
      </c>
      <c r="F1882" t="s">
        <v>199</v>
      </c>
    </row>
    <row r="1883" spans="1:6">
      <c r="A1883" t="str">
        <f t="shared" si="29"/>
        <v>GenericE&amp;DtemplateCIandGOA</v>
      </c>
      <c r="B1883">
        <v>3</v>
      </c>
      <c r="C1883">
        <v>10</v>
      </c>
      <c r="D1883" s="649">
        <f ca="1">IF(E1883=4,INDEX(crude_exp_dist,MATCH(B1883,'Crude Exp Dist'!$B$6:$B$78,0),MATCH(C1883,'Crude Exp Dist'!$AD$2:$BC$2,0))*INDEX(crude_exp_by_year,MATCH(B1883,'Data Export'!$B$6:$B$78,0),1),IF(E1883=5,INDEX(ref_exp_dist,MATCH(B1883,'Refined Petro Exp Dist'!$B$6:$B$78,0),MATCH(C1883,'Refined Petro Exp Dist'!$AD$2:$BC$2,0))*INDEX(ref_exp_by_year,MATCH(B1883,'Data Export'!$B$6:$B$78,0),1)))</f>
        <v>0</v>
      </c>
      <c r="E1883">
        <v>5</v>
      </c>
      <c r="F1883" t="s">
        <v>201</v>
      </c>
    </row>
    <row r="1884" spans="1:6">
      <c r="A1884" t="str">
        <f t="shared" si="29"/>
        <v>GenericE&amp;DtemplateCIandGOA</v>
      </c>
      <c r="B1884">
        <v>3</v>
      </c>
      <c r="C1884">
        <v>11</v>
      </c>
      <c r="D1884" s="649">
        <f ca="1">IF(E1884=4,INDEX(crude_exp_dist,MATCH(B1884,'Crude Exp Dist'!$B$6:$B$78,0),MATCH(C1884,'Crude Exp Dist'!$AD$2:$BC$2,0))*INDEX(crude_exp_by_year,MATCH(B1884,'Data Export'!$B$6:$B$78,0),1),IF(E1884=5,INDEX(ref_exp_dist,MATCH(B1884,'Refined Petro Exp Dist'!$B$6:$B$78,0),MATCH(C1884,'Refined Petro Exp Dist'!$AD$2:$BC$2,0))*INDEX(ref_exp_by_year,MATCH(B1884,'Data Export'!$B$6:$B$78,0),1)))</f>
        <v>0</v>
      </c>
      <c r="E1884">
        <v>5</v>
      </c>
      <c r="F1884" t="s">
        <v>921</v>
      </c>
    </row>
    <row r="1885" spans="1:6">
      <c r="A1885" t="str">
        <f t="shared" si="29"/>
        <v>GenericE&amp;DtemplateCIandGOA</v>
      </c>
      <c r="B1885">
        <v>3</v>
      </c>
      <c r="C1885">
        <v>12</v>
      </c>
      <c r="D1885" s="649">
        <f ca="1">IF(E1885=4,INDEX(crude_exp_dist,MATCH(B1885,'Crude Exp Dist'!$B$6:$B$78,0),MATCH(C1885,'Crude Exp Dist'!$AD$2:$BC$2,0))*INDEX(crude_exp_by_year,MATCH(B1885,'Data Export'!$B$6:$B$78,0),1),IF(E1885=5,INDEX(ref_exp_dist,MATCH(B1885,'Refined Petro Exp Dist'!$B$6:$B$78,0),MATCH(C1885,'Refined Petro Exp Dist'!$AD$2:$BC$2,0))*INDEX(ref_exp_by_year,MATCH(B1885,'Data Export'!$B$6:$B$78,0),1)))</f>
        <v>0</v>
      </c>
      <c r="E1885">
        <v>5</v>
      </c>
      <c r="F1885" t="s">
        <v>208</v>
      </c>
    </row>
    <row r="1886" spans="1:6">
      <c r="A1886" t="str">
        <f t="shared" si="29"/>
        <v>GenericE&amp;DtemplateCIandGOA</v>
      </c>
      <c r="B1886">
        <v>3</v>
      </c>
      <c r="C1886">
        <v>13</v>
      </c>
      <c r="D1886" s="649">
        <f ca="1">IF(E1886=4,INDEX(crude_exp_dist,MATCH(B1886,'Crude Exp Dist'!$B$6:$B$78,0),MATCH(C1886,'Crude Exp Dist'!$AD$2:$BC$2,0))*INDEX(crude_exp_by_year,MATCH(B1886,'Data Export'!$B$6:$B$78,0),1),IF(E1886=5,INDEX(ref_exp_dist,MATCH(B1886,'Refined Petro Exp Dist'!$B$6:$B$78,0),MATCH(C1886,'Refined Petro Exp Dist'!$AD$2:$BC$2,0))*INDEX(ref_exp_by_year,MATCH(B1886,'Data Export'!$B$6:$B$78,0),1)))</f>
        <v>0</v>
      </c>
      <c r="E1886">
        <v>5</v>
      </c>
      <c r="F1886" t="s">
        <v>211</v>
      </c>
    </row>
    <row r="1887" spans="1:6">
      <c r="A1887" t="str">
        <f t="shared" si="29"/>
        <v>GenericE&amp;DtemplateCIandGOA</v>
      </c>
      <c r="B1887">
        <v>3</v>
      </c>
      <c r="C1887">
        <v>14</v>
      </c>
      <c r="D1887" s="649">
        <f ca="1">IF(E1887=4,INDEX(crude_exp_dist,MATCH(B1887,'Crude Exp Dist'!$B$6:$B$78,0),MATCH(C1887,'Crude Exp Dist'!$AD$2:$BC$2,0))*INDEX(crude_exp_by_year,MATCH(B1887,'Data Export'!$B$6:$B$78,0),1),IF(E1887=5,INDEX(ref_exp_dist,MATCH(B1887,'Refined Petro Exp Dist'!$B$6:$B$78,0),MATCH(C1887,'Refined Petro Exp Dist'!$AD$2:$BC$2,0))*INDEX(ref_exp_by_year,MATCH(B1887,'Data Export'!$B$6:$B$78,0),1)))</f>
        <v>0</v>
      </c>
      <c r="E1887">
        <v>5</v>
      </c>
      <c r="F1887" t="s">
        <v>213</v>
      </c>
    </row>
    <row r="1888" spans="1:6">
      <c r="A1888" t="str">
        <f t="shared" si="29"/>
        <v>GenericE&amp;DtemplateCIandGOA</v>
      </c>
      <c r="B1888">
        <v>3</v>
      </c>
      <c r="C1888">
        <v>15</v>
      </c>
      <c r="D1888" s="649">
        <f ca="1">IF(E1888=4,INDEX(crude_exp_dist,MATCH(B1888,'Crude Exp Dist'!$B$6:$B$78,0),MATCH(C1888,'Crude Exp Dist'!$AD$2:$BC$2,0))*INDEX(crude_exp_by_year,MATCH(B1888,'Data Export'!$B$6:$B$78,0),1),IF(E1888=5,INDEX(ref_exp_dist,MATCH(B1888,'Refined Petro Exp Dist'!$B$6:$B$78,0),MATCH(C1888,'Refined Petro Exp Dist'!$AD$2:$BC$2,0))*INDEX(ref_exp_by_year,MATCH(B1888,'Data Export'!$B$6:$B$78,0),1)))</f>
        <v>0</v>
      </c>
      <c r="E1888">
        <v>5</v>
      </c>
      <c r="F1888" t="s">
        <v>215</v>
      </c>
    </row>
    <row r="1889" spans="1:6">
      <c r="A1889" t="str">
        <f t="shared" si="29"/>
        <v>GenericE&amp;DtemplateCIandGOA</v>
      </c>
      <c r="B1889">
        <v>3</v>
      </c>
      <c r="C1889">
        <v>16</v>
      </c>
      <c r="D1889" s="649">
        <f ca="1">IF(E1889=4,INDEX(crude_exp_dist,MATCH(B1889,'Crude Exp Dist'!$B$6:$B$78,0),MATCH(C1889,'Crude Exp Dist'!$AD$2:$BC$2,0))*INDEX(crude_exp_by_year,MATCH(B1889,'Data Export'!$B$6:$B$78,0),1),IF(E1889=5,INDEX(ref_exp_dist,MATCH(B1889,'Refined Petro Exp Dist'!$B$6:$B$78,0),MATCH(C1889,'Refined Petro Exp Dist'!$AD$2:$BC$2,0))*INDEX(ref_exp_by_year,MATCH(B1889,'Data Export'!$B$6:$B$78,0),1)))</f>
        <v>0</v>
      </c>
      <c r="E1889">
        <v>5</v>
      </c>
      <c r="F1889" t="s">
        <v>219</v>
      </c>
    </row>
    <row r="1890" spans="1:6">
      <c r="A1890" t="str">
        <f t="shared" si="29"/>
        <v>GenericE&amp;DtemplateCIandGOA</v>
      </c>
      <c r="B1890">
        <v>3</v>
      </c>
      <c r="C1890">
        <v>17</v>
      </c>
      <c r="D1890" s="649">
        <f ca="1">IF(E1890=4,INDEX(crude_exp_dist,MATCH(B1890,'Crude Exp Dist'!$B$6:$B$78,0),MATCH(C1890,'Crude Exp Dist'!$AD$2:$BC$2,0))*INDEX(crude_exp_by_year,MATCH(B1890,'Data Export'!$B$6:$B$78,0),1),IF(E1890=5,INDEX(ref_exp_dist,MATCH(B1890,'Refined Petro Exp Dist'!$B$6:$B$78,0),MATCH(C1890,'Refined Petro Exp Dist'!$AD$2:$BC$2,0))*INDEX(ref_exp_by_year,MATCH(B1890,'Data Export'!$B$6:$B$78,0),1)))</f>
        <v>0</v>
      </c>
      <c r="E1890">
        <v>5</v>
      </c>
      <c r="F1890" t="s">
        <v>222</v>
      </c>
    </row>
    <row r="1891" spans="1:6">
      <c r="A1891" t="str">
        <f t="shared" si="29"/>
        <v>GenericE&amp;DtemplateCIandGOA</v>
      </c>
      <c r="B1891">
        <v>3</v>
      </c>
      <c r="C1891">
        <v>18</v>
      </c>
      <c r="D1891" s="649">
        <f ca="1">IF(E1891=4,INDEX(crude_exp_dist,MATCH(B1891,'Crude Exp Dist'!$B$6:$B$78,0),MATCH(C1891,'Crude Exp Dist'!$AD$2:$BC$2,0))*INDEX(crude_exp_by_year,MATCH(B1891,'Data Export'!$B$6:$B$78,0),1),IF(E1891=5,INDEX(ref_exp_dist,MATCH(B1891,'Refined Petro Exp Dist'!$B$6:$B$78,0),MATCH(C1891,'Refined Petro Exp Dist'!$AD$2:$BC$2,0))*INDEX(ref_exp_by_year,MATCH(B1891,'Data Export'!$B$6:$B$78,0),1)))</f>
        <v>0</v>
      </c>
      <c r="E1891">
        <v>5</v>
      </c>
      <c r="F1891" t="s">
        <v>224</v>
      </c>
    </row>
    <row r="1892" spans="1:6">
      <c r="A1892" t="str">
        <f t="shared" si="29"/>
        <v>GenericE&amp;DtemplateCIandGOA</v>
      </c>
      <c r="B1892">
        <v>3</v>
      </c>
      <c r="C1892">
        <v>19</v>
      </c>
      <c r="D1892" s="649">
        <f ca="1">IF(E1892=4,INDEX(crude_exp_dist,MATCH(B1892,'Crude Exp Dist'!$B$6:$B$78,0),MATCH(C1892,'Crude Exp Dist'!$AD$2:$BC$2,0))*INDEX(crude_exp_by_year,MATCH(B1892,'Data Export'!$B$6:$B$78,0),1),IF(E1892=5,INDEX(ref_exp_dist,MATCH(B1892,'Refined Petro Exp Dist'!$B$6:$B$78,0),MATCH(C1892,'Refined Petro Exp Dist'!$AD$2:$BC$2,0))*INDEX(ref_exp_by_year,MATCH(B1892,'Data Export'!$B$6:$B$78,0),1)))</f>
        <v>0</v>
      </c>
      <c r="E1892">
        <v>5</v>
      </c>
      <c r="F1892" t="s">
        <v>228</v>
      </c>
    </row>
    <row r="1893" spans="1:6">
      <c r="A1893" t="str">
        <f t="shared" si="29"/>
        <v>GenericE&amp;DtemplateCIandGOA</v>
      </c>
      <c r="B1893">
        <v>3</v>
      </c>
      <c r="C1893">
        <v>20</v>
      </c>
      <c r="D1893" s="649">
        <f ca="1">IF(E1893=4,INDEX(crude_exp_dist,MATCH(B1893,'Crude Exp Dist'!$B$6:$B$78,0),MATCH(C1893,'Crude Exp Dist'!$AD$2:$BC$2,0))*INDEX(crude_exp_by_year,MATCH(B1893,'Data Export'!$B$6:$B$78,0),1),IF(E1893=5,INDEX(ref_exp_dist,MATCH(B1893,'Refined Petro Exp Dist'!$B$6:$B$78,0),MATCH(C1893,'Refined Petro Exp Dist'!$AD$2:$BC$2,0))*INDEX(ref_exp_by_year,MATCH(B1893,'Data Export'!$B$6:$B$78,0),1)))</f>
        <v>0</v>
      </c>
      <c r="E1893">
        <v>5</v>
      </c>
      <c r="F1893" t="s">
        <v>231</v>
      </c>
    </row>
    <row r="1894" spans="1:6">
      <c r="A1894" t="str">
        <f t="shared" si="29"/>
        <v>GenericE&amp;DtemplateCIandGOA</v>
      </c>
      <c r="B1894">
        <v>3</v>
      </c>
      <c r="C1894">
        <v>21</v>
      </c>
      <c r="D1894" s="649">
        <f ca="1">IF(E1894=4,INDEX(crude_exp_dist,MATCH(B1894,'Crude Exp Dist'!$B$6:$B$78,0),MATCH(C1894,'Crude Exp Dist'!$AD$2:$BC$2,0))*INDEX(crude_exp_by_year,MATCH(B1894,'Data Export'!$B$6:$B$78,0),1),IF(E1894=5,INDEX(ref_exp_dist,MATCH(B1894,'Refined Petro Exp Dist'!$B$6:$B$78,0),MATCH(C1894,'Refined Petro Exp Dist'!$AD$2:$BC$2,0))*INDEX(ref_exp_by_year,MATCH(B1894,'Data Export'!$B$6:$B$78,0),1)))</f>
        <v>0</v>
      </c>
      <c r="E1894">
        <v>5</v>
      </c>
      <c r="F1894" t="s">
        <v>232</v>
      </c>
    </row>
    <row r="1895" spans="1:6">
      <c r="A1895" t="str">
        <f t="shared" si="29"/>
        <v>GenericE&amp;DtemplateCIandGOA</v>
      </c>
      <c r="B1895">
        <v>3</v>
      </c>
      <c r="C1895">
        <v>22</v>
      </c>
      <c r="D1895" s="649">
        <f ca="1">IF(E1895=4,INDEX(crude_exp_dist,MATCH(B1895,'Crude Exp Dist'!$B$6:$B$78,0),MATCH(C1895,'Crude Exp Dist'!$AD$2:$BC$2,0))*INDEX(crude_exp_by_year,MATCH(B1895,'Data Export'!$B$6:$B$78,0),1),IF(E1895=5,INDEX(ref_exp_dist,MATCH(B1895,'Refined Petro Exp Dist'!$B$6:$B$78,0),MATCH(C1895,'Refined Petro Exp Dist'!$AD$2:$BC$2,0))*INDEX(ref_exp_by_year,MATCH(B1895,'Data Export'!$B$6:$B$78,0),1)))</f>
        <v>0</v>
      </c>
      <c r="E1895">
        <v>5</v>
      </c>
      <c r="F1895" t="s">
        <v>235</v>
      </c>
    </row>
    <row r="1896" spans="1:6">
      <c r="A1896" t="str">
        <f t="shared" si="29"/>
        <v>GenericE&amp;DtemplateCIandGOA</v>
      </c>
      <c r="B1896">
        <v>3</v>
      </c>
      <c r="C1896">
        <v>23</v>
      </c>
      <c r="D1896" s="649">
        <f ca="1">IF(E1896=4,INDEX(crude_exp_dist,MATCH(B1896,'Crude Exp Dist'!$B$6:$B$78,0),MATCH(C1896,'Crude Exp Dist'!$AD$2:$BC$2,0))*INDEX(crude_exp_by_year,MATCH(B1896,'Data Export'!$B$6:$B$78,0),1),IF(E1896=5,INDEX(ref_exp_dist,MATCH(B1896,'Refined Petro Exp Dist'!$B$6:$B$78,0),MATCH(C1896,'Refined Petro Exp Dist'!$AD$2:$BC$2,0))*INDEX(ref_exp_by_year,MATCH(B1896,'Data Export'!$B$6:$B$78,0),1)))</f>
        <v>0</v>
      </c>
      <c r="E1896">
        <v>5</v>
      </c>
      <c r="F1896" t="s">
        <v>237</v>
      </c>
    </row>
    <row r="1897" spans="1:6">
      <c r="A1897" t="str">
        <f t="shared" si="29"/>
        <v>GenericE&amp;DtemplateCIandGOA</v>
      </c>
      <c r="B1897">
        <v>3</v>
      </c>
      <c r="C1897">
        <v>24</v>
      </c>
      <c r="D1897" s="649">
        <f ca="1">IF(E1897=4,INDEX(crude_exp_dist,MATCH(B1897,'Crude Exp Dist'!$B$6:$B$78,0),MATCH(C1897,'Crude Exp Dist'!$AD$2:$BC$2,0))*INDEX(crude_exp_by_year,MATCH(B1897,'Data Export'!$B$6:$B$78,0),1),IF(E1897=5,INDEX(ref_exp_dist,MATCH(B1897,'Refined Petro Exp Dist'!$B$6:$B$78,0),MATCH(C1897,'Refined Petro Exp Dist'!$AD$2:$BC$2,0))*INDEX(ref_exp_by_year,MATCH(B1897,'Data Export'!$B$6:$B$78,0),1)))</f>
        <v>0</v>
      </c>
      <c r="E1897">
        <v>5</v>
      </c>
      <c r="F1897" t="s">
        <v>239</v>
      </c>
    </row>
    <row r="1898" spans="1:6">
      <c r="A1898" t="str">
        <f t="shared" si="29"/>
        <v>GenericE&amp;DtemplateCIandGOA</v>
      </c>
      <c r="B1898">
        <v>3</v>
      </c>
      <c r="C1898">
        <v>25</v>
      </c>
      <c r="D1898" s="649">
        <f ca="1">IF(E1898=4,INDEX(crude_exp_dist,MATCH(B1898,'Crude Exp Dist'!$B$6:$B$78,0),MATCH(C1898,'Crude Exp Dist'!$AD$2:$BC$2,0))*INDEX(crude_exp_by_year,MATCH(B1898,'Data Export'!$B$6:$B$78,0),1),IF(E1898=5,INDEX(ref_exp_dist,MATCH(B1898,'Refined Petro Exp Dist'!$B$6:$B$78,0),MATCH(C1898,'Refined Petro Exp Dist'!$AD$2:$BC$2,0))*INDEX(ref_exp_by_year,MATCH(B1898,'Data Export'!$B$6:$B$78,0),1)))</f>
        <v>0</v>
      </c>
      <c r="E1898">
        <v>5</v>
      </c>
      <c r="F1898" t="s">
        <v>242</v>
      </c>
    </row>
    <row r="1899" spans="1:6">
      <c r="A1899" t="str">
        <f t="shared" si="29"/>
        <v>GenericE&amp;DtemplateCIandGOA</v>
      </c>
      <c r="B1899">
        <v>3</v>
      </c>
      <c r="C1899">
        <v>26</v>
      </c>
      <c r="D1899" s="649">
        <f ca="1">IF(E1899=4,INDEX(crude_exp_dist,MATCH(B1899,'Crude Exp Dist'!$B$6:$B$78,0),MATCH(C1899,'Crude Exp Dist'!$AD$2:$BC$2,0))*INDEX(crude_exp_by_year,MATCH(B1899,'Data Export'!$B$6:$B$78,0),1),IF(E1899=5,INDEX(ref_exp_dist,MATCH(B1899,'Refined Petro Exp Dist'!$B$6:$B$78,0),MATCH(C1899,'Refined Petro Exp Dist'!$AD$2:$BC$2,0))*INDEX(ref_exp_by_year,MATCH(B1899,'Data Export'!$B$6:$B$78,0),1)))</f>
        <v>0</v>
      </c>
      <c r="E1899">
        <v>5</v>
      </c>
      <c r="F1899" t="s">
        <v>245</v>
      </c>
    </row>
    <row r="1900" spans="1:6">
      <c r="A1900" t="str">
        <f t="shared" si="29"/>
        <v>GenericE&amp;DtemplateCIandGOA</v>
      </c>
      <c r="B1900">
        <v>4</v>
      </c>
      <c r="C1900">
        <v>1</v>
      </c>
      <c r="D1900" s="649">
        <f ca="1">IF(E1900=4,INDEX(crude_exp_dist,MATCH(B1900,'Crude Exp Dist'!$B$6:$B$78,0),MATCH(C1900,'Crude Exp Dist'!$AD$2:$BC$2,0))*INDEX(crude_exp_by_year,MATCH(B1900,'Data Export'!$B$6:$B$78,0),1),IF(E1900=5,INDEX(ref_exp_dist,MATCH(B1900,'Refined Petro Exp Dist'!$B$6:$B$78,0),MATCH(C1900,'Refined Petro Exp Dist'!$AD$2:$BC$2,0))*INDEX(ref_exp_by_year,MATCH(B1900,'Data Export'!$B$6:$B$78,0),1)))</f>
        <v>0</v>
      </c>
      <c r="E1900">
        <v>5</v>
      </c>
      <c r="F1900" t="s">
        <v>158</v>
      </c>
    </row>
    <row r="1901" spans="1:6">
      <c r="A1901" t="str">
        <f t="shared" si="29"/>
        <v>GenericE&amp;DtemplateCIandGOA</v>
      </c>
      <c r="B1901">
        <v>4</v>
      </c>
      <c r="C1901">
        <v>2</v>
      </c>
      <c r="D1901" s="649">
        <f ca="1">IF(E1901=4,INDEX(crude_exp_dist,MATCH(B1901,'Crude Exp Dist'!$B$6:$B$78,0),MATCH(C1901,'Crude Exp Dist'!$AD$2:$BC$2,0))*INDEX(crude_exp_by_year,MATCH(B1901,'Data Export'!$B$6:$B$78,0),1),IF(E1901=5,INDEX(ref_exp_dist,MATCH(B1901,'Refined Petro Exp Dist'!$B$6:$B$78,0),MATCH(C1901,'Refined Petro Exp Dist'!$AD$2:$BC$2,0))*INDEX(ref_exp_by_year,MATCH(B1901,'Data Export'!$B$6:$B$78,0),1)))</f>
        <v>0</v>
      </c>
      <c r="E1901">
        <v>5</v>
      </c>
      <c r="F1901" t="s">
        <v>166</v>
      </c>
    </row>
    <row r="1902" spans="1:6">
      <c r="A1902" t="str">
        <f t="shared" si="29"/>
        <v>GenericE&amp;DtemplateCIandGOA</v>
      </c>
      <c r="B1902">
        <v>4</v>
      </c>
      <c r="C1902">
        <v>3</v>
      </c>
      <c r="D1902" s="649">
        <f ca="1">IF(E1902=4,INDEX(crude_exp_dist,MATCH(B1902,'Crude Exp Dist'!$B$6:$B$78,0),MATCH(C1902,'Crude Exp Dist'!$AD$2:$BC$2,0))*INDEX(crude_exp_by_year,MATCH(B1902,'Data Export'!$B$6:$B$78,0),1),IF(E1902=5,INDEX(ref_exp_dist,MATCH(B1902,'Refined Petro Exp Dist'!$B$6:$B$78,0),MATCH(C1902,'Refined Petro Exp Dist'!$AD$2:$BC$2,0))*INDEX(ref_exp_by_year,MATCH(B1902,'Data Export'!$B$6:$B$78,0),1)))</f>
        <v>0</v>
      </c>
      <c r="E1902">
        <v>5</v>
      </c>
      <c r="F1902" t="s">
        <v>171</v>
      </c>
    </row>
    <row r="1903" spans="1:6">
      <c r="A1903" t="str">
        <f t="shared" si="29"/>
        <v>GenericE&amp;DtemplateCIandGOA</v>
      </c>
      <c r="B1903">
        <v>4</v>
      </c>
      <c r="C1903">
        <v>4</v>
      </c>
      <c r="D1903" s="649">
        <f ca="1">IF(E1903=4,INDEX(crude_exp_dist,MATCH(B1903,'Crude Exp Dist'!$B$6:$B$78,0),MATCH(C1903,'Crude Exp Dist'!$AD$2:$BC$2,0))*INDEX(crude_exp_by_year,MATCH(B1903,'Data Export'!$B$6:$B$78,0),1),IF(E1903=5,INDEX(ref_exp_dist,MATCH(B1903,'Refined Petro Exp Dist'!$B$6:$B$78,0),MATCH(C1903,'Refined Petro Exp Dist'!$AD$2:$BC$2,0))*INDEX(ref_exp_by_year,MATCH(B1903,'Data Export'!$B$6:$B$78,0),1)))</f>
        <v>0</v>
      </c>
      <c r="E1903">
        <v>5</v>
      </c>
      <c r="F1903" t="s">
        <v>173</v>
      </c>
    </row>
    <row r="1904" spans="1:6">
      <c r="A1904" t="str">
        <f t="shared" si="29"/>
        <v>GenericE&amp;DtemplateCIandGOA</v>
      </c>
      <c r="B1904">
        <v>4</v>
      </c>
      <c r="C1904">
        <v>5</v>
      </c>
      <c r="D1904" s="649">
        <f ca="1">IF(E1904=4,INDEX(crude_exp_dist,MATCH(B1904,'Crude Exp Dist'!$B$6:$B$78,0),MATCH(C1904,'Crude Exp Dist'!$AD$2:$BC$2,0))*INDEX(crude_exp_by_year,MATCH(B1904,'Data Export'!$B$6:$B$78,0),1),IF(E1904=5,INDEX(ref_exp_dist,MATCH(B1904,'Refined Petro Exp Dist'!$B$6:$B$78,0),MATCH(C1904,'Refined Petro Exp Dist'!$AD$2:$BC$2,0))*INDEX(ref_exp_by_year,MATCH(B1904,'Data Export'!$B$6:$B$78,0),1)))</f>
        <v>0</v>
      </c>
      <c r="E1904">
        <v>5</v>
      </c>
      <c r="F1904" t="s">
        <v>180</v>
      </c>
    </row>
    <row r="1905" spans="1:6">
      <c r="A1905" t="str">
        <f t="shared" si="29"/>
        <v>GenericE&amp;DtemplateCIandGOA</v>
      </c>
      <c r="B1905">
        <v>4</v>
      </c>
      <c r="C1905">
        <v>6</v>
      </c>
      <c r="D1905" s="649">
        <f ca="1">IF(E1905=4,INDEX(crude_exp_dist,MATCH(B1905,'Crude Exp Dist'!$B$6:$B$78,0),MATCH(C1905,'Crude Exp Dist'!$AD$2:$BC$2,0))*INDEX(crude_exp_by_year,MATCH(B1905,'Data Export'!$B$6:$B$78,0),1),IF(E1905=5,INDEX(ref_exp_dist,MATCH(B1905,'Refined Petro Exp Dist'!$B$6:$B$78,0),MATCH(C1905,'Refined Petro Exp Dist'!$AD$2:$BC$2,0))*INDEX(ref_exp_by_year,MATCH(B1905,'Data Export'!$B$6:$B$78,0),1)))</f>
        <v>0</v>
      </c>
      <c r="E1905">
        <v>5</v>
      </c>
      <c r="F1905" t="s">
        <v>186</v>
      </c>
    </row>
    <row r="1906" spans="1:6">
      <c r="A1906" t="str">
        <f t="shared" si="29"/>
        <v>GenericE&amp;DtemplateCIandGOA</v>
      </c>
      <c r="B1906">
        <v>4</v>
      </c>
      <c r="C1906">
        <v>7</v>
      </c>
      <c r="D1906" s="649">
        <f ca="1">IF(E1906=4,INDEX(crude_exp_dist,MATCH(B1906,'Crude Exp Dist'!$B$6:$B$78,0),MATCH(C1906,'Crude Exp Dist'!$AD$2:$BC$2,0))*INDEX(crude_exp_by_year,MATCH(B1906,'Data Export'!$B$6:$B$78,0),1),IF(E1906=5,INDEX(ref_exp_dist,MATCH(B1906,'Refined Petro Exp Dist'!$B$6:$B$78,0),MATCH(C1906,'Refined Petro Exp Dist'!$AD$2:$BC$2,0))*INDEX(ref_exp_by_year,MATCH(B1906,'Data Export'!$B$6:$B$78,0),1)))</f>
        <v>0</v>
      </c>
      <c r="E1906">
        <v>5</v>
      </c>
      <c r="F1906" t="s">
        <v>191</v>
      </c>
    </row>
    <row r="1907" spans="1:6">
      <c r="A1907" t="str">
        <f t="shared" si="29"/>
        <v>GenericE&amp;DtemplateCIandGOA</v>
      </c>
      <c r="B1907">
        <v>4</v>
      </c>
      <c r="C1907">
        <v>8</v>
      </c>
      <c r="D1907" s="649">
        <f ca="1">IF(E1907=4,INDEX(crude_exp_dist,MATCH(B1907,'Crude Exp Dist'!$B$6:$B$78,0),MATCH(C1907,'Crude Exp Dist'!$AD$2:$BC$2,0))*INDEX(crude_exp_by_year,MATCH(B1907,'Data Export'!$B$6:$B$78,0),1),IF(E1907=5,INDEX(ref_exp_dist,MATCH(B1907,'Refined Petro Exp Dist'!$B$6:$B$78,0),MATCH(C1907,'Refined Petro Exp Dist'!$AD$2:$BC$2,0))*INDEX(ref_exp_by_year,MATCH(B1907,'Data Export'!$B$6:$B$78,0),1)))</f>
        <v>0</v>
      </c>
      <c r="E1907">
        <v>5</v>
      </c>
      <c r="F1907" t="s">
        <v>197</v>
      </c>
    </row>
    <row r="1908" spans="1:6">
      <c r="A1908" t="str">
        <f t="shared" si="29"/>
        <v>GenericE&amp;DtemplateCIandGOA</v>
      </c>
      <c r="B1908">
        <v>4</v>
      </c>
      <c r="C1908">
        <v>9</v>
      </c>
      <c r="D1908" s="649">
        <f ca="1">IF(E1908=4,INDEX(crude_exp_dist,MATCH(B1908,'Crude Exp Dist'!$B$6:$B$78,0),MATCH(C1908,'Crude Exp Dist'!$AD$2:$BC$2,0))*INDEX(crude_exp_by_year,MATCH(B1908,'Data Export'!$B$6:$B$78,0),1),IF(E1908=5,INDEX(ref_exp_dist,MATCH(B1908,'Refined Petro Exp Dist'!$B$6:$B$78,0),MATCH(C1908,'Refined Petro Exp Dist'!$AD$2:$BC$2,0))*INDEX(ref_exp_by_year,MATCH(B1908,'Data Export'!$B$6:$B$78,0),1)))</f>
        <v>0</v>
      </c>
      <c r="E1908">
        <v>5</v>
      </c>
      <c r="F1908" t="s">
        <v>199</v>
      </c>
    </row>
    <row r="1909" spans="1:6">
      <c r="A1909" t="str">
        <f t="shared" si="29"/>
        <v>GenericE&amp;DtemplateCIandGOA</v>
      </c>
      <c r="B1909">
        <v>4</v>
      </c>
      <c r="C1909">
        <v>10</v>
      </c>
      <c r="D1909" s="649">
        <f ca="1">IF(E1909=4,INDEX(crude_exp_dist,MATCH(B1909,'Crude Exp Dist'!$B$6:$B$78,0),MATCH(C1909,'Crude Exp Dist'!$AD$2:$BC$2,0))*INDEX(crude_exp_by_year,MATCH(B1909,'Data Export'!$B$6:$B$78,0),1),IF(E1909=5,INDEX(ref_exp_dist,MATCH(B1909,'Refined Petro Exp Dist'!$B$6:$B$78,0),MATCH(C1909,'Refined Petro Exp Dist'!$AD$2:$BC$2,0))*INDEX(ref_exp_by_year,MATCH(B1909,'Data Export'!$B$6:$B$78,0),1)))</f>
        <v>0</v>
      </c>
      <c r="E1909">
        <v>5</v>
      </c>
      <c r="F1909" t="s">
        <v>201</v>
      </c>
    </row>
    <row r="1910" spans="1:6">
      <c r="A1910" t="str">
        <f t="shared" si="29"/>
        <v>GenericE&amp;DtemplateCIandGOA</v>
      </c>
      <c r="B1910">
        <v>4</v>
      </c>
      <c r="C1910">
        <v>11</v>
      </c>
      <c r="D1910" s="649">
        <f ca="1">IF(E1910=4,INDEX(crude_exp_dist,MATCH(B1910,'Crude Exp Dist'!$B$6:$B$78,0),MATCH(C1910,'Crude Exp Dist'!$AD$2:$BC$2,0))*INDEX(crude_exp_by_year,MATCH(B1910,'Data Export'!$B$6:$B$78,0),1),IF(E1910=5,INDEX(ref_exp_dist,MATCH(B1910,'Refined Petro Exp Dist'!$B$6:$B$78,0),MATCH(C1910,'Refined Petro Exp Dist'!$AD$2:$BC$2,0))*INDEX(ref_exp_by_year,MATCH(B1910,'Data Export'!$B$6:$B$78,0),1)))</f>
        <v>0</v>
      </c>
      <c r="E1910">
        <v>5</v>
      </c>
      <c r="F1910" t="s">
        <v>921</v>
      </c>
    </row>
    <row r="1911" spans="1:6">
      <c r="A1911" t="str">
        <f t="shared" si="29"/>
        <v>GenericE&amp;DtemplateCIandGOA</v>
      </c>
      <c r="B1911">
        <v>4</v>
      </c>
      <c r="C1911">
        <v>12</v>
      </c>
      <c r="D1911" s="649">
        <f ca="1">IF(E1911=4,INDEX(crude_exp_dist,MATCH(B1911,'Crude Exp Dist'!$B$6:$B$78,0),MATCH(C1911,'Crude Exp Dist'!$AD$2:$BC$2,0))*INDEX(crude_exp_by_year,MATCH(B1911,'Data Export'!$B$6:$B$78,0),1),IF(E1911=5,INDEX(ref_exp_dist,MATCH(B1911,'Refined Petro Exp Dist'!$B$6:$B$78,0),MATCH(C1911,'Refined Petro Exp Dist'!$AD$2:$BC$2,0))*INDEX(ref_exp_by_year,MATCH(B1911,'Data Export'!$B$6:$B$78,0),1)))</f>
        <v>0</v>
      </c>
      <c r="E1911">
        <v>5</v>
      </c>
      <c r="F1911" t="s">
        <v>208</v>
      </c>
    </row>
    <row r="1912" spans="1:6">
      <c r="A1912" t="str">
        <f t="shared" si="29"/>
        <v>GenericE&amp;DtemplateCIandGOA</v>
      </c>
      <c r="B1912">
        <v>4</v>
      </c>
      <c r="C1912">
        <v>13</v>
      </c>
      <c r="D1912" s="649">
        <f ca="1">IF(E1912=4,INDEX(crude_exp_dist,MATCH(B1912,'Crude Exp Dist'!$B$6:$B$78,0),MATCH(C1912,'Crude Exp Dist'!$AD$2:$BC$2,0))*INDEX(crude_exp_by_year,MATCH(B1912,'Data Export'!$B$6:$B$78,0),1),IF(E1912=5,INDEX(ref_exp_dist,MATCH(B1912,'Refined Petro Exp Dist'!$B$6:$B$78,0),MATCH(C1912,'Refined Petro Exp Dist'!$AD$2:$BC$2,0))*INDEX(ref_exp_by_year,MATCH(B1912,'Data Export'!$B$6:$B$78,0),1)))</f>
        <v>0</v>
      </c>
      <c r="E1912">
        <v>5</v>
      </c>
      <c r="F1912" t="s">
        <v>211</v>
      </c>
    </row>
    <row r="1913" spans="1:6">
      <c r="A1913" t="str">
        <f t="shared" si="29"/>
        <v>GenericE&amp;DtemplateCIandGOA</v>
      </c>
      <c r="B1913">
        <v>4</v>
      </c>
      <c r="C1913">
        <v>14</v>
      </c>
      <c r="D1913" s="649">
        <f ca="1">IF(E1913=4,INDEX(crude_exp_dist,MATCH(B1913,'Crude Exp Dist'!$B$6:$B$78,0),MATCH(C1913,'Crude Exp Dist'!$AD$2:$BC$2,0))*INDEX(crude_exp_by_year,MATCH(B1913,'Data Export'!$B$6:$B$78,0),1),IF(E1913=5,INDEX(ref_exp_dist,MATCH(B1913,'Refined Petro Exp Dist'!$B$6:$B$78,0),MATCH(C1913,'Refined Petro Exp Dist'!$AD$2:$BC$2,0))*INDEX(ref_exp_by_year,MATCH(B1913,'Data Export'!$B$6:$B$78,0),1)))</f>
        <v>0</v>
      </c>
      <c r="E1913">
        <v>5</v>
      </c>
      <c r="F1913" t="s">
        <v>213</v>
      </c>
    </row>
    <row r="1914" spans="1:6">
      <c r="A1914" t="str">
        <f t="shared" si="29"/>
        <v>GenericE&amp;DtemplateCIandGOA</v>
      </c>
      <c r="B1914">
        <v>4</v>
      </c>
      <c r="C1914">
        <v>15</v>
      </c>
      <c r="D1914" s="649">
        <f ca="1">IF(E1914=4,INDEX(crude_exp_dist,MATCH(B1914,'Crude Exp Dist'!$B$6:$B$78,0),MATCH(C1914,'Crude Exp Dist'!$AD$2:$BC$2,0))*INDEX(crude_exp_by_year,MATCH(B1914,'Data Export'!$B$6:$B$78,0),1),IF(E1914=5,INDEX(ref_exp_dist,MATCH(B1914,'Refined Petro Exp Dist'!$B$6:$B$78,0),MATCH(C1914,'Refined Petro Exp Dist'!$AD$2:$BC$2,0))*INDEX(ref_exp_by_year,MATCH(B1914,'Data Export'!$B$6:$B$78,0),1)))</f>
        <v>0</v>
      </c>
      <c r="E1914">
        <v>5</v>
      </c>
      <c r="F1914" t="s">
        <v>215</v>
      </c>
    </row>
    <row r="1915" spans="1:6">
      <c r="A1915" t="str">
        <f t="shared" si="29"/>
        <v>GenericE&amp;DtemplateCIandGOA</v>
      </c>
      <c r="B1915">
        <v>4</v>
      </c>
      <c r="C1915">
        <v>16</v>
      </c>
      <c r="D1915" s="649">
        <f ca="1">IF(E1915=4,INDEX(crude_exp_dist,MATCH(B1915,'Crude Exp Dist'!$B$6:$B$78,0),MATCH(C1915,'Crude Exp Dist'!$AD$2:$BC$2,0))*INDEX(crude_exp_by_year,MATCH(B1915,'Data Export'!$B$6:$B$78,0),1),IF(E1915=5,INDEX(ref_exp_dist,MATCH(B1915,'Refined Petro Exp Dist'!$B$6:$B$78,0),MATCH(C1915,'Refined Petro Exp Dist'!$AD$2:$BC$2,0))*INDEX(ref_exp_by_year,MATCH(B1915,'Data Export'!$B$6:$B$78,0),1)))</f>
        <v>0</v>
      </c>
      <c r="E1915">
        <v>5</v>
      </c>
      <c r="F1915" t="s">
        <v>219</v>
      </c>
    </row>
    <row r="1916" spans="1:6">
      <c r="A1916" t="str">
        <f t="shared" si="29"/>
        <v>GenericE&amp;DtemplateCIandGOA</v>
      </c>
      <c r="B1916">
        <v>4</v>
      </c>
      <c r="C1916">
        <v>17</v>
      </c>
      <c r="D1916" s="649">
        <f ca="1">IF(E1916=4,INDEX(crude_exp_dist,MATCH(B1916,'Crude Exp Dist'!$B$6:$B$78,0),MATCH(C1916,'Crude Exp Dist'!$AD$2:$BC$2,0))*INDEX(crude_exp_by_year,MATCH(B1916,'Data Export'!$B$6:$B$78,0),1),IF(E1916=5,INDEX(ref_exp_dist,MATCH(B1916,'Refined Petro Exp Dist'!$B$6:$B$78,0),MATCH(C1916,'Refined Petro Exp Dist'!$AD$2:$BC$2,0))*INDEX(ref_exp_by_year,MATCH(B1916,'Data Export'!$B$6:$B$78,0),1)))</f>
        <v>0</v>
      </c>
      <c r="E1916">
        <v>5</v>
      </c>
      <c r="F1916" t="s">
        <v>222</v>
      </c>
    </row>
    <row r="1917" spans="1:6">
      <c r="A1917" t="str">
        <f t="shared" si="29"/>
        <v>GenericE&amp;DtemplateCIandGOA</v>
      </c>
      <c r="B1917">
        <v>4</v>
      </c>
      <c r="C1917">
        <v>18</v>
      </c>
      <c r="D1917" s="649">
        <f ca="1">IF(E1917=4,INDEX(crude_exp_dist,MATCH(B1917,'Crude Exp Dist'!$B$6:$B$78,0),MATCH(C1917,'Crude Exp Dist'!$AD$2:$BC$2,0))*INDEX(crude_exp_by_year,MATCH(B1917,'Data Export'!$B$6:$B$78,0),1),IF(E1917=5,INDEX(ref_exp_dist,MATCH(B1917,'Refined Petro Exp Dist'!$B$6:$B$78,0),MATCH(C1917,'Refined Petro Exp Dist'!$AD$2:$BC$2,0))*INDEX(ref_exp_by_year,MATCH(B1917,'Data Export'!$B$6:$B$78,0),1)))</f>
        <v>0</v>
      </c>
      <c r="E1917">
        <v>5</v>
      </c>
      <c r="F1917" t="s">
        <v>224</v>
      </c>
    </row>
    <row r="1918" spans="1:6">
      <c r="A1918" t="str">
        <f t="shared" si="29"/>
        <v>GenericE&amp;DtemplateCIandGOA</v>
      </c>
      <c r="B1918">
        <v>4</v>
      </c>
      <c r="C1918">
        <v>19</v>
      </c>
      <c r="D1918" s="649">
        <f ca="1">IF(E1918=4,INDEX(crude_exp_dist,MATCH(B1918,'Crude Exp Dist'!$B$6:$B$78,0),MATCH(C1918,'Crude Exp Dist'!$AD$2:$BC$2,0))*INDEX(crude_exp_by_year,MATCH(B1918,'Data Export'!$B$6:$B$78,0),1),IF(E1918=5,INDEX(ref_exp_dist,MATCH(B1918,'Refined Petro Exp Dist'!$B$6:$B$78,0),MATCH(C1918,'Refined Petro Exp Dist'!$AD$2:$BC$2,0))*INDEX(ref_exp_by_year,MATCH(B1918,'Data Export'!$B$6:$B$78,0),1)))</f>
        <v>0</v>
      </c>
      <c r="E1918">
        <v>5</v>
      </c>
      <c r="F1918" t="s">
        <v>228</v>
      </c>
    </row>
    <row r="1919" spans="1:6">
      <c r="A1919" t="str">
        <f t="shared" si="29"/>
        <v>GenericE&amp;DtemplateCIandGOA</v>
      </c>
      <c r="B1919">
        <v>4</v>
      </c>
      <c r="C1919">
        <v>20</v>
      </c>
      <c r="D1919" s="649">
        <f ca="1">IF(E1919=4,INDEX(crude_exp_dist,MATCH(B1919,'Crude Exp Dist'!$B$6:$B$78,0),MATCH(C1919,'Crude Exp Dist'!$AD$2:$BC$2,0))*INDEX(crude_exp_by_year,MATCH(B1919,'Data Export'!$B$6:$B$78,0),1),IF(E1919=5,INDEX(ref_exp_dist,MATCH(B1919,'Refined Petro Exp Dist'!$B$6:$B$78,0),MATCH(C1919,'Refined Petro Exp Dist'!$AD$2:$BC$2,0))*INDEX(ref_exp_by_year,MATCH(B1919,'Data Export'!$B$6:$B$78,0),1)))</f>
        <v>0</v>
      </c>
      <c r="E1919">
        <v>5</v>
      </c>
      <c r="F1919" t="s">
        <v>231</v>
      </c>
    </row>
    <row r="1920" spans="1:6">
      <c r="A1920" t="str">
        <f t="shared" si="29"/>
        <v>GenericE&amp;DtemplateCIandGOA</v>
      </c>
      <c r="B1920">
        <v>4</v>
      </c>
      <c r="C1920">
        <v>21</v>
      </c>
      <c r="D1920" s="649">
        <f ca="1">IF(E1920=4,INDEX(crude_exp_dist,MATCH(B1920,'Crude Exp Dist'!$B$6:$B$78,0),MATCH(C1920,'Crude Exp Dist'!$AD$2:$BC$2,0))*INDEX(crude_exp_by_year,MATCH(B1920,'Data Export'!$B$6:$B$78,0),1),IF(E1920=5,INDEX(ref_exp_dist,MATCH(B1920,'Refined Petro Exp Dist'!$B$6:$B$78,0),MATCH(C1920,'Refined Petro Exp Dist'!$AD$2:$BC$2,0))*INDEX(ref_exp_by_year,MATCH(B1920,'Data Export'!$B$6:$B$78,0),1)))</f>
        <v>0</v>
      </c>
      <c r="E1920">
        <v>5</v>
      </c>
      <c r="F1920" t="s">
        <v>232</v>
      </c>
    </row>
    <row r="1921" spans="1:6">
      <c r="A1921" t="str">
        <f t="shared" si="29"/>
        <v>GenericE&amp;DtemplateCIandGOA</v>
      </c>
      <c r="B1921">
        <v>4</v>
      </c>
      <c r="C1921">
        <v>22</v>
      </c>
      <c r="D1921" s="649">
        <f ca="1">IF(E1921=4,INDEX(crude_exp_dist,MATCH(B1921,'Crude Exp Dist'!$B$6:$B$78,0),MATCH(C1921,'Crude Exp Dist'!$AD$2:$BC$2,0))*INDEX(crude_exp_by_year,MATCH(B1921,'Data Export'!$B$6:$B$78,0),1),IF(E1921=5,INDEX(ref_exp_dist,MATCH(B1921,'Refined Petro Exp Dist'!$B$6:$B$78,0),MATCH(C1921,'Refined Petro Exp Dist'!$AD$2:$BC$2,0))*INDEX(ref_exp_by_year,MATCH(B1921,'Data Export'!$B$6:$B$78,0),1)))</f>
        <v>0</v>
      </c>
      <c r="E1921">
        <v>5</v>
      </c>
      <c r="F1921" t="s">
        <v>235</v>
      </c>
    </row>
    <row r="1922" spans="1:6">
      <c r="A1922" t="str">
        <f t="shared" ref="A1922:A1985" si="30">scenario_name</f>
        <v>GenericE&amp;DtemplateCIandGOA</v>
      </c>
      <c r="B1922">
        <v>4</v>
      </c>
      <c r="C1922">
        <v>23</v>
      </c>
      <c r="D1922" s="649">
        <f ca="1">IF(E1922=4,INDEX(crude_exp_dist,MATCH(B1922,'Crude Exp Dist'!$B$6:$B$78,0),MATCH(C1922,'Crude Exp Dist'!$AD$2:$BC$2,0))*INDEX(crude_exp_by_year,MATCH(B1922,'Data Export'!$B$6:$B$78,0),1),IF(E1922=5,INDEX(ref_exp_dist,MATCH(B1922,'Refined Petro Exp Dist'!$B$6:$B$78,0),MATCH(C1922,'Refined Petro Exp Dist'!$AD$2:$BC$2,0))*INDEX(ref_exp_by_year,MATCH(B1922,'Data Export'!$B$6:$B$78,0),1)))</f>
        <v>0</v>
      </c>
      <c r="E1922">
        <v>5</v>
      </c>
      <c r="F1922" t="s">
        <v>237</v>
      </c>
    </row>
    <row r="1923" spans="1:6">
      <c r="A1923" t="str">
        <f t="shared" si="30"/>
        <v>GenericE&amp;DtemplateCIandGOA</v>
      </c>
      <c r="B1923">
        <v>4</v>
      </c>
      <c r="C1923">
        <v>24</v>
      </c>
      <c r="D1923" s="649">
        <f ca="1">IF(E1923=4,INDEX(crude_exp_dist,MATCH(B1923,'Crude Exp Dist'!$B$6:$B$78,0),MATCH(C1923,'Crude Exp Dist'!$AD$2:$BC$2,0))*INDEX(crude_exp_by_year,MATCH(B1923,'Data Export'!$B$6:$B$78,0),1),IF(E1923=5,INDEX(ref_exp_dist,MATCH(B1923,'Refined Petro Exp Dist'!$B$6:$B$78,0),MATCH(C1923,'Refined Petro Exp Dist'!$AD$2:$BC$2,0))*INDEX(ref_exp_by_year,MATCH(B1923,'Data Export'!$B$6:$B$78,0),1)))</f>
        <v>0</v>
      </c>
      <c r="E1923">
        <v>5</v>
      </c>
      <c r="F1923" t="s">
        <v>239</v>
      </c>
    </row>
    <row r="1924" spans="1:6">
      <c r="A1924" t="str">
        <f t="shared" si="30"/>
        <v>GenericE&amp;DtemplateCIandGOA</v>
      </c>
      <c r="B1924">
        <v>4</v>
      </c>
      <c r="C1924">
        <v>25</v>
      </c>
      <c r="D1924" s="649">
        <f ca="1">IF(E1924=4,INDEX(crude_exp_dist,MATCH(B1924,'Crude Exp Dist'!$B$6:$B$78,0),MATCH(C1924,'Crude Exp Dist'!$AD$2:$BC$2,0))*INDEX(crude_exp_by_year,MATCH(B1924,'Data Export'!$B$6:$B$78,0),1),IF(E1924=5,INDEX(ref_exp_dist,MATCH(B1924,'Refined Petro Exp Dist'!$B$6:$B$78,0),MATCH(C1924,'Refined Petro Exp Dist'!$AD$2:$BC$2,0))*INDEX(ref_exp_by_year,MATCH(B1924,'Data Export'!$B$6:$B$78,0),1)))</f>
        <v>0</v>
      </c>
      <c r="E1924">
        <v>5</v>
      </c>
      <c r="F1924" t="s">
        <v>242</v>
      </c>
    </row>
    <row r="1925" spans="1:6">
      <c r="A1925" t="str">
        <f t="shared" si="30"/>
        <v>GenericE&amp;DtemplateCIandGOA</v>
      </c>
      <c r="B1925">
        <v>4</v>
      </c>
      <c r="C1925">
        <v>26</v>
      </c>
      <c r="D1925" s="649">
        <f ca="1">IF(E1925=4,INDEX(crude_exp_dist,MATCH(B1925,'Crude Exp Dist'!$B$6:$B$78,0),MATCH(C1925,'Crude Exp Dist'!$AD$2:$BC$2,0))*INDEX(crude_exp_by_year,MATCH(B1925,'Data Export'!$B$6:$B$78,0),1),IF(E1925=5,INDEX(ref_exp_dist,MATCH(B1925,'Refined Petro Exp Dist'!$B$6:$B$78,0),MATCH(C1925,'Refined Petro Exp Dist'!$AD$2:$BC$2,0))*INDEX(ref_exp_by_year,MATCH(B1925,'Data Export'!$B$6:$B$78,0),1)))</f>
        <v>0</v>
      </c>
      <c r="E1925">
        <v>5</v>
      </c>
      <c r="F1925" t="s">
        <v>245</v>
      </c>
    </row>
    <row r="1926" spans="1:6">
      <c r="A1926" t="str">
        <f t="shared" si="30"/>
        <v>GenericE&amp;DtemplateCIandGOA</v>
      </c>
      <c r="B1926">
        <v>5</v>
      </c>
      <c r="C1926">
        <v>1</v>
      </c>
      <c r="D1926" s="649">
        <f ca="1">IF(E1926=4,INDEX(crude_exp_dist,MATCH(B1926,'Crude Exp Dist'!$B$6:$B$78,0),MATCH(C1926,'Crude Exp Dist'!$AD$2:$BC$2,0))*INDEX(crude_exp_by_year,MATCH(B1926,'Data Export'!$B$6:$B$78,0),1),IF(E1926=5,INDEX(ref_exp_dist,MATCH(B1926,'Refined Petro Exp Dist'!$B$6:$B$78,0),MATCH(C1926,'Refined Petro Exp Dist'!$AD$2:$BC$2,0))*INDEX(ref_exp_by_year,MATCH(B1926,'Data Export'!$B$6:$B$78,0),1)))</f>
        <v>0</v>
      </c>
      <c r="E1926">
        <v>5</v>
      </c>
      <c r="F1926" t="s">
        <v>158</v>
      </c>
    </row>
    <row r="1927" spans="1:6">
      <c r="A1927" t="str">
        <f t="shared" si="30"/>
        <v>GenericE&amp;DtemplateCIandGOA</v>
      </c>
      <c r="B1927">
        <v>5</v>
      </c>
      <c r="C1927">
        <v>2</v>
      </c>
      <c r="D1927" s="649">
        <f ca="1">IF(E1927=4,INDEX(crude_exp_dist,MATCH(B1927,'Crude Exp Dist'!$B$6:$B$78,0),MATCH(C1927,'Crude Exp Dist'!$AD$2:$BC$2,0))*INDEX(crude_exp_by_year,MATCH(B1927,'Data Export'!$B$6:$B$78,0),1),IF(E1927=5,INDEX(ref_exp_dist,MATCH(B1927,'Refined Petro Exp Dist'!$B$6:$B$78,0),MATCH(C1927,'Refined Petro Exp Dist'!$AD$2:$BC$2,0))*INDEX(ref_exp_by_year,MATCH(B1927,'Data Export'!$B$6:$B$78,0),1)))</f>
        <v>0</v>
      </c>
      <c r="E1927">
        <v>5</v>
      </c>
      <c r="F1927" t="s">
        <v>166</v>
      </c>
    </row>
    <row r="1928" spans="1:6">
      <c r="A1928" t="str">
        <f t="shared" si="30"/>
        <v>GenericE&amp;DtemplateCIandGOA</v>
      </c>
      <c r="B1928">
        <v>5</v>
      </c>
      <c r="C1928">
        <v>3</v>
      </c>
      <c r="D1928" s="649">
        <f ca="1">IF(E1928=4,INDEX(crude_exp_dist,MATCH(B1928,'Crude Exp Dist'!$B$6:$B$78,0),MATCH(C1928,'Crude Exp Dist'!$AD$2:$BC$2,0))*INDEX(crude_exp_by_year,MATCH(B1928,'Data Export'!$B$6:$B$78,0),1),IF(E1928=5,INDEX(ref_exp_dist,MATCH(B1928,'Refined Petro Exp Dist'!$B$6:$B$78,0),MATCH(C1928,'Refined Petro Exp Dist'!$AD$2:$BC$2,0))*INDEX(ref_exp_by_year,MATCH(B1928,'Data Export'!$B$6:$B$78,0),1)))</f>
        <v>0</v>
      </c>
      <c r="E1928">
        <v>5</v>
      </c>
      <c r="F1928" t="s">
        <v>171</v>
      </c>
    </row>
    <row r="1929" spans="1:6">
      <c r="A1929" t="str">
        <f t="shared" si="30"/>
        <v>GenericE&amp;DtemplateCIandGOA</v>
      </c>
      <c r="B1929">
        <v>5</v>
      </c>
      <c r="C1929">
        <v>4</v>
      </c>
      <c r="D1929" s="649">
        <f ca="1">IF(E1929=4,INDEX(crude_exp_dist,MATCH(B1929,'Crude Exp Dist'!$B$6:$B$78,0),MATCH(C1929,'Crude Exp Dist'!$AD$2:$BC$2,0))*INDEX(crude_exp_by_year,MATCH(B1929,'Data Export'!$B$6:$B$78,0),1),IF(E1929=5,INDEX(ref_exp_dist,MATCH(B1929,'Refined Petro Exp Dist'!$B$6:$B$78,0),MATCH(C1929,'Refined Petro Exp Dist'!$AD$2:$BC$2,0))*INDEX(ref_exp_by_year,MATCH(B1929,'Data Export'!$B$6:$B$78,0),1)))</f>
        <v>0</v>
      </c>
      <c r="E1929">
        <v>5</v>
      </c>
      <c r="F1929" t="s">
        <v>173</v>
      </c>
    </row>
    <row r="1930" spans="1:6">
      <c r="A1930" t="str">
        <f t="shared" si="30"/>
        <v>GenericE&amp;DtemplateCIandGOA</v>
      </c>
      <c r="B1930">
        <v>5</v>
      </c>
      <c r="C1930">
        <v>5</v>
      </c>
      <c r="D1930" s="649">
        <f ca="1">IF(E1930=4,INDEX(crude_exp_dist,MATCH(B1930,'Crude Exp Dist'!$B$6:$B$78,0),MATCH(C1930,'Crude Exp Dist'!$AD$2:$BC$2,0))*INDEX(crude_exp_by_year,MATCH(B1930,'Data Export'!$B$6:$B$78,0),1),IF(E1930=5,INDEX(ref_exp_dist,MATCH(B1930,'Refined Petro Exp Dist'!$B$6:$B$78,0),MATCH(C1930,'Refined Petro Exp Dist'!$AD$2:$BC$2,0))*INDEX(ref_exp_by_year,MATCH(B1930,'Data Export'!$B$6:$B$78,0),1)))</f>
        <v>0</v>
      </c>
      <c r="E1930">
        <v>5</v>
      </c>
      <c r="F1930" t="s">
        <v>180</v>
      </c>
    </row>
    <row r="1931" spans="1:6">
      <c r="A1931" t="str">
        <f t="shared" si="30"/>
        <v>GenericE&amp;DtemplateCIandGOA</v>
      </c>
      <c r="B1931">
        <v>5</v>
      </c>
      <c r="C1931">
        <v>6</v>
      </c>
      <c r="D1931" s="649">
        <f ca="1">IF(E1931=4,INDEX(crude_exp_dist,MATCH(B1931,'Crude Exp Dist'!$B$6:$B$78,0),MATCH(C1931,'Crude Exp Dist'!$AD$2:$BC$2,0))*INDEX(crude_exp_by_year,MATCH(B1931,'Data Export'!$B$6:$B$78,0),1),IF(E1931=5,INDEX(ref_exp_dist,MATCH(B1931,'Refined Petro Exp Dist'!$B$6:$B$78,0),MATCH(C1931,'Refined Petro Exp Dist'!$AD$2:$BC$2,0))*INDEX(ref_exp_by_year,MATCH(B1931,'Data Export'!$B$6:$B$78,0),1)))</f>
        <v>0</v>
      </c>
      <c r="E1931">
        <v>5</v>
      </c>
      <c r="F1931" t="s">
        <v>186</v>
      </c>
    </row>
    <row r="1932" spans="1:6">
      <c r="A1932" t="str">
        <f t="shared" si="30"/>
        <v>GenericE&amp;DtemplateCIandGOA</v>
      </c>
      <c r="B1932">
        <v>5</v>
      </c>
      <c r="C1932">
        <v>7</v>
      </c>
      <c r="D1932" s="649">
        <f ca="1">IF(E1932=4,INDEX(crude_exp_dist,MATCH(B1932,'Crude Exp Dist'!$B$6:$B$78,0),MATCH(C1932,'Crude Exp Dist'!$AD$2:$BC$2,0))*INDEX(crude_exp_by_year,MATCH(B1932,'Data Export'!$B$6:$B$78,0),1),IF(E1932=5,INDEX(ref_exp_dist,MATCH(B1932,'Refined Petro Exp Dist'!$B$6:$B$78,0),MATCH(C1932,'Refined Petro Exp Dist'!$AD$2:$BC$2,0))*INDEX(ref_exp_by_year,MATCH(B1932,'Data Export'!$B$6:$B$78,0),1)))</f>
        <v>0</v>
      </c>
      <c r="E1932">
        <v>5</v>
      </c>
      <c r="F1932" t="s">
        <v>191</v>
      </c>
    </row>
    <row r="1933" spans="1:6">
      <c r="A1933" t="str">
        <f t="shared" si="30"/>
        <v>GenericE&amp;DtemplateCIandGOA</v>
      </c>
      <c r="B1933">
        <v>5</v>
      </c>
      <c r="C1933">
        <v>8</v>
      </c>
      <c r="D1933" s="649">
        <f ca="1">IF(E1933=4,INDEX(crude_exp_dist,MATCH(B1933,'Crude Exp Dist'!$B$6:$B$78,0),MATCH(C1933,'Crude Exp Dist'!$AD$2:$BC$2,0))*INDEX(crude_exp_by_year,MATCH(B1933,'Data Export'!$B$6:$B$78,0),1),IF(E1933=5,INDEX(ref_exp_dist,MATCH(B1933,'Refined Petro Exp Dist'!$B$6:$B$78,0),MATCH(C1933,'Refined Petro Exp Dist'!$AD$2:$BC$2,0))*INDEX(ref_exp_by_year,MATCH(B1933,'Data Export'!$B$6:$B$78,0),1)))</f>
        <v>0</v>
      </c>
      <c r="E1933">
        <v>5</v>
      </c>
      <c r="F1933" t="s">
        <v>197</v>
      </c>
    </row>
    <row r="1934" spans="1:6">
      <c r="A1934" t="str">
        <f t="shared" si="30"/>
        <v>GenericE&amp;DtemplateCIandGOA</v>
      </c>
      <c r="B1934">
        <v>5</v>
      </c>
      <c r="C1934">
        <v>9</v>
      </c>
      <c r="D1934" s="649">
        <f ca="1">IF(E1934=4,INDEX(crude_exp_dist,MATCH(B1934,'Crude Exp Dist'!$B$6:$B$78,0),MATCH(C1934,'Crude Exp Dist'!$AD$2:$BC$2,0))*INDEX(crude_exp_by_year,MATCH(B1934,'Data Export'!$B$6:$B$78,0),1),IF(E1934=5,INDEX(ref_exp_dist,MATCH(B1934,'Refined Petro Exp Dist'!$B$6:$B$78,0),MATCH(C1934,'Refined Petro Exp Dist'!$AD$2:$BC$2,0))*INDEX(ref_exp_by_year,MATCH(B1934,'Data Export'!$B$6:$B$78,0),1)))</f>
        <v>0</v>
      </c>
      <c r="E1934">
        <v>5</v>
      </c>
      <c r="F1934" t="s">
        <v>199</v>
      </c>
    </row>
    <row r="1935" spans="1:6">
      <c r="A1935" t="str">
        <f t="shared" si="30"/>
        <v>GenericE&amp;DtemplateCIandGOA</v>
      </c>
      <c r="B1935">
        <v>5</v>
      </c>
      <c r="C1935">
        <v>10</v>
      </c>
      <c r="D1935" s="649">
        <f ca="1">IF(E1935=4,INDEX(crude_exp_dist,MATCH(B1935,'Crude Exp Dist'!$B$6:$B$78,0),MATCH(C1935,'Crude Exp Dist'!$AD$2:$BC$2,0))*INDEX(crude_exp_by_year,MATCH(B1935,'Data Export'!$B$6:$B$78,0),1),IF(E1935=5,INDEX(ref_exp_dist,MATCH(B1935,'Refined Petro Exp Dist'!$B$6:$B$78,0),MATCH(C1935,'Refined Petro Exp Dist'!$AD$2:$BC$2,0))*INDEX(ref_exp_by_year,MATCH(B1935,'Data Export'!$B$6:$B$78,0),1)))</f>
        <v>0</v>
      </c>
      <c r="E1935">
        <v>5</v>
      </c>
      <c r="F1935" t="s">
        <v>201</v>
      </c>
    </row>
    <row r="1936" spans="1:6">
      <c r="A1936" t="str">
        <f t="shared" si="30"/>
        <v>GenericE&amp;DtemplateCIandGOA</v>
      </c>
      <c r="B1936">
        <v>5</v>
      </c>
      <c r="C1936">
        <v>11</v>
      </c>
      <c r="D1936" s="649">
        <f ca="1">IF(E1936=4,INDEX(crude_exp_dist,MATCH(B1936,'Crude Exp Dist'!$B$6:$B$78,0),MATCH(C1936,'Crude Exp Dist'!$AD$2:$BC$2,0))*INDEX(crude_exp_by_year,MATCH(B1936,'Data Export'!$B$6:$B$78,0),1),IF(E1936=5,INDEX(ref_exp_dist,MATCH(B1936,'Refined Petro Exp Dist'!$B$6:$B$78,0),MATCH(C1936,'Refined Petro Exp Dist'!$AD$2:$BC$2,0))*INDEX(ref_exp_by_year,MATCH(B1936,'Data Export'!$B$6:$B$78,0),1)))</f>
        <v>0</v>
      </c>
      <c r="E1936">
        <v>5</v>
      </c>
      <c r="F1936" t="s">
        <v>921</v>
      </c>
    </row>
    <row r="1937" spans="1:6">
      <c r="A1937" t="str">
        <f t="shared" si="30"/>
        <v>GenericE&amp;DtemplateCIandGOA</v>
      </c>
      <c r="B1937">
        <v>5</v>
      </c>
      <c r="C1937">
        <v>12</v>
      </c>
      <c r="D1937" s="649">
        <f ca="1">IF(E1937=4,INDEX(crude_exp_dist,MATCH(B1937,'Crude Exp Dist'!$B$6:$B$78,0),MATCH(C1937,'Crude Exp Dist'!$AD$2:$BC$2,0))*INDEX(crude_exp_by_year,MATCH(B1937,'Data Export'!$B$6:$B$78,0),1),IF(E1937=5,INDEX(ref_exp_dist,MATCH(B1937,'Refined Petro Exp Dist'!$B$6:$B$78,0),MATCH(C1937,'Refined Petro Exp Dist'!$AD$2:$BC$2,0))*INDEX(ref_exp_by_year,MATCH(B1937,'Data Export'!$B$6:$B$78,0),1)))</f>
        <v>3.0950005659722279E-2</v>
      </c>
      <c r="E1937">
        <v>5</v>
      </c>
      <c r="F1937" t="s">
        <v>208</v>
      </c>
    </row>
    <row r="1938" spans="1:6">
      <c r="A1938" t="str">
        <f t="shared" si="30"/>
        <v>GenericE&amp;DtemplateCIandGOA</v>
      </c>
      <c r="B1938">
        <v>5</v>
      </c>
      <c r="C1938">
        <v>13</v>
      </c>
      <c r="D1938" s="649">
        <f ca="1">IF(E1938=4,INDEX(crude_exp_dist,MATCH(B1938,'Crude Exp Dist'!$B$6:$B$78,0),MATCH(C1938,'Crude Exp Dist'!$AD$2:$BC$2,0))*INDEX(crude_exp_by_year,MATCH(B1938,'Data Export'!$B$6:$B$78,0),1),IF(E1938=5,INDEX(ref_exp_dist,MATCH(B1938,'Refined Petro Exp Dist'!$B$6:$B$78,0),MATCH(C1938,'Refined Petro Exp Dist'!$AD$2:$BC$2,0))*INDEX(ref_exp_by_year,MATCH(B1938,'Data Export'!$B$6:$B$78,0),1)))</f>
        <v>0</v>
      </c>
      <c r="E1938">
        <v>5</v>
      </c>
      <c r="F1938" t="s">
        <v>211</v>
      </c>
    </row>
    <row r="1939" spans="1:6">
      <c r="A1939" t="str">
        <f t="shared" si="30"/>
        <v>GenericE&amp;DtemplateCIandGOA</v>
      </c>
      <c r="B1939">
        <v>5</v>
      </c>
      <c r="C1939">
        <v>14</v>
      </c>
      <c r="D1939" s="649">
        <f ca="1">IF(E1939=4,INDEX(crude_exp_dist,MATCH(B1939,'Crude Exp Dist'!$B$6:$B$78,0),MATCH(C1939,'Crude Exp Dist'!$AD$2:$BC$2,0))*INDEX(crude_exp_by_year,MATCH(B1939,'Data Export'!$B$6:$B$78,0),1),IF(E1939=5,INDEX(ref_exp_dist,MATCH(B1939,'Refined Petro Exp Dist'!$B$6:$B$78,0),MATCH(C1939,'Refined Petro Exp Dist'!$AD$2:$BC$2,0))*INDEX(ref_exp_by_year,MATCH(B1939,'Data Export'!$B$6:$B$78,0),1)))</f>
        <v>0</v>
      </c>
      <c r="E1939">
        <v>5</v>
      </c>
      <c r="F1939" t="s">
        <v>213</v>
      </c>
    </row>
    <row r="1940" spans="1:6">
      <c r="A1940" t="str">
        <f t="shared" si="30"/>
        <v>GenericE&amp;DtemplateCIandGOA</v>
      </c>
      <c r="B1940">
        <v>5</v>
      </c>
      <c r="C1940">
        <v>15</v>
      </c>
      <c r="D1940" s="649">
        <f ca="1">IF(E1940=4,INDEX(crude_exp_dist,MATCH(B1940,'Crude Exp Dist'!$B$6:$B$78,0),MATCH(C1940,'Crude Exp Dist'!$AD$2:$BC$2,0))*INDEX(crude_exp_by_year,MATCH(B1940,'Data Export'!$B$6:$B$78,0),1),IF(E1940=5,INDEX(ref_exp_dist,MATCH(B1940,'Refined Petro Exp Dist'!$B$6:$B$78,0),MATCH(C1940,'Refined Petro Exp Dist'!$AD$2:$BC$2,0))*INDEX(ref_exp_by_year,MATCH(B1940,'Data Export'!$B$6:$B$78,0),1)))</f>
        <v>0</v>
      </c>
      <c r="E1940">
        <v>5</v>
      </c>
      <c r="F1940" t="s">
        <v>215</v>
      </c>
    </row>
    <row r="1941" spans="1:6">
      <c r="A1941" t="str">
        <f t="shared" si="30"/>
        <v>GenericE&amp;DtemplateCIandGOA</v>
      </c>
      <c r="B1941">
        <v>5</v>
      </c>
      <c r="C1941">
        <v>16</v>
      </c>
      <c r="D1941" s="649">
        <f ca="1">IF(E1941=4,INDEX(crude_exp_dist,MATCH(B1941,'Crude Exp Dist'!$B$6:$B$78,0),MATCH(C1941,'Crude Exp Dist'!$AD$2:$BC$2,0))*INDEX(crude_exp_by_year,MATCH(B1941,'Data Export'!$B$6:$B$78,0),1),IF(E1941=5,INDEX(ref_exp_dist,MATCH(B1941,'Refined Petro Exp Dist'!$B$6:$B$78,0),MATCH(C1941,'Refined Petro Exp Dist'!$AD$2:$BC$2,0))*INDEX(ref_exp_by_year,MATCH(B1941,'Data Export'!$B$6:$B$78,0),1)))</f>
        <v>0</v>
      </c>
      <c r="E1941">
        <v>5</v>
      </c>
      <c r="F1941" t="s">
        <v>219</v>
      </c>
    </row>
    <row r="1942" spans="1:6">
      <c r="A1942" t="str">
        <f t="shared" si="30"/>
        <v>GenericE&amp;DtemplateCIandGOA</v>
      </c>
      <c r="B1942">
        <v>5</v>
      </c>
      <c r="C1942">
        <v>17</v>
      </c>
      <c r="D1942" s="649">
        <f ca="1">IF(E1942=4,INDEX(crude_exp_dist,MATCH(B1942,'Crude Exp Dist'!$B$6:$B$78,0),MATCH(C1942,'Crude Exp Dist'!$AD$2:$BC$2,0))*INDEX(crude_exp_by_year,MATCH(B1942,'Data Export'!$B$6:$B$78,0),1),IF(E1942=5,INDEX(ref_exp_dist,MATCH(B1942,'Refined Petro Exp Dist'!$B$6:$B$78,0),MATCH(C1942,'Refined Petro Exp Dist'!$AD$2:$BC$2,0))*INDEX(ref_exp_by_year,MATCH(B1942,'Data Export'!$B$6:$B$78,0),1)))</f>
        <v>0</v>
      </c>
      <c r="E1942">
        <v>5</v>
      </c>
      <c r="F1942" t="s">
        <v>222</v>
      </c>
    </row>
    <row r="1943" spans="1:6">
      <c r="A1943" t="str">
        <f t="shared" si="30"/>
        <v>GenericE&amp;DtemplateCIandGOA</v>
      </c>
      <c r="B1943">
        <v>5</v>
      </c>
      <c r="C1943">
        <v>18</v>
      </c>
      <c r="D1943" s="649">
        <f ca="1">IF(E1943=4,INDEX(crude_exp_dist,MATCH(B1943,'Crude Exp Dist'!$B$6:$B$78,0),MATCH(C1943,'Crude Exp Dist'!$AD$2:$BC$2,0))*INDEX(crude_exp_by_year,MATCH(B1943,'Data Export'!$B$6:$B$78,0),1),IF(E1943=5,INDEX(ref_exp_dist,MATCH(B1943,'Refined Petro Exp Dist'!$B$6:$B$78,0),MATCH(C1943,'Refined Petro Exp Dist'!$AD$2:$BC$2,0))*INDEX(ref_exp_by_year,MATCH(B1943,'Data Export'!$B$6:$B$78,0),1)))</f>
        <v>0</v>
      </c>
      <c r="E1943">
        <v>5</v>
      </c>
      <c r="F1943" t="s">
        <v>224</v>
      </c>
    </row>
    <row r="1944" spans="1:6">
      <c r="A1944" t="str">
        <f t="shared" si="30"/>
        <v>GenericE&amp;DtemplateCIandGOA</v>
      </c>
      <c r="B1944">
        <v>5</v>
      </c>
      <c r="C1944">
        <v>19</v>
      </c>
      <c r="D1944" s="649">
        <f ca="1">IF(E1944=4,INDEX(crude_exp_dist,MATCH(B1944,'Crude Exp Dist'!$B$6:$B$78,0),MATCH(C1944,'Crude Exp Dist'!$AD$2:$BC$2,0))*INDEX(crude_exp_by_year,MATCH(B1944,'Data Export'!$B$6:$B$78,0),1),IF(E1944=5,INDEX(ref_exp_dist,MATCH(B1944,'Refined Petro Exp Dist'!$B$6:$B$78,0),MATCH(C1944,'Refined Petro Exp Dist'!$AD$2:$BC$2,0))*INDEX(ref_exp_by_year,MATCH(B1944,'Data Export'!$B$6:$B$78,0),1)))</f>
        <v>0</v>
      </c>
      <c r="E1944">
        <v>5</v>
      </c>
      <c r="F1944" t="s">
        <v>228</v>
      </c>
    </row>
    <row r="1945" spans="1:6">
      <c r="A1945" t="str">
        <f t="shared" si="30"/>
        <v>GenericE&amp;DtemplateCIandGOA</v>
      </c>
      <c r="B1945">
        <v>5</v>
      </c>
      <c r="C1945">
        <v>20</v>
      </c>
      <c r="D1945" s="649">
        <f ca="1">IF(E1945=4,INDEX(crude_exp_dist,MATCH(B1945,'Crude Exp Dist'!$B$6:$B$78,0),MATCH(C1945,'Crude Exp Dist'!$AD$2:$BC$2,0))*INDEX(crude_exp_by_year,MATCH(B1945,'Data Export'!$B$6:$B$78,0),1),IF(E1945=5,INDEX(ref_exp_dist,MATCH(B1945,'Refined Petro Exp Dist'!$B$6:$B$78,0),MATCH(C1945,'Refined Petro Exp Dist'!$AD$2:$BC$2,0))*INDEX(ref_exp_by_year,MATCH(B1945,'Data Export'!$B$6:$B$78,0),1)))</f>
        <v>0</v>
      </c>
      <c r="E1945">
        <v>5</v>
      </c>
      <c r="F1945" t="s">
        <v>231</v>
      </c>
    </row>
    <row r="1946" spans="1:6">
      <c r="A1946" t="str">
        <f t="shared" si="30"/>
        <v>GenericE&amp;DtemplateCIandGOA</v>
      </c>
      <c r="B1946">
        <v>5</v>
      </c>
      <c r="C1946">
        <v>21</v>
      </c>
      <c r="D1946" s="649">
        <f ca="1">IF(E1946=4,INDEX(crude_exp_dist,MATCH(B1946,'Crude Exp Dist'!$B$6:$B$78,0),MATCH(C1946,'Crude Exp Dist'!$AD$2:$BC$2,0))*INDEX(crude_exp_by_year,MATCH(B1946,'Data Export'!$B$6:$B$78,0),1),IF(E1946=5,INDEX(ref_exp_dist,MATCH(B1946,'Refined Petro Exp Dist'!$B$6:$B$78,0),MATCH(C1946,'Refined Petro Exp Dist'!$AD$2:$BC$2,0))*INDEX(ref_exp_by_year,MATCH(B1946,'Data Export'!$B$6:$B$78,0),1)))</f>
        <v>0</v>
      </c>
      <c r="E1946">
        <v>5</v>
      </c>
      <c r="F1946" t="s">
        <v>232</v>
      </c>
    </row>
    <row r="1947" spans="1:6">
      <c r="A1947" t="str">
        <f t="shared" si="30"/>
        <v>GenericE&amp;DtemplateCIandGOA</v>
      </c>
      <c r="B1947">
        <v>5</v>
      </c>
      <c r="C1947">
        <v>22</v>
      </c>
      <c r="D1947" s="649">
        <f ca="1">IF(E1947=4,INDEX(crude_exp_dist,MATCH(B1947,'Crude Exp Dist'!$B$6:$B$78,0),MATCH(C1947,'Crude Exp Dist'!$AD$2:$BC$2,0))*INDEX(crude_exp_by_year,MATCH(B1947,'Data Export'!$B$6:$B$78,0),1),IF(E1947=5,INDEX(ref_exp_dist,MATCH(B1947,'Refined Petro Exp Dist'!$B$6:$B$78,0),MATCH(C1947,'Refined Petro Exp Dist'!$AD$2:$BC$2,0))*INDEX(ref_exp_by_year,MATCH(B1947,'Data Export'!$B$6:$B$78,0),1)))</f>
        <v>0</v>
      </c>
      <c r="E1947">
        <v>5</v>
      </c>
      <c r="F1947" t="s">
        <v>235</v>
      </c>
    </row>
    <row r="1948" spans="1:6">
      <c r="A1948" t="str">
        <f t="shared" si="30"/>
        <v>GenericE&amp;DtemplateCIandGOA</v>
      </c>
      <c r="B1948">
        <v>5</v>
      </c>
      <c r="C1948">
        <v>23</v>
      </c>
      <c r="D1948" s="649">
        <f ca="1">IF(E1948=4,INDEX(crude_exp_dist,MATCH(B1948,'Crude Exp Dist'!$B$6:$B$78,0),MATCH(C1948,'Crude Exp Dist'!$AD$2:$BC$2,0))*INDEX(crude_exp_by_year,MATCH(B1948,'Data Export'!$B$6:$B$78,0),1),IF(E1948=5,INDEX(ref_exp_dist,MATCH(B1948,'Refined Petro Exp Dist'!$B$6:$B$78,0),MATCH(C1948,'Refined Petro Exp Dist'!$AD$2:$BC$2,0))*INDEX(ref_exp_by_year,MATCH(B1948,'Data Export'!$B$6:$B$78,0),1)))</f>
        <v>0</v>
      </c>
      <c r="E1948">
        <v>5</v>
      </c>
      <c r="F1948" t="s">
        <v>237</v>
      </c>
    </row>
    <row r="1949" spans="1:6">
      <c r="A1949" t="str">
        <f t="shared" si="30"/>
        <v>GenericE&amp;DtemplateCIandGOA</v>
      </c>
      <c r="B1949">
        <v>5</v>
      </c>
      <c r="C1949">
        <v>24</v>
      </c>
      <c r="D1949" s="649">
        <f ca="1">IF(E1949=4,INDEX(crude_exp_dist,MATCH(B1949,'Crude Exp Dist'!$B$6:$B$78,0),MATCH(C1949,'Crude Exp Dist'!$AD$2:$BC$2,0))*INDEX(crude_exp_by_year,MATCH(B1949,'Data Export'!$B$6:$B$78,0),1),IF(E1949=5,INDEX(ref_exp_dist,MATCH(B1949,'Refined Petro Exp Dist'!$B$6:$B$78,0),MATCH(C1949,'Refined Petro Exp Dist'!$AD$2:$BC$2,0))*INDEX(ref_exp_by_year,MATCH(B1949,'Data Export'!$B$6:$B$78,0),1)))</f>
        <v>0</v>
      </c>
      <c r="E1949">
        <v>5</v>
      </c>
      <c r="F1949" t="s">
        <v>239</v>
      </c>
    </row>
    <row r="1950" spans="1:6">
      <c r="A1950" t="str">
        <f t="shared" si="30"/>
        <v>GenericE&amp;DtemplateCIandGOA</v>
      </c>
      <c r="B1950">
        <v>5</v>
      </c>
      <c r="C1950">
        <v>25</v>
      </c>
      <c r="D1950" s="649">
        <f ca="1">IF(E1950=4,INDEX(crude_exp_dist,MATCH(B1950,'Crude Exp Dist'!$B$6:$B$78,0),MATCH(C1950,'Crude Exp Dist'!$AD$2:$BC$2,0))*INDEX(crude_exp_by_year,MATCH(B1950,'Data Export'!$B$6:$B$78,0),1),IF(E1950=5,INDEX(ref_exp_dist,MATCH(B1950,'Refined Petro Exp Dist'!$B$6:$B$78,0),MATCH(C1950,'Refined Petro Exp Dist'!$AD$2:$BC$2,0))*INDEX(ref_exp_by_year,MATCH(B1950,'Data Export'!$B$6:$B$78,0),1)))</f>
        <v>0</v>
      </c>
      <c r="E1950">
        <v>5</v>
      </c>
      <c r="F1950" t="s">
        <v>242</v>
      </c>
    </row>
    <row r="1951" spans="1:6">
      <c r="A1951" t="str">
        <f t="shared" si="30"/>
        <v>GenericE&amp;DtemplateCIandGOA</v>
      </c>
      <c r="B1951">
        <v>5</v>
      </c>
      <c r="C1951">
        <v>26</v>
      </c>
      <c r="D1951" s="649">
        <f ca="1">IF(E1951=4,INDEX(crude_exp_dist,MATCH(B1951,'Crude Exp Dist'!$B$6:$B$78,0),MATCH(C1951,'Crude Exp Dist'!$AD$2:$BC$2,0))*INDEX(crude_exp_by_year,MATCH(B1951,'Data Export'!$B$6:$B$78,0),1),IF(E1951=5,INDEX(ref_exp_dist,MATCH(B1951,'Refined Petro Exp Dist'!$B$6:$B$78,0),MATCH(C1951,'Refined Petro Exp Dist'!$AD$2:$BC$2,0))*INDEX(ref_exp_by_year,MATCH(B1951,'Data Export'!$B$6:$B$78,0),1)))</f>
        <v>0</v>
      </c>
      <c r="E1951">
        <v>5</v>
      </c>
      <c r="F1951" t="s">
        <v>245</v>
      </c>
    </row>
    <row r="1952" spans="1:6">
      <c r="A1952" t="str">
        <f t="shared" si="30"/>
        <v>GenericE&amp;DtemplateCIandGOA</v>
      </c>
      <c r="B1952">
        <v>6</v>
      </c>
      <c r="C1952">
        <v>1</v>
      </c>
      <c r="D1952" s="649">
        <f ca="1">IF(E1952=4,INDEX(crude_exp_dist,MATCH(B1952,'Crude Exp Dist'!$B$6:$B$78,0),MATCH(C1952,'Crude Exp Dist'!$AD$2:$BC$2,0))*INDEX(crude_exp_by_year,MATCH(B1952,'Data Export'!$B$6:$B$78,0),1),IF(E1952=5,INDEX(ref_exp_dist,MATCH(B1952,'Refined Petro Exp Dist'!$B$6:$B$78,0),MATCH(C1952,'Refined Petro Exp Dist'!$AD$2:$BC$2,0))*INDEX(ref_exp_by_year,MATCH(B1952,'Data Export'!$B$6:$B$78,0),1)))</f>
        <v>0</v>
      </c>
      <c r="E1952">
        <v>5</v>
      </c>
      <c r="F1952" t="s">
        <v>158</v>
      </c>
    </row>
    <row r="1953" spans="1:6">
      <c r="A1953" t="str">
        <f t="shared" si="30"/>
        <v>GenericE&amp;DtemplateCIandGOA</v>
      </c>
      <c r="B1953">
        <v>6</v>
      </c>
      <c r="C1953">
        <v>2</v>
      </c>
      <c r="D1953" s="649">
        <f ca="1">IF(E1953=4,INDEX(crude_exp_dist,MATCH(B1953,'Crude Exp Dist'!$B$6:$B$78,0),MATCH(C1953,'Crude Exp Dist'!$AD$2:$BC$2,0))*INDEX(crude_exp_by_year,MATCH(B1953,'Data Export'!$B$6:$B$78,0),1),IF(E1953=5,INDEX(ref_exp_dist,MATCH(B1953,'Refined Petro Exp Dist'!$B$6:$B$78,0),MATCH(C1953,'Refined Petro Exp Dist'!$AD$2:$BC$2,0))*INDEX(ref_exp_by_year,MATCH(B1953,'Data Export'!$B$6:$B$78,0),1)))</f>
        <v>0</v>
      </c>
      <c r="E1953">
        <v>5</v>
      </c>
      <c r="F1953" t="s">
        <v>166</v>
      </c>
    </row>
    <row r="1954" spans="1:6">
      <c r="A1954" t="str">
        <f t="shared" si="30"/>
        <v>GenericE&amp;DtemplateCIandGOA</v>
      </c>
      <c r="B1954">
        <v>6</v>
      </c>
      <c r="C1954">
        <v>3</v>
      </c>
      <c r="D1954" s="649">
        <f ca="1">IF(E1954=4,INDEX(crude_exp_dist,MATCH(B1954,'Crude Exp Dist'!$B$6:$B$78,0),MATCH(C1954,'Crude Exp Dist'!$AD$2:$BC$2,0))*INDEX(crude_exp_by_year,MATCH(B1954,'Data Export'!$B$6:$B$78,0),1),IF(E1954=5,INDEX(ref_exp_dist,MATCH(B1954,'Refined Petro Exp Dist'!$B$6:$B$78,0),MATCH(C1954,'Refined Petro Exp Dist'!$AD$2:$BC$2,0))*INDEX(ref_exp_by_year,MATCH(B1954,'Data Export'!$B$6:$B$78,0),1)))</f>
        <v>0</v>
      </c>
      <c r="E1954">
        <v>5</v>
      </c>
      <c r="F1954" t="s">
        <v>171</v>
      </c>
    </row>
    <row r="1955" spans="1:6">
      <c r="A1955" t="str">
        <f t="shared" si="30"/>
        <v>GenericE&amp;DtemplateCIandGOA</v>
      </c>
      <c r="B1955">
        <v>6</v>
      </c>
      <c r="C1955">
        <v>4</v>
      </c>
      <c r="D1955" s="649">
        <f ca="1">IF(E1955=4,INDEX(crude_exp_dist,MATCH(B1955,'Crude Exp Dist'!$B$6:$B$78,0),MATCH(C1955,'Crude Exp Dist'!$AD$2:$BC$2,0))*INDEX(crude_exp_by_year,MATCH(B1955,'Data Export'!$B$6:$B$78,0),1),IF(E1955=5,INDEX(ref_exp_dist,MATCH(B1955,'Refined Petro Exp Dist'!$B$6:$B$78,0),MATCH(C1955,'Refined Petro Exp Dist'!$AD$2:$BC$2,0))*INDEX(ref_exp_by_year,MATCH(B1955,'Data Export'!$B$6:$B$78,0),1)))</f>
        <v>0</v>
      </c>
      <c r="E1955">
        <v>5</v>
      </c>
      <c r="F1955" t="s">
        <v>173</v>
      </c>
    </row>
    <row r="1956" spans="1:6">
      <c r="A1956" t="str">
        <f t="shared" si="30"/>
        <v>GenericE&amp;DtemplateCIandGOA</v>
      </c>
      <c r="B1956">
        <v>6</v>
      </c>
      <c r="C1956">
        <v>5</v>
      </c>
      <c r="D1956" s="649">
        <f ca="1">IF(E1956=4,INDEX(crude_exp_dist,MATCH(B1956,'Crude Exp Dist'!$B$6:$B$78,0),MATCH(C1956,'Crude Exp Dist'!$AD$2:$BC$2,0))*INDEX(crude_exp_by_year,MATCH(B1956,'Data Export'!$B$6:$B$78,0),1),IF(E1956=5,INDEX(ref_exp_dist,MATCH(B1956,'Refined Petro Exp Dist'!$B$6:$B$78,0),MATCH(C1956,'Refined Petro Exp Dist'!$AD$2:$BC$2,0))*INDEX(ref_exp_by_year,MATCH(B1956,'Data Export'!$B$6:$B$78,0),1)))</f>
        <v>0</v>
      </c>
      <c r="E1956">
        <v>5</v>
      </c>
      <c r="F1956" t="s">
        <v>180</v>
      </c>
    </row>
    <row r="1957" spans="1:6">
      <c r="A1957" t="str">
        <f t="shared" si="30"/>
        <v>GenericE&amp;DtemplateCIandGOA</v>
      </c>
      <c r="B1957">
        <v>6</v>
      </c>
      <c r="C1957">
        <v>6</v>
      </c>
      <c r="D1957" s="649">
        <f ca="1">IF(E1957=4,INDEX(crude_exp_dist,MATCH(B1957,'Crude Exp Dist'!$B$6:$B$78,0),MATCH(C1957,'Crude Exp Dist'!$AD$2:$BC$2,0))*INDEX(crude_exp_by_year,MATCH(B1957,'Data Export'!$B$6:$B$78,0),1),IF(E1957=5,INDEX(ref_exp_dist,MATCH(B1957,'Refined Petro Exp Dist'!$B$6:$B$78,0),MATCH(C1957,'Refined Petro Exp Dist'!$AD$2:$BC$2,0))*INDEX(ref_exp_by_year,MATCH(B1957,'Data Export'!$B$6:$B$78,0),1)))</f>
        <v>0</v>
      </c>
      <c r="E1957">
        <v>5</v>
      </c>
      <c r="F1957" t="s">
        <v>186</v>
      </c>
    </row>
    <row r="1958" spans="1:6">
      <c r="A1958" t="str">
        <f t="shared" si="30"/>
        <v>GenericE&amp;DtemplateCIandGOA</v>
      </c>
      <c r="B1958">
        <v>6</v>
      </c>
      <c r="C1958">
        <v>7</v>
      </c>
      <c r="D1958" s="649">
        <f ca="1">IF(E1958=4,INDEX(crude_exp_dist,MATCH(B1958,'Crude Exp Dist'!$B$6:$B$78,0),MATCH(C1958,'Crude Exp Dist'!$AD$2:$BC$2,0))*INDEX(crude_exp_by_year,MATCH(B1958,'Data Export'!$B$6:$B$78,0),1),IF(E1958=5,INDEX(ref_exp_dist,MATCH(B1958,'Refined Petro Exp Dist'!$B$6:$B$78,0),MATCH(C1958,'Refined Petro Exp Dist'!$AD$2:$BC$2,0))*INDEX(ref_exp_by_year,MATCH(B1958,'Data Export'!$B$6:$B$78,0),1)))</f>
        <v>0</v>
      </c>
      <c r="E1958">
        <v>5</v>
      </c>
      <c r="F1958" t="s">
        <v>191</v>
      </c>
    </row>
    <row r="1959" spans="1:6">
      <c r="A1959" t="str">
        <f t="shared" si="30"/>
        <v>GenericE&amp;DtemplateCIandGOA</v>
      </c>
      <c r="B1959">
        <v>6</v>
      </c>
      <c r="C1959">
        <v>8</v>
      </c>
      <c r="D1959" s="649">
        <f ca="1">IF(E1959=4,INDEX(crude_exp_dist,MATCH(B1959,'Crude Exp Dist'!$B$6:$B$78,0),MATCH(C1959,'Crude Exp Dist'!$AD$2:$BC$2,0))*INDEX(crude_exp_by_year,MATCH(B1959,'Data Export'!$B$6:$B$78,0),1),IF(E1959=5,INDEX(ref_exp_dist,MATCH(B1959,'Refined Petro Exp Dist'!$B$6:$B$78,0),MATCH(C1959,'Refined Petro Exp Dist'!$AD$2:$BC$2,0))*INDEX(ref_exp_by_year,MATCH(B1959,'Data Export'!$B$6:$B$78,0),1)))</f>
        <v>0</v>
      </c>
      <c r="E1959">
        <v>5</v>
      </c>
      <c r="F1959" t="s">
        <v>197</v>
      </c>
    </row>
    <row r="1960" spans="1:6">
      <c r="A1960" t="str">
        <f t="shared" si="30"/>
        <v>GenericE&amp;DtemplateCIandGOA</v>
      </c>
      <c r="B1960">
        <v>6</v>
      </c>
      <c r="C1960">
        <v>9</v>
      </c>
      <c r="D1960" s="649">
        <f ca="1">IF(E1960=4,INDEX(crude_exp_dist,MATCH(B1960,'Crude Exp Dist'!$B$6:$B$78,0),MATCH(C1960,'Crude Exp Dist'!$AD$2:$BC$2,0))*INDEX(crude_exp_by_year,MATCH(B1960,'Data Export'!$B$6:$B$78,0),1),IF(E1960=5,INDEX(ref_exp_dist,MATCH(B1960,'Refined Petro Exp Dist'!$B$6:$B$78,0),MATCH(C1960,'Refined Petro Exp Dist'!$AD$2:$BC$2,0))*INDEX(ref_exp_by_year,MATCH(B1960,'Data Export'!$B$6:$B$78,0),1)))</f>
        <v>0</v>
      </c>
      <c r="E1960">
        <v>5</v>
      </c>
      <c r="F1960" t="s">
        <v>199</v>
      </c>
    </row>
    <row r="1961" spans="1:6">
      <c r="A1961" t="str">
        <f t="shared" si="30"/>
        <v>GenericE&amp;DtemplateCIandGOA</v>
      </c>
      <c r="B1961">
        <v>6</v>
      </c>
      <c r="C1961">
        <v>10</v>
      </c>
      <c r="D1961" s="649">
        <f ca="1">IF(E1961=4,INDEX(crude_exp_dist,MATCH(B1961,'Crude Exp Dist'!$B$6:$B$78,0),MATCH(C1961,'Crude Exp Dist'!$AD$2:$BC$2,0))*INDEX(crude_exp_by_year,MATCH(B1961,'Data Export'!$B$6:$B$78,0),1),IF(E1961=5,INDEX(ref_exp_dist,MATCH(B1961,'Refined Petro Exp Dist'!$B$6:$B$78,0),MATCH(C1961,'Refined Petro Exp Dist'!$AD$2:$BC$2,0))*INDEX(ref_exp_by_year,MATCH(B1961,'Data Export'!$B$6:$B$78,0),1)))</f>
        <v>0</v>
      </c>
      <c r="E1961">
        <v>5</v>
      </c>
      <c r="F1961" t="s">
        <v>201</v>
      </c>
    </row>
    <row r="1962" spans="1:6">
      <c r="A1962" t="str">
        <f t="shared" si="30"/>
        <v>GenericE&amp;DtemplateCIandGOA</v>
      </c>
      <c r="B1962">
        <v>6</v>
      </c>
      <c r="C1962">
        <v>11</v>
      </c>
      <c r="D1962" s="649">
        <f ca="1">IF(E1962=4,INDEX(crude_exp_dist,MATCH(B1962,'Crude Exp Dist'!$B$6:$B$78,0),MATCH(C1962,'Crude Exp Dist'!$AD$2:$BC$2,0))*INDEX(crude_exp_by_year,MATCH(B1962,'Data Export'!$B$6:$B$78,0),1),IF(E1962=5,INDEX(ref_exp_dist,MATCH(B1962,'Refined Petro Exp Dist'!$B$6:$B$78,0),MATCH(C1962,'Refined Petro Exp Dist'!$AD$2:$BC$2,0))*INDEX(ref_exp_by_year,MATCH(B1962,'Data Export'!$B$6:$B$78,0),1)))</f>
        <v>0</v>
      </c>
      <c r="E1962">
        <v>5</v>
      </c>
      <c r="F1962" t="s">
        <v>921</v>
      </c>
    </row>
    <row r="1963" spans="1:6">
      <c r="A1963" t="str">
        <f t="shared" si="30"/>
        <v>GenericE&amp;DtemplateCIandGOA</v>
      </c>
      <c r="B1963">
        <v>6</v>
      </c>
      <c r="C1963">
        <v>12</v>
      </c>
      <c r="D1963" s="649">
        <f ca="1">IF(E1963=4,INDEX(crude_exp_dist,MATCH(B1963,'Crude Exp Dist'!$B$6:$B$78,0),MATCH(C1963,'Crude Exp Dist'!$AD$2:$BC$2,0))*INDEX(crude_exp_by_year,MATCH(B1963,'Data Export'!$B$6:$B$78,0),1),IF(E1963=5,INDEX(ref_exp_dist,MATCH(B1963,'Refined Petro Exp Dist'!$B$6:$B$78,0),MATCH(C1963,'Refined Petro Exp Dist'!$AD$2:$BC$2,0))*INDEX(ref_exp_by_year,MATCH(B1963,'Data Export'!$B$6:$B$78,0),1)))</f>
        <v>3.2355276375364284E-2</v>
      </c>
      <c r="E1963">
        <v>5</v>
      </c>
      <c r="F1963" t="s">
        <v>208</v>
      </c>
    </row>
    <row r="1964" spans="1:6">
      <c r="A1964" t="str">
        <f t="shared" si="30"/>
        <v>GenericE&amp;DtemplateCIandGOA</v>
      </c>
      <c r="B1964">
        <v>6</v>
      </c>
      <c r="C1964">
        <v>13</v>
      </c>
      <c r="D1964" s="649">
        <f ca="1">IF(E1964=4,INDEX(crude_exp_dist,MATCH(B1964,'Crude Exp Dist'!$B$6:$B$78,0),MATCH(C1964,'Crude Exp Dist'!$AD$2:$BC$2,0))*INDEX(crude_exp_by_year,MATCH(B1964,'Data Export'!$B$6:$B$78,0),1),IF(E1964=5,INDEX(ref_exp_dist,MATCH(B1964,'Refined Petro Exp Dist'!$B$6:$B$78,0),MATCH(C1964,'Refined Petro Exp Dist'!$AD$2:$BC$2,0))*INDEX(ref_exp_by_year,MATCH(B1964,'Data Export'!$B$6:$B$78,0),1)))</f>
        <v>0</v>
      </c>
      <c r="E1964">
        <v>5</v>
      </c>
      <c r="F1964" t="s">
        <v>211</v>
      </c>
    </row>
    <row r="1965" spans="1:6">
      <c r="A1965" t="str">
        <f t="shared" si="30"/>
        <v>GenericE&amp;DtemplateCIandGOA</v>
      </c>
      <c r="B1965">
        <v>6</v>
      </c>
      <c r="C1965">
        <v>14</v>
      </c>
      <c r="D1965" s="649">
        <f ca="1">IF(E1965=4,INDEX(crude_exp_dist,MATCH(B1965,'Crude Exp Dist'!$B$6:$B$78,0),MATCH(C1965,'Crude Exp Dist'!$AD$2:$BC$2,0))*INDEX(crude_exp_by_year,MATCH(B1965,'Data Export'!$B$6:$B$78,0),1),IF(E1965=5,INDEX(ref_exp_dist,MATCH(B1965,'Refined Petro Exp Dist'!$B$6:$B$78,0),MATCH(C1965,'Refined Petro Exp Dist'!$AD$2:$BC$2,0))*INDEX(ref_exp_by_year,MATCH(B1965,'Data Export'!$B$6:$B$78,0),1)))</f>
        <v>0</v>
      </c>
      <c r="E1965">
        <v>5</v>
      </c>
      <c r="F1965" t="s">
        <v>213</v>
      </c>
    </row>
    <row r="1966" spans="1:6">
      <c r="A1966" t="str">
        <f t="shared" si="30"/>
        <v>GenericE&amp;DtemplateCIandGOA</v>
      </c>
      <c r="B1966">
        <v>6</v>
      </c>
      <c r="C1966">
        <v>15</v>
      </c>
      <c r="D1966" s="649">
        <f ca="1">IF(E1966=4,INDEX(crude_exp_dist,MATCH(B1966,'Crude Exp Dist'!$B$6:$B$78,0),MATCH(C1966,'Crude Exp Dist'!$AD$2:$BC$2,0))*INDEX(crude_exp_by_year,MATCH(B1966,'Data Export'!$B$6:$B$78,0),1),IF(E1966=5,INDEX(ref_exp_dist,MATCH(B1966,'Refined Petro Exp Dist'!$B$6:$B$78,0),MATCH(C1966,'Refined Petro Exp Dist'!$AD$2:$BC$2,0))*INDEX(ref_exp_by_year,MATCH(B1966,'Data Export'!$B$6:$B$78,0),1)))</f>
        <v>0</v>
      </c>
      <c r="E1966">
        <v>5</v>
      </c>
      <c r="F1966" t="s">
        <v>215</v>
      </c>
    </row>
    <row r="1967" spans="1:6">
      <c r="A1967" t="str">
        <f t="shared" si="30"/>
        <v>GenericE&amp;DtemplateCIandGOA</v>
      </c>
      <c r="B1967">
        <v>6</v>
      </c>
      <c r="C1967">
        <v>16</v>
      </c>
      <c r="D1967" s="649">
        <f ca="1">IF(E1967=4,INDEX(crude_exp_dist,MATCH(B1967,'Crude Exp Dist'!$B$6:$B$78,0),MATCH(C1967,'Crude Exp Dist'!$AD$2:$BC$2,0))*INDEX(crude_exp_by_year,MATCH(B1967,'Data Export'!$B$6:$B$78,0),1),IF(E1967=5,INDEX(ref_exp_dist,MATCH(B1967,'Refined Petro Exp Dist'!$B$6:$B$78,0),MATCH(C1967,'Refined Petro Exp Dist'!$AD$2:$BC$2,0))*INDEX(ref_exp_by_year,MATCH(B1967,'Data Export'!$B$6:$B$78,0),1)))</f>
        <v>0</v>
      </c>
      <c r="E1967">
        <v>5</v>
      </c>
      <c r="F1967" t="s">
        <v>219</v>
      </c>
    </row>
    <row r="1968" spans="1:6">
      <c r="A1968" t="str">
        <f t="shared" si="30"/>
        <v>GenericE&amp;DtemplateCIandGOA</v>
      </c>
      <c r="B1968">
        <v>6</v>
      </c>
      <c r="C1968">
        <v>17</v>
      </c>
      <c r="D1968" s="649">
        <f ca="1">IF(E1968=4,INDEX(crude_exp_dist,MATCH(B1968,'Crude Exp Dist'!$B$6:$B$78,0),MATCH(C1968,'Crude Exp Dist'!$AD$2:$BC$2,0))*INDEX(crude_exp_by_year,MATCH(B1968,'Data Export'!$B$6:$B$78,0),1),IF(E1968=5,INDEX(ref_exp_dist,MATCH(B1968,'Refined Petro Exp Dist'!$B$6:$B$78,0),MATCH(C1968,'Refined Petro Exp Dist'!$AD$2:$BC$2,0))*INDEX(ref_exp_by_year,MATCH(B1968,'Data Export'!$B$6:$B$78,0),1)))</f>
        <v>0</v>
      </c>
      <c r="E1968">
        <v>5</v>
      </c>
      <c r="F1968" t="s">
        <v>222</v>
      </c>
    </row>
    <row r="1969" spans="1:6">
      <c r="A1969" t="str">
        <f t="shared" si="30"/>
        <v>GenericE&amp;DtemplateCIandGOA</v>
      </c>
      <c r="B1969">
        <v>6</v>
      </c>
      <c r="C1969">
        <v>18</v>
      </c>
      <c r="D1969" s="649">
        <f ca="1">IF(E1969=4,INDEX(crude_exp_dist,MATCH(B1969,'Crude Exp Dist'!$B$6:$B$78,0),MATCH(C1969,'Crude Exp Dist'!$AD$2:$BC$2,0))*INDEX(crude_exp_by_year,MATCH(B1969,'Data Export'!$B$6:$B$78,0),1),IF(E1969=5,INDEX(ref_exp_dist,MATCH(B1969,'Refined Petro Exp Dist'!$B$6:$B$78,0),MATCH(C1969,'Refined Petro Exp Dist'!$AD$2:$BC$2,0))*INDEX(ref_exp_by_year,MATCH(B1969,'Data Export'!$B$6:$B$78,0),1)))</f>
        <v>0</v>
      </c>
      <c r="E1969">
        <v>5</v>
      </c>
      <c r="F1969" t="s">
        <v>224</v>
      </c>
    </row>
    <row r="1970" spans="1:6">
      <c r="A1970" t="str">
        <f t="shared" si="30"/>
        <v>GenericE&amp;DtemplateCIandGOA</v>
      </c>
      <c r="B1970">
        <v>6</v>
      </c>
      <c r="C1970">
        <v>19</v>
      </c>
      <c r="D1970" s="649">
        <f ca="1">IF(E1970=4,INDEX(crude_exp_dist,MATCH(B1970,'Crude Exp Dist'!$B$6:$B$78,0),MATCH(C1970,'Crude Exp Dist'!$AD$2:$BC$2,0))*INDEX(crude_exp_by_year,MATCH(B1970,'Data Export'!$B$6:$B$78,0),1),IF(E1970=5,INDEX(ref_exp_dist,MATCH(B1970,'Refined Petro Exp Dist'!$B$6:$B$78,0),MATCH(C1970,'Refined Petro Exp Dist'!$AD$2:$BC$2,0))*INDEX(ref_exp_by_year,MATCH(B1970,'Data Export'!$B$6:$B$78,0),1)))</f>
        <v>0</v>
      </c>
      <c r="E1970">
        <v>5</v>
      </c>
      <c r="F1970" t="s">
        <v>228</v>
      </c>
    </row>
    <row r="1971" spans="1:6">
      <c r="A1971" t="str">
        <f t="shared" si="30"/>
        <v>GenericE&amp;DtemplateCIandGOA</v>
      </c>
      <c r="B1971">
        <v>6</v>
      </c>
      <c r="C1971">
        <v>20</v>
      </c>
      <c r="D1971" s="649">
        <f ca="1">IF(E1971=4,INDEX(crude_exp_dist,MATCH(B1971,'Crude Exp Dist'!$B$6:$B$78,0),MATCH(C1971,'Crude Exp Dist'!$AD$2:$BC$2,0))*INDEX(crude_exp_by_year,MATCH(B1971,'Data Export'!$B$6:$B$78,0),1),IF(E1971=5,INDEX(ref_exp_dist,MATCH(B1971,'Refined Petro Exp Dist'!$B$6:$B$78,0),MATCH(C1971,'Refined Petro Exp Dist'!$AD$2:$BC$2,0))*INDEX(ref_exp_by_year,MATCH(B1971,'Data Export'!$B$6:$B$78,0),1)))</f>
        <v>0</v>
      </c>
      <c r="E1971">
        <v>5</v>
      </c>
      <c r="F1971" t="s">
        <v>231</v>
      </c>
    </row>
    <row r="1972" spans="1:6">
      <c r="A1972" t="str">
        <f t="shared" si="30"/>
        <v>GenericE&amp;DtemplateCIandGOA</v>
      </c>
      <c r="B1972">
        <v>6</v>
      </c>
      <c r="C1972">
        <v>21</v>
      </c>
      <c r="D1972" s="649">
        <f ca="1">IF(E1972=4,INDEX(crude_exp_dist,MATCH(B1972,'Crude Exp Dist'!$B$6:$B$78,0),MATCH(C1972,'Crude Exp Dist'!$AD$2:$BC$2,0))*INDEX(crude_exp_by_year,MATCH(B1972,'Data Export'!$B$6:$B$78,0),1),IF(E1972=5,INDEX(ref_exp_dist,MATCH(B1972,'Refined Petro Exp Dist'!$B$6:$B$78,0),MATCH(C1972,'Refined Petro Exp Dist'!$AD$2:$BC$2,0))*INDEX(ref_exp_by_year,MATCH(B1972,'Data Export'!$B$6:$B$78,0),1)))</f>
        <v>0</v>
      </c>
      <c r="E1972">
        <v>5</v>
      </c>
      <c r="F1972" t="s">
        <v>232</v>
      </c>
    </row>
    <row r="1973" spans="1:6">
      <c r="A1973" t="str">
        <f t="shared" si="30"/>
        <v>GenericE&amp;DtemplateCIandGOA</v>
      </c>
      <c r="B1973">
        <v>6</v>
      </c>
      <c r="C1973">
        <v>22</v>
      </c>
      <c r="D1973" s="649">
        <f ca="1">IF(E1973=4,INDEX(crude_exp_dist,MATCH(B1973,'Crude Exp Dist'!$B$6:$B$78,0),MATCH(C1973,'Crude Exp Dist'!$AD$2:$BC$2,0))*INDEX(crude_exp_by_year,MATCH(B1973,'Data Export'!$B$6:$B$78,0),1),IF(E1973=5,INDEX(ref_exp_dist,MATCH(B1973,'Refined Petro Exp Dist'!$B$6:$B$78,0),MATCH(C1973,'Refined Petro Exp Dist'!$AD$2:$BC$2,0))*INDEX(ref_exp_by_year,MATCH(B1973,'Data Export'!$B$6:$B$78,0),1)))</f>
        <v>0</v>
      </c>
      <c r="E1973">
        <v>5</v>
      </c>
      <c r="F1973" t="s">
        <v>235</v>
      </c>
    </row>
    <row r="1974" spans="1:6">
      <c r="A1974" t="str">
        <f t="shared" si="30"/>
        <v>GenericE&amp;DtemplateCIandGOA</v>
      </c>
      <c r="B1974">
        <v>6</v>
      </c>
      <c r="C1974">
        <v>23</v>
      </c>
      <c r="D1974" s="649">
        <f ca="1">IF(E1974=4,INDEX(crude_exp_dist,MATCH(B1974,'Crude Exp Dist'!$B$6:$B$78,0),MATCH(C1974,'Crude Exp Dist'!$AD$2:$BC$2,0))*INDEX(crude_exp_by_year,MATCH(B1974,'Data Export'!$B$6:$B$78,0),1),IF(E1974=5,INDEX(ref_exp_dist,MATCH(B1974,'Refined Petro Exp Dist'!$B$6:$B$78,0),MATCH(C1974,'Refined Petro Exp Dist'!$AD$2:$BC$2,0))*INDEX(ref_exp_by_year,MATCH(B1974,'Data Export'!$B$6:$B$78,0),1)))</f>
        <v>0</v>
      </c>
      <c r="E1974">
        <v>5</v>
      </c>
      <c r="F1974" t="s">
        <v>237</v>
      </c>
    </row>
    <row r="1975" spans="1:6">
      <c r="A1975" t="str">
        <f t="shared" si="30"/>
        <v>GenericE&amp;DtemplateCIandGOA</v>
      </c>
      <c r="B1975">
        <v>6</v>
      </c>
      <c r="C1975">
        <v>24</v>
      </c>
      <c r="D1975" s="649">
        <f ca="1">IF(E1975=4,INDEX(crude_exp_dist,MATCH(B1975,'Crude Exp Dist'!$B$6:$B$78,0),MATCH(C1975,'Crude Exp Dist'!$AD$2:$BC$2,0))*INDEX(crude_exp_by_year,MATCH(B1975,'Data Export'!$B$6:$B$78,0),1),IF(E1975=5,INDEX(ref_exp_dist,MATCH(B1975,'Refined Petro Exp Dist'!$B$6:$B$78,0),MATCH(C1975,'Refined Petro Exp Dist'!$AD$2:$BC$2,0))*INDEX(ref_exp_by_year,MATCH(B1975,'Data Export'!$B$6:$B$78,0),1)))</f>
        <v>0</v>
      </c>
      <c r="E1975">
        <v>5</v>
      </c>
      <c r="F1975" t="s">
        <v>239</v>
      </c>
    </row>
    <row r="1976" spans="1:6">
      <c r="A1976" t="str">
        <f t="shared" si="30"/>
        <v>GenericE&amp;DtemplateCIandGOA</v>
      </c>
      <c r="B1976">
        <v>6</v>
      </c>
      <c r="C1976">
        <v>25</v>
      </c>
      <c r="D1976" s="649">
        <f ca="1">IF(E1976=4,INDEX(crude_exp_dist,MATCH(B1976,'Crude Exp Dist'!$B$6:$B$78,0),MATCH(C1976,'Crude Exp Dist'!$AD$2:$BC$2,0))*INDEX(crude_exp_by_year,MATCH(B1976,'Data Export'!$B$6:$B$78,0),1),IF(E1976=5,INDEX(ref_exp_dist,MATCH(B1976,'Refined Petro Exp Dist'!$B$6:$B$78,0),MATCH(C1976,'Refined Petro Exp Dist'!$AD$2:$BC$2,0))*INDEX(ref_exp_by_year,MATCH(B1976,'Data Export'!$B$6:$B$78,0),1)))</f>
        <v>0</v>
      </c>
      <c r="E1976">
        <v>5</v>
      </c>
      <c r="F1976" t="s">
        <v>242</v>
      </c>
    </row>
    <row r="1977" spans="1:6">
      <c r="A1977" t="str">
        <f t="shared" si="30"/>
        <v>GenericE&amp;DtemplateCIandGOA</v>
      </c>
      <c r="B1977">
        <v>6</v>
      </c>
      <c r="C1977">
        <v>26</v>
      </c>
      <c r="D1977" s="649">
        <f ca="1">IF(E1977=4,INDEX(crude_exp_dist,MATCH(B1977,'Crude Exp Dist'!$B$6:$B$78,0),MATCH(C1977,'Crude Exp Dist'!$AD$2:$BC$2,0))*INDEX(crude_exp_by_year,MATCH(B1977,'Data Export'!$B$6:$B$78,0),1),IF(E1977=5,INDEX(ref_exp_dist,MATCH(B1977,'Refined Petro Exp Dist'!$B$6:$B$78,0),MATCH(C1977,'Refined Petro Exp Dist'!$AD$2:$BC$2,0))*INDEX(ref_exp_by_year,MATCH(B1977,'Data Export'!$B$6:$B$78,0),1)))</f>
        <v>0</v>
      </c>
      <c r="E1977">
        <v>5</v>
      </c>
      <c r="F1977" t="s">
        <v>245</v>
      </c>
    </row>
    <row r="1978" spans="1:6">
      <c r="A1978" t="str">
        <f t="shared" si="30"/>
        <v>GenericE&amp;DtemplateCIandGOA</v>
      </c>
      <c r="B1978">
        <v>7</v>
      </c>
      <c r="C1978">
        <v>1</v>
      </c>
      <c r="D1978" s="649">
        <f ca="1">IF(E1978=4,INDEX(crude_exp_dist,MATCH(B1978,'Crude Exp Dist'!$B$6:$B$78,0),MATCH(C1978,'Crude Exp Dist'!$AD$2:$BC$2,0))*INDEX(crude_exp_by_year,MATCH(B1978,'Data Export'!$B$6:$B$78,0),1),IF(E1978=5,INDEX(ref_exp_dist,MATCH(B1978,'Refined Petro Exp Dist'!$B$6:$B$78,0),MATCH(C1978,'Refined Petro Exp Dist'!$AD$2:$BC$2,0))*INDEX(ref_exp_by_year,MATCH(B1978,'Data Export'!$B$6:$B$78,0),1)))</f>
        <v>0</v>
      </c>
      <c r="E1978">
        <v>5</v>
      </c>
      <c r="F1978" t="s">
        <v>158</v>
      </c>
    </row>
    <row r="1979" spans="1:6">
      <c r="A1979" t="str">
        <f t="shared" si="30"/>
        <v>GenericE&amp;DtemplateCIandGOA</v>
      </c>
      <c r="B1979">
        <v>7</v>
      </c>
      <c r="C1979">
        <v>2</v>
      </c>
      <c r="D1979" s="649">
        <f ca="1">IF(E1979=4,INDEX(crude_exp_dist,MATCH(B1979,'Crude Exp Dist'!$B$6:$B$78,0),MATCH(C1979,'Crude Exp Dist'!$AD$2:$BC$2,0))*INDEX(crude_exp_by_year,MATCH(B1979,'Data Export'!$B$6:$B$78,0),1),IF(E1979=5,INDEX(ref_exp_dist,MATCH(B1979,'Refined Petro Exp Dist'!$B$6:$B$78,0),MATCH(C1979,'Refined Petro Exp Dist'!$AD$2:$BC$2,0))*INDEX(ref_exp_by_year,MATCH(B1979,'Data Export'!$B$6:$B$78,0),1)))</f>
        <v>0</v>
      </c>
      <c r="E1979">
        <v>5</v>
      </c>
      <c r="F1979" t="s">
        <v>166</v>
      </c>
    </row>
    <row r="1980" spans="1:6">
      <c r="A1980" t="str">
        <f t="shared" si="30"/>
        <v>GenericE&amp;DtemplateCIandGOA</v>
      </c>
      <c r="B1980">
        <v>7</v>
      </c>
      <c r="C1980">
        <v>3</v>
      </c>
      <c r="D1980" s="649">
        <f ca="1">IF(E1980=4,INDEX(crude_exp_dist,MATCH(B1980,'Crude Exp Dist'!$B$6:$B$78,0),MATCH(C1980,'Crude Exp Dist'!$AD$2:$BC$2,0))*INDEX(crude_exp_by_year,MATCH(B1980,'Data Export'!$B$6:$B$78,0),1),IF(E1980=5,INDEX(ref_exp_dist,MATCH(B1980,'Refined Petro Exp Dist'!$B$6:$B$78,0),MATCH(C1980,'Refined Petro Exp Dist'!$AD$2:$BC$2,0))*INDEX(ref_exp_by_year,MATCH(B1980,'Data Export'!$B$6:$B$78,0),1)))</f>
        <v>0</v>
      </c>
      <c r="E1980">
        <v>5</v>
      </c>
      <c r="F1980" t="s">
        <v>171</v>
      </c>
    </row>
    <row r="1981" spans="1:6">
      <c r="A1981" t="str">
        <f t="shared" si="30"/>
        <v>GenericE&amp;DtemplateCIandGOA</v>
      </c>
      <c r="B1981">
        <v>7</v>
      </c>
      <c r="C1981">
        <v>4</v>
      </c>
      <c r="D1981" s="649">
        <f ca="1">IF(E1981=4,INDEX(crude_exp_dist,MATCH(B1981,'Crude Exp Dist'!$B$6:$B$78,0),MATCH(C1981,'Crude Exp Dist'!$AD$2:$BC$2,0))*INDEX(crude_exp_by_year,MATCH(B1981,'Data Export'!$B$6:$B$78,0),1),IF(E1981=5,INDEX(ref_exp_dist,MATCH(B1981,'Refined Petro Exp Dist'!$B$6:$B$78,0),MATCH(C1981,'Refined Petro Exp Dist'!$AD$2:$BC$2,0))*INDEX(ref_exp_by_year,MATCH(B1981,'Data Export'!$B$6:$B$78,0),1)))</f>
        <v>0</v>
      </c>
      <c r="E1981">
        <v>5</v>
      </c>
      <c r="F1981" t="s">
        <v>173</v>
      </c>
    </row>
    <row r="1982" spans="1:6">
      <c r="A1982" t="str">
        <f t="shared" si="30"/>
        <v>GenericE&amp;DtemplateCIandGOA</v>
      </c>
      <c r="B1982">
        <v>7</v>
      </c>
      <c r="C1982">
        <v>5</v>
      </c>
      <c r="D1982" s="649">
        <f ca="1">IF(E1982=4,INDEX(crude_exp_dist,MATCH(B1982,'Crude Exp Dist'!$B$6:$B$78,0),MATCH(C1982,'Crude Exp Dist'!$AD$2:$BC$2,0))*INDEX(crude_exp_by_year,MATCH(B1982,'Data Export'!$B$6:$B$78,0),1),IF(E1982=5,INDEX(ref_exp_dist,MATCH(B1982,'Refined Petro Exp Dist'!$B$6:$B$78,0),MATCH(C1982,'Refined Petro Exp Dist'!$AD$2:$BC$2,0))*INDEX(ref_exp_by_year,MATCH(B1982,'Data Export'!$B$6:$B$78,0),1)))</f>
        <v>0</v>
      </c>
      <c r="E1982">
        <v>5</v>
      </c>
      <c r="F1982" t="s">
        <v>180</v>
      </c>
    </row>
    <row r="1983" spans="1:6">
      <c r="A1983" t="str">
        <f t="shared" si="30"/>
        <v>GenericE&amp;DtemplateCIandGOA</v>
      </c>
      <c r="B1983">
        <v>7</v>
      </c>
      <c r="C1983">
        <v>6</v>
      </c>
      <c r="D1983" s="649">
        <f ca="1">IF(E1983=4,INDEX(crude_exp_dist,MATCH(B1983,'Crude Exp Dist'!$B$6:$B$78,0),MATCH(C1983,'Crude Exp Dist'!$AD$2:$BC$2,0))*INDEX(crude_exp_by_year,MATCH(B1983,'Data Export'!$B$6:$B$78,0),1),IF(E1983=5,INDEX(ref_exp_dist,MATCH(B1983,'Refined Petro Exp Dist'!$B$6:$B$78,0),MATCH(C1983,'Refined Petro Exp Dist'!$AD$2:$BC$2,0))*INDEX(ref_exp_by_year,MATCH(B1983,'Data Export'!$B$6:$B$78,0),1)))</f>
        <v>8.0078539731811352E-2</v>
      </c>
      <c r="E1983">
        <v>5</v>
      </c>
      <c r="F1983" t="s">
        <v>186</v>
      </c>
    </row>
    <row r="1984" spans="1:6">
      <c r="A1984" t="str">
        <f t="shared" si="30"/>
        <v>GenericE&amp;DtemplateCIandGOA</v>
      </c>
      <c r="B1984">
        <v>7</v>
      </c>
      <c r="C1984">
        <v>7</v>
      </c>
      <c r="D1984" s="649">
        <f ca="1">IF(E1984=4,INDEX(crude_exp_dist,MATCH(B1984,'Crude Exp Dist'!$B$6:$B$78,0),MATCH(C1984,'Crude Exp Dist'!$AD$2:$BC$2,0))*INDEX(crude_exp_by_year,MATCH(B1984,'Data Export'!$B$6:$B$78,0),1),IF(E1984=5,INDEX(ref_exp_dist,MATCH(B1984,'Refined Petro Exp Dist'!$B$6:$B$78,0),MATCH(C1984,'Refined Petro Exp Dist'!$AD$2:$BC$2,0))*INDEX(ref_exp_by_year,MATCH(B1984,'Data Export'!$B$6:$B$78,0),1)))</f>
        <v>0</v>
      </c>
      <c r="E1984">
        <v>5</v>
      </c>
      <c r="F1984" t="s">
        <v>191</v>
      </c>
    </row>
    <row r="1985" spans="1:6">
      <c r="A1985" t="str">
        <f t="shared" si="30"/>
        <v>GenericE&amp;DtemplateCIandGOA</v>
      </c>
      <c r="B1985">
        <v>7</v>
      </c>
      <c r="C1985">
        <v>8</v>
      </c>
      <c r="D1985" s="649">
        <f ca="1">IF(E1985=4,INDEX(crude_exp_dist,MATCH(B1985,'Crude Exp Dist'!$B$6:$B$78,0),MATCH(C1985,'Crude Exp Dist'!$AD$2:$BC$2,0))*INDEX(crude_exp_by_year,MATCH(B1985,'Data Export'!$B$6:$B$78,0),1),IF(E1985=5,INDEX(ref_exp_dist,MATCH(B1985,'Refined Petro Exp Dist'!$B$6:$B$78,0),MATCH(C1985,'Refined Petro Exp Dist'!$AD$2:$BC$2,0))*INDEX(ref_exp_by_year,MATCH(B1985,'Data Export'!$B$6:$B$78,0),1)))</f>
        <v>0</v>
      </c>
      <c r="E1985">
        <v>5</v>
      </c>
      <c r="F1985" t="s">
        <v>197</v>
      </c>
    </row>
    <row r="1986" spans="1:6">
      <c r="A1986" t="str">
        <f t="shared" ref="A1986:A2049" si="31">scenario_name</f>
        <v>GenericE&amp;DtemplateCIandGOA</v>
      </c>
      <c r="B1986">
        <v>7</v>
      </c>
      <c r="C1986">
        <v>9</v>
      </c>
      <c r="D1986" s="649">
        <f ca="1">IF(E1986=4,INDEX(crude_exp_dist,MATCH(B1986,'Crude Exp Dist'!$B$6:$B$78,0),MATCH(C1986,'Crude Exp Dist'!$AD$2:$BC$2,0))*INDEX(crude_exp_by_year,MATCH(B1986,'Data Export'!$B$6:$B$78,0),1),IF(E1986=5,INDEX(ref_exp_dist,MATCH(B1986,'Refined Petro Exp Dist'!$B$6:$B$78,0),MATCH(C1986,'Refined Petro Exp Dist'!$AD$2:$BC$2,0))*INDEX(ref_exp_by_year,MATCH(B1986,'Data Export'!$B$6:$B$78,0),1)))</f>
        <v>0</v>
      </c>
      <c r="E1986">
        <v>5</v>
      </c>
      <c r="F1986" t="s">
        <v>199</v>
      </c>
    </row>
    <row r="1987" spans="1:6">
      <c r="A1987" t="str">
        <f t="shared" si="31"/>
        <v>GenericE&amp;DtemplateCIandGOA</v>
      </c>
      <c r="B1987">
        <v>7</v>
      </c>
      <c r="C1987">
        <v>10</v>
      </c>
      <c r="D1987" s="649">
        <f ca="1">IF(E1987=4,INDEX(crude_exp_dist,MATCH(B1987,'Crude Exp Dist'!$B$6:$B$78,0),MATCH(C1987,'Crude Exp Dist'!$AD$2:$BC$2,0))*INDEX(crude_exp_by_year,MATCH(B1987,'Data Export'!$B$6:$B$78,0),1),IF(E1987=5,INDEX(ref_exp_dist,MATCH(B1987,'Refined Petro Exp Dist'!$B$6:$B$78,0),MATCH(C1987,'Refined Petro Exp Dist'!$AD$2:$BC$2,0))*INDEX(ref_exp_by_year,MATCH(B1987,'Data Export'!$B$6:$B$78,0),1)))</f>
        <v>0</v>
      </c>
      <c r="E1987">
        <v>5</v>
      </c>
      <c r="F1987" t="s">
        <v>201</v>
      </c>
    </row>
    <row r="1988" spans="1:6">
      <c r="A1988" t="str">
        <f t="shared" si="31"/>
        <v>GenericE&amp;DtemplateCIandGOA</v>
      </c>
      <c r="B1988">
        <v>7</v>
      </c>
      <c r="C1988">
        <v>11</v>
      </c>
      <c r="D1988" s="649">
        <f ca="1">IF(E1988=4,INDEX(crude_exp_dist,MATCH(B1988,'Crude Exp Dist'!$B$6:$B$78,0),MATCH(C1988,'Crude Exp Dist'!$AD$2:$BC$2,0))*INDEX(crude_exp_by_year,MATCH(B1988,'Data Export'!$B$6:$B$78,0),1),IF(E1988=5,INDEX(ref_exp_dist,MATCH(B1988,'Refined Petro Exp Dist'!$B$6:$B$78,0),MATCH(C1988,'Refined Petro Exp Dist'!$AD$2:$BC$2,0))*INDEX(ref_exp_by_year,MATCH(B1988,'Data Export'!$B$6:$B$78,0),1)))</f>
        <v>0</v>
      </c>
      <c r="E1988">
        <v>5</v>
      </c>
      <c r="F1988" t="s">
        <v>921</v>
      </c>
    </row>
    <row r="1989" spans="1:6">
      <c r="A1989" t="str">
        <f t="shared" si="31"/>
        <v>GenericE&amp;DtemplateCIandGOA</v>
      </c>
      <c r="B1989">
        <v>7</v>
      </c>
      <c r="C1989">
        <v>12</v>
      </c>
      <c r="D1989" s="649">
        <f ca="1">IF(E1989=4,INDEX(crude_exp_dist,MATCH(B1989,'Crude Exp Dist'!$B$6:$B$78,0),MATCH(C1989,'Crude Exp Dist'!$AD$2:$BC$2,0))*INDEX(crude_exp_by_year,MATCH(B1989,'Data Export'!$B$6:$B$78,0),1),IF(E1989=5,INDEX(ref_exp_dist,MATCH(B1989,'Refined Petro Exp Dist'!$B$6:$B$78,0),MATCH(C1989,'Refined Petro Exp Dist'!$AD$2:$BC$2,0))*INDEX(ref_exp_by_year,MATCH(B1989,'Data Export'!$B$6:$B$78,0),1)))</f>
        <v>1.7735493117023823E-2</v>
      </c>
      <c r="E1989">
        <v>5</v>
      </c>
      <c r="F1989" t="s">
        <v>208</v>
      </c>
    </row>
    <row r="1990" spans="1:6">
      <c r="A1990" t="str">
        <f t="shared" si="31"/>
        <v>GenericE&amp;DtemplateCIandGOA</v>
      </c>
      <c r="B1990">
        <v>7</v>
      </c>
      <c r="C1990">
        <v>13</v>
      </c>
      <c r="D1990" s="649">
        <f ca="1">IF(E1990=4,INDEX(crude_exp_dist,MATCH(B1990,'Crude Exp Dist'!$B$6:$B$78,0),MATCH(C1990,'Crude Exp Dist'!$AD$2:$BC$2,0))*INDEX(crude_exp_by_year,MATCH(B1990,'Data Export'!$B$6:$B$78,0),1),IF(E1990=5,INDEX(ref_exp_dist,MATCH(B1990,'Refined Petro Exp Dist'!$B$6:$B$78,0),MATCH(C1990,'Refined Petro Exp Dist'!$AD$2:$BC$2,0))*INDEX(ref_exp_by_year,MATCH(B1990,'Data Export'!$B$6:$B$78,0),1)))</f>
        <v>1.7735493117023823E-2</v>
      </c>
      <c r="E1990">
        <v>5</v>
      </c>
      <c r="F1990" t="s">
        <v>211</v>
      </c>
    </row>
    <row r="1991" spans="1:6">
      <c r="A1991" t="str">
        <f t="shared" si="31"/>
        <v>GenericE&amp;DtemplateCIandGOA</v>
      </c>
      <c r="B1991">
        <v>7</v>
      </c>
      <c r="C1991">
        <v>14</v>
      </c>
      <c r="D1991" s="649">
        <f ca="1">IF(E1991=4,INDEX(crude_exp_dist,MATCH(B1991,'Crude Exp Dist'!$B$6:$B$78,0),MATCH(C1991,'Crude Exp Dist'!$AD$2:$BC$2,0))*INDEX(crude_exp_by_year,MATCH(B1991,'Data Export'!$B$6:$B$78,0),1),IF(E1991=5,INDEX(ref_exp_dist,MATCH(B1991,'Refined Petro Exp Dist'!$B$6:$B$78,0),MATCH(C1991,'Refined Petro Exp Dist'!$AD$2:$BC$2,0))*INDEX(ref_exp_by_year,MATCH(B1991,'Data Export'!$B$6:$B$78,0),1)))</f>
        <v>0</v>
      </c>
      <c r="E1991">
        <v>5</v>
      </c>
      <c r="F1991" t="s">
        <v>213</v>
      </c>
    </row>
    <row r="1992" spans="1:6">
      <c r="A1992" t="str">
        <f t="shared" si="31"/>
        <v>GenericE&amp;DtemplateCIandGOA</v>
      </c>
      <c r="B1992">
        <v>7</v>
      </c>
      <c r="C1992">
        <v>15</v>
      </c>
      <c r="D1992" s="649">
        <f ca="1">IF(E1992=4,INDEX(crude_exp_dist,MATCH(B1992,'Crude Exp Dist'!$B$6:$B$78,0),MATCH(C1992,'Crude Exp Dist'!$AD$2:$BC$2,0))*INDEX(crude_exp_by_year,MATCH(B1992,'Data Export'!$B$6:$B$78,0),1),IF(E1992=5,INDEX(ref_exp_dist,MATCH(B1992,'Refined Petro Exp Dist'!$B$6:$B$78,0),MATCH(C1992,'Refined Petro Exp Dist'!$AD$2:$BC$2,0))*INDEX(ref_exp_by_year,MATCH(B1992,'Data Export'!$B$6:$B$78,0),1)))</f>
        <v>0</v>
      </c>
      <c r="E1992">
        <v>5</v>
      </c>
      <c r="F1992" t="s">
        <v>215</v>
      </c>
    </row>
    <row r="1993" spans="1:6">
      <c r="A1993" t="str">
        <f t="shared" si="31"/>
        <v>GenericE&amp;DtemplateCIandGOA</v>
      </c>
      <c r="B1993">
        <v>7</v>
      </c>
      <c r="C1993">
        <v>16</v>
      </c>
      <c r="D1993" s="649">
        <f ca="1">IF(E1993=4,INDEX(crude_exp_dist,MATCH(B1993,'Crude Exp Dist'!$B$6:$B$78,0),MATCH(C1993,'Crude Exp Dist'!$AD$2:$BC$2,0))*INDEX(crude_exp_by_year,MATCH(B1993,'Data Export'!$B$6:$B$78,0),1),IF(E1993=5,INDEX(ref_exp_dist,MATCH(B1993,'Refined Petro Exp Dist'!$B$6:$B$78,0),MATCH(C1993,'Refined Petro Exp Dist'!$AD$2:$BC$2,0))*INDEX(ref_exp_by_year,MATCH(B1993,'Data Export'!$B$6:$B$78,0),1)))</f>
        <v>0</v>
      </c>
      <c r="E1993">
        <v>5</v>
      </c>
      <c r="F1993" t="s">
        <v>219</v>
      </c>
    </row>
    <row r="1994" spans="1:6">
      <c r="A1994" t="str">
        <f t="shared" si="31"/>
        <v>GenericE&amp;DtemplateCIandGOA</v>
      </c>
      <c r="B1994">
        <v>7</v>
      </c>
      <c r="C1994">
        <v>17</v>
      </c>
      <c r="D1994" s="649">
        <f ca="1">IF(E1994=4,INDEX(crude_exp_dist,MATCH(B1994,'Crude Exp Dist'!$B$6:$B$78,0),MATCH(C1994,'Crude Exp Dist'!$AD$2:$BC$2,0))*INDEX(crude_exp_by_year,MATCH(B1994,'Data Export'!$B$6:$B$78,0),1),IF(E1994=5,INDEX(ref_exp_dist,MATCH(B1994,'Refined Petro Exp Dist'!$B$6:$B$78,0),MATCH(C1994,'Refined Petro Exp Dist'!$AD$2:$BC$2,0))*INDEX(ref_exp_by_year,MATCH(B1994,'Data Export'!$B$6:$B$78,0),1)))</f>
        <v>0</v>
      </c>
      <c r="E1994">
        <v>5</v>
      </c>
      <c r="F1994" t="s">
        <v>222</v>
      </c>
    </row>
    <row r="1995" spans="1:6">
      <c r="A1995" t="str">
        <f t="shared" si="31"/>
        <v>GenericE&amp;DtemplateCIandGOA</v>
      </c>
      <c r="B1995">
        <v>7</v>
      </c>
      <c r="C1995">
        <v>18</v>
      </c>
      <c r="D1995" s="649">
        <f ca="1">IF(E1995=4,INDEX(crude_exp_dist,MATCH(B1995,'Crude Exp Dist'!$B$6:$B$78,0),MATCH(C1995,'Crude Exp Dist'!$AD$2:$BC$2,0))*INDEX(crude_exp_by_year,MATCH(B1995,'Data Export'!$B$6:$B$78,0),1),IF(E1995=5,INDEX(ref_exp_dist,MATCH(B1995,'Refined Petro Exp Dist'!$B$6:$B$78,0),MATCH(C1995,'Refined Petro Exp Dist'!$AD$2:$BC$2,0))*INDEX(ref_exp_by_year,MATCH(B1995,'Data Export'!$B$6:$B$78,0),1)))</f>
        <v>0</v>
      </c>
      <c r="E1995">
        <v>5</v>
      </c>
      <c r="F1995" t="s">
        <v>224</v>
      </c>
    </row>
    <row r="1996" spans="1:6">
      <c r="A1996" t="str">
        <f t="shared" si="31"/>
        <v>GenericE&amp;DtemplateCIandGOA</v>
      </c>
      <c r="B1996">
        <v>7</v>
      </c>
      <c r="C1996">
        <v>19</v>
      </c>
      <c r="D1996" s="649">
        <f ca="1">IF(E1996=4,INDEX(crude_exp_dist,MATCH(B1996,'Crude Exp Dist'!$B$6:$B$78,0),MATCH(C1996,'Crude Exp Dist'!$AD$2:$BC$2,0))*INDEX(crude_exp_by_year,MATCH(B1996,'Data Export'!$B$6:$B$78,0),1),IF(E1996=5,INDEX(ref_exp_dist,MATCH(B1996,'Refined Petro Exp Dist'!$B$6:$B$78,0),MATCH(C1996,'Refined Petro Exp Dist'!$AD$2:$BC$2,0))*INDEX(ref_exp_by_year,MATCH(B1996,'Data Export'!$B$6:$B$78,0),1)))</f>
        <v>0</v>
      </c>
      <c r="E1996">
        <v>5</v>
      </c>
      <c r="F1996" t="s">
        <v>228</v>
      </c>
    </row>
    <row r="1997" spans="1:6">
      <c r="A1997" t="str">
        <f t="shared" si="31"/>
        <v>GenericE&amp;DtemplateCIandGOA</v>
      </c>
      <c r="B1997">
        <v>7</v>
      </c>
      <c r="C1997">
        <v>20</v>
      </c>
      <c r="D1997" s="649">
        <f ca="1">IF(E1997=4,INDEX(crude_exp_dist,MATCH(B1997,'Crude Exp Dist'!$B$6:$B$78,0),MATCH(C1997,'Crude Exp Dist'!$AD$2:$BC$2,0))*INDEX(crude_exp_by_year,MATCH(B1997,'Data Export'!$B$6:$B$78,0),1),IF(E1997=5,INDEX(ref_exp_dist,MATCH(B1997,'Refined Petro Exp Dist'!$B$6:$B$78,0),MATCH(C1997,'Refined Petro Exp Dist'!$AD$2:$BC$2,0))*INDEX(ref_exp_by_year,MATCH(B1997,'Data Export'!$B$6:$B$78,0),1)))</f>
        <v>0</v>
      </c>
      <c r="E1997">
        <v>5</v>
      </c>
      <c r="F1997" t="s">
        <v>231</v>
      </c>
    </row>
    <row r="1998" spans="1:6">
      <c r="A1998" t="str">
        <f t="shared" si="31"/>
        <v>GenericE&amp;DtemplateCIandGOA</v>
      </c>
      <c r="B1998">
        <v>7</v>
      </c>
      <c r="C1998">
        <v>21</v>
      </c>
      <c r="D1998" s="649">
        <f ca="1">IF(E1998=4,INDEX(crude_exp_dist,MATCH(B1998,'Crude Exp Dist'!$B$6:$B$78,0),MATCH(C1998,'Crude Exp Dist'!$AD$2:$BC$2,0))*INDEX(crude_exp_by_year,MATCH(B1998,'Data Export'!$B$6:$B$78,0),1),IF(E1998=5,INDEX(ref_exp_dist,MATCH(B1998,'Refined Petro Exp Dist'!$B$6:$B$78,0),MATCH(C1998,'Refined Petro Exp Dist'!$AD$2:$BC$2,0))*INDEX(ref_exp_by_year,MATCH(B1998,'Data Export'!$B$6:$B$78,0),1)))</f>
        <v>0</v>
      </c>
      <c r="E1998">
        <v>5</v>
      </c>
      <c r="F1998" t="s">
        <v>232</v>
      </c>
    </row>
    <row r="1999" spans="1:6">
      <c r="A1999" t="str">
        <f t="shared" si="31"/>
        <v>GenericE&amp;DtemplateCIandGOA</v>
      </c>
      <c r="B1999">
        <v>7</v>
      </c>
      <c r="C1999">
        <v>22</v>
      </c>
      <c r="D1999" s="649">
        <f ca="1">IF(E1999=4,INDEX(crude_exp_dist,MATCH(B1999,'Crude Exp Dist'!$B$6:$B$78,0),MATCH(C1999,'Crude Exp Dist'!$AD$2:$BC$2,0))*INDEX(crude_exp_by_year,MATCH(B1999,'Data Export'!$B$6:$B$78,0),1),IF(E1999=5,INDEX(ref_exp_dist,MATCH(B1999,'Refined Petro Exp Dist'!$B$6:$B$78,0),MATCH(C1999,'Refined Petro Exp Dist'!$AD$2:$BC$2,0))*INDEX(ref_exp_by_year,MATCH(B1999,'Data Export'!$B$6:$B$78,0),1)))</f>
        <v>0</v>
      </c>
      <c r="E1999">
        <v>5</v>
      </c>
      <c r="F1999" t="s">
        <v>235</v>
      </c>
    </row>
    <row r="2000" spans="1:6">
      <c r="A2000" t="str">
        <f t="shared" si="31"/>
        <v>GenericE&amp;DtemplateCIandGOA</v>
      </c>
      <c r="B2000">
        <v>7</v>
      </c>
      <c r="C2000">
        <v>23</v>
      </c>
      <c r="D2000" s="649">
        <f ca="1">IF(E2000=4,INDEX(crude_exp_dist,MATCH(B2000,'Crude Exp Dist'!$B$6:$B$78,0),MATCH(C2000,'Crude Exp Dist'!$AD$2:$BC$2,0))*INDEX(crude_exp_by_year,MATCH(B2000,'Data Export'!$B$6:$B$78,0),1),IF(E2000=5,INDEX(ref_exp_dist,MATCH(B2000,'Refined Petro Exp Dist'!$B$6:$B$78,0),MATCH(C2000,'Refined Petro Exp Dist'!$AD$2:$BC$2,0))*INDEX(ref_exp_by_year,MATCH(B2000,'Data Export'!$B$6:$B$78,0),1)))</f>
        <v>0</v>
      </c>
      <c r="E2000">
        <v>5</v>
      </c>
      <c r="F2000" t="s">
        <v>237</v>
      </c>
    </row>
    <row r="2001" spans="1:6">
      <c r="A2001" t="str">
        <f t="shared" si="31"/>
        <v>GenericE&amp;DtemplateCIandGOA</v>
      </c>
      <c r="B2001">
        <v>7</v>
      </c>
      <c r="C2001">
        <v>24</v>
      </c>
      <c r="D2001" s="649">
        <f ca="1">IF(E2001=4,INDEX(crude_exp_dist,MATCH(B2001,'Crude Exp Dist'!$B$6:$B$78,0),MATCH(C2001,'Crude Exp Dist'!$AD$2:$BC$2,0))*INDEX(crude_exp_by_year,MATCH(B2001,'Data Export'!$B$6:$B$78,0),1),IF(E2001=5,INDEX(ref_exp_dist,MATCH(B2001,'Refined Petro Exp Dist'!$B$6:$B$78,0),MATCH(C2001,'Refined Petro Exp Dist'!$AD$2:$BC$2,0))*INDEX(ref_exp_by_year,MATCH(B2001,'Data Export'!$B$6:$B$78,0),1)))</f>
        <v>0</v>
      </c>
      <c r="E2001">
        <v>5</v>
      </c>
      <c r="F2001" t="s">
        <v>239</v>
      </c>
    </row>
    <row r="2002" spans="1:6">
      <c r="A2002" t="str">
        <f t="shared" si="31"/>
        <v>GenericE&amp;DtemplateCIandGOA</v>
      </c>
      <c r="B2002">
        <v>7</v>
      </c>
      <c r="C2002">
        <v>25</v>
      </c>
      <c r="D2002" s="649">
        <f ca="1">IF(E2002=4,INDEX(crude_exp_dist,MATCH(B2002,'Crude Exp Dist'!$B$6:$B$78,0),MATCH(C2002,'Crude Exp Dist'!$AD$2:$BC$2,0))*INDEX(crude_exp_by_year,MATCH(B2002,'Data Export'!$B$6:$B$78,0),1),IF(E2002=5,INDEX(ref_exp_dist,MATCH(B2002,'Refined Petro Exp Dist'!$B$6:$B$78,0),MATCH(C2002,'Refined Petro Exp Dist'!$AD$2:$BC$2,0))*INDEX(ref_exp_by_year,MATCH(B2002,'Data Export'!$B$6:$B$78,0),1)))</f>
        <v>0</v>
      </c>
      <c r="E2002">
        <v>5</v>
      </c>
      <c r="F2002" t="s">
        <v>242</v>
      </c>
    </row>
    <row r="2003" spans="1:6">
      <c r="A2003" t="str">
        <f t="shared" si="31"/>
        <v>GenericE&amp;DtemplateCIandGOA</v>
      </c>
      <c r="B2003">
        <v>7</v>
      </c>
      <c r="C2003">
        <v>26</v>
      </c>
      <c r="D2003" s="649">
        <f ca="1">IF(E2003=4,INDEX(crude_exp_dist,MATCH(B2003,'Crude Exp Dist'!$B$6:$B$78,0),MATCH(C2003,'Crude Exp Dist'!$AD$2:$BC$2,0))*INDEX(crude_exp_by_year,MATCH(B2003,'Data Export'!$B$6:$B$78,0),1),IF(E2003=5,INDEX(ref_exp_dist,MATCH(B2003,'Refined Petro Exp Dist'!$B$6:$B$78,0),MATCH(C2003,'Refined Petro Exp Dist'!$AD$2:$BC$2,0))*INDEX(ref_exp_by_year,MATCH(B2003,'Data Export'!$B$6:$B$78,0),1)))</f>
        <v>0</v>
      </c>
      <c r="E2003">
        <v>5</v>
      </c>
      <c r="F2003" t="s">
        <v>245</v>
      </c>
    </row>
    <row r="2004" spans="1:6">
      <c r="A2004" t="str">
        <f t="shared" si="31"/>
        <v>GenericE&amp;DtemplateCIandGOA</v>
      </c>
      <c r="B2004">
        <v>8</v>
      </c>
      <c r="C2004">
        <v>1</v>
      </c>
      <c r="D2004" s="649">
        <f ca="1">IF(E2004=4,INDEX(crude_exp_dist,MATCH(B2004,'Crude Exp Dist'!$B$6:$B$78,0),MATCH(C2004,'Crude Exp Dist'!$AD$2:$BC$2,0))*INDEX(crude_exp_by_year,MATCH(B2004,'Data Export'!$B$6:$B$78,0),1),IF(E2004=5,INDEX(ref_exp_dist,MATCH(B2004,'Refined Petro Exp Dist'!$B$6:$B$78,0),MATCH(C2004,'Refined Petro Exp Dist'!$AD$2:$BC$2,0))*INDEX(ref_exp_by_year,MATCH(B2004,'Data Export'!$B$6:$B$78,0),1)))</f>
        <v>0</v>
      </c>
      <c r="E2004">
        <v>5</v>
      </c>
      <c r="F2004" t="s">
        <v>158</v>
      </c>
    </row>
    <row r="2005" spans="1:6">
      <c r="A2005" t="str">
        <f t="shared" si="31"/>
        <v>GenericE&amp;DtemplateCIandGOA</v>
      </c>
      <c r="B2005">
        <v>8</v>
      </c>
      <c r="C2005">
        <v>2</v>
      </c>
      <c r="D2005" s="649">
        <f ca="1">IF(E2005=4,INDEX(crude_exp_dist,MATCH(B2005,'Crude Exp Dist'!$B$6:$B$78,0),MATCH(C2005,'Crude Exp Dist'!$AD$2:$BC$2,0))*INDEX(crude_exp_by_year,MATCH(B2005,'Data Export'!$B$6:$B$78,0),1),IF(E2005=5,INDEX(ref_exp_dist,MATCH(B2005,'Refined Petro Exp Dist'!$B$6:$B$78,0),MATCH(C2005,'Refined Petro Exp Dist'!$AD$2:$BC$2,0))*INDEX(ref_exp_by_year,MATCH(B2005,'Data Export'!$B$6:$B$78,0),1)))</f>
        <v>0</v>
      </c>
      <c r="E2005">
        <v>5</v>
      </c>
      <c r="F2005" t="s">
        <v>166</v>
      </c>
    </row>
    <row r="2006" spans="1:6">
      <c r="A2006" t="str">
        <f t="shared" si="31"/>
        <v>GenericE&amp;DtemplateCIandGOA</v>
      </c>
      <c r="B2006">
        <v>8</v>
      </c>
      <c r="C2006">
        <v>3</v>
      </c>
      <c r="D2006" s="649">
        <f ca="1">IF(E2006=4,INDEX(crude_exp_dist,MATCH(B2006,'Crude Exp Dist'!$B$6:$B$78,0),MATCH(C2006,'Crude Exp Dist'!$AD$2:$BC$2,0))*INDEX(crude_exp_by_year,MATCH(B2006,'Data Export'!$B$6:$B$78,0),1),IF(E2006=5,INDEX(ref_exp_dist,MATCH(B2006,'Refined Petro Exp Dist'!$B$6:$B$78,0),MATCH(C2006,'Refined Petro Exp Dist'!$AD$2:$BC$2,0))*INDEX(ref_exp_by_year,MATCH(B2006,'Data Export'!$B$6:$B$78,0),1)))</f>
        <v>0</v>
      </c>
      <c r="E2006">
        <v>5</v>
      </c>
      <c r="F2006" t="s">
        <v>171</v>
      </c>
    </row>
    <row r="2007" spans="1:6">
      <c r="A2007" t="str">
        <f t="shared" si="31"/>
        <v>GenericE&amp;DtemplateCIandGOA</v>
      </c>
      <c r="B2007">
        <v>8</v>
      </c>
      <c r="C2007">
        <v>4</v>
      </c>
      <c r="D2007" s="649">
        <f ca="1">IF(E2007=4,INDEX(crude_exp_dist,MATCH(B2007,'Crude Exp Dist'!$B$6:$B$78,0),MATCH(C2007,'Crude Exp Dist'!$AD$2:$BC$2,0))*INDEX(crude_exp_by_year,MATCH(B2007,'Data Export'!$B$6:$B$78,0),1),IF(E2007=5,INDEX(ref_exp_dist,MATCH(B2007,'Refined Petro Exp Dist'!$B$6:$B$78,0),MATCH(C2007,'Refined Petro Exp Dist'!$AD$2:$BC$2,0))*INDEX(ref_exp_by_year,MATCH(B2007,'Data Export'!$B$6:$B$78,0),1)))</f>
        <v>0</v>
      </c>
      <c r="E2007">
        <v>5</v>
      </c>
      <c r="F2007" t="s">
        <v>173</v>
      </c>
    </row>
    <row r="2008" spans="1:6">
      <c r="A2008" t="str">
        <f t="shared" si="31"/>
        <v>GenericE&amp;DtemplateCIandGOA</v>
      </c>
      <c r="B2008">
        <v>8</v>
      </c>
      <c r="C2008">
        <v>5</v>
      </c>
      <c r="D2008" s="649">
        <f ca="1">IF(E2008=4,INDEX(crude_exp_dist,MATCH(B2008,'Crude Exp Dist'!$B$6:$B$78,0),MATCH(C2008,'Crude Exp Dist'!$AD$2:$BC$2,0))*INDEX(crude_exp_by_year,MATCH(B2008,'Data Export'!$B$6:$B$78,0),1),IF(E2008=5,INDEX(ref_exp_dist,MATCH(B2008,'Refined Petro Exp Dist'!$B$6:$B$78,0),MATCH(C2008,'Refined Petro Exp Dist'!$AD$2:$BC$2,0))*INDEX(ref_exp_by_year,MATCH(B2008,'Data Export'!$B$6:$B$78,0),1)))</f>
        <v>0</v>
      </c>
      <c r="E2008">
        <v>5</v>
      </c>
      <c r="F2008" t="s">
        <v>180</v>
      </c>
    </row>
    <row r="2009" spans="1:6">
      <c r="A2009" t="str">
        <f t="shared" si="31"/>
        <v>GenericE&amp;DtemplateCIandGOA</v>
      </c>
      <c r="B2009">
        <v>8</v>
      </c>
      <c r="C2009">
        <v>6</v>
      </c>
      <c r="D2009" s="649">
        <f ca="1">IF(E2009=4,INDEX(crude_exp_dist,MATCH(B2009,'Crude Exp Dist'!$B$6:$B$78,0),MATCH(C2009,'Crude Exp Dist'!$AD$2:$BC$2,0))*INDEX(crude_exp_by_year,MATCH(B2009,'Data Export'!$B$6:$B$78,0),1),IF(E2009=5,INDEX(ref_exp_dist,MATCH(B2009,'Refined Petro Exp Dist'!$B$6:$B$78,0),MATCH(C2009,'Refined Petro Exp Dist'!$AD$2:$BC$2,0))*INDEX(ref_exp_by_year,MATCH(B2009,'Data Export'!$B$6:$B$78,0),1)))</f>
        <v>8.323588930673656E-2</v>
      </c>
      <c r="E2009">
        <v>5</v>
      </c>
      <c r="F2009" t="s">
        <v>186</v>
      </c>
    </row>
    <row r="2010" spans="1:6">
      <c r="A2010" t="str">
        <f t="shared" si="31"/>
        <v>GenericE&amp;DtemplateCIandGOA</v>
      </c>
      <c r="B2010">
        <v>8</v>
      </c>
      <c r="C2010">
        <v>7</v>
      </c>
      <c r="D2010" s="649">
        <f ca="1">IF(E2010=4,INDEX(crude_exp_dist,MATCH(B2010,'Crude Exp Dist'!$B$6:$B$78,0),MATCH(C2010,'Crude Exp Dist'!$AD$2:$BC$2,0))*INDEX(crude_exp_by_year,MATCH(B2010,'Data Export'!$B$6:$B$78,0),1),IF(E2010=5,INDEX(ref_exp_dist,MATCH(B2010,'Refined Petro Exp Dist'!$B$6:$B$78,0),MATCH(C2010,'Refined Petro Exp Dist'!$AD$2:$BC$2,0))*INDEX(ref_exp_by_year,MATCH(B2010,'Data Export'!$B$6:$B$78,0),1)))</f>
        <v>0</v>
      </c>
      <c r="E2010">
        <v>5</v>
      </c>
      <c r="F2010" t="s">
        <v>191</v>
      </c>
    </row>
    <row r="2011" spans="1:6">
      <c r="A2011" t="str">
        <f t="shared" si="31"/>
        <v>GenericE&amp;DtemplateCIandGOA</v>
      </c>
      <c r="B2011">
        <v>8</v>
      </c>
      <c r="C2011">
        <v>8</v>
      </c>
      <c r="D2011" s="649">
        <f ca="1">IF(E2011=4,INDEX(crude_exp_dist,MATCH(B2011,'Crude Exp Dist'!$B$6:$B$78,0),MATCH(C2011,'Crude Exp Dist'!$AD$2:$BC$2,0))*INDEX(crude_exp_by_year,MATCH(B2011,'Data Export'!$B$6:$B$78,0),1),IF(E2011=5,INDEX(ref_exp_dist,MATCH(B2011,'Refined Petro Exp Dist'!$B$6:$B$78,0),MATCH(C2011,'Refined Petro Exp Dist'!$AD$2:$BC$2,0))*INDEX(ref_exp_by_year,MATCH(B2011,'Data Export'!$B$6:$B$78,0),1)))</f>
        <v>0</v>
      </c>
      <c r="E2011">
        <v>5</v>
      </c>
      <c r="F2011" t="s">
        <v>197</v>
      </c>
    </row>
    <row r="2012" spans="1:6">
      <c r="A2012" t="str">
        <f t="shared" si="31"/>
        <v>GenericE&amp;DtemplateCIandGOA</v>
      </c>
      <c r="B2012">
        <v>8</v>
      </c>
      <c r="C2012">
        <v>9</v>
      </c>
      <c r="D2012" s="649">
        <f ca="1">IF(E2012=4,INDEX(crude_exp_dist,MATCH(B2012,'Crude Exp Dist'!$B$6:$B$78,0),MATCH(C2012,'Crude Exp Dist'!$AD$2:$BC$2,0))*INDEX(crude_exp_by_year,MATCH(B2012,'Data Export'!$B$6:$B$78,0),1),IF(E2012=5,INDEX(ref_exp_dist,MATCH(B2012,'Refined Petro Exp Dist'!$B$6:$B$78,0),MATCH(C2012,'Refined Petro Exp Dist'!$AD$2:$BC$2,0))*INDEX(ref_exp_by_year,MATCH(B2012,'Data Export'!$B$6:$B$78,0),1)))</f>
        <v>0</v>
      </c>
      <c r="E2012">
        <v>5</v>
      </c>
      <c r="F2012" t="s">
        <v>199</v>
      </c>
    </row>
    <row r="2013" spans="1:6">
      <c r="A2013" t="str">
        <f t="shared" si="31"/>
        <v>GenericE&amp;DtemplateCIandGOA</v>
      </c>
      <c r="B2013">
        <v>8</v>
      </c>
      <c r="C2013">
        <v>10</v>
      </c>
      <c r="D2013" s="649">
        <f ca="1">IF(E2013=4,INDEX(crude_exp_dist,MATCH(B2013,'Crude Exp Dist'!$B$6:$B$78,0),MATCH(C2013,'Crude Exp Dist'!$AD$2:$BC$2,0))*INDEX(crude_exp_by_year,MATCH(B2013,'Data Export'!$B$6:$B$78,0),1),IF(E2013=5,INDEX(ref_exp_dist,MATCH(B2013,'Refined Petro Exp Dist'!$B$6:$B$78,0),MATCH(C2013,'Refined Petro Exp Dist'!$AD$2:$BC$2,0))*INDEX(ref_exp_by_year,MATCH(B2013,'Data Export'!$B$6:$B$78,0),1)))</f>
        <v>0</v>
      </c>
      <c r="E2013">
        <v>5</v>
      </c>
      <c r="F2013" t="s">
        <v>201</v>
      </c>
    </row>
    <row r="2014" spans="1:6">
      <c r="A2014" t="str">
        <f t="shared" si="31"/>
        <v>GenericE&amp;DtemplateCIandGOA</v>
      </c>
      <c r="B2014">
        <v>8</v>
      </c>
      <c r="C2014">
        <v>11</v>
      </c>
      <c r="D2014" s="649">
        <f ca="1">IF(E2014=4,INDEX(crude_exp_dist,MATCH(B2014,'Crude Exp Dist'!$B$6:$B$78,0),MATCH(C2014,'Crude Exp Dist'!$AD$2:$BC$2,0))*INDEX(crude_exp_by_year,MATCH(B2014,'Data Export'!$B$6:$B$78,0),1),IF(E2014=5,INDEX(ref_exp_dist,MATCH(B2014,'Refined Petro Exp Dist'!$B$6:$B$78,0),MATCH(C2014,'Refined Petro Exp Dist'!$AD$2:$BC$2,0))*INDEX(ref_exp_by_year,MATCH(B2014,'Data Export'!$B$6:$B$78,0),1)))</f>
        <v>0</v>
      </c>
      <c r="E2014">
        <v>5</v>
      </c>
      <c r="F2014" t="s">
        <v>921</v>
      </c>
    </row>
    <row r="2015" spans="1:6">
      <c r="A2015" t="str">
        <f t="shared" si="31"/>
        <v>GenericE&amp;DtemplateCIandGOA</v>
      </c>
      <c r="B2015">
        <v>8</v>
      </c>
      <c r="C2015">
        <v>12</v>
      </c>
      <c r="D2015" s="649">
        <f ca="1">IF(E2015=4,INDEX(crude_exp_dist,MATCH(B2015,'Crude Exp Dist'!$B$6:$B$78,0),MATCH(C2015,'Crude Exp Dist'!$AD$2:$BC$2,0))*INDEX(crude_exp_by_year,MATCH(B2015,'Data Export'!$B$6:$B$78,0),1),IF(E2015=5,INDEX(ref_exp_dist,MATCH(B2015,'Refined Petro Exp Dist'!$B$6:$B$78,0),MATCH(C2015,'Refined Petro Exp Dist'!$AD$2:$BC$2,0))*INDEX(ref_exp_by_year,MATCH(B2015,'Data Export'!$B$6:$B$78,0),1)))</f>
        <v>1.8434770998983989E-2</v>
      </c>
      <c r="E2015">
        <v>5</v>
      </c>
      <c r="F2015" t="s">
        <v>208</v>
      </c>
    </row>
    <row r="2016" spans="1:6">
      <c r="A2016" t="str">
        <f t="shared" si="31"/>
        <v>GenericE&amp;DtemplateCIandGOA</v>
      </c>
      <c r="B2016">
        <v>8</v>
      </c>
      <c r="C2016">
        <v>13</v>
      </c>
      <c r="D2016" s="649">
        <f ca="1">IF(E2016=4,INDEX(crude_exp_dist,MATCH(B2016,'Crude Exp Dist'!$B$6:$B$78,0),MATCH(C2016,'Crude Exp Dist'!$AD$2:$BC$2,0))*INDEX(crude_exp_by_year,MATCH(B2016,'Data Export'!$B$6:$B$78,0),1),IF(E2016=5,INDEX(ref_exp_dist,MATCH(B2016,'Refined Petro Exp Dist'!$B$6:$B$78,0),MATCH(C2016,'Refined Petro Exp Dist'!$AD$2:$BC$2,0))*INDEX(ref_exp_by_year,MATCH(B2016,'Data Export'!$B$6:$B$78,0),1)))</f>
        <v>1.8434770998983989E-2</v>
      </c>
      <c r="E2016">
        <v>5</v>
      </c>
      <c r="F2016" t="s">
        <v>211</v>
      </c>
    </row>
    <row r="2017" spans="1:6">
      <c r="A2017" t="str">
        <f t="shared" si="31"/>
        <v>GenericE&amp;DtemplateCIandGOA</v>
      </c>
      <c r="B2017">
        <v>8</v>
      </c>
      <c r="C2017">
        <v>14</v>
      </c>
      <c r="D2017" s="649">
        <f ca="1">IF(E2017=4,INDEX(crude_exp_dist,MATCH(B2017,'Crude Exp Dist'!$B$6:$B$78,0),MATCH(C2017,'Crude Exp Dist'!$AD$2:$BC$2,0))*INDEX(crude_exp_by_year,MATCH(B2017,'Data Export'!$B$6:$B$78,0),1),IF(E2017=5,INDEX(ref_exp_dist,MATCH(B2017,'Refined Petro Exp Dist'!$B$6:$B$78,0),MATCH(C2017,'Refined Petro Exp Dist'!$AD$2:$BC$2,0))*INDEX(ref_exp_by_year,MATCH(B2017,'Data Export'!$B$6:$B$78,0),1)))</f>
        <v>0</v>
      </c>
      <c r="E2017">
        <v>5</v>
      </c>
      <c r="F2017" t="s">
        <v>213</v>
      </c>
    </row>
    <row r="2018" spans="1:6">
      <c r="A2018" t="str">
        <f t="shared" si="31"/>
        <v>GenericE&amp;DtemplateCIandGOA</v>
      </c>
      <c r="B2018">
        <v>8</v>
      </c>
      <c r="C2018">
        <v>15</v>
      </c>
      <c r="D2018" s="649">
        <f ca="1">IF(E2018=4,INDEX(crude_exp_dist,MATCH(B2018,'Crude Exp Dist'!$B$6:$B$78,0),MATCH(C2018,'Crude Exp Dist'!$AD$2:$BC$2,0))*INDEX(crude_exp_by_year,MATCH(B2018,'Data Export'!$B$6:$B$78,0),1),IF(E2018=5,INDEX(ref_exp_dist,MATCH(B2018,'Refined Petro Exp Dist'!$B$6:$B$78,0),MATCH(C2018,'Refined Petro Exp Dist'!$AD$2:$BC$2,0))*INDEX(ref_exp_by_year,MATCH(B2018,'Data Export'!$B$6:$B$78,0),1)))</f>
        <v>0</v>
      </c>
      <c r="E2018">
        <v>5</v>
      </c>
      <c r="F2018" t="s">
        <v>215</v>
      </c>
    </row>
    <row r="2019" spans="1:6">
      <c r="A2019" t="str">
        <f t="shared" si="31"/>
        <v>GenericE&amp;DtemplateCIandGOA</v>
      </c>
      <c r="B2019">
        <v>8</v>
      </c>
      <c r="C2019">
        <v>16</v>
      </c>
      <c r="D2019" s="649">
        <f ca="1">IF(E2019=4,INDEX(crude_exp_dist,MATCH(B2019,'Crude Exp Dist'!$B$6:$B$78,0),MATCH(C2019,'Crude Exp Dist'!$AD$2:$BC$2,0))*INDEX(crude_exp_by_year,MATCH(B2019,'Data Export'!$B$6:$B$78,0),1),IF(E2019=5,INDEX(ref_exp_dist,MATCH(B2019,'Refined Petro Exp Dist'!$B$6:$B$78,0),MATCH(C2019,'Refined Petro Exp Dist'!$AD$2:$BC$2,0))*INDEX(ref_exp_by_year,MATCH(B2019,'Data Export'!$B$6:$B$78,0),1)))</f>
        <v>0</v>
      </c>
      <c r="E2019">
        <v>5</v>
      </c>
      <c r="F2019" t="s">
        <v>219</v>
      </c>
    </row>
    <row r="2020" spans="1:6">
      <c r="A2020" t="str">
        <f t="shared" si="31"/>
        <v>GenericE&amp;DtemplateCIandGOA</v>
      </c>
      <c r="B2020">
        <v>8</v>
      </c>
      <c r="C2020">
        <v>17</v>
      </c>
      <c r="D2020" s="649">
        <f ca="1">IF(E2020=4,INDEX(crude_exp_dist,MATCH(B2020,'Crude Exp Dist'!$B$6:$B$78,0),MATCH(C2020,'Crude Exp Dist'!$AD$2:$BC$2,0))*INDEX(crude_exp_by_year,MATCH(B2020,'Data Export'!$B$6:$B$78,0),1),IF(E2020=5,INDEX(ref_exp_dist,MATCH(B2020,'Refined Petro Exp Dist'!$B$6:$B$78,0),MATCH(C2020,'Refined Petro Exp Dist'!$AD$2:$BC$2,0))*INDEX(ref_exp_by_year,MATCH(B2020,'Data Export'!$B$6:$B$78,0),1)))</f>
        <v>0</v>
      </c>
      <c r="E2020">
        <v>5</v>
      </c>
      <c r="F2020" t="s">
        <v>222</v>
      </c>
    </row>
    <row r="2021" spans="1:6">
      <c r="A2021" t="str">
        <f t="shared" si="31"/>
        <v>GenericE&amp;DtemplateCIandGOA</v>
      </c>
      <c r="B2021">
        <v>8</v>
      </c>
      <c r="C2021">
        <v>18</v>
      </c>
      <c r="D2021" s="649">
        <f ca="1">IF(E2021=4,INDEX(crude_exp_dist,MATCH(B2021,'Crude Exp Dist'!$B$6:$B$78,0),MATCH(C2021,'Crude Exp Dist'!$AD$2:$BC$2,0))*INDEX(crude_exp_by_year,MATCH(B2021,'Data Export'!$B$6:$B$78,0),1),IF(E2021=5,INDEX(ref_exp_dist,MATCH(B2021,'Refined Petro Exp Dist'!$B$6:$B$78,0),MATCH(C2021,'Refined Petro Exp Dist'!$AD$2:$BC$2,0))*INDEX(ref_exp_by_year,MATCH(B2021,'Data Export'!$B$6:$B$78,0),1)))</f>
        <v>0</v>
      </c>
      <c r="E2021">
        <v>5</v>
      </c>
      <c r="F2021" t="s">
        <v>224</v>
      </c>
    </row>
    <row r="2022" spans="1:6">
      <c r="A2022" t="str">
        <f t="shared" si="31"/>
        <v>GenericE&amp;DtemplateCIandGOA</v>
      </c>
      <c r="B2022">
        <v>8</v>
      </c>
      <c r="C2022">
        <v>19</v>
      </c>
      <c r="D2022" s="649">
        <f ca="1">IF(E2022=4,INDEX(crude_exp_dist,MATCH(B2022,'Crude Exp Dist'!$B$6:$B$78,0),MATCH(C2022,'Crude Exp Dist'!$AD$2:$BC$2,0))*INDEX(crude_exp_by_year,MATCH(B2022,'Data Export'!$B$6:$B$78,0),1),IF(E2022=5,INDEX(ref_exp_dist,MATCH(B2022,'Refined Petro Exp Dist'!$B$6:$B$78,0),MATCH(C2022,'Refined Petro Exp Dist'!$AD$2:$BC$2,0))*INDEX(ref_exp_by_year,MATCH(B2022,'Data Export'!$B$6:$B$78,0),1)))</f>
        <v>0</v>
      </c>
      <c r="E2022">
        <v>5</v>
      </c>
      <c r="F2022" t="s">
        <v>228</v>
      </c>
    </row>
    <row r="2023" spans="1:6">
      <c r="A2023" t="str">
        <f t="shared" si="31"/>
        <v>GenericE&amp;DtemplateCIandGOA</v>
      </c>
      <c r="B2023">
        <v>8</v>
      </c>
      <c r="C2023">
        <v>20</v>
      </c>
      <c r="D2023" s="649">
        <f ca="1">IF(E2023=4,INDEX(crude_exp_dist,MATCH(B2023,'Crude Exp Dist'!$B$6:$B$78,0),MATCH(C2023,'Crude Exp Dist'!$AD$2:$BC$2,0))*INDEX(crude_exp_by_year,MATCH(B2023,'Data Export'!$B$6:$B$78,0),1),IF(E2023=5,INDEX(ref_exp_dist,MATCH(B2023,'Refined Petro Exp Dist'!$B$6:$B$78,0),MATCH(C2023,'Refined Petro Exp Dist'!$AD$2:$BC$2,0))*INDEX(ref_exp_by_year,MATCH(B2023,'Data Export'!$B$6:$B$78,0),1)))</f>
        <v>0</v>
      </c>
      <c r="E2023">
        <v>5</v>
      </c>
      <c r="F2023" t="s">
        <v>231</v>
      </c>
    </row>
    <row r="2024" spans="1:6">
      <c r="A2024" t="str">
        <f t="shared" si="31"/>
        <v>GenericE&amp;DtemplateCIandGOA</v>
      </c>
      <c r="B2024">
        <v>8</v>
      </c>
      <c r="C2024">
        <v>21</v>
      </c>
      <c r="D2024" s="649">
        <f ca="1">IF(E2024=4,INDEX(crude_exp_dist,MATCH(B2024,'Crude Exp Dist'!$B$6:$B$78,0),MATCH(C2024,'Crude Exp Dist'!$AD$2:$BC$2,0))*INDEX(crude_exp_by_year,MATCH(B2024,'Data Export'!$B$6:$B$78,0),1),IF(E2024=5,INDEX(ref_exp_dist,MATCH(B2024,'Refined Petro Exp Dist'!$B$6:$B$78,0),MATCH(C2024,'Refined Petro Exp Dist'!$AD$2:$BC$2,0))*INDEX(ref_exp_by_year,MATCH(B2024,'Data Export'!$B$6:$B$78,0),1)))</f>
        <v>0</v>
      </c>
      <c r="E2024">
        <v>5</v>
      </c>
      <c r="F2024" t="s">
        <v>232</v>
      </c>
    </row>
    <row r="2025" spans="1:6">
      <c r="A2025" t="str">
        <f t="shared" si="31"/>
        <v>GenericE&amp;DtemplateCIandGOA</v>
      </c>
      <c r="B2025">
        <v>8</v>
      </c>
      <c r="C2025">
        <v>22</v>
      </c>
      <c r="D2025" s="649">
        <f ca="1">IF(E2025=4,INDEX(crude_exp_dist,MATCH(B2025,'Crude Exp Dist'!$B$6:$B$78,0),MATCH(C2025,'Crude Exp Dist'!$AD$2:$BC$2,0))*INDEX(crude_exp_by_year,MATCH(B2025,'Data Export'!$B$6:$B$78,0),1),IF(E2025=5,INDEX(ref_exp_dist,MATCH(B2025,'Refined Petro Exp Dist'!$B$6:$B$78,0),MATCH(C2025,'Refined Petro Exp Dist'!$AD$2:$BC$2,0))*INDEX(ref_exp_by_year,MATCH(B2025,'Data Export'!$B$6:$B$78,0),1)))</f>
        <v>0</v>
      </c>
      <c r="E2025">
        <v>5</v>
      </c>
      <c r="F2025" t="s">
        <v>235</v>
      </c>
    </row>
    <row r="2026" spans="1:6">
      <c r="A2026" t="str">
        <f t="shared" si="31"/>
        <v>GenericE&amp;DtemplateCIandGOA</v>
      </c>
      <c r="B2026">
        <v>8</v>
      </c>
      <c r="C2026">
        <v>23</v>
      </c>
      <c r="D2026" s="649">
        <f ca="1">IF(E2026=4,INDEX(crude_exp_dist,MATCH(B2026,'Crude Exp Dist'!$B$6:$B$78,0),MATCH(C2026,'Crude Exp Dist'!$AD$2:$BC$2,0))*INDEX(crude_exp_by_year,MATCH(B2026,'Data Export'!$B$6:$B$78,0),1),IF(E2026=5,INDEX(ref_exp_dist,MATCH(B2026,'Refined Petro Exp Dist'!$B$6:$B$78,0),MATCH(C2026,'Refined Petro Exp Dist'!$AD$2:$BC$2,0))*INDEX(ref_exp_by_year,MATCH(B2026,'Data Export'!$B$6:$B$78,0),1)))</f>
        <v>0</v>
      </c>
      <c r="E2026">
        <v>5</v>
      </c>
      <c r="F2026" t="s">
        <v>237</v>
      </c>
    </row>
    <row r="2027" spans="1:6">
      <c r="A2027" t="str">
        <f t="shared" si="31"/>
        <v>GenericE&amp;DtemplateCIandGOA</v>
      </c>
      <c r="B2027">
        <v>8</v>
      </c>
      <c r="C2027">
        <v>24</v>
      </c>
      <c r="D2027" s="649">
        <f ca="1">IF(E2027=4,INDEX(crude_exp_dist,MATCH(B2027,'Crude Exp Dist'!$B$6:$B$78,0),MATCH(C2027,'Crude Exp Dist'!$AD$2:$BC$2,0))*INDEX(crude_exp_by_year,MATCH(B2027,'Data Export'!$B$6:$B$78,0),1),IF(E2027=5,INDEX(ref_exp_dist,MATCH(B2027,'Refined Petro Exp Dist'!$B$6:$B$78,0),MATCH(C2027,'Refined Petro Exp Dist'!$AD$2:$BC$2,0))*INDEX(ref_exp_by_year,MATCH(B2027,'Data Export'!$B$6:$B$78,0),1)))</f>
        <v>0</v>
      </c>
      <c r="E2027">
        <v>5</v>
      </c>
      <c r="F2027" t="s">
        <v>239</v>
      </c>
    </row>
    <row r="2028" spans="1:6">
      <c r="A2028" t="str">
        <f t="shared" si="31"/>
        <v>GenericE&amp;DtemplateCIandGOA</v>
      </c>
      <c r="B2028">
        <v>8</v>
      </c>
      <c r="C2028">
        <v>25</v>
      </c>
      <c r="D2028" s="649">
        <f ca="1">IF(E2028=4,INDEX(crude_exp_dist,MATCH(B2028,'Crude Exp Dist'!$B$6:$B$78,0),MATCH(C2028,'Crude Exp Dist'!$AD$2:$BC$2,0))*INDEX(crude_exp_by_year,MATCH(B2028,'Data Export'!$B$6:$B$78,0),1),IF(E2028=5,INDEX(ref_exp_dist,MATCH(B2028,'Refined Petro Exp Dist'!$B$6:$B$78,0),MATCH(C2028,'Refined Petro Exp Dist'!$AD$2:$BC$2,0))*INDEX(ref_exp_by_year,MATCH(B2028,'Data Export'!$B$6:$B$78,0),1)))</f>
        <v>0</v>
      </c>
      <c r="E2028">
        <v>5</v>
      </c>
      <c r="F2028" t="s">
        <v>242</v>
      </c>
    </row>
    <row r="2029" spans="1:6">
      <c r="A2029" t="str">
        <f t="shared" si="31"/>
        <v>GenericE&amp;DtemplateCIandGOA</v>
      </c>
      <c r="B2029">
        <v>8</v>
      </c>
      <c r="C2029">
        <v>26</v>
      </c>
      <c r="D2029" s="649">
        <f ca="1">IF(E2029=4,INDEX(crude_exp_dist,MATCH(B2029,'Crude Exp Dist'!$B$6:$B$78,0),MATCH(C2029,'Crude Exp Dist'!$AD$2:$BC$2,0))*INDEX(crude_exp_by_year,MATCH(B2029,'Data Export'!$B$6:$B$78,0),1),IF(E2029=5,INDEX(ref_exp_dist,MATCH(B2029,'Refined Petro Exp Dist'!$B$6:$B$78,0),MATCH(C2029,'Refined Petro Exp Dist'!$AD$2:$BC$2,0))*INDEX(ref_exp_by_year,MATCH(B2029,'Data Export'!$B$6:$B$78,0),1)))</f>
        <v>0</v>
      </c>
      <c r="E2029">
        <v>5</v>
      </c>
      <c r="F2029" t="s">
        <v>245</v>
      </c>
    </row>
    <row r="2030" spans="1:6">
      <c r="A2030" t="str">
        <f t="shared" si="31"/>
        <v>GenericE&amp;DtemplateCIandGOA</v>
      </c>
      <c r="B2030">
        <v>9</v>
      </c>
      <c r="C2030">
        <v>1</v>
      </c>
      <c r="D2030" s="649">
        <f ca="1">IF(E2030=4,INDEX(crude_exp_dist,MATCH(B2030,'Crude Exp Dist'!$B$6:$B$78,0),MATCH(C2030,'Crude Exp Dist'!$AD$2:$BC$2,0))*INDEX(crude_exp_by_year,MATCH(B2030,'Data Export'!$B$6:$B$78,0),1),IF(E2030=5,INDEX(ref_exp_dist,MATCH(B2030,'Refined Petro Exp Dist'!$B$6:$B$78,0),MATCH(C2030,'Refined Petro Exp Dist'!$AD$2:$BC$2,0))*INDEX(ref_exp_by_year,MATCH(B2030,'Data Export'!$B$6:$B$78,0),1)))</f>
        <v>0</v>
      </c>
      <c r="E2030">
        <v>5</v>
      </c>
      <c r="F2030" t="s">
        <v>158</v>
      </c>
    </row>
    <row r="2031" spans="1:6">
      <c r="A2031" t="str">
        <f t="shared" si="31"/>
        <v>GenericE&amp;DtemplateCIandGOA</v>
      </c>
      <c r="B2031">
        <v>9</v>
      </c>
      <c r="C2031">
        <v>2</v>
      </c>
      <c r="D2031" s="649">
        <f ca="1">IF(E2031=4,INDEX(crude_exp_dist,MATCH(B2031,'Crude Exp Dist'!$B$6:$B$78,0),MATCH(C2031,'Crude Exp Dist'!$AD$2:$BC$2,0))*INDEX(crude_exp_by_year,MATCH(B2031,'Data Export'!$B$6:$B$78,0),1),IF(E2031=5,INDEX(ref_exp_dist,MATCH(B2031,'Refined Petro Exp Dist'!$B$6:$B$78,0),MATCH(C2031,'Refined Petro Exp Dist'!$AD$2:$BC$2,0))*INDEX(ref_exp_by_year,MATCH(B2031,'Data Export'!$B$6:$B$78,0),1)))</f>
        <v>0</v>
      </c>
      <c r="E2031">
        <v>5</v>
      </c>
      <c r="F2031" t="s">
        <v>166</v>
      </c>
    </row>
    <row r="2032" spans="1:6">
      <c r="A2032" t="str">
        <f t="shared" si="31"/>
        <v>GenericE&amp;DtemplateCIandGOA</v>
      </c>
      <c r="B2032">
        <v>9</v>
      </c>
      <c r="C2032">
        <v>3</v>
      </c>
      <c r="D2032" s="649">
        <f ca="1">IF(E2032=4,INDEX(crude_exp_dist,MATCH(B2032,'Crude Exp Dist'!$B$6:$B$78,0),MATCH(C2032,'Crude Exp Dist'!$AD$2:$BC$2,0))*INDEX(crude_exp_by_year,MATCH(B2032,'Data Export'!$B$6:$B$78,0),1),IF(E2032=5,INDEX(ref_exp_dist,MATCH(B2032,'Refined Petro Exp Dist'!$B$6:$B$78,0),MATCH(C2032,'Refined Petro Exp Dist'!$AD$2:$BC$2,0))*INDEX(ref_exp_by_year,MATCH(B2032,'Data Export'!$B$6:$B$78,0),1)))</f>
        <v>0</v>
      </c>
      <c r="E2032">
        <v>5</v>
      </c>
      <c r="F2032" t="s">
        <v>171</v>
      </c>
    </row>
    <row r="2033" spans="1:6">
      <c r="A2033" t="str">
        <f t="shared" si="31"/>
        <v>GenericE&amp;DtemplateCIandGOA</v>
      </c>
      <c r="B2033">
        <v>9</v>
      </c>
      <c r="C2033">
        <v>4</v>
      </c>
      <c r="D2033" s="649">
        <f ca="1">IF(E2033=4,INDEX(crude_exp_dist,MATCH(B2033,'Crude Exp Dist'!$B$6:$B$78,0),MATCH(C2033,'Crude Exp Dist'!$AD$2:$BC$2,0))*INDEX(crude_exp_by_year,MATCH(B2033,'Data Export'!$B$6:$B$78,0),1),IF(E2033=5,INDEX(ref_exp_dist,MATCH(B2033,'Refined Petro Exp Dist'!$B$6:$B$78,0),MATCH(C2033,'Refined Petro Exp Dist'!$AD$2:$BC$2,0))*INDEX(ref_exp_by_year,MATCH(B2033,'Data Export'!$B$6:$B$78,0),1)))</f>
        <v>0</v>
      </c>
      <c r="E2033">
        <v>5</v>
      </c>
      <c r="F2033" t="s">
        <v>173</v>
      </c>
    </row>
    <row r="2034" spans="1:6">
      <c r="A2034" t="str">
        <f t="shared" si="31"/>
        <v>GenericE&amp;DtemplateCIandGOA</v>
      </c>
      <c r="B2034">
        <v>9</v>
      </c>
      <c r="C2034">
        <v>5</v>
      </c>
      <c r="D2034" s="649">
        <f ca="1">IF(E2034=4,INDEX(crude_exp_dist,MATCH(B2034,'Crude Exp Dist'!$B$6:$B$78,0),MATCH(C2034,'Crude Exp Dist'!$AD$2:$BC$2,0))*INDEX(crude_exp_by_year,MATCH(B2034,'Data Export'!$B$6:$B$78,0),1),IF(E2034=5,INDEX(ref_exp_dist,MATCH(B2034,'Refined Petro Exp Dist'!$B$6:$B$78,0),MATCH(C2034,'Refined Petro Exp Dist'!$AD$2:$BC$2,0))*INDEX(ref_exp_by_year,MATCH(B2034,'Data Export'!$B$6:$B$78,0),1)))</f>
        <v>0</v>
      </c>
      <c r="E2034">
        <v>5</v>
      </c>
      <c r="F2034" t="s">
        <v>180</v>
      </c>
    </row>
    <row r="2035" spans="1:6">
      <c r="A2035" t="str">
        <f t="shared" si="31"/>
        <v>GenericE&amp;DtemplateCIandGOA</v>
      </c>
      <c r="B2035">
        <v>9</v>
      </c>
      <c r="C2035">
        <v>6</v>
      </c>
      <c r="D2035" s="649">
        <f ca="1">IF(E2035=4,INDEX(crude_exp_dist,MATCH(B2035,'Crude Exp Dist'!$B$6:$B$78,0),MATCH(C2035,'Crude Exp Dist'!$AD$2:$BC$2,0))*INDEX(crude_exp_by_year,MATCH(B2035,'Data Export'!$B$6:$B$78,0),1),IF(E2035=5,INDEX(ref_exp_dist,MATCH(B2035,'Refined Petro Exp Dist'!$B$6:$B$78,0),MATCH(C2035,'Refined Petro Exp Dist'!$AD$2:$BC$2,0))*INDEX(ref_exp_by_year,MATCH(B2035,'Data Export'!$B$6:$B$78,0),1)))</f>
        <v>8.7287166336041291E-2</v>
      </c>
      <c r="E2035">
        <v>5</v>
      </c>
      <c r="F2035" t="s">
        <v>186</v>
      </c>
    </row>
    <row r="2036" spans="1:6">
      <c r="A2036" t="str">
        <f t="shared" si="31"/>
        <v>GenericE&amp;DtemplateCIandGOA</v>
      </c>
      <c r="B2036">
        <v>9</v>
      </c>
      <c r="C2036">
        <v>7</v>
      </c>
      <c r="D2036" s="649">
        <f ca="1">IF(E2036=4,INDEX(crude_exp_dist,MATCH(B2036,'Crude Exp Dist'!$B$6:$B$78,0),MATCH(C2036,'Crude Exp Dist'!$AD$2:$BC$2,0))*INDEX(crude_exp_by_year,MATCH(B2036,'Data Export'!$B$6:$B$78,0),1),IF(E2036=5,INDEX(ref_exp_dist,MATCH(B2036,'Refined Petro Exp Dist'!$B$6:$B$78,0),MATCH(C2036,'Refined Petro Exp Dist'!$AD$2:$BC$2,0))*INDEX(ref_exp_by_year,MATCH(B2036,'Data Export'!$B$6:$B$78,0),1)))</f>
        <v>0</v>
      </c>
      <c r="E2036">
        <v>5</v>
      </c>
      <c r="F2036" t="s">
        <v>191</v>
      </c>
    </row>
    <row r="2037" spans="1:6">
      <c r="A2037" t="str">
        <f t="shared" si="31"/>
        <v>GenericE&amp;DtemplateCIandGOA</v>
      </c>
      <c r="B2037">
        <v>9</v>
      </c>
      <c r="C2037">
        <v>8</v>
      </c>
      <c r="D2037" s="649">
        <f ca="1">IF(E2037=4,INDEX(crude_exp_dist,MATCH(B2037,'Crude Exp Dist'!$B$6:$B$78,0),MATCH(C2037,'Crude Exp Dist'!$AD$2:$BC$2,0))*INDEX(crude_exp_by_year,MATCH(B2037,'Data Export'!$B$6:$B$78,0),1),IF(E2037=5,INDEX(ref_exp_dist,MATCH(B2037,'Refined Petro Exp Dist'!$B$6:$B$78,0),MATCH(C2037,'Refined Petro Exp Dist'!$AD$2:$BC$2,0))*INDEX(ref_exp_by_year,MATCH(B2037,'Data Export'!$B$6:$B$78,0),1)))</f>
        <v>0</v>
      </c>
      <c r="E2037">
        <v>5</v>
      </c>
      <c r="F2037" t="s">
        <v>197</v>
      </c>
    </row>
    <row r="2038" spans="1:6">
      <c r="A2038" t="str">
        <f t="shared" si="31"/>
        <v>GenericE&amp;DtemplateCIandGOA</v>
      </c>
      <c r="B2038">
        <v>9</v>
      </c>
      <c r="C2038">
        <v>9</v>
      </c>
      <c r="D2038" s="649">
        <f ca="1">IF(E2038=4,INDEX(crude_exp_dist,MATCH(B2038,'Crude Exp Dist'!$B$6:$B$78,0),MATCH(C2038,'Crude Exp Dist'!$AD$2:$BC$2,0))*INDEX(crude_exp_by_year,MATCH(B2038,'Data Export'!$B$6:$B$78,0),1),IF(E2038=5,INDEX(ref_exp_dist,MATCH(B2038,'Refined Petro Exp Dist'!$B$6:$B$78,0),MATCH(C2038,'Refined Petro Exp Dist'!$AD$2:$BC$2,0))*INDEX(ref_exp_by_year,MATCH(B2038,'Data Export'!$B$6:$B$78,0),1)))</f>
        <v>0</v>
      </c>
      <c r="E2038">
        <v>5</v>
      </c>
      <c r="F2038" t="s">
        <v>199</v>
      </c>
    </row>
    <row r="2039" spans="1:6">
      <c r="A2039" t="str">
        <f t="shared" si="31"/>
        <v>GenericE&amp;DtemplateCIandGOA</v>
      </c>
      <c r="B2039">
        <v>9</v>
      </c>
      <c r="C2039">
        <v>10</v>
      </c>
      <c r="D2039" s="649">
        <f ca="1">IF(E2039=4,INDEX(crude_exp_dist,MATCH(B2039,'Crude Exp Dist'!$B$6:$B$78,0),MATCH(C2039,'Crude Exp Dist'!$AD$2:$BC$2,0))*INDEX(crude_exp_by_year,MATCH(B2039,'Data Export'!$B$6:$B$78,0),1),IF(E2039=5,INDEX(ref_exp_dist,MATCH(B2039,'Refined Petro Exp Dist'!$B$6:$B$78,0),MATCH(C2039,'Refined Petro Exp Dist'!$AD$2:$BC$2,0))*INDEX(ref_exp_by_year,MATCH(B2039,'Data Export'!$B$6:$B$78,0),1)))</f>
        <v>0</v>
      </c>
      <c r="E2039">
        <v>5</v>
      </c>
      <c r="F2039" t="s">
        <v>201</v>
      </c>
    </row>
    <row r="2040" spans="1:6">
      <c r="A2040" t="str">
        <f t="shared" si="31"/>
        <v>GenericE&amp;DtemplateCIandGOA</v>
      </c>
      <c r="B2040">
        <v>9</v>
      </c>
      <c r="C2040">
        <v>11</v>
      </c>
      <c r="D2040" s="649">
        <f ca="1">IF(E2040=4,INDEX(crude_exp_dist,MATCH(B2040,'Crude Exp Dist'!$B$6:$B$78,0),MATCH(C2040,'Crude Exp Dist'!$AD$2:$BC$2,0))*INDEX(crude_exp_by_year,MATCH(B2040,'Data Export'!$B$6:$B$78,0),1),IF(E2040=5,INDEX(ref_exp_dist,MATCH(B2040,'Refined Petro Exp Dist'!$B$6:$B$78,0),MATCH(C2040,'Refined Petro Exp Dist'!$AD$2:$BC$2,0))*INDEX(ref_exp_by_year,MATCH(B2040,'Data Export'!$B$6:$B$78,0),1)))</f>
        <v>0</v>
      </c>
      <c r="E2040">
        <v>5</v>
      </c>
      <c r="F2040" t="s">
        <v>921</v>
      </c>
    </row>
    <row r="2041" spans="1:6">
      <c r="A2041" t="str">
        <f t="shared" si="31"/>
        <v>GenericE&amp;DtemplateCIandGOA</v>
      </c>
      <c r="B2041">
        <v>9</v>
      </c>
      <c r="C2041">
        <v>12</v>
      </c>
      <c r="D2041" s="649">
        <f ca="1">IF(E2041=4,INDEX(crude_exp_dist,MATCH(B2041,'Crude Exp Dist'!$B$6:$B$78,0),MATCH(C2041,'Crude Exp Dist'!$AD$2:$BC$2,0))*INDEX(crude_exp_by_year,MATCH(B2041,'Data Export'!$B$6:$B$78,0),1),IF(E2041=5,INDEX(ref_exp_dist,MATCH(B2041,'Refined Petro Exp Dist'!$B$6:$B$78,0),MATCH(C2041,'Refined Petro Exp Dist'!$AD$2:$BC$2,0))*INDEX(ref_exp_by_year,MATCH(B2041,'Data Export'!$B$6:$B$78,0),1)))</f>
        <v>1.9332032563805553E-2</v>
      </c>
      <c r="E2041">
        <v>5</v>
      </c>
      <c r="F2041" t="s">
        <v>208</v>
      </c>
    </row>
    <row r="2042" spans="1:6">
      <c r="A2042" t="str">
        <f t="shared" si="31"/>
        <v>GenericE&amp;DtemplateCIandGOA</v>
      </c>
      <c r="B2042">
        <v>9</v>
      </c>
      <c r="C2042">
        <v>13</v>
      </c>
      <c r="D2042" s="649">
        <f ca="1">IF(E2042=4,INDEX(crude_exp_dist,MATCH(B2042,'Crude Exp Dist'!$B$6:$B$78,0),MATCH(C2042,'Crude Exp Dist'!$AD$2:$BC$2,0))*INDEX(crude_exp_by_year,MATCH(B2042,'Data Export'!$B$6:$B$78,0),1),IF(E2042=5,INDEX(ref_exp_dist,MATCH(B2042,'Refined Petro Exp Dist'!$B$6:$B$78,0),MATCH(C2042,'Refined Petro Exp Dist'!$AD$2:$BC$2,0))*INDEX(ref_exp_by_year,MATCH(B2042,'Data Export'!$B$6:$B$78,0),1)))</f>
        <v>1.9332032563805553E-2</v>
      </c>
      <c r="E2042">
        <v>5</v>
      </c>
      <c r="F2042" t="s">
        <v>211</v>
      </c>
    </row>
    <row r="2043" spans="1:6">
      <c r="A2043" t="str">
        <f t="shared" si="31"/>
        <v>GenericE&amp;DtemplateCIandGOA</v>
      </c>
      <c r="B2043">
        <v>9</v>
      </c>
      <c r="C2043">
        <v>14</v>
      </c>
      <c r="D2043" s="649">
        <f ca="1">IF(E2043=4,INDEX(crude_exp_dist,MATCH(B2043,'Crude Exp Dist'!$B$6:$B$78,0),MATCH(C2043,'Crude Exp Dist'!$AD$2:$BC$2,0))*INDEX(crude_exp_by_year,MATCH(B2043,'Data Export'!$B$6:$B$78,0),1),IF(E2043=5,INDEX(ref_exp_dist,MATCH(B2043,'Refined Petro Exp Dist'!$B$6:$B$78,0),MATCH(C2043,'Refined Petro Exp Dist'!$AD$2:$BC$2,0))*INDEX(ref_exp_by_year,MATCH(B2043,'Data Export'!$B$6:$B$78,0),1)))</f>
        <v>0</v>
      </c>
      <c r="E2043">
        <v>5</v>
      </c>
      <c r="F2043" t="s">
        <v>213</v>
      </c>
    </row>
    <row r="2044" spans="1:6">
      <c r="A2044" t="str">
        <f t="shared" si="31"/>
        <v>GenericE&amp;DtemplateCIandGOA</v>
      </c>
      <c r="B2044">
        <v>9</v>
      </c>
      <c r="C2044">
        <v>15</v>
      </c>
      <c r="D2044" s="649">
        <f ca="1">IF(E2044=4,INDEX(crude_exp_dist,MATCH(B2044,'Crude Exp Dist'!$B$6:$B$78,0),MATCH(C2044,'Crude Exp Dist'!$AD$2:$BC$2,0))*INDEX(crude_exp_by_year,MATCH(B2044,'Data Export'!$B$6:$B$78,0),1),IF(E2044=5,INDEX(ref_exp_dist,MATCH(B2044,'Refined Petro Exp Dist'!$B$6:$B$78,0),MATCH(C2044,'Refined Petro Exp Dist'!$AD$2:$BC$2,0))*INDEX(ref_exp_by_year,MATCH(B2044,'Data Export'!$B$6:$B$78,0),1)))</f>
        <v>0</v>
      </c>
      <c r="E2044">
        <v>5</v>
      </c>
      <c r="F2044" t="s">
        <v>215</v>
      </c>
    </row>
    <row r="2045" spans="1:6">
      <c r="A2045" t="str">
        <f t="shared" si="31"/>
        <v>GenericE&amp;DtemplateCIandGOA</v>
      </c>
      <c r="B2045">
        <v>9</v>
      </c>
      <c r="C2045">
        <v>16</v>
      </c>
      <c r="D2045" s="649">
        <f ca="1">IF(E2045=4,INDEX(crude_exp_dist,MATCH(B2045,'Crude Exp Dist'!$B$6:$B$78,0),MATCH(C2045,'Crude Exp Dist'!$AD$2:$BC$2,0))*INDEX(crude_exp_by_year,MATCH(B2045,'Data Export'!$B$6:$B$78,0),1),IF(E2045=5,INDEX(ref_exp_dist,MATCH(B2045,'Refined Petro Exp Dist'!$B$6:$B$78,0),MATCH(C2045,'Refined Petro Exp Dist'!$AD$2:$BC$2,0))*INDEX(ref_exp_by_year,MATCH(B2045,'Data Export'!$B$6:$B$78,0),1)))</f>
        <v>0</v>
      </c>
      <c r="E2045">
        <v>5</v>
      </c>
      <c r="F2045" t="s">
        <v>219</v>
      </c>
    </row>
    <row r="2046" spans="1:6">
      <c r="A2046" t="str">
        <f t="shared" si="31"/>
        <v>GenericE&amp;DtemplateCIandGOA</v>
      </c>
      <c r="B2046">
        <v>9</v>
      </c>
      <c r="C2046">
        <v>17</v>
      </c>
      <c r="D2046" s="649">
        <f ca="1">IF(E2046=4,INDEX(crude_exp_dist,MATCH(B2046,'Crude Exp Dist'!$B$6:$B$78,0),MATCH(C2046,'Crude Exp Dist'!$AD$2:$BC$2,0))*INDEX(crude_exp_by_year,MATCH(B2046,'Data Export'!$B$6:$B$78,0),1),IF(E2046=5,INDEX(ref_exp_dist,MATCH(B2046,'Refined Petro Exp Dist'!$B$6:$B$78,0),MATCH(C2046,'Refined Petro Exp Dist'!$AD$2:$BC$2,0))*INDEX(ref_exp_by_year,MATCH(B2046,'Data Export'!$B$6:$B$78,0),1)))</f>
        <v>0</v>
      </c>
      <c r="E2046">
        <v>5</v>
      </c>
      <c r="F2046" t="s">
        <v>222</v>
      </c>
    </row>
    <row r="2047" spans="1:6">
      <c r="A2047" t="str">
        <f t="shared" si="31"/>
        <v>GenericE&amp;DtemplateCIandGOA</v>
      </c>
      <c r="B2047">
        <v>9</v>
      </c>
      <c r="C2047">
        <v>18</v>
      </c>
      <c r="D2047" s="649">
        <f ca="1">IF(E2047=4,INDEX(crude_exp_dist,MATCH(B2047,'Crude Exp Dist'!$B$6:$B$78,0),MATCH(C2047,'Crude Exp Dist'!$AD$2:$BC$2,0))*INDEX(crude_exp_by_year,MATCH(B2047,'Data Export'!$B$6:$B$78,0),1),IF(E2047=5,INDEX(ref_exp_dist,MATCH(B2047,'Refined Petro Exp Dist'!$B$6:$B$78,0),MATCH(C2047,'Refined Petro Exp Dist'!$AD$2:$BC$2,0))*INDEX(ref_exp_by_year,MATCH(B2047,'Data Export'!$B$6:$B$78,0),1)))</f>
        <v>0</v>
      </c>
      <c r="E2047">
        <v>5</v>
      </c>
      <c r="F2047" t="s">
        <v>224</v>
      </c>
    </row>
    <row r="2048" spans="1:6">
      <c r="A2048" t="str">
        <f t="shared" si="31"/>
        <v>GenericE&amp;DtemplateCIandGOA</v>
      </c>
      <c r="B2048">
        <v>9</v>
      </c>
      <c r="C2048">
        <v>19</v>
      </c>
      <c r="D2048" s="649">
        <f ca="1">IF(E2048=4,INDEX(crude_exp_dist,MATCH(B2048,'Crude Exp Dist'!$B$6:$B$78,0),MATCH(C2048,'Crude Exp Dist'!$AD$2:$BC$2,0))*INDEX(crude_exp_by_year,MATCH(B2048,'Data Export'!$B$6:$B$78,0),1),IF(E2048=5,INDEX(ref_exp_dist,MATCH(B2048,'Refined Petro Exp Dist'!$B$6:$B$78,0),MATCH(C2048,'Refined Petro Exp Dist'!$AD$2:$BC$2,0))*INDEX(ref_exp_by_year,MATCH(B2048,'Data Export'!$B$6:$B$78,0),1)))</f>
        <v>0</v>
      </c>
      <c r="E2048">
        <v>5</v>
      </c>
      <c r="F2048" t="s">
        <v>228</v>
      </c>
    </row>
    <row r="2049" spans="1:6">
      <c r="A2049" t="str">
        <f t="shared" si="31"/>
        <v>GenericE&amp;DtemplateCIandGOA</v>
      </c>
      <c r="B2049">
        <v>9</v>
      </c>
      <c r="C2049">
        <v>20</v>
      </c>
      <c r="D2049" s="649">
        <f ca="1">IF(E2049=4,INDEX(crude_exp_dist,MATCH(B2049,'Crude Exp Dist'!$B$6:$B$78,0),MATCH(C2049,'Crude Exp Dist'!$AD$2:$BC$2,0))*INDEX(crude_exp_by_year,MATCH(B2049,'Data Export'!$B$6:$B$78,0),1),IF(E2049=5,INDEX(ref_exp_dist,MATCH(B2049,'Refined Petro Exp Dist'!$B$6:$B$78,0),MATCH(C2049,'Refined Petro Exp Dist'!$AD$2:$BC$2,0))*INDEX(ref_exp_by_year,MATCH(B2049,'Data Export'!$B$6:$B$78,0),1)))</f>
        <v>0</v>
      </c>
      <c r="E2049">
        <v>5</v>
      </c>
      <c r="F2049" t="s">
        <v>231</v>
      </c>
    </row>
    <row r="2050" spans="1:6">
      <c r="A2050" t="str">
        <f t="shared" ref="A2050:A2113" si="32">scenario_name</f>
        <v>GenericE&amp;DtemplateCIandGOA</v>
      </c>
      <c r="B2050">
        <v>9</v>
      </c>
      <c r="C2050">
        <v>21</v>
      </c>
      <c r="D2050" s="649">
        <f ca="1">IF(E2050=4,INDEX(crude_exp_dist,MATCH(B2050,'Crude Exp Dist'!$B$6:$B$78,0),MATCH(C2050,'Crude Exp Dist'!$AD$2:$BC$2,0))*INDEX(crude_exp_by_year,MATCH(B2050,'Data Export'!$B$6:$B$78,0),1),IF(E2050=5,INDEX(ref_exp_dist,MATCH(B2050,'Refined Petro Exp Dist'!$B$6:$B$78,0),MATCH(C2050,'Refined Petro Exp Dist'!$AD$2:$BC$2,0))*INDEX(ref_exp_by_year,MATCH(B2050,'Data Export'!$B$6:$B$78,0),1)))</f>
        <v>0</v>
      </c>
      <c r="E2050">
        <v>5</v>
      </c>
      <c r="F2050" t="s">
        <v>232</v>
      </c>
    </row>
    <row r="2051" spans="1:6">
      <c r="A2051" t="str">
        <f t="shared" si="32"/>
        <v>GenericE&amp;DtemplateCIandGOA</v>
      </c>
      <c r="B2051">
        <v>9</v>
      </c>
      <c r="C2051">
        <v>22</v>
      </c>
      <c r="D2051" s="649">
        <f ca="1">IF(E2051=4,INDEX(crude_exp_dist,MATCH(B2051,'Crude Exp Dist'!$B$6:$B$78,0),MATCH(C2051,'Crude Exp Dist'!$AD$2:$BC$2,0))*INDEX(crude_exp_by_year,MATCH(B2051,'Data Export'!$B$6:$B$78,0),1),IF(E2051=5,INDEX(ref_exp_dist,MATCH(B2051,'Refined Petro Exp Dist'!$B$6:$B$78,0),MATCH(C2051,'Refined Petro Exp Dist'!$AD$2:$BC$2,0))*INDEX(ref_exp_by_year,MATCH(B2051,'Data Export'!$B$6:$B$78,0),1)))</f>
        <v>0</v>
      </c>
      <c r="E2051">
        <v>5</v>
      </c>
      <c r="F2051" t="s">
        <v>235</v>
      </c>
    </row>
    <row r="2052" spans="1:6">
      <c r="A2052" t="str">
        <f t="shared" si="32"/>
        <v>GenericE&amp;DtemplateCIandGOA</v>
      </c>
      <c r="B2052">
        <v>9</v>
      </c>
      <c r="C2052">
        <v>23</v>
      </c>
      <c r="D2052" s="649">
        <f ca="1">IF(E2052=4,INDEX(crude_exp_dist,MATCH(B2052,'Crude Exp Dist'!$B$6:$B$78,0),MATCH(C2052,'Crude Exp Dist'!$AD$2:$BC$2,0))*INDEX(crude_exp_by_year,MATCH(B2052,'Data Export'!$B$6:$B$78,0),1),IF(E2052=5,INDEX(ref_exp_dist,MATCH(B2052,'Refined Petro Exp Dist'!$B$6:$B$78,0),MATCH(C2052,'Refined Petro Exp Dist'!$AD$2:$BC$2,0))*INDEX(ref_exp_by_year,MATCH(B2052,'Data Export'!$B$6:$B$78,0),1)))</f>
        <v>0</v>
      </c>
      <c r="E2052">
        <v>5</v>
      </c>
      <c r="F2052" t="s">
        <v>237</v>
      </c>
    </row>
    <row r="2053" spans="1:6">
      <c r="A2053" t="str">
        <f t="shared" si="32"/>
        <v>GenericE&amp;DtemplateCIandGOA</v>
      </c>
      <c r="B2053">
        <v>9</v>
      </c>
      <c r="C2053">
        <v>24</v>
      </c>
      <c r="D2053" s="649">
        <f ca="1">IF(E2053=4,INDEX(crude_exp_dist,MATCH(B2053,'Crude Exp Dist'!$B$6:$B$78,0),MATCH(C2053,'Crude Exp Dist'!$AD$2:$BC$2,0))*INDEX(crude_exp_by_year,MATCH(B2053,'Data Export'!$B$6:$B$78,0),1),IF(E2053=5,INDEX(ref_exp_dist,MATCH(B2053,'Refined Petro Exp Dist'!$B$6:$B$78,0),MATCH(C2053,'Refined Petro Exp Dist'!$AD$2:$BC$2,0))*INDEX(ref_exp_by_year,MATCH(B2053,'Data Export'!$B$6:$B$78,0),1)))</f>
        <v>0</v>
      </c>
      <c r="E2053">
        <v>5</v>
      </c>
      <c r="F2053" t="s">
        <v>239</v>
      </c>
    </row>
    <row r="2054" spans="1:6">
      <c r="A2054" t="str">
        <f t="shared" si="32"/>
        <v>GenericE&amp;DtemplateCIandGOA</v>
      </c>
      <c r="B2054">
        <v>9</v>
      </c>
      <c r="C2054">
        <v>25</v>
      </c>
      <c r="D2054" s="649">
        <f ca="1">IF(E2054=4,INDEX(crude_exp_dist,MATCH(B2054,'Crude Exp Dist'!$B$6:$B$78,0),MATCH(C2054,'Crude Exp Dist'!$AD$2:$BC$2,0))*INDEX(crude_exp_by_year,MATCH(B2054,'Data Export'!$B$6:$B$78,0),1),IF(E2054=5,INDEX(ref_exp_dist,MATCH(B2054,'Refined Petro Exp Dist'!$B$6:$B$78,0),MATCH(C2054,'Refined Petro Exp Dist'!$AD$2:$BC$2,0))*INDEX(ref_exp_by_year,MATCH(B2054,'Data Export'!$B$6:$B$78,0),1)))</f>
        <v>0</v>
      </c>
      <c r="E2054">
        <v>5</v>
      </c>
      <c r="F2054" t="s">
        <v>242</v>
      </c>
    </row>
    <row r="2055" spans="1:6">
      <c r="A2055" t="str">
        <f t="shared" si="32"/>
        <v>GenericE&amp;DtemplateCIandGOA</v>
      </c>
      <c r="B2055">
        <v>9</v>
      </c>
      <c r="C2055">
        <v>26</v>
      </c>
      <c r="D2055" s="649">
        <f ca="1">IF(E2055=4,INDEX(crude_exp_dist,MATCH(B2055,'Crude Exp Dist'!$B$6:$B$78,0),MATCH(C2055,'Crude Exp Dist'!$AD$2:$BC$2,0))*INDEX(crude_exp_by_year,MATCH(B2055,'Data Export'!$B$6:$B$78,0),1),IF(E2055=5,INDEX(ref_exp_dist,MATCH(B2055,'Refined Petro Exp Dist'!$B$6:$B$78,0),MATCH(C2055,'Refined Petro Exp Dist'!$AD$2:$BC$2,0))*INDEX(ref_exp_by_year,MATCH(B2055,'Data Export'!$B$6:$B$78,0),1)))</f>
        <v>0</v>
      </c>
      <c r="E2055">
        <v>5</v>
      </c>
      <c r="F2055" t="s">
        <v>245</v>
      </c>
    </row>
    <row r="2056" spans="1:6">
      <c r="A2056" t="str">
        <f t="shared" si="32"/>
        <v>GenericE&amp;DtemplateCIandGOA</v>
      </c>
      <c r="B2056">
        <v>10</v>
      </c>
      <c r="C2056">
        <v>1</v>
      </c>
      <c r="D2056" s="649">
        <f ca="1">IF(E2056=4,INDEX(crude_exp_dist,MATCH(B2056,'Crude Exp Dist'!$B$6:$B$78,0),MATCH(C2056,'Crude Exp Dist'!$AD$2:$BC$2,0))*INDEX(crude_exp_by_year,MATCH(B2056,'Data Export'!$B$6:$B$78,0),1),IF(E2056=5,INDEX(ref_exp_dist,MATCH(B2056,'Refined Petro Exp Dist'!$B$6:$B$78,0),MATCH(C2056,'Refined Petro Exp Dist'!$AD$2:$BC$2,0))*INDEX(ref_exp_by_year,MATCH(B2056,'Data Export'!$B$6:$B$78,0),1)))</f>
        <v>0</v>
      </c>
      <c r="E2056">
        <v>5</v>
      </c>
      <c r="F2056" t="s">
        <v>158</v>
      </c>
    </row>
    <row r="2057" spans="1:6">
      <c r="A2057" t="str">
        <f t="shared" si="32"/>
        <v>GenericE&amp;DtemplateCIandGOA</v>
      </c>
      <c r="B2057">
        <v>10</v>
      </c>
      <c r="C2057">
        <v>2</v>
      </c>
      <c r="D2057" s="649">
        <f ca="1">IF(E2057=4,INDEX(crude_exp_dist,MATCH(B2057,'Crude Exp Dist'!$B$6:$B$78,0),MATCH(C2057,'Crude Exp Dist'!$AD$2:$BC$2,0))*INDEX(crude_exp_by_year,MATCH(B2057,'Data Export'!$B$6:$B$78,0),1),IF(E2057=5,INDEX(ref_exp_dist,MATCH(B2057,'Refined Petro Exp Dist'!$B$6:$B$78,0),MATCH(C2057,'Refined Petro Exp Dist'!$AD$2:$BC$2,0))*INDEX(ref_exp_by_year,MATCH(B2057,'Data Export'!$B$6:$B$78,0),1)))</f>
        <v>0</v>
      </c>
      <c r="E2057">
        <v>5</v>
      </c>
      <c r="F2057" t="s">
        <v>166</v>
      </c>
    </row>
    <row r="2058" spans="1:6">
      <c r="A2058" t="str">
        <f t="shared" si="32"/>
        <v>GenericE&amp;DtemplateCIandGOA</v>
      </c>
      <c r="B2058">
        <v>10</v>
      </c>
      <c r="C2058">
        <v>3</v>
      </c>
      <c r="D2058" s="649">
        <f ca="1">IF(E2058=4,INDEX(crude_exp_dist,MATCH(B2058,'Crude Exp Dist'!$B$6:$B$78,0),MATCH(C2058,'Crude Exp Dist'!$AD$2:$BC$2,0))*INDEX(crude_exp_by_year,MATCH(B2058,'Data Export'!$B$6:$B$78,0),1),IF(E2058=5,INDEX(ref_exp_dist,MATCH(B2058,'Refined Petro Exp Dist'!$B$6:$B$78,0),MATCH(C2058,'Refined Petro Exp Dist'!$AD$2:$BC$2,0))*INDEX(ref_exp_by_year,MATCH(B2058,'Data Export'!$B$6:$B$78,0),1)))</f>
        <v>0</v>
      </c>
      <c r="E2058">
        <v>5</v>
      </c>
      <c r="F2058" t="s">
        <v>171</v>
      </c>
    </row>
    <row r="2059" spans="1:6">
      <c r="A2059" t="str">
        <f t="shared" si="32"/>
        <v>GenericE&amp;DtemplateCIandGOA</v>
      </c>
      <c r="B2059">
        <v>10</v>
      </c>
      <c r="C2059">
        <v>4</v>
      </c>
      <c r="D2059" s="649">
        <f ca="1">IF(E2059=4,INDEX(crude_exp_dist,MATCH(B2059,'Crude Exp Dist'!$B$6:$B$78,0),MATCH(C2059,'Crude Exp Dist'!$AD$2:$BC$2,0))*INDEX(crude_exp_by_year,MATCH(B2059,'Data Export'!$B$6:$B$78,0),1),IF(E2059=5,INDEX(ref_exp_dist,MATCH(B2059,'Refined Petro Exp Dist'!$B$6:$B$78,0),MATCH(C2059,'Refined Petro Exp Dist'!$AD$2:$BC$2,0))*INDEX(ref_exp_by_year,MATCH(B2059,'Data Export'!$B$6:$B$78,0),1)))</f>
        <v>0</v>
      </c>
      <c r="E2059">
        <v>5</v>
      </c>
      <c r="F2059" t="s">
        <v>173</v>
      </c>
    </row>
    <row r="2060" spans="1:6">
      <c r="A2060" t="str">
        <f t="shared" si="32"/>
        <v>GenericE&amp;DtemplateCIandGOA</v>
      </c>
      <c r="B2060">
        <v>10</v>
      </c>
      <c r="C2060">
        <v>5</v>
      </c>
      <c r="D2060" s="649">
        <f ca="1">IF(E2060=4,INDEX(crude_exp_dist,MATCH(B2060,'Crude Exp Dist'!$B$6:$B$78,0),MATCH(C2060,'Crude Exp Dist'!$AD$2:$BC$2,0))*INDEX(crude_exp_by_year,MATCH(B2060,'Data Export'!$B$6:$B$78,0),1),IF(E2060=5,INDEX(ref_exp_dist,MATCH(B2060,'Refined Petro Exp Dist'!$B$6:$B$78,0),MATCH(C2060,'Refined Petro Exp Dist'!$AD$2:$BC$2,0))*INDEX(ref_exp_by_year,MATCH(B2060,'Data Export'!$B$6:$B$78,0),1)))</f>
        <v>0</v>
      </c>
      <c r="E2060">
        <v>5</v>
      </c>
      <c r="F2060" t="s">
        <v>180</v>
      </c>
    </row>
    <row r="2061" spans="1:6">
      <c r="A2061" t="str">
        <f t="shared" si="32"/>
        <v>GenericE&amp;DtemplateCIandGOA</v>
      </c>
      <c r="B2061">
        <v>10</v>
      </c>
      <c r="C2061">
        <v>6</v>
      </c>
      <c r="D2061" s="649">
        <f ca="1">IF(E2061=4,INDEX(crude_exp_dist,MATCH(B2061,'Crude Exp Dist'!$B$6:$B$78,0),MATCH(C2061,'Crude Exp Dist'!$AD$2:$BC$2,0))*INDEX(crude_exp_by_year,MATCH(B2061,'Data Export'!$B$6:$B$78,0),1),IF(E2061=5,INDEX(ref_exp_dist,MATCH(B2061,'Refined Petro Exp Dist'!$B$6:$B$78,0),MATCH(C2061,'Refined Petro Exp Dist'!$AD$2:$BC$2,0))*INDEX(ref_exp_by_year,MATCH(B2061,'Data Export'!$B$6:$B$78,0),1)))</f>
        <v>9.0306497581658957E-2</v>
      </c>
      <c r="E2061">
        <v>5</v>
      </c>
      <c r="F2061" t="s">
        <v>186</v>
      </c>
    </row>
    <row r="2062" spans="1:6">
      <c r="A2062" t="str">
        <f t="shared" si="32"/>
        <v>GenericE&amp;DtemplateCIandGOA</v>
      </c>
      <c r="B2062">
        <v>10</v>
      </c>
      <c r="C2062">
        <v>7</v>
      </c>
      <c r="D2062" s="649">
        <f ca="1">IF(E2062=4,INDEX(crude_exp_dist,MATCH(B2062,'Crude Exp Dist'!$B$6:$B$78,0),MATCH(C2062,'Crude Exp Dist'!$AD$2:$BC$2,0))*INDEX(crude_exp_by_year,MATCH(B2062,'Data Export'!$B$6:$B$78,0),1),IF(E2062=5,INDEX(ref_exp_dist,MATCH(B2062,'Refined Petro Exp Dist'!$B$6:$B$78,0),MATCH(C2062,'Refined Petro Exp Dist'!$AD$2:$BC$2,0))*INDEX(ref_exp_by_year,MATCH(B2062,'Data Export'!$B$6:$B$78,0),1)))</f>
        <v>0</v>
      </c>
      <c r="E2062">
        <v>5</v>
      </c>
      <c r="F2062" t="s">
        <v>191</v>
      </c>
    </row>
    <row r="2063" spans="1:6">
      <c r="A2063" t="str">
        <f t="shared" si="32"/>
        <v>GenericE&amp;DtemplateCIandGOA</v>
      </c>
      <c r="B2063">
        <v>10</v>
      </c>
      <c r="C2063">
        <v>8</v>
      </c>
      <c r="D2063" s="649">
        <f ca="1">IF(E2063=4,INDEX(crude_exp_dist,MATCH(B2063,'Crude Exp Dist'!$B$6:$B$78,0),MATCH(C2063,'Crude Exp Dist'!$AD$2:$BC$2,0))*INDEX(crude_exp_by_year,MATCH(B2063,'Data Export'!$B$6:$B$78,0),1),IF(E2063=5,INDEX(ref_exp_dist,MATCH(B2063,'Refined Petro Exp Dist'!$B$6:$B$78,0),MATCH(C2063,'Refined Petro Exp Dist'!$AD$2:$BC$2,0))*INDEX(ref_exp_by_year,MATCH(B2063,'Data Export'!$B$6:$B$78,0),1)))</f>
        <v>0</v>
      </c>
      <c r="E2063">
        <v>5</v>
      </c>
      <c r="F2063" t="s">
        <v>197</v>
      </c>
    </row>
    <row r="2064" spans="1:6">
      <c r="A2064" t="str">
        <f t="shared" si="32"/>
        <v>GenericE&amp;DtemplateCIandGOA</v>
      </c>
      <c r="B2064">
        <v>10</v>
      </c>
      <c r="C2064">
        <v>9</v>
      </c>
      <c r="D2064" s="649">
        <f ca="1">IF(E2064=4,INDEX(crude_exp_dist,MATCH(B2064,'Crude Exp Dist'!$B$6:$B$78,0),MATCH(C2064,'Crude Exp Dist'!$AD$2:$BC$2,0))*INDEX(crude_exp_by_year,MATCH(B2064,'Data Export'!$B$6:$B$78,0),1),IF(E2064=5,INDEX(ref_exp_dist,MATCH(B2064,'Refined Petro Exp Dist'!$B$6:$B$78,0),MATCH(C2064,'Refined Petro Exp Dist'!$AD$2:$BC$2,0))*INDEX(ref_exp_by_year,MATCH(B2064,'Data Export'!$B$6:$B$78,0),1)))</f>
        <v>0</v>
      </c>
      <c r="E2064">
        <v>5</v>
      </c>
      <c r="F2064" t="s">
        <v>199</v>
      </c>
    </row>
    <row r="2065" spans="1:6">
      <c r="A2065" t="str">
        <f t="shared" si="32"/>
        <v>GenericE&amp;DtemplateCIandGOA</v>
      </c>
      <c r="B2065">
        <v>10</v>
      </c>
      <c r="C2065">
        <v>10</v>
      </c>
      <c r="D2065" s="649">
        <f ca="1">IF(E2065=4,INDEX(crude_exp_dist,MATCH(B2065,'Crude Exp Dist'!$B$6:$B$78,0),MATCH(C2065,'Crude Exp Dist'!$AD$2:$BC$2,0))*INDEX(crude_exp_by_year,MATCH(B2065,'Data Export'!$B$6:$B$78,0),1),IF(E2065=5,INDEX(ref_exp_dist,MATCH(B2065,'Refined Petro Exp Dist'!$B$6:$B$78,0),MATCH(C2065,'Refined Petro Exp Dist'!$AD$2:$BC$2,0))*INDEX(ref_exp_by_year,MATCH(B2065,'Data Export'!$B$6:$B$78,0),1)))</f>
        <v>0</v>
      </c>
      <c r="E2065">
        <v>5</v>
      </c>
      <c r="F2065" t="s">
        <v>201</v>
      </c>
    </row>
    <row r="2066" spans="1:6">
      <c r="A2066" t="str">
        <f t="shared" si="32"/>
        <v>GenericE&amp;DtemplateCIandGOA</v>
      </c>
      <c r="B2066">
        <v>10</v>
      </c>
      <c r="C2066">
        <v>11</v>
      </c>
      <c r="D2066" s="649">
        <f ca="1">IF(E2066=4,INDEX(crude_exp_dist,MATCH(B2066,'Crude Exp Dist'!$B$6:$B$78,0),MATCH(C2066,'Crude Exp Dist'!$AD$2:$BC$2,0))*INDEX(crude_exp_by_year,MATCH(B2066,'Data Export'!$B$6:$B$78,0),1),IF(E2066=5,INDEX(ref_exp_dist,MATCH(B2066,'Refined Petro Exp Dist'!$B$6:$B$78,0),MATCH(C2066,'Refined Petro Exp Dist'!$AD$2:$BC$2,0))*INDEX(ref_exp_by_year,MATCH(B2066,'Data Export'!$B$6:$B$78,0),1)))</f>
        <v>0</v>
      </c>
      <c r="E2066">
        <v>5</v>
      </c>
      <c r="F2066" t="s">
        <v>921</v>
      </c>
    </row>
    <row r="2067" spans="1:6">
      <c r="A2067" t="str">
        <f t="shared" si="32"/>
        <v>GenericE&amp;DtemplateCIandGOA</v>
      </c>
      <c r="B2067">
        <v>10</v>
      </c>
      <c r="C2067">
        <v>12</v>
      </c>
      <c r="D2067" s="649">
        <f ca="1">IF(E2067=4,INDEX(crude_exp_dist,MATCH(B2067,'Crude Exp Dist'!$B$6:$B$78,0),MATCH(C2067,'Crude Exp Dist'!$AD$2:$BC$2,0))*INDEX(crude_exp_by_year,MATCH(B2067,'Data Export'!$B$6:$B$78,0),1),IF(E2067=5,INDEX(ref_exp_dist,MATCH(B2067,'Refined Petro Exp Dist'!$B$6:$B$78,0),MATCH(C2067,'Refined Petro Exp Dist'!$AD$2:$BC$2,0))*INDEX(ref_exp_by_year,MATCH(B2067,'Data Export'!$B$6:$B$78,0),1)))</f>
        <v>2.0000742666462363E-2</v>
      </c>
      <c r="E2067">
        <v>5</v>
      </c>
      <c r="F2067" t="s">
        <v>208</v>
      </c>
    </row>
    <row r="2068" spans="1:6">
      <c r="A2068" t="str">
        <f t="shared" si="32"/>
        <v>GenericE&amp;DtemplateCIandGOA</v>
      </c>
      <c r="B2068">
        <v>10</v>
      </c>
      <c r="C2068">
        <v>13</v>
      </c>
      <c r="D2068" s="649">
        <f ca="1">IF(E2068=4,INDEX(crude_exp_dist,MATCH(B2068,'Crude Exp Dist'!$B$6:$B$78,0),MATCH(C2068,'Crude Exp Dist'!$AD$2:$BC$2,0))*INDEX(crude_exp_by_year,MATCH(B2068,'Data Export'!$B$6:$B$78,0),1),IF(E2068=5,INDEX(ref_exp_dist,MATCH(B2068,'Refined Petro Exp Dist'!$B$6:$B$78,0),MATCH(C2068,'Refined Petro Exp Dist'!$AD$2:$BC$2,0))*INDEX(ref_exp_by_year,MATCH(B2068,'Data Export'!$B$6:$B$78,0),1)))</f>
        <v>2.0000742666462363E-2</v>
      </c>
      <c r="E2068">
        <v>5</v>
      </c>
      <c r="F2068" t="s">
        <v>211</v>
      </c>
    </row>
    <row r="2069" spans="1:6">
      <c r="A2069" t="str">
        <f t="shared" si="32"/>
        <v>GenericE&amp;DtemplateCIandGOA</v>
      </c>
      <c r="B2069">
        <v>10</v>
      </c>
      <c r="C2069">
        <v>14</v>
      </c>
      <c r="D2069" s="649">
        <f ca="1">IF(E2069=4,INDEX(crude_exp_dist,MATCH(B2069,'Crude Exp Dist'!$B$6:$B$78,0),MATCH(C2069,'Crude Exp Dist'!$AD$2:$BC$2,0))*INDEX(crude_exp_by_year,MATCH(B2069,'Data Export'!$B$6:$B$78,0),1),IF(E2069=5,INDEX(ref_exp_dist,MATCH(B2069,'Refined Petro Exp Dist'!$B$6:$B$78,0),MATCH(C2069,'Refined Petro Exp Dist'!$AD$2:$BC$2,0))*INDEX(ref_exp_by_year,MATCH(B2069,'Data Export'!$B$6:$B$78,0),1)))</f>
        <v>0</v>
      </c>
      <c r="E2069">
        <v>5</v>
      </c>
      <c r="F2069" t="s">
        <v>213</v>
      </c>
    </row>
    <row r="2070" spans="1:6">
      <c r="A2070" t="str">
        <f t="shared" si="32"/>
        <v>GenericE&amp;DtemplateCIandGOA</v>
      </c>
      <c r="B2070">
        <v>10</v>
      </c>
      <c r="C2070">
        <v>15</v>
      </c>
      <c r="D2070" s="649">
        <f ca="1">IF(E2070=4,INDEX(crude_exp_dist,MATCH(B2070,'Crude Exp Dist'!$B$6:$B$78,0),MATCH(C2070,'Crude Exp Dist'!$AD$2:$BC$2,0))*INDEX(crude_exp_by_year,MATCH(B2070,'Data Export'!$B$6:$B$78,0),1),IF(E2070=5,INDEX(ref_exp_dist,MATCH(B2070,'Refined Petro Exp Dist'!$B$6:$B$78,0),MATCH(C2070,'Refined Petro Exp Dist'!$AD$2:$BC$2,0))*INDEX(ref_exp_by_year,MATCH(B2070,'Data Export'!$B$6:$B$78,0),1)))</f>
        <v>0</v>
      </c>
      <c r="E2070">
        <v>5</v>
      </c>
      <c r="F2070" t="s">
        <v>215</v>
      </c>
    </row>
    <row r="2071" spans="1:6">
      <c r="A2071" t="str">
        <f t="shared" si="32"/>
        <v>GenericE&amp;DtemplateCIandGOA</v>
      </c>
      <c r="B2071">
        <v>10</v>
      </c>
      <c r="C2071">
        <v>16</v>
      </c>
      <c r="D2071" s="649">
        <f ca="1">IF(E2071=4,INDEX(crude_exp_dist,MATCH(B2071,'Crude Exp Dist'!$B$6:$B$78,0),MATCH(C2071,'Crude Exp Dist'!$AD$2:$BC$2,0))*INDEX(crude_exp_by_year,MATCH(B2071,'Data Export'!$B$6:$B$78,0),1),IF(E2071=5,INDEX(ref_exp_dist,MATCH(B2071,'Refined Petro Exp Dist'!$B$6:$B$78,0),MATCH(C2071,'Refined Petro Exp Dist'!$AD$2:$BC$2,0))*INDEX(ref_exp_by_year,MATCH(B2071,'Data Export'!$B$6:$B$78,0),1)))</f>
        <v>0</v>
      </c>
      <c r="E2071">
        <v>5</v>
      </c>
      <c r="F2071" t="s">
        <v>219</v>
      </c>
    </row>
    <row r="2072" spans="1:6">
      <c r="A2072" t="str">
        <f t="shared" si="32"/>
        <v>GenericE&amp;DtemplateCIandGOA</v>
      </c>
      <c r="B2072">
        <v>10</v>
      </c>
      <c r="C2072">
        <v>17</v>
      </c>
      <c r="D2072" s="649">
        <f ca="1">IF(E2072=4,INDEX(crude_exp_dist,MATCH(B2072,'Crude Exp Dist'!$B$6:$B$78,0),MATCH(C2072,'Crude Exp Dist'!$AD$2:$BC$2,0))*INDEX(crude_exp_by_year,MATCH(B2072,'Data Export'!$B$6:$B$78,0),1),IF(E2072=5,INDEX(ref_exp_dist,MATCH(B2072,'Refined Petro Exp Dist'!$B$6:$B$78,0),MATCH(C2072,'Refined Petro Exp Dist'!$AD$2:$BC$2,0))*INDEX(ref_exp_by_year,MATCH(B2072,'Data Export'!$B$6:$B$78,0),1)))</f>
        <v>0</v>
      </c>
      <c r="E2072">
        <v>5</v>
      </c>
      <c r="F2072" t="s">
        <v>222</v>
      </c>
    </row>
    <row r="2073" spans="1:6">
      <c r="A2073" t="str">
        <f t="shared" si="32"/>
        <v>GenericE&amp;DtemplateCIandGOA</v>
      </c>
      <c r="B2073">
        <v>10</v>
      </c>
      <c r="C2073">
        <v>18</v>
      </c>
      <c r="D2073" s="649">
        <f ca="1">IF(E2073=4,INDEX(crude_exp_dist,MATCH(B2073,'Crude Exp Dist'!$B$6:$B$78,0),MATCH(C2073,'Crude Exp Dist'!$AD$2:$BC$2,0))*INDEX(crude_exp_by_year,MATCH(B2073,'Data Export'!$B$6:$B$78,0),1),IF(E2073=5,INDEX(ref_exp_dist,MATCH(B2073,'Refined Petro Exp Dist'!$B$6:$B$78,0),MATCH(C2073,'Refined Petro Exp Dist'!$AD$2:$BC$2,0))*INDEX(ref_exp_by_year,MATCH(B2073,'Data Export'!$B$6:$B$78,0),1)))</f>
        <v>0</v>
      </c>
      <c r="E2073">
        <v>5</v>
      </c>
      <c r="F2073" t="s">
        <v>224</v>
      </c>
    </row>
    <row r="2074" spans="1:6">
      <c r="A2074" t="str">
        <f t="shared" si="32"/>
        <v>GenericE&amp;DtemplateCIandGOA</v>
      </c>
      <c r="B2074">
        <v>10</v>
      </c>
      <c r="C2074">
        <v>19</v>
      </c>
      <c r="D2074" s="649">
        <f ca="1">IF(E2074=4,INDEX(crude_exp_dist,MATCH(B2074,'Crude Exp Dist'!$B$6:$B$78,0),MATCH(C2074,'Crude Exp Dist'!$AD$2:$BC$2,0))*INDEX(crude_exp_by_year,MATCH(B2074,'Data Export'!$B$6:$B$78,0),1),IF(E2074=5,INDEX(ref_exp_dist,MATCH(B2074,'Refined Petro Exp Dist'!$B$6:$B$78,0),MATCH(C2074,'Refined Petro Exp Dist'!$AD$2:$BC$2,0))*INDEX(ref_exp_by_year,MATCH(B2074,'Data Export'!$B$6:$B$78,0),1)))</f>
        <v>0</v>
      </c>
      <c r="E2074">
        <v>5</v>
      </c>
      <c r="F2074" t="s">
        <v>228</v>
      </c>
    </row>
    <row r="2075" spans="1:6">
      <c r="A2075" t="str">
        <f t="shared" si="32"/>
        <v>GenericE&amp;DtemplateCIandGOA</v>
      </c>
      <c r="B2075">
        <v>10</v>
      </c>
      <c r="C2075">
        <v>20</v>
      </c>
      <c r="D2075" s="649">
        <f ca="1">IF(E2075=4,INDEX(crude_exp_dist,MATCH(B2075,'Crude Exp Dist'!$B$6:$B$78,0),MATCH(C2075,'Crude Exp Dist'!$AD$2:$BC$2,0))*INDEX(crude_exp_by_year,MATCH(B2075,'Data Export'!$B$6:$B$78,0),1),IF(E2075=5,INDEX(ref_exp_dist,MATCH(B2075,'Refined Petro Exp Dist'!$B$6:$B$78,0),MATCH(C2075,'Refined Petro Exp Dist'!$AD$2:$BC$2,0))*INDEX(ref_exp_by_year,MATCH(B2075,'Data Export'!$B$6:$B$78,0),1)))</f>
        <v>0</v>
      </c>
      <c r="E2075">
        <v>5</v>
      </c>
      <c r="F2075" t="s">
        <v>231</v>
      </c>
    </row>
    <row r="2076" spans="1:6">
      <c r="A2076" t="str">
        <f t="shared" si="32"/>
        <v>GenericE&amp;DtemplateCIandGOA</v>
      </c>
      <c r="B2076">
        <v>10</v>
      </c>
      <c r="C2076">
        <v>21</v>
      </c>
      <c r="D2076" s="649">
        <f ca="1">IF(E2076=4,INDEX(crude_exp_dist,MATCH(B2076,'Crude Exp Dist'!$B$6:$B$78,0),MATCH(C2076,'Crude Exp Dist'!$AD$2:$BC$2,0))*INDEX(crude_exp_by_year,MATCH(B2076,'Data Export'!$B$6:$B$78,0),1),IF(E2076=5,INDEX(ref_exp_dist,MATCH(B2076,'Refined Petro Exp Dist'!$B$6:$B$78,0),MATCH(C2076,'Refined Petro Exp Dist'!$AD$2:$BC$2,0))*INDEX(ref_exp_by_year,MATCH(B2076,'Data Export'!$B$6:$B$78,0),1)))</f>
        <v>0</v>
      </c>
      <c r="E2076">
        <v>5</v>
      </c>
      <c r="F2076" t="s">
        <v>232</v>
      </c>
    </row>
    <row r="2077" spans="1:6">
      <c r="A2077" t="str">
        <f t="shared" si="32"/>
        <v>GenericE&amp;DtemplateCIandGOA</v>
      </c>
      <c r="B2077">
        <v>10</v>
      </c>
      <c r="C2077">
        <v>22</v>
      </c>
      <c r="D2077" s="649">
        <f ca="1">IF(E2077=4,INDEX(crude_exp_dist,MATCH(B2077,'Crude Exp Dist'!$B$6:$B$78,0),MATCH(C2077,'Crude Exp Dist'!$AD$2:$BC$2,0))*INDEX(crude_exp_by_year,MATCH(B2077,'Data Export'!$B$6:$B$78,0),1),IF(E2077=5,INDEX(ref_exp_dist,MATCH(B2077,'Refined Petro Exp Dist'!$B$6:$B$78,0),MATCH(C2077,'Refined Petro Exp Dist'!$AD$2:$BC$2,0))*INDEX(ref_exp_by_year,MATCH(B2077,'Data Export'!$B$6:$B$78,0),1)))</f>
        <v>0</v>
      </c>
      <c r="E2077">
        <v>5</v>
      </c>
      <c r="F2077" t="s">
        <v>235</v>
      </c>
    </row>
    <row r="2078" spans="1:6">
      <c r="A2078" t="str">
        <f t="shared" si="32"/>
        <v>GenericE&amp;DtemplateCIandGOA</v>
      </c>
      <c r="B2078">
        <v>10</v>
      </c>
      <c r="C2078">
        <v>23</v>
      </c>
      <c r="D2078" s="649">
        <f ca="1">IF(E2078=4,INDEX(crude_exp_dist,MATCH(B2078,'Crude Exp Dist'!$B$6:$B$78,0),MATCH(C2078,'Crude Exp Dist'!$AD$2:$BC$2,0))*INDEX(crude_exp_by_year,MATCH(B2078,'Data Export'!$B$6:$B$78,0),1),IF(E2078=5,INDEX(ref_exp_dist,MATCH(B2078,'Refined Petro Exp Dist'!$B$6:$B$78,0),MATCH(C2078,'Refined Petro Exp Dist'!$AD$2:$BC$2,0))*INDEX(ref_exp_by_year,MATCH(B2078,'Data Export'!$B$6:$B$78,0),1)))</f>
        <v>0</v>
      </c>
      <c r="E2078">
        <v>5</v>
      </c>
      <c r="F2078" t="s">
        <v>237</v>
      </c>
    </row>
    <row r="2079" spans="1:6">
      <c r="A2079" t="str">
        <f t="shared" si="32"/>
        <v>GenericE&amp;DtemplateCIandGOA</v>
      </c>
      <c r="B2079">
        <v>10</v>
      </c>
      <c r="C2079">
        <v>24</v>
      </c>
      <c r="D2079" s="649">
        <f ca="1">IF(E2079=4,INDEX(crude_exp_dist,MATCH(B2079,'Crude Exp Dist'!$B$6:$B$78,0),MATCH(C2079,'Crude Exp Dist'!$AD$2:$BC$2,0))*INDEX(crude_exp_by_year,MATCH(B2079,'Data Export'!$B$6:$B$78,0),1),IF(E2079=5,INDEX(ref_exp_dist,MATCH(B2079,'Refined Petro Exp Dist'!$B$6:$B$78,0),MATCH(C2079,'Refined Petro Exp Dist'!$AD$2:$BC$2,0))*INDEX(ref_exp_by_year,MATCH(B2079,'Data Export'!$B$6:$B$78,0),1)))</f>
        <v>0</v>
      </c>
      <c r="E2079">
        <v>5</v>
      </c>
      <c r="F2079" t="s">
        <v>239</v>
      </c>
    </row>
    <row r="2080" spans="1:6">
      <c r="A2080" t="str">
        <f t="shared" si="32"/>
        <v>GenericE&amp;DtemplateCIandGOA</v>
      </c>
      <c r="B2080">
        <v>10</v>
      </c>
      <c r="C2080">
        <v>25</v>
      </c>
      <c r="D2080" s="649">
        <f ca="1">IF(E2080=4,INDEX(crude_exp_dist,MATCH(B2080,'Crude Exp Dist'!$B$6:$B$78,0),MATCH(C2080,'Crude Exp Dist'!$AD$2:$BC$2,0))*INDEX(crude_exp_by_year,MATCH(B2080,'Data Export'!$B$6:$B$78,0),1),IF(E2080=5,INDEX(ref_exp_dist,MATCH(B2080,'Refined Petro Exp Dist'!$B$6:$B$78,0),MATCH(C2080,'Refined Petro Exp Dist'!$AD$2:$BC$2,0))*INDEX(ref_exp_by_year,MATCH(B2080,'Data Export'!$B$6:$B$78,0),1)))</f>
        <v>0</v>
      </c>
      <c r="E2080">
        <v>5</v>
      </c>
      <c r="F2080" t="s">
        <v>242</v>
      </c>
    </row>
    <row r="2081" spans="1:6">
      <c r="A2081" t="str">
        <f t="shared" si="32"/>
        <v>GenericE&amp;DtemplateCIandGOA</v>
      </c>
      <c r="B2081">
        <v>10</v>
      </c>
      <c r="C2081">
        <v>26</v>
      </c>
      <c r="D2081" s="649">
        <f ca="1">IF(E2081=4,INDEX(crude_exp_dist,MATCH(B2081,'Crude Exp Dist'!$B$6:$B$78,0),MATCH(C2081,'Crude Exp Dist'!$AD$2:$BC$2,0))*INDEX(crude_exp_by_year,MATCH(B2081,'Data Export'!$B$6:$B$78,0),1),IF(E2081=5,INDEX(ref_exp_dist,MATCH(B2081,'Refined Petro Exp Dist'!$B$6:$B$78,0),MATCH(C2081,'Refined Petro Exp Dist'!$AD$2:$BC$2,0))*INDEX(ref_exp_by_year,MATCH(B2081,'Data Export'!$B$6:$B$78,0),1)))</f>
        <v>0</v>
      </c>
      <c r="E2081">
        <v>5</v>
      </c>
      <c r="F2081" t="s">
        <v>245</v>
      </c>
    </row>
    <row r="2082" spans="1:6">
      <c r="A2082" t="str">
        <f t="shared" si="32"/>
        <v>GenericE&amp;DtemplateCIandGOA</v>
      </c>
      <c r="B2082">
        <v>11</v>
      </c>
      <c r="C2082">
        <v>1</v>
      </c>
      <c r="D2082" s="649">
        <f ca="1">IF(E2082=4,INDEX(crude_exp_dist,MATCH(B2082,'Crude Exp Dist'!$B$6:$B$78,0),MATCH(C2082,'Crude Exp Dist'!$AD$2:$BC$2,0))*INDEX(crude_exp_by_year,MATCH(B2082,'Data Export'!$B$6:$B$78,0),1),IF(E2082=5,INDEX(ref_exp_dist,MATCH(B2082,'Refined Petro Exp Dist'!$B$6:$B$78,0),MATCH(C2082,'Refined Petro Exp Dist'!$AD$2:$BC$2,0))*INDEX(ref_exp_by_year,MATCH(B2082,'Data Export'!$B$6:$B$78,0),1)))</f>
        <v>0</v>
      </c>
      <c r="E2082">
        <v>5</v>
      </c>
      <c r="F2082" t="s">
        <v>158</v>
      </c>
    </row>
    <row r="2083" spans="1:6">
      <c r="A2083" t="str">
        <f t="shared" si="32"/>
        <v>GenericE&amp;DtemplateCIandGOA</v>
      </c>
      <c r="B2083">
        <v>11</v>
      </c>
      <c r="C2083">
        <v>2</v>
      </c>
      <c r="D2083" s="649">
        <f ca="1">IF(E2083=4,INDEX(crude_exp_dist,MATCH(B2083,'Crude Exp Dist'!$B$6:$B$78,0),MATCH(C2083,'Crude Exp Dist'!$AD$2:$BC$2,0))*INDEX(crude_exp_by_year,MATCH(B2083,'Data Export'!$B$6:$B$78,0),1),IF(E2083=5,INDEX(ref_exp_dist,MATCH(B2083,'Refined Petro Exp Dist'!$B$6:$B$78,0),MATCH(C2083,'Refined Petro Exp Dist'!$AD$2:$BC$2,0))*INDEX(ref_exp_by_year,MATCH(B2083,'Data Export'!$B$6:$B$78,0),1)))</f>
        <v>0</v>
      </c>
      <c r="E2083">
        <v>5</v>
      </c>
      <c r="F2083" t="s">
        <v>166</v>
      </c>
    </row>
    <row r="2084" spans="1:6">
      <c r="A2084" t="str">
        <f t="shared" si="32"/>
        <v>GenericE&amp;DtemplateCIandGOA</v>
      </c>
      <c r="B2084">
        <v>11</v>
      </c>
      <c r="C2084">
        <v>3</v>
      </c>
      <c r="D2084" s="649">
        <f ca="1">IF(E2084=4,INDEX(crude_exp_dist,MATCH(B2084,'Crude Exp Dist'!$B$6:$B$78,0),MATCH(C2084,'Crude Exp Dist'!$AD$2:$BC$2,0))*INDEX(crude_exp_by_year,MATCH(B2084,'Data Export'!$B$6:$B$78,0),1),IF(E2084=5,INDEX(ref_exp_dist,MATCH(B2084,'Refined Petro Exp Dist'!$B$6:$B$78,0),MATCH(C2084,'Refined Petro Exp Dist'!$AD$2:$BC$2,0))*INDEX(ref_exp_by_year,MATCH(B2084,'Data Export'!$B$6:$B$78,0),1)))</f>
        <v>0</v>
      </c>
      <c r="E2084">
        <v>5</v>
      </c>
      <c r="F2084" t="s">
        <v>171</v>
      </c>
    </row>
    <row r="2085" spans="1:6">
      <c r="A2085" t="str">
        <f t="shared" si="32"/>
        <v>GenericE&amp;DtemplateCIandGOA</v>
      </c>
      <c r="B2085">
        <v>11</v>
      </c>
      <c r="C2085">
        <v>4</v>
      </c>
      <c r="D2085" s="649">
        <f ca="1">IF(E2085=4,INDEX(crude_exp_dist,MATCH(B2085,'Crude Exp Dist'!$B$6:$B$78,0),MATCH(C2085,'Crude Exp Dist'!$AD$2:$BC$2,0))*INDEX(crude_exp_by_year,MATCH(B2085,'Data Export'!$B$6:$B$78,0),1),IF(E2085=5,INDEX(ref_exp_dist,MATCH(B2085,'Refined Petro Exp Dist'!$B$6:$B$78,0),MATCH(C2085,'Refined Petro Exp Dist'!$AD$2:$BC$2,0))*INDEX(ref_exp_by_year,MATCH(B2085,'Data Export'!$B$6:$B$78,0),1)))</f>
        <v>0</v>
      </c>
      <c r="E2085">
        <v>5</v>
      </c>
      <c r="F2085" t="s">
        <v>173</v>
      </c>
    </row>
    <row r="2086" spans="1:6">
      <c r="A2086" t="str">
        <f t="shared" si="32"/>
        <v>GenericE&amp;DtemplateCIandGOA</v>
      </c>
      <c r="B2086">
        <v>11</v>
      </c>
      <c r="C2086">
        <v>5</v>
      </c>
      <c r="D2086" s="649">
        <f ca="1">IF(E2086=4,INDEX(crude_exp_dist,MATCH(B2086,'Crude Exp Dist'!$B$6:$B$78,0),MATCH(C2086,'Crude Exp Dist'!$AD$2:$BC$2,0))*INDEX(crude_exp_by_year,MATCH(B2086,'Data Export'!$B$6:$B$78,0),1),IF(E2086=5,INDEX(ref_exp_dist,MATCH(B2086,'Refined Petro Exp Dist'!$B$6:$B$78,0),MATCH(C2086,'Refined Petro Exp Dist'!$AD$2:$BC$2,0))*INDEX(ref_exp_by_year,MATCH(B2086,'Data Export'!$B$6:$B$78,0),1)))</f>
        <v>0</v>
      </c>
      <c r="E2086">
        <v>5</v>
      </c>
      <c r="F2086" t="s">
        <v>180</v>
      </c>
    </row>
    <row r="2087" spans="1:6">
      <c r="A2087" t="str">
        <f t="shared" si="32"/>
        <v>GenericE&amp;DtemplateCIandGOA</v>
      </c>
      <c r="B2087">
        <v>11</v>
      </c>
      <c r="C2087">
        <v>6</v>
      </c>
      <c r="D2087" s="649">
        <f ca="1">IF(E2087=4,INDEX(crude_exp_dist,MATCH(B2087,'Crude Exp Dist'!$B$6:$B$78,0),MATCH(C2087,'Crude Exp Dist'!$AD$2:$BC$2,0))*INDEX(crude_exp_by_year,MATCH(B2087,'Data Export'!$B$6:$B$78,0),1),IF(E2087=5,INDEX(ref_exp_dist,MATCH(B2087,'Refined Petro Exp Dist'!$B$6:$B$78,0),MATCH(C2087,'Refined Petro Exp Dist'!$AD$2:$BC$2,0))*INDEX(ref_exp_by_year,MATCH(B2087,'Data Export'!$B$6:$B$78,0),1)))</f>
        <v>9.3638400177286432E-2</v>
      </c>
      <c r="E2087">
        <v>5</v>
      </c>
      <c r="F2087" t="s">
        <v>186</v>
      </c>
    </row>
    <row r="2088" spans="1:6">
      <c r="A2088" t="str">
        <f t="shared" si="32"/>
        <v>GenericE&amp;DtemplateCIandGOA</v>
      </c>
      <c r="B2088">
        <v>11</v>
      </c>
      <c r="C2088">
        <v>7</v>
      </c>
      <c r="D2088" s="649">
        <f ca="1">IF(E2088=4,INDEX(crude_exp_dist,MATCH(B2088,'Crude Exp Dist'!$B$6:$B$78,0),MATCH(C2088,'Crude Exp Dist'!$AD$2:$BC$2,0))*INDEX(crude_exp_by_year,MATCH(B2088,'Data Export'!$B$6:$B$78,0),1),IF(E2088=5,INDEX(ref_exp_dist,MATCH(B2088,'Refined Petro Exp Dist'!$B$6:$B$78,0),MATCH(C2088,'Refined Petro Exp Dist'!$AD$2:$BC$2,0))*INDEX(ref_exp_by_year,MATCH(B2088,'Data Export'!$B$6:$B$78,0),1)))</f>
        <v>0</v>
      </c>
      <c r="E2088">
        <v>5</v>
      </c>
      <c r="F2088" t="s">
        <v>191</v>
      </c>
    </row>
    <row r="2089" spans="1:6">
      <c r="A2089" t="str">
        <f t="shared" si="32"/>
        <v>GenericE&amp;DtemplateCIandGOA</v>
      </c>
      <c r="B2089">
        <v>11</v>
      </c>
      <c r="C2089">
        <v>8</v>
      </c>
      <c r="D2089" s="649">
        <f ca="1">IF(E2089=4,INDEX(crude_exp_dist,MATCH(B2089,'Crude Exp Dist'!$B$6:$B$78,0),MATCH(C2089,'Crude Exp Dist'!$AD$2:$BC$2,0))*INDEX(crude_exp_by_year,MATCH(B2089,'Data Export'!$B$6:$B$78,0),1),IF(E2089=5,INDEX(ref_exp_dist,MATCH(B2089,'Refined Petro Exp Dist'!$B$6:$B$78,0),MATCH(C2089,'Refined Petro Exp Dist'!$AD$2:$BC$2,0))*INDEX(ref_exp_by_year,MATCH(B2089,'Data Export'!$B$6:$B$78,0),1)))</f>
        <v>0</v>
      </c>
      <c r="E2089">
        <v>5</v>
      </c>
      <c r="F2089" t="s">
        <v>197</v>
      </c>
    </row>
    <row r="2090" spans="1:6">
      <c r="A2090" t="str">
        <f t="shared" si="32"/>
        <v>GenericE&amp;DtemplateCIandGOA</v>
      </c>
      <c r="B2090">
        <v>11</v>
      </c>
      <c r="C2090">
        <v>9</v>
      </c>
      <c r="D2090" s="649">
        <f ca="1">IF(E2090=4,INDEX(crude_exp_dist,MATCH(B2090,'Crude Exp Dist'!$B$6:$B$78,0),MATCH(C2090,'Crude Exp Dist'!$AD$2:$BC$2,0))*INDEX(crude_exp_by_year,MATCH(B2090,'Data Export'!$B$6:$B$78,0),1),IF(E2090=5,INDEX(ref_exp_dist,MATCH(B2090,'Refined Petro Exp Dist'!$B$6:$B$78,0),MATCH(C2090,'Refined Petro Exp Dist'!$AD$2:$BC$2,0))*INDEX(ref_exp_by_year,MATCH(B2090,'Data Export'!$B$6:$B$78,0),1)))</f>
        <v>0</v>
      </c>
      <c r="E2090">
        <v>5</v>
      </c>
      <c r="F2090" t="s">
        <v>199</v>
      </c>
    </row>
    <row r="2091" spans="1:6">
      <c r="A2091" t="str">
        <f t="shared" si="32"/>
        <v>GenericE&amp;DtemplateCIandGOA</v>
      </c>
      <c r="B2091">
        <v>11</v>
      </c>
      <c r="C2091">
        <v>10</v>
      </c>
      <c r="D2091" s="649">
        <f ca="1">IF(E2091=4,INDEX(crude_exp_dist,MATCH(B2091,'Crude Exp Dist'!$B$6:$B$78,0),MATCH(C2091,'Crude Exp Dist'!$AD$2:$BC$2,0))*INDEX(crude_exp_by_year,MATCH(B2091,'Data Export'!$B$6:$B$78,0),1),IF(E2091=5,INDEX(ref_exp_dist,MATCH(B2091,'Refined Petro Exp Dist'!$B$6:$B$78,0),MATCH(C2091,'Refined Petro Exp Dist'!$AD$2:$BC$2,0))*INDEX(ref_exp_by_year,MATCH(B2091,'Data Export'!$B$6:$B$78,0),1)))</f>
        <v>0</v>
      </c>
      <c r="E2091">
        <v>5</v>
      </c>
      <c r="F2091" t="s">
        <v>201</v>
      </c>
    </row>
    <row r="2092" spans="1:6">
      <c r="A2092" t="str">
        <f t="shared" si="32"/>
        <v>GenericE&amp;DtemplateCIandGOA</v>
      </c>
      <c r="B2092">
        <v>11</v>
      </c>
      <c r="C2092">
        <v>11</v>
      </c>
      <c r="D2092" s="649">
        <f ca="1">IF(E2092=4,INDEX(crude_exp_dist,MATCH(B2092,'Crude Exp Dist'!$B$6:$B$78,0),MATCH(C2092,'Crude Exp Dist'!$AD$2:$BC$2,0))*INDEX(crude_exp_by_year,MATCH(B2092,'Data Export'!$B$6:$B$78,0),1),IF(E2092=5,INDEX(ref_exp_dist,MATCH(B2092,'Refined Petro Exp Dist'!$B$6:$B$78,0),MATCH(C2092,'Refined Petro Exp Dist'!$AD$2:$BC$2,0))*INDEX(ref_exp_by_year,MATCH(B2092,'Data Export'!$B$6:$B$78,0),1)))</f>
        <v>0</v>
      </c>
      <c r="E2092">
        <v>5</v>
      </c>
      <c r="F2092" t="s">
        <v>921</v>
      </c>
    </row>
    <row r="2093" spans="1:6">
      <c r="A2093" t="str">
        <f t="shared" si="32"/>
        <v>GenericE&amp;DtemplateCIandGOA</v>
      </c>
      <c r="B2093">
        <v>11</v>
      </c>
      <c r="C2093">
        <v>12</v>
      </c>
      <c r="D2093" s="649">
        <f ca="1">IF(E2093=4,INDEX(crude_exp_dist,MATCH(B2093,'Crude Exp Dist'!$B$6:$B$78,0),MATCH(C2093,'Crude Exp Dist'!$AD$2:$BC$2,0))*INDEX(crude_exp_by_year,MATCH(B2093,'Data Export'!$B$6:$B$78,0),1),IF(E2093=5,INDEX(ref_exp_dist,MATCH(B2093,'Refined Petro Exp Dist'!$B$6:$B$78,0),MATCH(C2093,'Refined Petro Exp Dist'!$AD$2:$BC$2,0))*INDEX(ref_exp_by_year,MATCH(B2093,'Data Export'!$B$6:$B$78,0),1)))</f>
        <v>2.0738679893455403E-2</v>
      </c>
      <c r="E2093">
        <v>5</v>
      </c>
      <c r="F2093" t="s">
        <v>208</v>
      </c>
    </row>
    <row r="2094" spans="1:6">
      <c r="A2094" t="str">
        <f t="shared" si="32"/>
        <v>GenericE&amp;DtemplateCIandGOA</v>
      </c>
      <c r="B2094">
        <v>11</v>
      </c>
      <c r="C2094">
        <v>13</v>
      </c>
      <c r="D2094" s="649">
        <f ca="1">IF(E2094=4,INDEX(crude_exp_dist,MATCH(B2094,'Crude Exp Dist'!$B$6:$B$78,0),MATCH(C2094,'Crude Exp Dist'!$AD$2:$BC$2,0))*INDEX(crude_exp_by_year,MATCH(B2094,'Data Export'!$B$6:$B$78,0),1),IF(E2094=5,INDEX(ref_exp_dist,MATCH(B2094,'Refined Petro Exp Dist'!$B$6:$B$78,0),MATCH(C2094,'Refined Petro Exp Dist'!$AD$2:$BC$2,0))*INDEX(ref_exp_by_year,MATCH(B2094,'Data Export'!$B$6:$B$78,0),1)))</f>
        <v>2.0738679893455403E-2</v>
      </c>
      <c r="E2094">
        <v>5</v>
      </c>
      <c r="F2094" t="s">
        <v>211</v>
      </c>
    </row>
    <row r="2095" spans="1:6">
      <c r="A2095" t="str">
        <f t="shared" si="32"/>
        <v>GenericE&amp;DtemplateCIandGOA</v>
      </c>
      <c r="B2095">
        <v>11</v>
      </c>
      <c r="C2095">
        <v>14</v>
      </c>
      <c r="D2095" s="649">
        <f ca="1">IF(E2095=4,INDEX(crude_exp_dist,MATCH(B2095,'Crude Exp Dist'!$B$6:$B$78,0),MATCH(C2095,'Crude Exp Dist'!$AD$2:$BC$2,0))*INDEX(crude_exp_by_year,MATCH(B2095,'Data Export'!$B$6:$B$78,0),1),IF(E2095=5,INDEX(ref_exp_dist,MATCH(B2095,'Refined Petro Exp Dist'!$B$6:$B$78,0),MATCH(C2095,'Refined Petro Exp Dist'!$AD$2:$BC$2,0))*INDEX(ref_exp_by_year,MATCH(B2095,'Data Export'!$B$6:$B$78,0),1)))</f>
        <v>0</v>
      </c>
      <c r="E2095">
        <v>5</v>
      </c>
      <c r="F2095" t="s">
        <v>213</v>
      </c>
    </row>
    <row r="2096" spans="1:6">
      <c r="A2096" t="str">
        <f t="shared" si="32"/>
        <v>GenericE&amp;DtemplateCIandGOA</v>
      </c>
      <c r="B2096">
        <v>11</v>
      </c>
      <c r="C2096">
        <v>15</v>
      </c>
      <c r="D2096" s="649">
        <f ca="1">IF(E2096=4,INDEX(crude_exp_dist,MATCH(B2096,'Crude Exp Dist'!$B$6:$B$78,0),MATCH(C2096,'Crude Exp Dist'!$AD$2:$BC$2,0))*INDEX(crude_exp_by_year,MATCH(B2096,'Data Export'!$B$6:$B$78,0),1),IF(E2096=5,INDEX(ref_exp_dist,MATCH(B2096,'Refined Petro Exp Dist'!$B$6:$B$78,0),MATCH(C2096,'Refined Petro Exp Dist'!$AD$2:$BC$2,0))*INDEX(ref_exp_by_year,MATCH(B2096,'Data Export'!$B$6:$B$78,0),1)))</f>
        <v>0</v>
      </c>
      <c r="E2096">
        <v>5</v>
      </c>
      <c r="F2096" t="s">
        <v>215</v>
      </c>
    </row>
    <row r="2097" spans="1:6">
      <c r="A2097" t="str">
        <f t="shared" si="32"/>
        <v>GenericE&amp;DtemplateCIandGOA</v>
      </c>
      <c r="B2097">
        <v>11</v>
      </c>
      <c r="C2097">
        <v>16</v>
      </c>
      <c r="D2097" s="649">
        <f ca="1">IF(E2097=4,INDEX(crude_exp_dist,MATCH(B2097,'Crude Exp Dist'!$B$6:$B$78,0),MATCH(C2097,'Crude Exp Dist'!$AD$2:$BC$2,0))*INDEX(crude_exp_by_year,MATCH(B2097,'Data Export'!$B$6:$B$78,0),1),IF(E2097=5,INDEX(ref_exp_dist,MATCH(B2097,'Refined Petro Exp Dist'!$B$6:$B$78,0),MATCH(C2097,'Refined Petro Exp Dist'!$AD$2:$BC$2,0))*INDEX(ref_exp_by_year,MATCH(B2097,'Data Export'!$B$6:$B$78,0),1)))</f>
        <v>0</v>
      </c>
      <c r="E2097">
        <v>5</v>
      </c>
      <c r="F2097" t="s">
        <v>219</v>
      </c>
    </row>
    <row r="2098" spans="1:6">
      <c r="A2098" t="str">
        <f t="shared" si="32"/>
        <v>GenericE&amp;DtemplateCIandGOA</v>
      </c>
      <c r="B2098">
        <v>11</v>
      </c>
      <c r="C2098">
        <v>17</v>
      </c>
      <c r="D2098" s="649">
        <f ca="1">IF(E2098=4,INDEX(crude_exp_dist,MATCH(B2098,'Crude Exp Dist'!$B$6:$B$78,0),MATCH(C2098,'Crude Exp Dist'!$AD$2:$BC$2,0))*INDEX(crude_exp_by_year,MATCH(B2098,'Data Export'!$B$6:$B$78,0),1),IF(E2098=5,INDEX(ref_exp_dist,MATCH(B2098,'Refined Petro Exp Dist'!$B$6:$B$78,0),MATCH(C2098,'Refined Petro Exp Dist'!$AD$2:$BC$2,0))*INDEX(ref_exp_by_year,MATCH(B2098,'Data Export'!$B$6:$B$78,0),1)))</f>
        <v>0</v>
      </c>
      <c r="E2098">
        <v>5</v>
      </c>
      <c r="F2098" t="s">
        <v>222</v>
      </c>
    </row>
    <row r="2099" spans="1:6">
      <c r="A2099" t="str">
        <f t="shared" si="32"/>
        <v>GenericE&amp;DtemplateCIandGOA</v>
      </c>
      <c r="B2099">
        <v>11</v>
      </c>
      <c r="C2099">
        <v>18</v>
      </c>
      <c r="D2099" s="649">
        <f ca="1">IF(E2099=4,INDEX(crude_exp_dist,MATCH(B2099,'Crude Exp Dist'!$B$6:$B$78,0),MATCH(C2099,'Crude Exp Dist'!$AD$2:$BC$2,0))*INDEX(crude_exp_by_year,MATCH(B2099,'Data Export'!$B$6:$B$78,0),1),IF(E2099=5,INDEX(ref_exp_dist,MATCH(B2099,'Refined Petro Exp Dist'!$B$6:$B$78,0),MATCH(C2099,'Refined Petro Exp Dist'!$AD$2:$BC$2,0))*INDEX(ref_exp_by_year,MATCH(B2099,'Data Export'!$B$6:$B$78,0),1)))</f>
        <v>0</v>
      </c>
      <c r="E2099">
        <v>5</v>
      </c>
      <c r="F2099" t="s">
        <v>224</v>
      </c>
    </row>
    <row r="2100" spans="1:6">
      <c r="A2100" t="str">
        <f t="shared" si="32"/>
        <v>GenericE&amp;DtemplateCIandGOA</v>
      </c>
      <c r="B2100">
        <v>11</v>
      </c>
      <c r="C2100">
        <v>19</v>
      </c>
      <c r="D2100" s="649">
        <f ca="1">IF(E2100=4,INDEX(crude_exp_dist,MATCH(B2100,'Crude Exp Dist'!$B$6:$B$78,0),MATCH(C2100,'Crude Exp Dist'!$AD$2:$BC$2,0))*INDEX(crude_exp_by_year,MATCH(B2100,'Data Export'!$B$6:$B$78,0),1),IF(E2100=5,INDEX(ref_exp_dist,MATCH(B2100,'Refined Petro Exp Dist'!$B$6:$B$78,0),MATCH(C2100,'Refined Petro Exp Dist'!$AD$2:$BC$2,0))*INDEX(ref_exp_by_year,MATCH(B2100,'Data Export'!$B$6:$B$78,0),1)))</f>
        <v>0</v>
      </c>
      <c r="E2100">
        <v>5</v>
      </c>
      <c r="F2100" t="s">
        <v>228</v>
      </c>
    </row>
    <row r="2101" spans="1:6">
      <c r="A2101" t="str">
        <f t="shared" si="32"/>
        <v>GenericE&amp;DtemplateCIandGOA</v>
      </c>
      <c r="B2101">
        <v>11</v>
      </c>
      <c r="C2101">
        <v>20</v>
      </c>
      <c r="D2101" s="649">
        <f ca="1">IF(E2101=4,INDEX(crude_exp_dist,MATCH(B2101,'Crude Exp Dist'!$B$6:$B$78,0),MATCH(C2101,'Crude Exp Dist'!$AD$2:$BC$2,0))*INDEX(crude_exp_by_year,MATCH(B2101,'Data Export'!$B$6:$B$78,0),1),IF(E2101=5,INDEX(ref_exp_dist,MATCH(B2101,'Refined Petro Exp Dist'!$B$6:$B$78,0),MATCH(C2101,'Refined Petro Exp Dist'!$AD$2:$BC$2,0))*INDEX(ref_exp_by_year,MATCH(B2101,'Data Export'!$B$6:$B$78,0),1)))</f>
        <v>0</v>
      </c>
      <c r="E2101">
        <v>5</v>
      </c>
      <c r="F2101" t="s">
        <v>231</v>
      </c>
    </row>
    <row r="2102" spans="1:6">
      <c r="A2102" t="str">
        <f t="shared" si="32"/>
        <v>GenericE&amp;DtemplateCIandGOA</v>
      </c>
      <c r="B2102">
        <v>11</v>
      </c>
      <c r="C2102">
        <v>21</v>
      </c>
      <c r="D2102" s="649">
        <f ca="1">IF(E2102=4,INDEX(crude_exp_dist,MATCH(B2102,'Crude Exp Dist'!$B$6:$B$78,0),MATCH(C2102,'Crude Exp Dist'!$AD$2:$BC$2,0))*INDEX(crude_exp_by_year,MATCH(B2102,'Data Export'!$B$6:$B$78,0),1),IF(E2102=5,INDEX(ref_exp_dist,MATCH(B2102,'Refined Petro Exp Dist'!$B$6:$B$78,0),MATCH(C2102,'Refined Petro Exp Dist'!$AD$2:$BC$2,0))*INDEX(ref_exp_by_year,MATCH(B2102,'Data Export'!$B$6:$B$78,0),1)))</f>
        <v>0</v>
      </c>
      <c r="E2102">
        <v>5</v>
      </c>
      <c r="F2102" t="s">
        <v>232</v>
      </c>
    </row>
    <row r="2103" spans="1:6">
      <c r="A2103" t="str">
        <f t="shared" si="32"/>
        <v>GenericE&amp;DtemplateCIandGOA</v>
      </c>
      <c r="B2103">
        <v>11</v>
      </c>
      <c r="C2103">
        <v>22</v>
      </c>
      <c r="D2103" s="649">
        <f ca="1">IF(E2103=4,INDEX(crude_exp_dist,MATCH(B2103,'Crude Exp Dist'!$B$6:$B$78,0),MATCH(C2103,'Crude Exp Dist'!$AD$2:$BC$2,0))*INDEX(crude_exp_by_year,MATCH(B2103,'Data Export'!$B$6:$B$78,0),1),IF(E2103=5,INDEX(ref_exp_dist,MATCH(B2103,'Refined Petro Exp Dist'!$B$6:$B$78,0),MATCH(C2103,'Refined Petro Exp Dist'!$AD$2:$BC$2,0))*INDEX(ref_exp_by_year,MATCH(B2103,'Data Export'!$B$6:$B$78,0),1)))</f>
        <v>0</v>
      </c>
      <c r="E2103">
        <v>5</v>
      </c>
      <c r="F2103" t="s">
        <v>235</v>
      </c>
    </row>
    <row r="2104" spans="1:6">
      <c r="A2104" t="str">
        <f t="shared" si="32"/>
        <v>GenericE&amp;DtemplateCIandGOA</v>
      </c>
      <c r="B2104">
        <v>11</v>
      </c>
      <c r="C2104">
        <v>23</v>
      </c>
      <c r="D2104" s="649">
        <f ca="1">IF(E2104=4,INDEX(crude_exp_dist,MATCH(B2104,'Crude Exp Dist'!$B$6:$B$78,0),MATCH(C2104,'Crude Exp Dist'!$AD$2:$BC$2,0))*INDEX(crude_exp_by_year,MATCH(B2104,'Data Export'!$B$6:$B$78,0),1),IF(E2104=5,INDEX(ref_exp_dist,MATCH(B2104,'Refined Petro Exp Dist'!$B$6:$B$78,0),MATCH(C2104,'Refined Petro Exp Dist'!$AD$2:$BC$2,0))*INDEX(ref_exp_by_year,MATCH(B2104,'Data Export'!$B$6:$B$78,0),1)))</f>
        <v>0</v>
      </c>
      <c r="E2104">
        <v>5</v>
      </c>
      <c r="F2104" t="s">
        <v>237</v>
      </c>
    </row>
    <row r="2105" spans="1:6">
      <c r="A2105" t="str">
        <f t="shared" si="32"/>
        <v>GenericE&amp;DtemplateCIandGOA</v>
      </c>
      <c r="B2105">
        <v>11</v>
      </c>
      <c r="C2105">
        <v>24</v>
      </c>
      <c r="D2105" s="649">
        <f ca="1">IF(E2105=4,INDEX(crude_exp_dist,MATCH(B2105,'Crude Exp Dist'!$B$6:$B$78,0),MATCH(C2105,'Crude Exp Dist'!$AD$2:$BC$2,0))*INDEX(crude_exp_by_year,MATCH(B2105,'Data Export'!$B$6:$B$78,0),1),IF(E2105=5,INDEX(ref_exp_dist,MATCH(B2105,'Refined Petro Exp Dist'!$B$6:$B$78,0),MATCH(C2105,'Refined Petro Exp Dist'!$AD$2:$BC$2,0))*INDEX(ref_exp_by_year,MATCH(B2105,'Data Export'!$B$6:$B$78,0),1)))</f>
        <v>0</v>
      </c>
      <c r="E2105">
        <v>5</v>
      </c>
      <c r="F2105" t="s">
        <v>239</v>
      </c>
    </row>
    <row r="2106" spans="1:6">
      <c r="A2106" t="str">
        <f t="shared" si="32"/>
        <v>GenericE&amp;DtemplateCIandGOA</v>
      </c>
      <c r="B2106">
        <v>11</v>
      </c>
      <c r="C2106">
        <v>25</v>
      </c>
      <c r="D2106" s="649">
        <f ca="1">IF(E2106=4,INDEX(crude_exp_dist,MATCH(B2106,'Crude Exp Dist'!$B$6:$B$78,0),MATCH(C2106,'Crude Exp Dist'!$AD$2:$BC$2,0))*INDEX(crude_exp_by_year,MATCH(B2106,'Data Export'!$B$6:$B$78,0),1),IF(E2106=5,INDEX(ref_exp_dist,MATCH(B2106,'Refined Petro Exp Dist'!$B$6:$B$78,0),MATCH(C2106,'Refined Petro Exp Dist'!$AD$2:$BC$2,0))*INDEX(ref_exp_by_year,MATCH(B2106,'Data Export'!$B$6:$B$78,0),1)))</f>
        <v>0</v>
      </c>
      <c r="E2106">
        <v>5</v>
      </c>
      <c r="F2106" t="s">
        <v>242</v>
      </c>
    </row>
    <row r="2107" spans="1:6">
      <c r="A2107" t="str">
        <f t="shared" si="32"/>
        <v>GenericE&amp;DtemplateCIandGOA</v>
      </c>
      <c r="B2107">
        <v>11</v>
      </c>
      <c r="C2107">
        <v>26</v>
      </c>
      <c r="D2107" s="649">
        <f ca="1">IF(E2107=4,INDEX(crude_exp_dist,MATCH(B2107,'Crude Exp Dist'!$B$6:$B$78,0),MATCH(C2107,'Crude Exp Dist'!$AD$2:$BC$2,0))*INDEX(crude_exp_by_year,MATCH(B2107,'Data Export'!$B$6:$B$78,0),1),IF(E2107=5,INDEX(ref_exp_dist,MATCH(B2107,'Refined Petro Exp Dist'!$B$6:$B$78,0),MATCH(C2107,'Refined Petro Exp Dist'!$AD$2:$BC$2,0))*INDEX(ref_exp_by_year,MATCH(B2107,'Data Export'!$B$6:$B$78,0),1)))</f>
        <v>0</v>
      </c>
      <c r="E2107">
        <v>5</v>
      </c>
      <c r="F2107" t="s">
        <v>245</v>
      </c>
    </row>
    <row r="2108" spans="1:6">
      <c r="A2108" t="str">
        <f t="shared" si="32"/>
        <v>GenericE&amp;DtemplateCIandGOA</v>
      </c>
      <c r="B2108">
        <v>12</v>
      </c>
      <c r="C2108">
        <v>1</v>
      </c>
      <c r="D2108" s="649">
        <f ca="1">IF(E2108=4,INDEX(crude_exp_dist,MATCH(B2108,'Crude Exp Dist'!$B$6:$B$78,0),MATCH(C2108,'Crude Exp Dist'!$AD$2:$BC$2,0))*INDEX(crude_exp_by_year,MATCH(B2108,'Data Export'!$B$6:$B$78,0),1),IF(E2108=5,INDEX(ref_exp_dist,MATCH(B2108,'Refined Petro Exp Dist'!$B$6:$B$78,0),MATCH(C2108,'Refined Petro Exp Dist'!$AD$2:$BC$2,0))*INDEX(ref_exp_by_year,MATCH(B2108,'Data Export'!$B$6:$B$78,0),1)))</f>
        <v>0</v>
      </c>
      <c r="E2108">
        <v>5</v>
      </c>
      <c r="F2108" t="s">
        <v>158</v>
      </c>
    </row>
    <row r="2109" spans="1:6">
      <c r="A2109" t="str">
        <f t="shared" si="32"/>
        <v>GenericE&amp;DtemplateCIandGOA</v>
      </c>
      <c r="B2109">
        <v>12</v>
      </c>
      <c r="C2109">
        <v>2</v>
      </c>
      <c r="D2109" s="649">
        <f ca="1">IF(E2109=4,INDEX(crude_exp_dist,MATCH(B2109,'Crude Exp Dist'!$B$6:$B$78,0),MATCH(C2109,'Crude Exp Dist'!$AD$2:$BC$2,0))*INDEX(crude_exp_by_year,MATCH(B2109,'Data Export'!$B$6:$B$78,0),1),IF(E2109=5,INDEX(ref_exp_dist,MATCH(B2109,'Refined Petro Exp Dist'!$B$6:$B$78,0),MATCH(C2109,'Refined Petro Exp Dist'!$AD$2:$BC$2,0))*INDEX(ref_exp_by_year,MATCH(B2109,'Data Export'!$B$6:$B$78,0),1)))</f>
        <v>0</v>
      </c>
      <c r="E2109">
        <v>5</v>
      </c>
      <c r="F2109" t="s">
        <v>166</v>
      </c>
    </row>
    <row r="2110" spans="1:6">
      <c r="A2110" t="str">
        <f t="shared" si="32"/>
        <v>GenericE&amp;DtemplateCIandGOA</v>
      </c>
      <c r="B2110">
        <v>12</v>
      </c>
      <c r="C2110">
        <v>3</v>
      </c>
      <c r="D2110" s="649">
        <f ca="1">IF(E2110=4,INDEX(crude_exp_dist,MATCH(B2110,'Crude Exp Dist'!$B$6:$B$78,0),MATCH(C2110,'Crude Exp Dist'!$AD$2:$BC$2,0))*INDEX(crude_exp_by_year,MATCH(B2110,'Data Export'!$B$6:$B$78,0),1),IF(E2110=5,INDEX(ref_exp_dist,MATCH(B2110,'Refined Petro Exp Dist'!$B$6:$B$78,0),MATCH(C2110,'Refined Petro Exp Dist'!$AD$2:$BC$2,0))*INDEX(ref_exp_by_year,MATCH(B2110,'Data Export'!$B$6:$B$78,0),1)))</f>
        <v>0</v>
      </c>
      <c r="E2110">
        <v>5</v>
      </c>
      <c r="F2110" t="s">
        <v>171</v>
      </c>
    </row>
    <row r="2111" spans="1:6">
      <c r="A2111" t="str">
        <f t="shared" si="32"/>
        <v>GenericE&amp;DtemplateCIandGOA</v>
      </c>
      <c r="B2111">
        <v>12</v>
      </c>
      <c r="C2111">
        <v>4</v>
      </c>
      <c r="D2111" s="649">
        <f ca="1">IF(E2111=4,INDEX(crude_exp_dist,MATCH(B2111,'Crude Exp Dist'!$B$6:$B$78,0),MATCH(C2111,'Crude Exp Dist'!$AD$2:$BC$2,0))*INDEX(crude_exp_by_year,MATCH(B2111,'Data Export'!$B$6:$B$78,0),1),IF(E2111=5,INDEX(ref_exp_dist,MATCH(B2111,'Refined Petro Exp Dist'!$B$6:$B$78,0),MATCH(C2111,'Refined Petro Exp Dist'!$AD$2:$BC$2,0))*INDEX(ref_exp_by_year,MATCH(B2111,'Data Export'!$B$6:$B$78,0),1)))</f>
        <v>0</v>
      </c>
      <c r="E2111">
        <v>5</v>
      </c>
      <c r="F2111" t="s">
        <v>173</v>
      </c>
    </row>
    <row r="2112" spans="1:6">
      <c r="A2112" t="str">
        <f t="shared" si="32"/>
        <v>GenericE&amp;DtemplateCIandGOA</v>
      </c>
      <c r="B2112">
        <v>12</v>
      </c>
      <c r="C2112">
        <v>5</v>
      </c>
      <c r="D2112" s="649">
        <f ca="1">IF(E2112=4,INDEX(crude_exp_dist,MATCH(B2112,'Crude Exp Dist'!$B$6:$B$78,0),MATCH(C2112,'Crude Exp Dist'!$AD$2:$BC$2,0))*INDEX(crude_exp_by_year,MATCH(B2112,'Data Export'!$B$6:$B$78,0),1),IF(E2112=5,INDEX(ref_exp_dist,MATCH(B2112,'Refined Petro Exp Dist'!$B$6:$B$78,0),MATCH(C2112,'Refined Petro Exp Dist'!$AD$2:$BC$2,0))*INDEX(ref_exp_by_year,MATCH(B2112,'Data Export'!$B$6:$B$78,0),1)))</f>
        <v>0</v>
      </c>
      <c r="E2112">
        <v>5</v>
      </c>
      <c r="F2112" t="s">
        <v>180</v>
      </c>
    </row>
    <row r="2113" spans="1:6">
      <c r="A2113" t="str">
        <f t="shared" si="32"/>
        <v>GenericE&amp;DtemplateCIandGOA</v>
      </c>
      <c r="B2113">
        <v>12</v>
      </c>
      <c r="C2113">
        <v>6</v>
      </c>
      <c r="D2113" s="649">
        <f ca="1">IF(E2113=4,INDEX(crude_exp_dist,MATCH(B2113,'Crude Exp Dist'!$B$6:$B$78,0),MATCH(C2113,'Crude Exp Dist'!$AD$2:$BC$2,0))*INDEX(crude_exp_by_year,MATCH(B2113,'Data Export'!$B$6:$B$78,0),1),IF(E2113=5,INDEX(ref_exp_dist,MATCH(B2113,'Refined Petro Exp Dist'!$B$6:$B$78,0),MATCH(C2113,'Refined Petro Exp Dist'!$AD$2:$BC$2,0))*INDEX(ref_exp_by_year,MATCH(B2113,'Data Export'!$B$6:$B$78,0),1)))</f>
        <v>9.5589394783367879E-2</v>
      </c>
      <c r="E2113">
        <v>5</v>
      </c>
      <c r="F2113" t="s">
        <v>186</v>
      </c>
    </row>
    <row r="2114" spans="1:6">
      <c r="A2114" t="str">
        <f t="shared" ref="A2114:A2177" si="33">scenario_name</f>
        <v>GenericE&amp;DtemplateCIandGOA</v>
      </c>
      <c r="B2114">
        <v>12</v>
      </c>
      <c r="C2114">
        <v>7</v>
      </c>
      <c r="D2114" s="649">
        <f ca="1">IF(E2114=4,INDEX(crude_exp_dist,MATCH(B2114,'Crude Exp Dist'!$B$6:$B$78,0),MATCH(C2114,'Crude Exp Dist'!$AD$2:$BC$2,0))*INDEX(crude_exp_by_year,MATCH(B2114,'Data Export'!$B$6:$B$78,0),1),IF(E2114=5,INDEX(ref_exp_dist,MATCH(B2114,'Refined Petro Exp Dist'!$B$6:$B$78,0),MATCH(C2114,'Refined Petro Exp Dist'!$AD$2:$BC$2,0))*INDEX(ref_exp_by_year,MATCH(B2114,'Data Export'!$B$6:$B$78,0),1)))</f>
        <v>0</v>
      </c>
      <c r="E2114">
        <v>5</v>
      </c>
      <c r="F2114" t="s">
        <v>191</v>
      </c>
    </row>
    <row r="2115" spans="1:6">
      <c r="A2115" t="str">
        <f t="shared" si="33"/>
        <v>GenericE&amp;DtemplateCIandGOA</v>
      </c>
      <c r="B2115">
        <v>12</v>
      </c>
      <c r="C2115">
        <v>8</v>
      </c>
      <c r="D2115" s="649">
        <f ca="1">IF(E2115=4,INDEX(crude_exp_dist,MATCH(B2115,'Crude Exp Dist'!$B$6:$B$78,0),MATCH(C2115,'Crude Exp Dist'!$AD$2:$BC$2,0))*INDEX(crude_exp_by_year,MATCH(B2115,'Data Export'!$B$6:$B$78,0),1),IF(E2115=5,INDEX(ref_exp_dist,MATCH(B2115,'Refined Petro Exp Dist'!$B$6:$B$78,0),MATCH(C2115,'Refined Petro Exp Dist'!$AD$2:$BC$2,0))*INDEX(ref_exp_by_year,MATCH(B2115,'Data Export'!$B$6:$B$78,0),1)))</f>
        <v>0</v>
      </c>
      <c r="E2115">
        <v>5</v>
      </c>
      <c r="F2115" t="s">
        <v>197</v>
      </c>
    </row>
    <row r="2116" spans="1:6">
      <c r="A2116" t="str">
        <f t="shared" si="33"/>
        <v>GenericE&amp;DtemplateCIandGOA</v>
      </c>
      <c r="B2116">
        <v>12</v>
      </c>
      <c r="C2116">
        <v>9</v>
      </c>
      <c r="D2116" s="649">
        <f ca="1">IF(E2116=4,INDEX(crude_exp_dist,MATCH(B2116,'Crude Exp Dist'!$B$6:$B$78,0),MATCH(C2116,'Crude Exp Dist'!$AD$2:$BC$2,0))*INDEX(crude_exp_by_year,MATCH(B2116,'Data Export'!$B$6:$B$78,0),1),IF(E2116=5,INDEX(ref_exp_dist,MATCH(B2116,'Refined Petro Exp Dist'!$B$6:$B$78,0),MATCH(C2116,'Refined Petro Exp Dist'!$AD$2:$BC$2,0))*INDEX(ref_exp_by_year,MATCH(B2116,'Data Export'!$B$6:$B$78,0),1)))</f>
        <v>0</v>
      </c>
      <c r="E2116">
        <v>5</v>
      </c>
      <c r="F2116" t="s">
        <v>199</v>
      </c>
    </row>
    <row r="2117" spans="1:6">
      <c r="A2117" t="str">
        <f t="shared" si="33"/>
        <v>GenericE&amp;DtemplateCIandGOA</v>
      </c>
      <c r="B2117">
        <v>12</v>
      </c>
      <c r="C2117">
        <v>10</v>
      </c>
      <c r="D2117" s="649">
        <f ca="1">IF(E2117=4,INDEX(crude_exp_dist,MATCH(B2117,'Crude Exp Dist'!$B$6:$B$78,0),MATCH(C2117,'Crude Exp Dist'!$AD$2:$BC$2,0))*INDEX(crude_exp_by_year,MATCH(B2117,'Data Export'!$B$6:$B$78,0),1),IF(E2117=5,INDEX(ref_exp_dist,MATCH(B2117,'Refined Petro Exp Dist'!$B$6:$B$78,0),MATCH(C2117,'Refined Petro Exp Dist'!$AD$2:$BC$2,0))*INDEX(ref_exp_by_year,MATCH(B2117,'Data Export'!$B$6:$B$78,0),1)))</f>
        <v>0</v>
      </c>
      <c r="E2117">
        <v>5</v>
      </c>
      <c r="F2117" t="s">
        <v>201</v>
      </c>
    </row>
    <row r="2118" spans="1:6">
      <c r="A2118" t="str">
        <f t="shared" si="33"/>
        <v>GenericE&amp;DtemplateCIandGOA</v>
      </c>
      <c r="B2118">
        <v>12</v>
      </c>
      <c r="C2118">
        <v>11</v>
      </c>
      <c r="D2118" s="649">
        <f ca="1">IF(E2118=4,INDEX(crude_exp_dist,MATCH(B2118,'Crude Exp Dist'!$B$6:$B$78,0),MATCH(C2118,'Crude Exp Dist'!$AD$2:$BC$2,0))*INDEX(crude_exp_by_year,MATCH(B2118,'Data Export'!$B$6:$B$78,0),1),IF(E2118=5,INDEX(ref_exp_dist,MATCH(B2118,'Refined Petro Exp Dist'!$B$6:$B$78,0),MATCH(C2118,'Refined Petro Exp Dist'!$AD$2:$BC$2,0))*INDEX(ref_exp_by_year,MATCH(B2118,'Data Export'!$B$6:$B$78,0),1)))</f>
        <v>0</v>
      </c>
      <c r="E2118">
        <v>5</v>
      </c>
      <c r="F2118" t="s">
        <v>921</v>
      </c>
    </row>
    <row r="2119" spans="1:6">
      <c r="A2119" t="str">
        <f t="shared" si="33"/>
        <v>GenericE&amp;DtemplateCIandGOA</v>
      </c>
      <c r="B2119">
        <v>12</v>
      </c>
      <c r="C2119">
        <v>12</v>
      </c>
      <c r="D2119" s="649">
        <f ca="1">IF(E2119=4,INDEX(crude_exp_dist,MATCH(B2119,'Crude Exp Dist'!$B$6:$B$78,0),MATCH(C2119,'Crude Exp Dist'!$AD$2:$BC$2,0))*INDEX(crude_exp_by_year,MATCH(B2119,'Data Export'!$B$6:$B$78,0),1),IF(E2119=5,INDEX(ref_exp_dist,MATCH(B2119,'Refined Petro Exp Dist'!$B$6:$B$78,0),MATCH(C2119,'Refined Petro Exp Dist'!$AD$2:$BC$2,0))*INDEX(ref_exp_by_year,MATCH(B2119,'Data Export'!$B$6:$B$78,0),1)))</f>
        <v>2.1170778824372377E-2</v>
      </c>
      <c r="E2119">
        <v>5</v>
      </c>
      <c r="F2119" t="s">
        <v>208</v>
      </c>
    </row>
    <row r="2120" spans="1:6">
      <c r="A2120" t="str">
        <f t="shared" si="33"/>
        <v>GenericE&amp;DtemplateCIandGOA</v>
      </c>
      <c r="B2120">
        <v>12</v>
      </c>
      <c r="C2120">
        <v>13</v>
      </c>
      <c r="D2120" s="649">
        <f ca="1">IF(E2120=4,INDEX(crude_exp_dist,MATCH(B2120,'Crude Exp Dist'!$B$6:$B$78,0),MATCH(C2120,'Crude Exp Dist'!$AD$2:$BC$2,0))*INDEX(crude_exp_by_year,MATCH(B2120,'Data Export'!$B$6:$B$78,0),1),IF(E2120=5,INDEX(ref_exp_dist,MATCH(B2120,'Refined Petro Exp Dist'!$B$6:$B$78,0),MATCH(C2120,'Refined Petro Exp Dist'!$AD$2:$BC$2,0))*INDEX(ref_exp_by_year,MATCH(B2120,'Data Export'!$B$6:$B$78,0),1)))</f>
        <v>2.1170778824372377E-2</v>
      </c>
      <c r="E2120">
        <v>5</v>
      </c>
      <c r="F2120" t="s">
        <v>211</v>
      </c>
    </row>
    <row r="2121" spans="1:6">
      <c r="A2121" t="str">
        <f t="shared" si="33"/>
        <v>GenericE&amp;DtemplateCIandGOA</v>
      </c>
      <c r="B2121">
        <v>12</v>
      </c>
      <c r="C2121">
        <v>14</v>
      </c>
      <c r="D2121" s="649">
        <f ca="1">IF(E2121=4,INDEX(crude_exp_dist,MATCH(B2121,'Crude Exp Dist'!$B$6:$B$78,0),MATCH(C2121,'Crude Exp Dist'!$AD$2:$BC$2,0))*INDEX(crude_exp_by_year,MATCH(B2121,'Data Export'!$B$6:$B$78,0),1),IF(E2121=5,INDEX(ref_exp_dist,MATCH(B2121,'Refined Petro Exp Dist'!$B$6:$B$78,0),MATCH(C2121,'Refined Petro Exp Dist'!$AD$2:$BC$2,0))*INDEX(ref_exp_by_year,MATCH(B2121,'Data Export'!$B$6:$B$78,0),1)))</f>
        <v>0</v>
      </c>
      <c r="E2121">
        <v>5</v>
      </c>
      <c r="F2121" t="s">
        <v>213</v>
      </c>
    </row>
    <row r="2122" spans="1:6">
      <c r="A2122" t="str">
        <f t="shared" si="33"/>
        <v>GenericE&amp;DtemplateCIandGOA</v>
      </c>
      <c r="B2122">
        <v>12</v>
      </c>
      <c r="C2122">
        <v>15</v>
      </c>
      <c r="D2122" s="649">
        <f ca="1">IF(E2122=4,INDEX(crude_exp_dist,MATCH(B2122,'Crude Exp Dist'!$B$6:$B$78,0),MATCH(C2122,'Crude Exp Dist'!$AD$2:$BC$2,0))*INDEX(crude_exp_by_year,MATCH(B2122,'Data Export'!$B$6:$B$78,0),1),IF(E2122=5,INDEX(ref_exp_dist,MATCH(B2122,'Refined Petro Exp Dist'!$B$6:$B$78,0),MATCH(C2122,'Refined Petro Exp Dist'!$AD$2:$BC$2,0))*INDEX(ref_exp_by_year,MATCH(B2122,'Data Export'!$B$6:$B$78,0),1)))</f>
        <v>0</v>
      </c>
      <c r="E2122">
        <v>5</v>
      </c>
      <c r="F2122" t="s">
        <v>215</v>
      </c>
    </row>
    <row r="2123" spans="1:6">
      <c r="A2123" t="str">
        <f t="shared" si="33"/>
        <v>GenericE&amp;DtemplateCIandGOA</v>
      </c>
      <c r="B2123">
        <v>12</v>
      </c>
      <c r="C2123">
        <v>16</v>
      </c>
      <c r="D2123" s="649">
        <f ca="1">IF(E2123=4,INDEX(crude_exp_dist,MATCH(B2123,'Crude Exp Dist'!$B$6:$B$78,0),MATCH(C2123,'Crude Exp Dist'!$AD$2:$BC$2,0))*INDEX(crude_exp_by_year,MATCH(B2123,'Data Export'!$B$6:$B$78,0),1),IF(E2123=5,INDEX(ref_exp_dist,MATCH(B2123,'Refined Petro Exp Dist'!$B$6:$B$78,0),MATCH(C2123,'Refined Petro Exp Dist'!$AD$2:$BC$2,0))*INDEX(ref_exp_by_year,MATCH(B2123,'Data Export'!$B$6:$B$78,0),1)))</f>
        <v>0</v>
      </c>
      <c r="E2123">
        <v>5</v>
      </c>
      <c r="F2123" t="s">
        <v>219</v>
      </c>
    </row>
    <row r="2124" spans="1:6">
      <c r="A2124" t="str">
        <f t="shared" si="33"/>
        <v>GenericE&amp;DtemplateCIandGOA</v>
      </c>
      <c r="B2124">
        <v>12</v>
      </c>
      <c r="C2124">
        <v>17</v>
      </c>
      <c r="D2124" s="649">
        <f ca="1">IF(E2124=4,INDEX(crude_exp_dist,MATCH(B2124,'Crude Exp Dist'!$B$6:$B$78,0),MATCH(C2124,'Crude Exp Dist'!$AD$2:$BC$2,0))*INDEX(crude_exp_by_year,MATCH(B2124,'Data Export'!$B$6:$B$78,0),1),IF(E2124=5,INDEX(ref_exp_dist,MATCH(B2124,'Refined Petro Exp Dist'!$B$6:$B$78,0),MATCH(C2124,'Refined Petro Exp Dist'!$AD$2:$BC$2,0))*INDEX(ref_exp_by_year,MATCH(B2124,'Data Export'!$B$6:$B$78,0),1)))</f>
        <v>0</v>
      </c>
      <c r="E2124">
        <v>5</v>
      </c>
      <c r="F2124" t="s">
        <v>222</v>
      </c>
    </row>
    <row r="2125" spans="1:6">
      <c r="A2125" t="str">
        <f t="shared" si="33"/>
        <v>GenericE&amp;DtemplateCIandGOA</v>
      </c>
      <c r="B2125">
        <v>12</v>
      </c>
      <c r="C2125">
        <v>18</v>
      </c>
      <c r="D2125" s="649">
        <f ca="1">IF(E2125=4,INDEX(crude_exp_dist,MATCH(B2125,'Crude Exp Dist'!$B$6:$B$78,0),MATCH(C2125,'Crude Exp Dist'!$AD$2:$BC$2,0))*INDEX(crude_exp_by_year,MATCH(B2125,'Data Export'!$B$6:$B$78,0),1),IF(E2125=5,INDEX(ref_exp_dist,MATCH(B2125,'Refined Petro Exp Dist'!$B$6:$B$78,0),MATCH(C2125,'Refined Petro Exp Dist'!$AD$2:$BC$2,0))*INDEX(ref_exp_by_year,MATCH(B2125,'Data Export'!$B$6:$B$78,0),1)))</f>
        <v>0</v>
      </c>
      <c r="E2125">
        <v>5</v>
      </c>
      <c r="F2125" t="s">
        <v>224</v>
      </c>
    </row>
    <row r="2126" spans="1:6">
      <c r="A2126" t="str">
        <f t="shared" si="33"/>
        <v>GenericE&amp;DtemplateCIandGOA</v>
      </c>
      <c r="B2126">
        <v>12</v>
      </c>
      <c r="C2126">
        <v>19</v>
      </c>
      <c r="D2126" s="649">
        <f ca="1">IF(E2126=4,INDEX(crude_exp_dist,MATCH(B2126,'Crude Exp Dist'!$B$6:$B$78,0),MATCH(C2126,'Crude Exp Dist'!$AD$2:$BC$2,0))*INDEX(crude_exp_by_year,MATCH(B2126,'Data Export'!$B$6:$B$78,0),1),IF(E2126=5,INDEX(ref_exp_dist,MATCH(B2126,'Refined Petro Exp Dist'!$B$6:$B$78,0),MATCH(C2126,'Refined Petro Exp Dist'!$AD$2:$BC$2,0))*INDEX(ref_exp_by_year,MATCH(B2126,'Data Export'!$B$6:$B$78,0),1)))</f>
        <v>0</v>
      </c>
      <c r="E2126">
        <v>5</v>
      </c>
      <c r="F2126" t="s">
        <v>228</v>
      </c>
    </row>
    <row r="2127" spans="1:6">
      <c r="A2127" t="str">
        <f t="shared" si="33"/>
        <v>GenericE&amp;DtemplateCIandGOA</v>
      </c>
      <c r="B2127">
        <v>12</v>
      </c>
      <c r="C2127">
        <v>20</v>
      </c>
      <c r="D2127" s="649">
        <f ca="1">IF(E2127=4,INDEX(crude_exp_dist,MATCH(B2127,'Crude Exp Dist'!$B$6:$B$78,0),MATCH(C2127,'Crude Exp Dist'!$AD$2:$BC$2,0))*INDEX(crude_exp_by_year,MATCH(B2127,'Data Export'!$B$6:$B$78,0),1),IF(E2127=5,INDEX(ref_exp_dist,MATCH(B2127,'Refined Petro Exp Dist'!$B$6:$B$78,0),MATCH(C2127,'Refined Petro Exp Dist'!$AD$2:$BC$2,0))*INDEX(ref_exp_by_year,MATCH(B2127,'Data Export'!$B$6:$B$78,0),1)))</f>
        <v>0</v>
      </c>
      <c r="E2127">
        <v>5</v>
      </c>
      <c r="F2127" t="s">
        <v>231</v>
      </c>
    </row>
    <row r="2128" spans="1:6">
      <c r="A2128" t="str">
        <f t="shared" si="33"/>
        <v>GenericE&amp;DtemplateCIandGOA</v>
      </c>
      <c r="B2128">
        <v>12</v>
      </c>
      <c r="C2128">
        <v>21</v>
      </c>
      <c r="D2128" s="649">
        <f ca="1">IF(E2128=4,INDEX(crude_exp_dist,MATCH(B2128,'Crude Exp Dist'!$B$6:$B$78,0),MATCH(C2128,'Crude Exp Dist'!$AD$2:$BC$2,0))*INDEX(crude_exp_by_year,MATCH(B2128,'Data Export'!$B$6:$B$78,0),1),IF(E2128=5,INDEX(ref_exp_dist,MATCH(B2128,'Refined Petro Exp Dist'!$B$6:$B$78,0),MATCH(C2128,'Refined Petro Exp Dist'!$AD$2:$BC$2,0))*INDEX(ref_exp_by_year,MATCH(B2128,'Data Export'!$B$6:$B$78,0),1)))</f>
        <v>0</v>
      </c>
      <c r="E2128">
        <v>5</v>
      </c>
      <c r="F2128" t="s">
        <v>232</v>
      </c>
    </row>
    <row r="2129" spans="1:6">
      <c r="A2129" t="str">
        <f t="shared" si="33"/>
        <v>GenericE&amp;DtemplateCIandGOA</v>
      </c>
      <c r="B2129">
        <v>12</v>
      </c>
      <c r="C2129">
        <v>22</v>
      </c>
      <c r="D2129" s="649">
        <f ca="1">IF(E2129=4,INDEX(crude_exp_dist,MATCH(B2129,'Crude Exp Dist'!$B$6:$B$78,0),MATCH(C2129,'Crude Exp Dist'!$AD$2:$BC$2,0))*INDEX(crude_exp_by_year,MATCH(B2129,'Data Export'!$B$6:$B$78,0),1),IF(E2129=5,INDEX(ref_exp_dist,MATCH(B2129,'Refined Petro Exp Dist'!$B$6:$B$78,0),MATCH(C2129,'Refined Petro Exp Dist'!$AD$2:$BC$2,0))*INDEX(ref_exp_by_year,MATCH(B2129,'Data Export'!$B$6:$B$78,0),1)))</f>
        <v>0</v>
      </c>
      <c r="E2129">
        <v>5</v>
      </c>
      <c r="F2129" t="s">
        <v>235</v>
      </c>
    </row>
    <row r="2130" spans="1:6">
      <c r="A2130" t="str">
        <f t="shared" si="33"/>
        <v>GenericE&amp;DtemplateCIandGOA</v>
      </c>
      <c r="B2130">
        <v>12</v>
      </c>
      <c r="C2130">
        <v>23</v>
      </c>
      <c r="D2130" s="649">
        <f ca="1">IF(E2130=4,INDEX(crude_exp_dist,MATCH(B2130,'Crude Exp Dist'!$B$6:$B$78,0),MATCH(C2130,'Crude Exp Dist'!$AD$2:$BC$2,0))*INDEX(crude_exp_by_year,MATCH(B2130,'Data Export'!$B$6:$B$78,0),1),IF(E2130=5,INDEX(ref_exp_dist,MATCH(B2130,'Refined Petro Exp Dist'!$B$6:$B$78,0),MATCH(C2130,'Refined Petro Exp Dist'!$AD$2:$BC$2,0))*INDEX(ref_exp_by_year,MATCH(B2130,'Data Export'!$B$6:$B$78,0),1)))</f>
        <v>0</v>
      </c>
      <c r="E2130">
        <v>5</v>
      </c>
      <c r="F2130" t="s">
        <v>237</v>
      </c>
    </row>
    <row r="2131" spans="1:6">
      <c r="A2131" t="str">
        <f t="shared" si="33"/>
        <v>GenericE&amp;DtemplateCIandGOA</v>
      </c>
      <c r="B2131">
        <v>12</v>
      </c>
      <c r="C2131">
        <v>24</v>
      </c>
      <c r="D2131" s="649">
        <f ca="1">IF(E2131=4,INDEX(crude_exp_dist,MATCH(B2131,'Crude Exp Dist'!$B$6:$B$78,0),MATCH(C2131,'Crude Exp Dist'!$AD$2:$BC$2,0))*INDEX(crude_exp_by_year,MATCH(B2131,'Data Export'!$B$6:$B$78,0),1),IF(E2131=5,INDEX(ref_exp_dist,MATCH(B2131,'Refined Petro Exp Dist'!$B$6:$B$78,0),MATCH(C2131,'Refined Petro Exp Dist'!$AD$2:$BC$2,0))*INDEX(ref_exp_by_year,MATCH(B2131,'Data Export'!$B$6:$B$78,0),1)))</f>
        <v>0</v>
      </c>
      <c r="E2131">
        <v>5</v>
      </c>
      <c r="F2131" t="s">
        <v>239</v>
      </c>
    </row>
    <row r="2132" spans="1:6">
      <c r="A2132" t="str">
        <f t="shared" si="33"/>
        <v>GenericE&amp;DtemplateCIandGOA</v>
      </c>
      <c r="B2132">
        <v>12</v>
      </c>
      <c r="C2132">
        <v>25</v>
      </c>
      <c r="D2132" s="649">
        <f ca="1">IF(E2132=4,INDEX(crude_exp_dist,MATCH(B2132,'Crude Exp Dist'!$B$6:$B$78,0),MATCH(C2132,'Crude Exp Dist'!$AD$2:$BC$2,0))*INDEX(crude_exp_by_year,MATCH(B2132,'Data Export'!$B$6:$B$78,0),1),IF(E2132=5,INDEX(ref_exp_dist,MATCH(B2132,'Refined Petro Exp Dist'!$B$6:$B$78,0),MATCH(C2132,'Refined Petro Exp Dist'!$AD$2:$BC$2,0))*INDEX(ref_exp_by_year,MATCH(B2132,'Data Export'!$B$6:$B$78,0),1)))</f>
        <v>0</v>
      </c>
      <c r="E2132">
        <v>5</v>
      </c>
      <c r="F2132" t="s">
        <v>242</v>
      </c>
    </row>
    <row r="2133" spans="1:6">
      <c r="A2133" t="str">
        <f t="shared" si="33"/>
        <v>GenericE&amp;DtemplateCIandGOA</v>
      </c>
      <c r="B2133">
        <v>12</v>
      </c>
      <c r="C2133">
        <v>26</v>
      </c>
      <c r="D2133" s="649">
        <f ca="1">IF(E2133=4,INDEX(crude_exp_dist,MATCH(B2133,'Crude Exp Dist'!$B$6:$B$78,0),MATCH(C2133,'Crude Exp Dist'!$AD$2:$BC$2,0))*INDEX(crude_exp_by_year,MATCH(B2133,'Data Export'!$B$6:$B$78,0),1),IF(E2133=5,INDEX(ref_exp_dist,MATCH(B2133,'Refined Petro Exp Dist'!$B$6:$B$78,0),MATCH(C2133,'Refined Petro Exp Dist'!$AD$2:$BC$2,0))*INDEX(ref_exp_by_year,MATCH(B2133,'Data Export'!$B$6:$B$78,0),1)))</f>
        <v>0</v>
      </c>
      <c r="E2133">
        <v>5</v>
      </c>
      <c r="F2133" t="s">
        <v>245</v>
      </c>
    </row>
    <row r="2134" spans="1:6">
      <c r="A2134" t="str">
        <f t="shared" si="33"/>
        <v>GenericE&amp;DtemplateCIandGOA</v>
      </c>
      <c r="B2134">
        <v>13</v>
      </c>
      <c r="C2134">
        <v>1</v>
      </c>
      <c r="D2134" s="649">
        <f ca="1">IF(E2134=4,INDEX(crude_exp_dist,MATCH(B2134,'Crude Exp Dist'!$B$6:$B$78,0),MATCH(C2134,'Crude Exp Dist'!$AD$2:$BC$2,0))*INDEX(crude_exp_by_year,MATCH(B2134,'Data Export'!$B$6:$B$78,0),1),IF(E2134=5,INDEX(ref_exp_dist,MATCH(B2134,'Refined Petro Exp Dist'!$B$6:$B$78,0),MATCH(C2134,'Refined Petro Exp Dist'!$AD$2:$BC$2,0))*INDEX(ref_exp_by_year,MATCH(B2134,'Data Export'!$B$6:$B$78,0),1)))</f>
        <v>0</v>
      </c>
      <c r="E2134">
        <v>5</v>
      </c>
      <c r="F2134" t="s">
        <v>158</v>
      </c>
    </row>
    <row r="2135" spans="1:6">
      <c r="A2135" t="str">
        <f t="shared" si="33"/>
        <v>GenericE&amp;DtemplateCIandGOA</v>
      </c>
      <c r="B2135">
        <v>13</v>
      </c>
      <c r="C2135">
        <v>2</v>
      </c>
      <c r="D2135" s="649">
        <f ca="1">IF(E2135=4,INDEX(crude_exp_dist,MATCH(B2135,'Crude Exp Dist'!$B$6:$B$78,0),MATCH(C2135,'Crude Exp Dist'!$AD$2:$BC$2,0))*INDEX(crude_exp_by_year,MATCH(B2135,'Data Export'!$B$6:$B$78,0),1),IF(E2135=5,INDEX(ref_exp_dist,MATCH(B2135,'Refined Petro Exp Dist'!$B$6:$B$78,0),MATCH(C2135,'Refined Petro Exp Dist'!$AD$2:$BC$2,0))*INDEX(ref_exp_by_year,MATCH(B2135,'Data Export'!$B$6:$B$78,0),1)))</f>
        <v>0</v>
      </c>
      <c r="E2135">
        <v>5</v>
      </c>
      <c r="F2135" t="s">
        <v>166</v>
      </c>
    </row>
    <row r="2136" spans="1:6">
      <c r="A2136" t="str">
        <f t="shared" si="33"/>
        <v>GenericE&amp;DtemplateCIandGOA</v>
      </c>
      <c r="B2136">
        <v>13</v>
      </c>
      <c r="C2136">
        <v>3</v>
      </c>
      <c r="D2136" s="649">
        <f ca="1">IF(E2136=4,INDEX(crude_exp_dist,MATCH(B2136,'Crude Exp Dist'!$B$6:$B$78,0),MATCH(C2136,'Crude Exp Dist'!$AD$2:$BC$2,0))*INDEX(crude_exp_by_year,MATCH(B2136,'Data Export'!$B$6:$B$78,0),1),IF(E2136=5,INDEX(ref_exp_dist,MATCH(B2136,'Refined Petro Exp Dist'!$B$6:$B$78,0),MATCH(C2136,'Refined Petro Exp Dist'!$AD$2:$BC$2,0))*INDEX(ref_exp_by_year,MATCH(B2136,'Data Export'!$B$6:$B$78,0),1)))</f>
        <v>0</v>
      </c>
      <c r="E2136">
        <v>5</v>
      </c>
      <c r="F2136" t="s">
        <v>171</v>
      </c>
    </row>
    <row r="2137" spans="1:6">
      <c r="A2137" t="str">
        <f t="shared" si="33"/>
        <v>GenericE&amp;DtemplateCIandGOA</v>
      </c>
      <c r="B2137">
        <v>13</v>
      </c>
      <c r="C2137">
        <v>4</v>
      </c>
      <c r="D2137" s="649">
        <f ca="1">IF(E2137=4,INDEX(crude_exp_dist,MATCH(B2137,'Crude Exp Dist'!$B$6:$B$78,0),MATCH(C2137,'Crude Exp Dist'!$AD$2:$BC$2,0))*INDEX(crude_exp_by_year,MATCH(B2137,'Data Export'!$B$6:$B$78,0),1),IF(E2137=5,INDEX(ref_exp_dist,MATCH(B2137,'Refined Petro Exp Dist'!$B$6:$B$78,0),MATCH(C2137,'Refined Petro Exp Dist'!$AD$2:$BC$2,0))*INDEX(ref_exp_by_year,MATCH(B2137,'Data Export'!$B$6:$B$78,0),1)))</f>
        <v>0</v>
      </c>
      <c r="E2137">
        <v>5</v>
      </c>
      <c r="F2137" t="s">
        <v>173</v>
      </c>
    </row>
    <row r="2138" spans="1:6">
      <c r="A2138" t="str">
        <f t="shared" si="33"/>
        <v>GenericE&amp;DtemplateCIandGOA</v>
      </c>
      <c r="B2138">
        <v>13</v>
      </c>
      <c r="C2138">
        <v>5</v>
      </c>
      <c r="D2138" s="649">
        <f ca="1">IF(E2138=4,INDEX(crude_exp_dist,MATCH(B2138,'Crude Exp Dist'!$B$6:$B$78,0),MATCH(C2138,'Crude Exp Dist'!$AD$2:$BC$2,0))*INDEX(crude_exp_by_year,MATCH(B2138,'Data Export'!$B$6:$B$78,0),1),IF(E2138=5,INDEX(ref_exp_dist,MATCH(B2138,'Refined Petro Exp Dist'!$B$6:$B$78,0),MATCH(C2138,'Refined Petro Exp Dist'!$AD$2:$BC$2,0))*INDEX(ref_exp_by_year,MATCH(B2138,'Data Export'!$B$6:$B$78,0),1)))</f>
        <v>0</v>
      </c>
      <c r="E2138">
        <v>5</v>
      </c>
      <c r="F2138" t="s">
        <v>180</v>
      </c>
    </row>
    <row r="2139" spans="1:6">
      <c r="A2139" t="str">
        <f t="shared" si="33"/>
        <v>GenericE&amp;DtemplateCIandGOA</v>
      </c>
      <c r="B2139">
        <v>13</v>
      </c>
      <c r="C2139">
        <v>6</v>
      </c>
      <c r="D2139" s="649">
        <f ca="1">IF(E2139=4,INDEX(crude_exp_dist,MATCH(B2139,'Crude Exp Dist'!$B$6:$B$78,0),MATCH(C2139,'Crude Exp Dist'!$AD$2:$BC$2,0))*INDEX(crude_exp_by_year,MATCH(B2139,'Data Export'!$B$6:$B$78,0),1),IF(E2139=5,INDEX(ref_exp_dist,MATCH(B2139,'Refined Petro Exp Dist'!$B$6:$B$78,0),MATCH(C2139,'Refined Petro Exp Dist'!$AD$2:$BC$2,0))*INDEX(ref_exp_by_year,MATCH(B2139,'Data Export'!$B$6:$B$78,0),1)))</f>
        <v>9.7702972858437029E-2</v>
      </c>
      <c r="E2139">
        <v>5</v>
      </c>
      <c r="F2139" t="s">
        <v>186</v>
      </c>
    </row>
    <row r="2140" spans="1:6">
      <c r="A2140" t="str">
        <f t="shared" si="33"/>
        <v>GenericE&amp;DtemplateCIandGOA</v>
      </c>
      <c r="B2140">
        <v>13</v>
      </c>
      <c r="C2140">
        <v>7</v>
      </c>
      <c r="D2140" s="649">
        <f ca="1">IF(E2140=4,INDEX(crude_exp_dist,MATCH(B2140,'Crude Exp Dist'!$B$6:$B$78,0),MATCH(C2140,'Crude Exp Dist'!$AD$2:$BC$2,0))*INDEX(crude_exp_by_year,MATCH(B2140,'Data Export'!$B$6:$B$78,0),1),IF(E2140=5,INDEX(ref_exp_dist,MATCH(B2140,'Refined Petro Exp Dist'!$B$6:$B$78,0),MATCH(C2140,'Refined Petro Exp Dist'!$AD$2:$BC$2,0))*INDEX(ref_exp_by_year,MATCH(B2140,'Data Export'!$B$6:$B$78,0),1)))</f>
        <v>0</v>
      </c>
      <c r="E2140">
        <v>5</v>
      </c>
      <c r="F2140" t="s">
        <v>191</v>
      </c>
    </row>
    <row r="2141" spans="1:6">
      <c r="A2141" t="str">
        <f t="shared" si="33"/>
        <v>GenericE&amp;DtemplateCIandGOA</v>
      </c>
      <c r="B2141">
        <v>13</v>
      </c>
      <c r="C2141">
        <v>8</v>
      </c>
      <c r="D2141" s="649">
        <f ca="1">IF(E2141=4,INDEX(crude_exp_dist,MATCH(B2141,'Crude Exp Dist'!$B$6:$B$78,0),MATCH(C2141,'Crude Exp Dist'!$AD$2:$BC$2,0))*INDEX(crude_exp_by_year,MATCH(B2141,'Data Export'!$B$6:$B$78,0),1),IF(E2141=5,INDEX(ref_exp_dist,MATCH(B2141,'Refined Petro Exp Dist'!$B$6:$B$78,0),MATCH(C2141,'Refined Petro Exp Dist'!$AD$2:$BC$2,0))*INDEX(ref_exp_by_year,MATCH(B2141,'Data Export'!$B$6:$B$78,0),1)))</f>
        <v>0</v>
      </c>
      <c r="E2141">
        <v>5</v>
      </c>
      <c r="F2141" t="s">
        <v>197</v>
      </c>
    </row>
    <row r="2142" spans="1:6">
      <c r="A2142" t="str">
        <f t="shared" si="33"/>
        <v>GenericE&amp;DtemplateCIandGOA</v>
      </c>
      <c r="B2142">
        <v>13</v>
      </c>
      <c r="C2142">
        <v>9</v>
      </c>
      <c r="D2142" s="649">
        <f ca="1">IF(E2142=4,INDEX(crude_exp_dist,MATCH(B2142,'Crude Exp Dist'!$B$6:$B$78,0),MATCH(C2142,'Crude Exp Dist'!$AD$2:$BC$2,0))*INDEX(crude_exp_by_year,MATCH(B2142,'Data Export'!$B$6:$B$78,0),1),IF(E2142=5,INDEX(ref_exp_dist,MATCH(B2142,'Refined Petro Exp Dist'!$B$6:$B$78,0),MATCH(C2142,'Refined Petro Exp Dist'!$AD$2:$BC$2,0))*INDEX(ref_exp_by_year,MATCH(B2142,'Data Export'!$B$6:$B$78,0),1)))</f>
        <v>0</v>
      </c>
      <c r="E2142">
        <v>5</v>
      </c>
      <c r="F2142" t="s">
        <v>199</v>
      </c>
    </row>
    <row r="2143" spans="1:6">
      <c r="A2143" t="str">
        <f t="shared" si="33"/>
        <v>GenericE&amp;DtemplateCIandGOA</v>
      </c>
      <c r="B2143">
        <v>13</v>
      </c>
      <c r="C2143">
        <v>10</v>
      </c>
      <c r="D2143" s="649">
        <f ca="1">IF(E2143=4,INDEX(crude_exp_dist,MATCH(B2143,'Crude Exp Dist'!$B$6:$B$78,0),MATCH(C2143,'Crude Exp Dist'!$AD$2:$BC$2,0))*INDEX(crude_exp_by_year,MATCH(B2143,'Data Export'!$B$6:$B$78,0),1),IF(E2143=5,INDEX(ref_exp_dist,MATCH(B2143,'Refined Petro Exp Dist'!$B$6:$B$78,0),MATCH(C2143,'Refined Petro Exp Dist'!$AD$2:$BC$2,0))*INDEX(ref_exp_by_year,MATCH(B2143,'Data Export'!$B$6:$B$78,0),1)))</f>
        <v>0</v>
      </c>
      <c r="E2143">
        <v>5</v>
      </c>
      <c r="F2143" t="s">
        <v>201</v>
      </c>
    </row>
    <row r="2144" spans="1:6">
      <c r="A2144" t="str">
        <f t="shared" si="33"/>
        <v>GenericE&amp;DtemplateCIandGOA</v>
      </c>
      <c r="B2144">
        <v>13</v>
      </c>
      <c r="C2144">
        <v>11</v>
      </c>
      <c r="D2144" s="649">
        <f ca="1">IF(E2144=4,INDEX(crude_exp_dist,MATCH(B2144,'Crude Exp Dist'!$B$6:$B$78,0),MATCH(C2144,'Crude Exp Dist'!$AD$2:$BC$2,0))*INDEX(crude_exp_by_year,MATCH(B2144,'Data Export'!$B$6:$B$78,0),1),IF(E2144=5,INDEX(ref_exp_dist,MATCH(B2144,'Refined Petro Exp Dist'!$B$6:$B$78,0),MATCH(C2144,'Refined Petro Exp Dist'!$AD$2:$BC$2,0))*INDEX(ref_exp_by_year,MATCH(B2144,'Data Export'!$B$6:$B$78,0),1)))</f>
        <v>0</v>
      </c>
      <c r="E2144">
        <v>5</v>
      </c>
      <c r="F2144" t="s">
        <v>921</v>
      </c>
    </row>
    <row r="2145" spans="1:6">
      <c r="A2145" t="str">
        <f t="shared" si="33"/>
        <v>GenericE&amp;DtemplateCIandGOA</v>
      </c>
      <c r="B2145">
        <v>13</v>
      </c>
      <c r="C2145">
        <v>12</v>
      </c>
      <c r="D2145" s="649">
        <f ca="1">IF(E2145=4,INDEX(crude_exp_dist,MATCH(B2145,'Crude Exp Dist'!$B$6:$B$78,0),MATCH(C2145,'Crude Exp Dist'!$AD$2:$BC$2,0))*INDEX(crude_exp_by_year,MATCH(B2145,'Data Export'!$B$6:$B$78,0),1),IF(E2145=5,INDEX(ref_exp_dist,MATCH(B2145,'Refined Petro Exp Dist'!$B$6:$B$78,0),MATCH(C2145,'Refined Petro Exp Dist'!$AD$2:$BC$2,0))*INDEX(ref_exp_by_year,MATCH(B2145,'Data Export'!$B$6:$B$78,0),1)))</f>
        <v>2.1638886129128714E-2</v>
      </c>
      <c r="E2145">
        <v>5</v>
      </c>
      <c r="F2145" t="s">
        <v>208</v>
      </c>
    </row>
    <row r="2146" spans="1:6">
      <c r="A2146" t="str">
        <f t="shared" si="33"/>
        <v>GenericE&amp;DtemplateCIandGOA</v>
      </c>
      <c r="B2146">
        <v>13</v>
      </c>
      <c r="C2146">
        <v>13</v>
      </c>
      <c r="D2146" s="649">
        <f ca="1">IF(E2146=4,INDEX(crude_exp_dist,MATCH(B2146,'Crude Exp Dist'!$B$6:$B$78,0),MATCH(C2146,'Crude Exp Dist'!$AD$2:$BC$2,0))*INDEX(crude_exp_by_year,MATCH(B2146,'Data Export'!$B$6:$B$78,0),1),IF(E2146=5,INDEX(ref_exp_dist,MATCH(B2146,'Refined Petro Exp Dist'!$B$6:$B$78,0),MATCH(C2146,'Refined Petro Exp Dist'!$AD$2:$BC$2,0))*INDEX(ref_exp_by_year,MATCH(B2146,'Data Export'!$B$6:$B$78,0),1)))</f>
        <v>2.1638886129128714E-2</v>
      </c>
      <c r="E2146">
        <v>5</v>
      </c>
      <c r="F2146" t="s">
        <v>211</v>
      </c>
    </row>
    <row r="2147" spans="1:6">
      <c r="A2147" t="str">
        <f t="shared" si="33"/>
        <v>GenericE&amp;DtemplateCIandGOA</v>
      </c>
      <c r="B2147">
        <v>13</v>
      </c>
      <c r="C2147">
        <v>14</v>
      </c>
      <c r="D2147" s="649">
        <f ca="1">IF(E2147=4,INDEX(crude_exp_dist,MATCH(B2147,'Crude Exp Dist'!$B$6:$B$78,0),MATCH(C2147,'Crude Exp Dist'!$AD$2:$BC$2,0))*INDEX(crude_exp_by_year,MATCH(B2147,'Data Export'!$B$6:$B$78,0),1),IF(E2147=5,INDEX(ref_exp_dist,MATCH(B2147,'Refined Petro Exp Dist'!$B$6:$B$78,0),MATCH(C2147,'Refined Petro Exp Dist'!$AD$2:$BC$2,0))*INDEX(ref_exp_by_year,MATCH(B2147,'Data Export'!$B$6:$B$78,0),1)))</f>
        <v>0</v>
      </c>
      <c r="E2147">
        <v>5</v>
      </c>
      <c r="F2147" t="s">
        <v>213</v>
      </c>
    </row>
    <row r="2148" spans="1:6">
      <c r="A2148" t="str">
        <f t="shared" si="33"/>
        <v>GenericE&amp;DtemplateCIandGOA</v>
      </c>
      <c r="B2148">
        <v>13</v>
      </c>
      <c r="C2148">
        <v>15</v>
      </c>
      <c r="D2148" s="649">
        <f ca="1">IF(E2148=4,INDEX(crude_exp_dist,MATCH(B2148,'Crude Exp Dist'!$B$6:$B$78,0),MATCH(C2148,'Crude Exp Dist'!$AD$2:$BC$2,0))*INDEX(crude_exp_by_year,MATCH(B2148,'Data Export'!$B$6:$B$78,0),1),IF(E2148=5,INDEX(ref_exp_dist,MATCH(B2148,'Refined Petro Exp Dist'!$B$6:$B$78,0),MATCH(C2148,'Refined Petro Exp Dist'!$AD$2:$BC$2,0))*INDEX(ref_exp_by_year,MATCH(B2148,'Data Export'!$B$6:$B$78,0),1)))</f>
        <v>0</v>
      </c>
      <c r="E2148">
        <v>5</v>
      </c>
      <c r="F2148" t="s">
        <v>215</v>
      </c>
    </row>
    <row r="2149" spans="1:6">
      <c r="A2149" t="str">
        <f t="shared" si="33"/>
        <v>GenericE&amp;DtemplateCIandGOA</v>
      </c>
      <c r="B2149">
        <v>13</v>
      </c>
      <c r="C2149">
        <v>16</v>
      </c>
      <c r="D2149" s="649">
        <f ca="1">IF(E2149=4,INDEX(crude_exp_dist,MATCH(B2149,'Crude Exp Dist'!$B$6:$B$78,0),MATCH(C2149,'Crude Exp Dist'!$AD$2:$BC$2,0))*INDEX(crude_exp_by_year,MATCH(B2149,'Data Export'!$B$6:$B$78,0),1),IF(E2149=5,INDEX(ref_exp_dist,MATCH(B2149,'Refined Petro Exp Dist'!$B$6:$B$78,0),MATCH(C2149,'Refined Petro Exp Dist'!$AD$2:$BC$2,0))*INDEX(ref_exp_by_year,MATCH(B2149,'Data Export'!$B$6:$B$78,0),1)))</f>
        <v>0</v>
      </c>
      <c r="E2149">
        <v>5</v>
      </c>
      <c r="F2149" t="s">
        <v>219</v>
      </c>
    </row>
    <row r="2150" spans="1:6">
      <c r="A2150" t="str">
        <f t="shared" si="33"/>
        <v>GenericE&amp;DtemplateCIandGOA</v>
      </c>
      <c r="B2150">
        <v>13</v>
      </c>
      <c r="C2150">
        <v>17</v>
      </c>
      <c r="D2150" s="649">
        <f ca="1">IF(E2150=4,INDEX(crude_exp_dist,MATCH(B2150,'Crude Exp Dist'!$B$6:$B$78,0),MATCH(C2150,'Crude Exp Dist'!$AD$2:$BC$2,0))*INDEX(crude_exp_by_year,MATCH(B2150,'Data Export'!$B$6:$B$78,0),1),IF(E2150=5,INDEX(ref_exp_dist,MATCH(B2150,'Refined Petro Exp Dist'!$B$6:$B$78,0),MATCH(C2150,'Refined Petro Exp Dist'!$AD$2:$BC$2,0))*INDEX(ref_exp_by_year,MATCH(B2150,'Data Export'!$B$6:$B$78,0),1)))</f>
        <v>0</v>
      </c>
      <c r="E2150">
        <v>5</v>
      </c>
      <c r="F2150" t="s">
        <v>222</v>
      </c>
    </row>
    <row r="2151" spans="1:6">
      <c r="A2151" t="str">
        <f t="shared" si="33"/>
        <v>GenericE&amp;DtemplateCIandGOA</v>
      </c>
      <c r="B2151">
        <v>13</v>
      </c>
      <c r="C2151">
        <v>18</v>
      </c>
      <c r="D2151" s="649">
        <f ca="1">IF(E2151=4,INDEX(crude_exp_dist,MATCH(B2151,'Crude Exp Dist'!$B$6:$B$78,0),MATCH(C2151,'Crude Exp Dist'!$AD$2:$BC$2,0))*INDEX(crude_exp_by_year,MATCH(B2151,'Data Export'!$B$6:$B$78,0),1),IF(E2151=5,INDEX(ref_exp_dist,MATCH(B2151,'Refined Petro Exp Dist'!$B$6:$B$78,0),MATCH(C2151,'Refined Petro Exp Dist'!$AD$2:$BC$2,0))*INDEX(ref_exp_by_year,MATCH(B2151,'Data Export'!$B$6:$B$78,0),1)))</f>
        <v>0</v>
      </c>
      <c r="E2151">
        <v>5</v>
      </c>
      <c r="F2151" t="s">
        <v>224</v>
      </c>
    </row>
    <row r="2152" spans="1:6">
      <c r="A2152" t="str">
        <f t="shared" si="33"/>
        <v>GenericE&amp;DtemplateCIandGOA</v>
      </c>
      <c r="B2152">
        <v>13</v>
      </c>
      <c r="C2152">
        <v>19</v>
      </c>
      <c r="D2152" s="649">
        <f ca="1">IF(E2152=4,INDEX(crude_exp_dist,MATCH(B2152,'Crude Exp Dist'!$B$6:$B$78,0),MATCH(C2152,'Crude Exp Dist'!$AD$2:$BC$2,0))*INDEX(crude_exp_by_year,MATCH(B2152,'Data Export'!$B$6:$B$78,0),1),IF(E2152=5,INDEX(ref_exp_dist,MATCH(B2152,'Refined Petro Exp Dist'!$B$6:$B$78,0),MATCH(C2152,'Refined Petro Exp Dist'!$AD$2:$BC$2,0))*INDEX(ref_exp_by_year,MATCH(B2152,'Data Export'!$B$6:$B$78,0),1)))</f>
        <v>0</v>
      </c>
      <c r="E2152">
        <v>5</v>
      </c>
      <c r="F2152" t="s">
        <v>228</v>
      </c>
    </row>
    <row r="2153" spans="1:6">
      <c r="A2153" t="str">
        <f t="shared" si="33"/>
        <v>GenericE&amp;DtemplateCIandGOA</v>
      </c>
      <c r="B2153">
        <v>13</v>
      </c>
      <c r="C2153">
        <v>20</v>
      </c>
      <c r="D2153" s="649">
        <f ca="1">IF(E2153=4,INDEX(crude_exp_dist,MATCH(B2153,'Crude Exp Dist'!$B$6:$B$78,0),MATCH(C2153,'Crude Exp Dist'!$AD$2:$BC$2,0))*INDEX(crude_exp_by_year,MATCH(B2153,'Data Export'!$B$6:$B$78,0),1),IF(E2153=5,INDEX(ref_exp_dist,MATCH(B2153,'Refined Petro Exp Dist'!$B$6:$B$78,0),MATCH(C2153,'Refined Petro Exp Dist'!$AD$2:$BC$2,0))*INDEX(ref_exp_by_year,MATCH(B2153,'Data Export'!$B$6:$B$78,0),1)))</f>
        <v>0</v>
      </c>
      <c r="E2153">
        <v>5</v>
      </c>
      <c r="F2153" t="s">
        <v>231</v>
      </c>
    </row>
    <row r="2154" spans="1:6">
      <c r="A2154" t="str">
        <f t="shared" si="33"/>
        <v>GenericE&amp;DtemplateCIandGOA</v>
      </c>
      <c r="B2154">
        <v>13</v>
      </c>
      <c r="C2154">
        <v>21</v>
      </c>
      <c r="D2154" s="649">
        <f ca="1">IF(E2154=4,INDEX(crude_exp_dist,MATCH(B2154,'Crude Exp Dist'!$B$6:$B$78,0),MATCH(C2154,'Crude Exp Dist'!$AD$2:$BC$2,0))*INDEX(crude_exp_by_year,MATCH(B2154,'Data Export'!$B$6:$B$78,0),1),IF(E2154=5,INDEX(ref_exp_dist,MATCH(B2154,'Refined Petro Exp Dist'!$B$6:$B$78,0),MATCH(C2154,'Refined Petro Exp Dist'!$AD$2:$BC$2,0))*INDEX(ref_exp_by_year,MATCH(B2154,'Data Export'!$B$6:$B$78,0),1)))</f>
        <v>0</v>
      </c>
      <c r="E2154">
        <v>5</v>
      </c>
      <c r="F2154" t="s">
        <v>232</v>
      </c>
    </row>
    <row r="2155" spans="1:6">
      <c r="A2155" t="str">
        <f t="shared" si="33"/>
        <v>GenericE&amp;DtemplateCIandGOA</v>
      </c>
      <c r="B2155">
        <v>13</v>
      </c>
      <c r="C2155">
        <v>22</v>
      </c>
      <c r="D2155" s="649">
        <f ca="1">IF(E2155=4,INDEX(crude_exp_dist,MATCH(B2155,'Crude Exp Dist'!$B$6:$B$78,0),MATCH(C2155,'Crude Exp Dist'!$AD$2:$BC$2,0))*INDEX(crude_exp_by_year,MATCH(B2155,'Data Export'!$B$6:$B$78,0),1),IF(E2155=5,INDEX(ref_exp_dist,MATCH(B2155,'Refined Petro Exp Dist'!$B$6:$B$78,0),MATCH(C2155,'Refined Petro Exp Dist'!$AD$2:$BC$2,0))*INDEX(ref_exp_by_year,MATCH(B2155,'Data Export'!$B$6:$B$78,0),1)))</f>
        <v>0</v>
      </c>
      <c r="E2155">
        <v>5</v>
      </c>
      <c r="F2155" t="s">
        <v>235</v>
      </c>
    </row>
    <row r="2156" spans="1:6">
      <c r="A2156" t="str">
        <f t="shared" si="33"/>
        <v>GenericE&amp;DtemplateCIandGOA</v>
      </c>
      <c r="B2156">
        <v>13</v>
      </c>
      <c r="C2156">
        <v>23</v>
      </c>
      <c r="D2156" s="649">
        <f ca="1">IF(E2156=4,INDEX(crude_exp_dist,MATCH(B2156,'Crude Exp Dist'!$B$6:$B$78,0),MATCH(C2156,'Crude Exp Dist'!$AD$2:$BC$2,0))*INDEX(crude_exp_by_year,MATCH(B2156,'Data Export'!$B$6:$B$78,0),1),IF(E2156=5,INDEX(ref_exp_dist,MATCH(B2156,'Refined Petro Exp Dist'!$B$6:$B$78,0),MATCH(C2156,'Refined Petro Exp Dist'!$AD$2:$BC$2,0))*INDEX(ref_exp_by_year,MATCH(B2156,'Data Export'!$B$6:$B$78,0),1)))</f>
        <v>0</v>
      </c>
      <c r="E2156">
        <v>5</v>
      </c>
      <c r="F2156" t="s">
        <v>237</v>
      </c>
    </row>
    <row r="2157" spans="1:6">
      <c r="A2157" t="str">
        <f t="shared" si="33"/>
        <v>GenericE&amp;DtemplateCIandGOA</v>
      </c>
      <c r="B2157">
        <v>13</v>
      </c>
      <c r="C2157">
        <v>24</v>
      </c>
      <c r="D2157" s="649">
        <f ca="1">IF(E2157=4,INDEX(crude_exp_dist,MATCH(B2157,'Crude Exp Dist'!$B$6:$B$78,0),MATCH(C2157,'Crude Exp Dist'!$AD$2:$BC$2,0))*INDEX(crude_exp_by_year,MATCH(B2157,'Data Export'!$B$6:$B$78,0),1),IF(E2157=5,INDEX(ref_exp_dist,MATCH(B2157,'Refined Petro Exp Dist'!$B$6:$B$78,0),MATCH(C2157,'Refined Petro Exp Dist'!$AD$2:$BC$2,0))*INDEX(ref_exp_by_year,MATCH(B2157,'Data Export'!$B$6:$B$78,0),1)))</f>
        <v>0</v>
      </c>
      <c r="E2157">
        <v>5</v>
      </c>
      <c r="F2157" t="s">
        <v>239</v>
      </c>
    </row>
    <row r="2158" spans="1:6">
      <c r="A2158" t="str">
        <f t="shared" si="33"/>
        <v>GenericE&amp;DtemplateCIandGOA</v>
      </c>
      <c r="B2158">
        <v>13</v>
      </c>
      <c r="C2158">
        <v>25</v>
      </c>
      <c r="D2158" s="649">
        <f ca="1">IF(E2158=4,INDEX(crude_exp_dist,MATCH(B2158,'Crude Exp Dist'!$B$6:$B$78,0),MATCH(C2158,'Crude Exp Dist'!$AD$2:$BC$2,0))*INDEX(crude_exp_by_year,MATCH(B2158,'Data Export'!$B$6:$B$78,0),1),IF(E2158=5,INDEX(ref_exp_dist,MATCH(B2158,'Refined Petro Exp Dist'!$B$6:$B$78,0),MATCH(C2158,'Refined Petro Exp Dist'!$AD$2:$BC$2,0))*INDEX(ref_exp_by_year,MATCH(B2158,'Data Export'!$B$6:$B$78,0),1)))</f>
        <v>0</v>
      </c>
      <c r="E2158">
        <v>5</v>
      </c>
      <c r="F2158" t="s">
        <v>242</v>
      </c>
    </row>
    <row r="2159" spans="1:6">
      <c r="A2159" t="str">
        <f t="shared" si="33"/>
        <v>GenericE&amp;DtemplateCIandGOA</v>
      </c>
      <c r="B2159">
        <v>13</v>
      </c>
      <c r="C2159">
        <v>26</v>
      </c>
      <c r="D2159" s="649">
        <f ca="1">IF(E2159=4,INDEX(crude_exp_dist,MATCH(B2159,'Crude Exp Dist'!$B$6:$B$78,0),MATCH(C2159,'Crude Exp Dist'!$AD$2:$BC$2,0))*INDEX(crude_exp_by_year,MATCH(B2159,'Data Export'!$B$6:$B$78,0),1),IF(E2159=5,INDEX(ref_exp_dist,MATCH(B2159,'Refined Petro Exp Dist'!$B$6:$B$78,0),MATCH(C2159,'Refined Petro Exp Dist'!$AD$2:$BC$2,0))*INDEX(ref_exp_by_year,MATCH(B2159,'Data Export'!$B$6:$B$78,0),1)))</f>
        <v>0</v>
      </c>
      <c r="E2159">
        <v>5</v>
      </c>
      <c r="F2159" t="s">
        <v>245</v>
      </c>
    </row>
    <row r="2160" spans="1:6">
      <c r="A2160" t="str">
        <f t="shared" si="33"/>
        <v>GenericE&amp;DtemplateCIandGOA</v>
      </c>
      <c r="B2160">
        <v>14</v>
      </c>
      <c r="C2160">
        <v>1</v>
      </c>
      <c r="D2160" s="649">
        <f ca="1">IF(E2160=4,INDEX(crude_exp_dist,MATCH(B2160,'Crude Exp Dist'!$B$6:$B$78,0),MATCH(C2160,'Crude Exp Dist'!$AD$2:$BC$2,0))*INDEX(crude_exp_by_year,MATCH(B2160,'Data Export'!$B$6:$B$78,0),1),IF(E2160=5,INDEX(ref_exp_dist,MATCH(B2160,'Refined Petro Exp Dist'!$B$6:$B$78,0),MATCH(C2160,'Refined Petro Exp Dist'!$AD$2:$BC$2,0))*INDEX(ref_exp_by_year,MATCH(B2160,'Data Export'!$B$6:$B$78,0),1)))</f>
        <v>0</v>
      </c>
      <c r="E2160">
        <v>5</v>
      </c>
      <c r="F2160" t="s">
        <v>158</v>
      </c>
    </row>
    <row r="2161" spans="1:6">
      <c r="A2161" t="str">
        <f t="shared" si="33"/>
        <v>GenericE&amp;DtemplateCIandGOA</v>
      </c>
      <c r="B2161">
        <v>14</v>
      </c>
      <c r="C2161">
        <v>2</v>
      </c>
      <c r="D2161" s="649">
        <f ca="1">IF(E2161=4,INDEX(crude_exp_dist,MATCH(B2161,'Crude Exp Dist'!$B$6:$B$78,0),MATCH(C2161,'Crude Exp Dist'!$AD$2:$BC$2,0))*INDEX(crude_exp_by_year,MATCH(B2161,'Data Export'!$B$6:$B$78,0),1),IF(E2161=5,INDEX(ref_exp_dist,MATCH(B2161,'Refined Petro Exp Dist'!$B$6:$B$78,0),MATCH(C2161,'Refined Petro Exp Dist'!$AD$2:$BC$2,0))*INDEX(ref_exp_by_year,MATCH(B2161,'Data Export'!$B$6:$B$78,0),1)))</f>
        <v>0</v>
      </c>
      <c r="E2161">
        <v>5</v>
      </c>
      <c r="F2161" t="s">
        <v>166</v>
      </c>
    </row>
    <row r="2162" spans="1:6">
      <c r="A2162" t="str">
        <f t="shared" si="33"/>
        <v>GenericE&amp;DtemplateCIandGOA</v>
      </c>
      <c r="B2162">
        <v>14</v>
      </c>
      <c r="C2162">
        <v>3</v>
      </c>
      <c r="D2162" s="649">
        <f ca="1">IF(E2162=4,INDEX(crude_exp_dist,MATCH(B2162,'Crude Exp Dist'!$B$6:$B$78,0),MATCH(C2162,'Crude Exp Dist'!$AD$2:$BC$2,0))*INDEX(crude_exp_by_year,MATCH(B2162,'Data Export'!$B$6:$B$78,0),1),IF(E2162=5,INDEX(ref_exp_dist,MATCH(B2162,'Refined Petro Exp Dist'!$B$6:$B$78,0),MATCH(C2162,'Refined Petro Exp Dist'!$AD$2:$BC$2,0))*INDEX(ref_exp_by_year,MATCH(B2162,'Data Export'!$B$6:$B$78,0),1)))</f>
        <v>0</v>
      </c>
      <c r="E2162">
        <v>5</v>
      </c>
      <c r="F2162" t="s">
        <v>171</v>
      </c>
    </row>
    <row r="2163" spans="1:6">
      <c r="A2163" t="str">
        <f t="shared" si="33"/>
        <v>GenericE&amp;DtemplateCIandGOA</v>
      </c>
      <c r="B2163">
        <v>14</v>
      </c>
      <c r="C2163">
        <v>4</v>
      </c>
      <c r="D2163" s="649">
        <f ca="1">IF(E2163=4,INDEX(crude_exp_dist,MATCH(B2163,'Crude Exp Dist'!$B$6:$B$78,0),MATCH(C2163,'Crude Exp Dist'!$AD$2:$BC$2,0))*INDEX(crude_exp_by_year,MATCH(B2163,'Data Export'!$B$6:$B$78,0),1),IF(E2163=5,INDEX(ref_exp_dist,MATCH(B2163,'Refined Petro Exp Dist'!$B$6:$B$78,0),MATCH(C2163,'Refined Petro Exp Dist'!$AD$2:$BC$2,0))*INDEX(ref_exp_by_year,MATCH(B2163,'Data Export'!$B$6:$B$78,0),1)))</f>
        <v>0</v>
      </c>
      <c r="E2163">
        <v>5</v>
      </c>
      <c r="F2163" t="s">
        <v>173</v>
      </c>
    </row>
    <row r="2164" spans="1:6">
      <c r="A2164" t="str">
        <f t="shared" si="33"/>
        <v>GenericE&amp;DtemplateCIandGOA</v>
      </c>
      <c r="B2164">
        <v>14</v>
      </c>
      <c r="C2164">
        <v>5</v>
      </c>
      <c r="D2164" s="649">
        <f ca="1">IF(E2164=4,INDEX(crude_exp_dist,MATCH(B2164,'Crude Exp Dist'!$B$6:$B$78,0),MATCH(C2164,'Crude Exp Dist'!$AD$2:$BC$2,0))*INDEX(crude_exp_by_year,MATCH(B2164,'Data Export'!$B$6:$B$78,0),1),IF(E2164=5,INDEX(ref_exp_dist,MATCH(B2164,'Refined Petro Exp Dist'!$B$6:$B$78,0),MATCH(C2164,'Refined Petro Exp Dist'!$AD$2:$BC$2,0))*INDEX(ref_exp_by_year,MATCH(B2164,'Data Export'!$B$6:$B$78,0),1)))</f>
        <v>0</v>
      </c>
      <c r="E2164">
        <v>5</v>
      </c>
      <c r="F2164" t="s">
        <v>180</v>
      </c>
    </row>
    <row r="2165" spans="1:6">
      <c r="A2165" t="str">
        <f t="shared" si="33"/>
        <v>GenericE&amp;DtemplateCIandGOA</v>
      </c>
      <c r="B2165">
        <v>14</v>
      </c>
      <c r="C2165">
        <v>6</v>
      </c>
      <c r="D2165" s="649">
        <f ca="1">IF(E2165=4,INDEX(crude_exp_dist,MATCH(B2165,'Crude Exp Dist'!$B$6:$B$78,0),MATCH(C2165,'Crude Exp Dist'!$AD$2:$BC$2,0))*INDEX(crude_exp_by_year,MATCH(B2165,'Data Export'!$B$6:$B$78,0),1),IF(E2165=5,INDEX(ref_exp_dist,MATCH(B2165,'Refined Petro Exp Dist'!$B$6:$B$78,0),MATCH(C2165,'Refined Petro Exp Dist'!$AD$2:$BC$2,0))*INDEX(ref_exp_by_year,MATCH(B2165,'Data Export'!$B$6:$B$78,0),1)))</f>
        <v>9.9999143669544058E-2</v>
      </c>
      <c r="E2165">
        <v>5</v>
      </c>
      <c r="F2165" t="s">
        <v>186</v>
      </c>
    </row>
    <row r="2166" spans="1:6">
      <c r="A2166" t="str">
        <f t="shared" si="33"/>
        <v>GenericE&amp;DtemplateCIandGOA</v>
      </c>
      <c r="B2166">
        <v>14</v>
      </c>
      <c r="C2166">
        <v>7</v>
      </c>
      <c r="D2166" s="649">
        <f ca="1">IF(E2166=4,INDEX(crude_exp_dist,MATCH(B2166,'Crude Exp Dist'!$B$6:$B$78,0),MATCH(C2166,'Crude Exp Dist'!$AD$2:$BC$2,0))*INDEX(crude_exp_by_year,MATCH(B2166,'Data Export'!$B$6:$B$78,0),1),IF(E2166=5,INDEX(ref_exp_dist,MATCH(B2166,'Refined Petro Exp Dist'!$B$6:$B$78,0),MATCH(C2166,'Refined Petro Exp Dist'!$AD$2:$BC$2,0))*INDEX(ref_exp_by_year,MATCH(B2166,'Data Export'!$B$6:$B$78,0),1)))</f>
        <v>0</v>
      </c>
      <c r="E2166">
        <v>5</v>
      </c>
      <c r="F2166" t="s">
        <v>191</v>
      </c>
    </row>
    <row r="2167" spans="1:6">
      <c r="A2167" t="str">
        <f t="shared" si="33"/>
        <v>GenericE&amp;DtemplateCIandGOA</v>
      </c>
      <c r="B2167">
        <v>14</v>
      </c>
      <c r="C2167">
        <v>8</v>
      </c>
      <c r="D2167" s="649">
        <f ca="1">IF(E2167=4,INDEX(crude_exp_dist,MATCH(B2167,'Crude Exp Dist'!$B$6:$B$78,0),MATCH(C2167,'Crude Exp Dist'!$AD$2:$BC$2,0))*INDEX(crude_exp_by_year,MATCH(B2167,'Data Export'!$B$6:$B$78,0),1),IF(E2167=5,INDEX(ref_exp_dist,MATCH(B2167,'Refined Petro Exp Dist'!$B$6:$B$78,0),MATCH(C2167,'Refined Petro Exp Dist'!$AD$2:$BC$2,0))*INDEX(ref_exp_by_year,MATCH(B2167,'Data Export'!$B$6:$B$78,0),1)))</f>
        <v>0</v>
      </c>
      <c r="E2167">
        <v>5</v>
      </c>
      <c r="F2167" t="s">
        <v>197</v>
      </c>
    </row>
    <row r="2168" spans="1:6">
      <c r="A2168" t="str">
        <f t="shared" si="33"/>
        <v>GenericE&amp;DtemplateCIandGOA</v>
      </c>
      <c r="B2168">
        <v>14</v>
      </c>
      <c r="C2168">
        <v>9</v>
      </c>
      <c r="D2168" s="649">
        <f ca="1">IF(E2168=4,INDEX(crude_exp_dist,MATCH(B2168,'Crude Exp Dist'!$B$6:$B$78,0),MATCH(C2168,'Crude Exp Dist'!$AD$2:$BC$2,0))*INDEX(crude_exp_by_year,MATCH(B2168,'Data Export'!$B$6:$B$78,0),1),IF(E2168=5,INDEX(ref_exp_dist,MATCH(B2168,'Refined Petro Exp Dist'!$B$6:$B$78,0),MATCH(C2168,'Refined Petro Exp Dist'!$AD$2:$BC$2,0))*INDEX(ref_exp_by_year,MATCH(B2168,'Data Export'!$B$6:$B$78,0),1)))</f>
        <v>0</v>
      </c>
      <c r="E2168">
        <v>5</v>
      </c>
      <c r="F2168" t="s">
        <v>199</v>
      </c>
    </row>
    <row r="2169" spans="1:6">
      <c r="A2169" t="str">
        <f t="shared" si="33"/>
        <v>GenericE&amp;DtemplateCIandGOA</v>
      </c>
      <c r="B2169">
        <v>14</v>
      </c>
      <c r="C2169">
        <v>10</v>
      </c>
      <c r="D2169" s="649">
        <f ca="1">IF(E2169=4,INDEX(crude_exp_dist,MATCH(B2169,'Crude Exp Dist'!$B$6:$B$78,0),MATCH(C2169,'Crude Exp Dist'!$AD$2:$BC$2,0))*INDEX(crude_exp_by_year,MATCH(B2169,'Data Export'!$B$6:$B$78,0),1),IF(E2169=5,INDEX(ref_exp_dist,MATCH(B2169,'Refined Petro Exp Dist'!$B$6:$B$78,0),MATCH(C2169,'Refined Petro Exp Dist'!$AD$2:$BC$2,0))*INDEX(ref_exp_by_year,MATCH(B2169,'Data Export'!$B$6:$B$78,0),1)))</f>
        <v>0</v>
      </c>
      <c r="E2169">
        <v>5</v>
      </c>
      <c r="F2169" t="s">
        <v>201</v>
      </c>
    </row>
    <row r="2170" spans="1:6">
      <c r="A2170" t="str">
        <f t="shared" si="33"/>
        <v>GenericE&amp;DtemplateCIandGOA</v>
      </c>
      <c r="B2170">
        <v>14</v>
      </c>
      <c r="C2170">
        <v>11</v>
      </c>
      <c r="D2170" s="649">
        <f ca="1">IF(E2170=4,INDEX(crude_exp_dist,MATCH(B2170,'Crude Exp Dist'!$B$6:$B$78,0),MATCH(C2170,'Crude Exp Dist'!$AD$2:$BC$2,0))*INDEX(crude_exp_by_year,MATCH(B2170,'Data Export'!$B$6:$B$78,0),1),IF(E2170=5,INDEX(ref_exp_dist,MATCH(B2170,'Refined Petro Exp Dist'!$B$6:$B$78,0),MATCH(C2170,'Refined Petro Exp Dist'!$AD$2:$BC$2,0))*INDEX(ref_exp_by_year,MATCH(B2170,'Data Export'!$B$6:$B$78,0),1)))</f>
        <v>0</v>
      </c>
      <c r="E2170">
        <v>5</v>
      </c>
      <c r="F2170" t="s">
        <v>921</v>
      </c>
    </row>
    <row r="2171" spans="1:6">
      <c r="A2171" t="str">
        <f t="shared" si="33"/>
        <v>GenericE&amp;DtemplateCIandGOA</v>
      </c>
      <c r="B2171">
        <v>14</v>
      </c>
      <c r="C2171">
        <v>12</v>
      </c>
      <c r="D2171" s="649">
        <f ca="1">IF(E2171=4,INDEX(crude_exp_dist,MATCH(B2171,'Crude Exp Dist'!$B$6:$B$78,0),MATCH(C2171,'Crude Exp Dist'!$AD$2:$BC$2,0))*INDEX(crude_exp_by_year,MATCH(B2171,'Data Export'!$B$6:$B$78,0),1),IF(E2171=5,INDEX(ref_exp_dist,MATCH(B2171,'Refined Petro Exp Dist'!$B$6:$B$78,0),MATCH(C2171,'Refined Petro Exp Dist'!$AD$2:$BC$2,0))*INDEX(ref_exp_by_year,MATCH(B2171,'Data Export'!$B$6:$B$78,0),1)))</f>
        <v>2.2147433384764072E-2</v>
      </c>
      <c r="E2171">
        <v>5</v>
      </c>
      <c r="F2171" t="s">
        <v>208</v>
      </c>
    </row>
    <row r="2172" spans="1:6">
      <c r="A2172" t="str">
        <f t="shared" si="33"/>
        <v>GenericE&amp;DtemplateCIandGOA</v>
      </c>
      <c r="B2172">
        <v>14</v>
      </c>
      <c r="C2172">
        <v>13</v>
      </c>
      <c r="D2172" s="649">
        <f ca="1">IF(E2172=4,INDEX(crude_exp_dist,MATCH(B2172,'Crude Exp Dist'!$B$6:$B$78,0),MATCH(C2172,'Crude Exp Dist'!$AD$2:$BC$2,0))*INDEX(crude_exp_by_year,MATCH(B2172,'Data Export'!$B$6:$B$78,0),1),IF(E2172=5,INDEX(ref_exp_dist,MATCH(B2172,'Refined Petro Exp Dist'!$B$6:$B$78,0),MATCH(C2172,'Refined Petro Exp Dist'!$AD$2:$BC$2,0))*INDEX(ref_exp_by_year,MATCH(B2172,'Data Export'!$B$6:$B$78,0),1)))</f>
        <v>2.2147433384764072E-2</v>
      </c>
      <c r="E2172">
        <v>5</v>
      </c>
      <c r="F2172" t="s">
        <v>211</v>
      </c>
    </row>
    <row r="2173" spans="1:6">
      <c r="A2173" t="str">
        <f t="shared" si="33"/>
        <v>GenericE&amp;DtemplateCIandGOA</v>
      </c>
      <c r="B2173">
        <v>14</v>
      </c>
      <c r="C2173">
        <v>14</v>
      </c>
      <c r="D2173" s="649">
        <f ca="1">IF(E2173=4,INDEX(crude_exp_dist,MATCH(B2173,'Crude Exp Dist'!$B$6:$B$78,0),MATCH(C2173,'Crude Exp Dist'!$AD$2:$BC$2,0))*INDEX(crude_exp_by_year,MATCH(B2173,'Data Export'!$B$6:$B$78,0),1),IF(E2173=5,INDEX(ref_exp_dist,MATCH(B2173,'Refined Petro Exp Dist'!$B$6:$B$78,0),MATCH(C2173,'Refined Petro Exp Dist'!$AD$2:$BC$2,0))*INDEX(ref_exp_by_year,MATCH(B2173,'Data Export'!$B$6:$B$78,0),1)))</f>
        <v>0</v>
      </c>
      <c r="E2173">
        <v>5</v>
      </c>
      <c r="F2173" t="s">
        <v>213</v>
      </c>
    </row>
    <row r="2174" spans="1:6">
      <c r="A2174" t="str">
        <f t="shared" si="33"/>
        <v>GenericE&amp;DtemplateCIandGOA</v>
      </c>
      <c r="B2174">
        <v>14</v>
      </c>
      <c r="C2174">
        <v>15</v>
      </c>
      <c r="D2174" s="649">
        <f ca="1">IF(E2174=4,INDEX(crude_exp_dist,MATCH(B2174,'Crude Exp Dist'!$B$6:$B$78,0),MATCH(C2174,'Crude Exp Dist'!$AD$2:$BC$2,0))*INDEX(crude_exp_by_year,MATCH(B2174,'Data Export'!$B$6:$B$78,0),1),IF(E2174=5,INDEX(ref_exp_dist,MATCH(B2174,'Refined Petro Exp Dist'!$B$6:$B$78,0),MATCH(C2174,'Refined Petro Exp Dist'!$AD$2:$BC$2,0))*INDEX(ref_exp_by_year,MATCH(B2174,'Data Export'!$B$6:$B$78,0),1)))</f>
        <v>0</v>
      </c>
      <c r="E2174">
        <v>5</v>
      </c>
      <c r="F2174" t="s">
        <v>215</v>
      </c>
    </row>
    <row r="2175" spans="1:6">
      <c r="A2175" t="str">
        <f t="shared" si="33"/>
        <v>GenericE&amp;DtemplateCIandGOA</v>
      </c>
      <c r="B2175">
        <v>14</v>
      </c>
      <c r="C2175">
        <v>16</v>
      </c>
      <c r="D2175" s="649">
        <f ca="1">IF(E2175=4,INDEX(crude_exp_dist,MATCH(B2175,'Crude Exp Dist'!$B$6:$B$78,0),MATCH(C2175,'Crude Exp Dist'!$AD$2:$BC$2,0))*INDEX(crude_exp_by_year,MATCH(B2175,'Data Export'!$B$6:$B$78,0),1),IF(E2175=5,INDEX(ref_exp_dist,MATCH(B2175,'Refined Petro Exp Dist'!$B$6:$B$78,0),MATCH(C2175,'Refined Petro Exp Dist'!$AD$2:$BC$2,0))*INDEX(ref_exp_by_year,MATCH(B2175,'Data Export'!$B$6:$B$78,0),1)))</f>
        <v>0</v>
      </c>
      <c r="E2175">
        <v>5</v>
      </c>
      <c r="F2175" t="s">
        <v>219</v>
      </c>
    </row>
    <row r="2176" spans="1:6">
      <c r="A2176" t="str">
        <f t="shared" si="33"/>
        <v>GenericE&amp;DtemplateCIandGOA</v>
      </c>
      <c r="B2176">
        <v>14</v>
      </c>
      <c r="C2176">
        <v>17</v>
      </c>
      <c r="D2176" s="649">
        <f ca="1">IF(E2176=4,INDEX(crude_exp_dist,MATCH(B2176,'Crude Exp Dist'!$B$6:$B$78,0),MATCH(C2176,'Crude Exp Dist'!$AD$2:$BC$2,0))*INDEX(crude_exp_by_year,MATCH(B2176,'Data Export'!$B$6:$B$78,0),1),IF(E2176=5,INDEX(ref_exp_dist,MATCH(B2176,'Refined Petro Exp Dist'!$B$6:$B$78,0),MATCH(C2176,'Refined Petro Exp Dist'!$AD$2:$BC$2,0))*INDEX(ref_exp_by_year,MATCH(B2176,'Data Export'!$B$6:$B$78,0),1)))</f>
        <v>0</v>
      </c>
      <c r="E2176">
        <v>5</v>
      </c>
      <c r="F2176" t="s">
        <v>222</v>
      </c>
    </row>
    <row r="2177" spans="1:6">
      <c r="A2177" t="str">
        <f t="shared" si="33"/>
        <v>GenericE&amp;DtemplateCIandGOA</v>
      </c>
      <c r="B2177">
        <v>14</v>
      </c>
      <c r="C2177">
        <v>18</v>
      </c>
      <c r="D2177" s="649">
        <f ca="1">IF(E2177=4,INDEX(crude_exp_dist,MATCH(B2177,'Crude Exp Dist'!$B$6:$B$78,0),MATCH(C2177,'Crude Exp Dist'!$AD$2:$BC$2,0))*INDEX(crude_exp_by_year,MATCH(B2177,'Data Export'!$B$6:$B$78,0),1),IF(E2177=5,INDEX(ref_exp_dist,MATCH(B2177,'Refined Petro Exp Dist'!$B$6:$B$78,0),MATCH(C2177,'Refined Petro Exp Dist'!$AD$2:$BC$2,0))*INDEX(ref_exp_by_year,MATCH(B2177,'Data Export'!$B$6:$B$78,0),1)))</f>
        <v>0</v>
      </c>
      <c r="E2177">
        <v>5</v>
      </c>
      <c r="F2177" t="s">
        <v>224</v>
      </c>
    </row>
    <row r="2178" spans="1:6">
      <c r="A2178" t="str">
        <f t="shared" ref="A2178:A2241" si="34">scenario_name</f>
        <v>GenericE&amp;DtemplateCIandGOA</v>
      </c>
      <c r="B2178">
        <v>14</v>
      </c>
      <c r="C2178">
        <v>19</v>
      </c>
      <c r="D2178" s="649">
        <f ca="1">IF(E2178=4,INDEX(crude_exp_dist,MATCH(B2178,'Crude Exp Dist'!$B$6:$B$78,0),MATCH(C2178,'Crude Exp Dist'!$AD$2:$BC$2,0))*INDEX(crude_exp_by_year,MATCH(B2178,'Data Export'!$B$6:$B$78,0),1),IF(E2178=5,INDEX(ref_exp_dist,MATCH(B2178,'Refined Petro Exp Dist'!$B$6:$B$78,0),MATCH(C2178,'Refined Petro Exp Dist'!$AD$2:$BC$2,0))*INDEX(ref_exp_by_year,MATCH(B2178,'Data Export'!$B$6:$B$78,0),1)))</f>
        <v>0</v>
      </c>
      <c r="E2178">
        <v>5</v>
      </c>
      <c r="F2178" t="s">
        <v>228</v>
      </c>
    </row>
    <row r="2179" spans="1:6">
      <c r="A2179" t="str">
        <f t="shared" si="34"/>
        <v>GenericE&amp;DtemplateCIandGOA</v>
      </c>
      <c r="B2179">
        <v>14</v>
      </c>
      <c r="C2179">
        <v>20</v>
      </c>
      <c r="D2179" s="649">
        <f ca="1">IF(E2179=4,INDEX(crude_exp_dist,MATCH(B2179,'Crude Exp Dist'!$B$6:$B$78,0),MATCH(C2179,'Crude Exp Dist'!$AD$2:$BC$2,0))*INDEX(crude_exp_by_year,MATCH(B2179,'Data Export'!$B$6:$B$78,0),1),IF(E2179=5,INDEX(ref_exp_dist,MATCH(B2179,'Refined Petro Exp Dist'!$B$6:$B$78,0),MATCH(C2179,'Refined Petro Exp Dist'!$AD$2:$BC$2,0))*INDEX(ref_exp_by_year,MATCH(B2179,'Data Export'!$B$6:$B$78,0),1)))</f>
        <v>0</v>
      </c>
      <c r="E2179">
        <v>5</v>
      </c>
      <c r="F2179" t="s">
        <v>231</v>
      </c>
    </row>
    <row r="2180" spans="1:6">
      <c r="A2180" t="str">
        <f t="shared" si="34"/>
        <v>GenericE&amp;DtemplateCIandGOA</v>
      </c>
      <c r="B2180">
        <v>14</v>
      </c>
      <c r="C2180">
        <v>21</v>
      </c>
      <c r="D2180" s="649">
        <f ca="1">IF(E2180=4,INDEX(crude_exp_dist,MATCH(B2180,'Crude Exp Dist'!$B$6:$B$78,0),MATCH(C2180,'Crude Exp Dist'!$AD$2:$BC$2,0))*INDEX(crude_exp_by_year,MATCH(B2180,'Data Export'!$B$6:$B$78,0),1),IF(E2180=5,INDEX(ref_exp_dist,MATCH(B2180,'Refined Petro Exp Dist'!$B$6:$B$78,0),MATCH(C2180,'Refined Petro Exp Dist'!$AD$2:$BC$2,0))*INDEX(ref_exp_by_year,MATCH(B2180,'Data Export'!$B$6:$B$78,0),1)))</f>
        <v>0</v>
      </c>
      <c r="E2180">
        <v>5</v>
      </c>
      <c r="F2180" t="s">
        <v>232</v>
      </c>
    </row>
    <row r="2181" spans="1:6">
      <c r="A2181" t="str">
        <f t="shared" si="34"/>
        <v>GenericE&amp;DtemplateCIandGOA</v>
      </c>
      <c r="B2181">
        <v>14</v>
      </c>
      <c r="C2181">
        <v>22</v>
      </c>
      <c r="D2181" s="649">
        <f ca="1">IF(E2181=4,INDEX(crude_exp_dist,MATCH(B2181,'Crude Exp Dist'!$B$6:$B$78,0),MATCH(C2181,'Crude Exp Dist'!$AD$2:$BC$2,0))*INDEX(crude_exp_by_year,MATCH(B2181,'Data Export'!$B$6:$B$78,0),1),IF(E2181=5,INDEX(ref_exp_dist,MATCH(B2181,'Refined Petro Exp Dist'!$B$6:$B$78,0),MATCH(C2181,'Refined Petro Exp Dist'!$AD$2:$BC$2,0))*INDEX(ref_exp_by_year,MATCH(B2181,'Data Export'!$B$6:$B$78,0),1)))</f>
        <v>0</v>
      </c>
      <c r="E2181">
        <v>5</v>
      </c>
      <c r="F2181" t="s">
        <v>235</v>
      </c>
    </row>
    <row r="2182" spans="1:6">
      <c r="A2182" t="str">
        <f t="shared" si="34"/>
        <v>GenericE&amp;DtemplateCIandGOA</v>
      </c>
      <c r="B2182">
        <v>14</v>
      </c>
      <c r="C2182">
        <v>23</v>
      </c>
      <c r="D2182" s="649">
        <f ca="1">IF(E2182=4,INDEX(crude_exp_dist,MATCH(B2182,'Crude Exp Dist'!$B$6:$B$78,0),MATCH(C2182,'Crude Exp Dist'!$AD$2:$BC$2,0))*INDEX(crude_exp_by_year,MATCH(B2182,'Data Export'!$B$6:$B$78,0),1),IF(E2182=5,INDEX(ref_exp_dist,MATCH(B2182,'Refined Petro Exp Dist'!$B$6:$B$78,0),MATCH(C2182,'Refined Petro Exp Dist'!$AD$2:$BC$2,0))*INDEX(ref_exp_by_year,MATCH(B2182,'Data Export'!$B$6:$B$78,0),1)))</f>
        <v>0</v>
      </c>
      <c r="E2182">
        <v>5</v>
      </c>
      <c r="F2182" t="s">
        <v>237</v>
      </c>
    </row>
    <row r="2183" spans="1:6">
      <c r="A2183" t="str">
        <f t="shared" si="34"/>
        <v>GenericE&amp;DtemplateCIandGOA</v>
      </c>
      <c r="B2183">
        <v>14</v>
      </c>
      <c r="C2183">
        <v>24</v>
      </c>
      <c r="D2183" s="649">
        <f ca="1">IF(E2183=4,INDEX(crude_exp_dist,MATCH(B2183,'Crude Exp Dist'!$B$6:$B$78,0),MATCH(C2183,'Crude Exp Dist'!$AD$2:$BC$2,0))*INDEX(crude_exp_by_year,MATCH(B2183,'Data Export'!$B$6:$B$78,0),1),IF(E2183=5,INDEX(ref_exp_dist,MATCH(B2183,'Refined Petro Exp Dist'!$B$6:$B$78,0),MATCH(C2183,'Refined Petro Exp Dist'!$AD$2:$BC$2,0))*INDEX(ref_exp_by_year,MATCH(B2183,'Data Export'!$B$6:$B$78,0),1)))</f>
        <v>0</v>
      </c>
      <c r="E2183">
        <v>5</v>
      </c>
      <c r="F2183" t="s">
        <v>239</v>
      </c>
    </row>
    <row r="2184" spans="1:6">
      <c r="A2184" t="str">
        <f t="shared" si="34"/>
        <v>GenericE&amp;DtemplateCIandGOA</v>
      </c>
      <c r="B2184">
        <v>14</v>
      </c>
      <c r="C2184">
        <v>25</v>
      </c>
      <c r="D2184" s="649">
        <f ca="1">IF(E2184=4,INDEX(crude_exp_dist,MATCH(B2184,'Crude Exp Dist'!$B$6:$B$78,0),MATCH(C2184,'Crude Exp Dist'!$AD$2:$BC$2,0))*INDEX(crude_exp_by_year,MATCH(B2184,'Data Export'!$B$6:$B$78,0),1),IF(E2184=5,INDEX(ref_exp_dist,MATCH(B2184,'Refined Petro Exp Dist'!$B$6:$B$78,0),MATCH(C2184,'Refined Petro Exp Dist'!$AD$2:$BC$2,0))*INDEX(ref_exp_by_year,MATCH(B2184,'Data Export'!$B$6:$B$78,0),1)))</f>
        <v>0</v>
      </c>
      <c r="E2184">
        <v>5</v>
      </c>
      <c r="F2184" t="s">
        <v>242</v>
      </c>
    </row>
    <row r="2185" spans="1:6">
      <c r="A2185" t="str">
        <f t="shared" si="34"/>
        <v>GenericE&amp;DtemplateCIandGOA</v>
      </c>
      <c r="B2185">
        <v>14</v>
      </c>
      <c r="C2185">
        <v>26</v>
      </c>
      <c r="D2185" s="649">
        <f ca="1">IF(E2185=4,INDEX(crude_exp_dist,MATCH(B2185,'Crude Exp Dist'!$B$6:$B$78,0),MATCH(C2185,'Crude Exp Dist'!$AD$2:$BC$2,0))*INDEX(crude_exp_by_year,MATCH(B2185,'Data Export'!$B$6:$B$78,0),1),IF(E2185=5,INDEX(ref_exp_dist,MATCH(B2185,'Refined Petro Exp Dist'!$B$6:$B$78,0),MATCH(C2185,'Refined Petro Exp Dist'!$AD$2:$BC$2,0))*INDEX(ref_exp_by_year,MATCH(B2185,'Data Export'!$B$6:$B$78,0),1)))</f>
        <v>0</v>
      </c>
      <c r="E2185">
        <v>5</v>
      </c>
      <c r="F2185" t="s">
        <v>245</v>
      </c>
    </row>
    <row r="2186" spans="1:6">
      <c r="A2186" t="str">
        <f t="shared" si="34"/>
        <v>GenericE&amp;DtemplateCIandGOA</v>
      </c>
      <c r="B2186">
        <v>15</v>
      </c>
      <c r="C2186">
        <v>1</v>
      </c>
      <c r="D2186" s="649">
        <f ca="1">IF(E2186=4,INDEX(crude_exp_dist,MATCH(B2186,'Crude Exp Dist'!$B$6:$B$78,0),MATCH(C2186,'Crude Exp Dist'!$AD$2:$BC$2,0))*INDEX(crude_exp_by_year,MATCH(B2186,'Data Export'!$B$6:$B$78,0),1),IF(E2186=5,INDEX(ref_exp_dist,MATCH(B2186,'Refined Petro Exp Dist'!$B$6:$B$78,0),MATCH(C2186,'Refined Petro Exp Dist'!$AD$2:$BC$2,0))*INDEX(ref_exp_by_year,MATCH(B2186,'Data Export'!$B$6:$B$78,0),1)))</f>
        <v>0</v>
      </c>
      <c r="E2186">
        <v>5</v>
      </c>
      <c r="F2186" t="s">
        <v>158</v>
      </c>
    </row>
    <row r="2187" spans="1:6">
      <c r="A2187" t="str">
        <f t="shared" si="34"/>
        <v>GenericE&amp;DtemplateCIandGOA</v>
      </c>
      <c r="B2187">
        <v>15</v>
      </c>
      <c r="C2187">
        <v>2</v>
      </c>
      <c r="D2187" s="649">
        <f ca="1">IF(E2187=4,INDEX(crude_exp_dist,MATCH(B2187,'Crude Exp Dist'!$B$6:$B$78,0),MATCH(C2187,'Crude Exp Dist'!$AD$2:$BC$2,0))*INDEX(crude_exp_by_year,MATCH(B2187,'Data Export'!$B$6:$B$78,0),1),IF(E2187=5,INDEX(ref_exp_dist,MATCH(B2187,'Refined Petro Exp Dist'!$B$6:$B$78,0),MATCH(C2187,'Refined Petro Exp Dist'!$AD$2:$BC$2,0))*INDEX(ref_exp_by_year,MATCH(B2187,'Data Export'!$B$6:$B$78,0),1)))</f>
        <v>0</v>
      </c>
      <c r="E2187">
        <v>5</v>
      </c>
      <c r="F2187" t="s">
        <v>166</v>
      </c>
    </row>
    <row r="2188" spans="1:6">
      <c r="A2188" t="str">
        <f t="shared" si="34"/>
        <v>GenericE&amp;DtemplateCIandGOA</v>
      </c>
      <c r="B2188">
        <v>15</v>
      </c>
      <c r="C2188">
        <v>3</v>
      </c>
      <c r="D2188" s="649">
        <f ca="1">IF(E2188=4,INDEX(crude_exp_dist,MATCH(B2188,'Crude Exp Dist'!$B$6:$B$78,0),MATCH(C2188,'Crude Exp Dist'!$AD$2:$BC$2,0))*INDEX(crude_exp_by_year,MATCH(B2188,'Data Export'!$B$6:$B$78,0),1),IF(E2188=5,INDEX(ref_exp_dist,MATCH(B2188,'Refined Petro Exp Dist'!$B$6:$B$78,0),MATCH(C2188,'Refined Petro Exp Dist'!$AD$2:$BC$2,0))*INDEX(ref_exp_by_year,MATCH(B2188,'Data Export'!$B$6:$B$78,0),1)))</f>
        <v>0</v>
      </c>
      <c r="E2188">
        <v>5</v>
      </c>
      <c r="F2188" t="s">
        <v>171</v>
      </c>
    </row>
    <row r="2189" spans="1:6">
      <c r="A2189" t="str">
        <f t="shared" si="34"/>
        <v>GenericE&amp;DtemplateCIandGOA</v>
      </c>
      <c r="B2189">
        <v>15</v>
      </c>
      <c r="C2189">
        <v>4</v>
      </c>
      <c r="D2189" s="649">
        <f ca="1">IF(E2189=4,INDEX(crude_exp_dist,MATCH(B2189,'Crude Exp Dist'!$B$6:$B$78,0),MATCH(C2189,'Crude Exp Dist'!$AD$2:$BC$2,0))*INDEX(crude_exp_by_year,MATCH(B2189,'Data Export'!$B$6:$B$78,0),1),IF(E2189=5,INDEX(ref_exp_dist,MATCH(B2189,'Refined Petro Exp Dist'!$B$6:$B$78,0),MATCH(C2189,'Refined Petro Exp Dist'!$AD$2:$BC$2,0))*INDEX(ref_exp_by_year,MATCH(B2189,'Data Export'!$B$6:$B$78,0),1)))</f>
        <v>0</v>
      </c>
      <c r="E2189">
        <v>5</v>
      </c>
      <c r="F2189" t="s">
        <v>173</v>
      </c>
    </row>
    <row r="2190" spans="1:6">
      <c r="A2190" t="str">
        <f t="shared" si="34"/>
        <v>GenericE&amp;DtemplateCIandGOA</v>
      </c>
      <c r="B2190">
        <v>15</v>
      </c>
      <c r="C2190">
        <v>5</v>
      </c>
      <c r="D2190" s="649">
        <f ca="1">IF(E2190=4,INDEX(crude_exp_dist,MATCH(B2190,'Crude Exp Dist'!$B$6:$B$78,0),MATCH(C2190,'Crude Exp Dist'!$AD$2:$BC$2,0))*INDEX(crude_exp_by_year,MATCH(B2190,'Data Export'!$B$6:$B$78,0),1),IF(E2190=5,INDEX(ref_exp_dist,MATCH(B2190,'Refined Petro Exp Dist'!$B$6:$B$78,0),MATCH(C2190,'Refined Petro Exp Dist'!$AD$2:$BC$2,0))*INDEX(ref_exp_by_year,MATCH(B2190,'Data Export'!$B$6:$B$78,0),1)))</f>
        <v>0</v>
      </c>
      <c r="E2190">
        <v>5</v>
      </c>
      <c r="F2190" t="s">
        <v>180</v>
      </c>
    </row>
    <row r="2191" spans="1:6">
      <c r="A2191" t="str">
        <f t="shared" si="34"/>
        <v>GenericE&amp;DtemplateCIandGOA</v>
      </c>
      <c r="B2191">
        <v>15</v>
      </c>
      <c r="C2191">
        <v>6</v>
      </c>
      <c r="D2191" s="649">
        <f ca="1">IF(E2191=4,INDEX(crude_exp_dist,MATCH(B2191,'Crude Exp Dist'!$B$6:$B$78,0),MATCH(C2191,'Crude Exp Dist'!$AD$2:$BC$2,0))*INDEX(crude_exp_by_year,MATCH(B2191,'Data Export'!$B$6:$B$78,0),1),IF(E2191=5,INDEX(ref_exp_dist,MATCH(B2191,'Refined Petro Exp Dist'!$B$6:$B$78,0),MATCH(C2191,'Refined Petro Exp Dist'!$AD$2:$BC$2,0))*INDEX(ref_exp_by_year,MATCH(B2191,'Data Export'!$B$6:$B$78,0),1)))</f>
        <v>0.10053372327516243</v>
      </c>
      <c r="E2191">
        <v>5</v>
      </c>
      <c r="F2191" t="s">
        <v>186</v>
      </c>
    </row>
    <row r="2192" spans="1:6">
      <c r="A2192" t="str">
        <f t="shared" si="34"/>
        <v>GenericE&amp;DtemplateCIandGOA</v>
      </c>
      <c r="B2192">
        <v>15</v>
      </c>
      <c r="C2192">
        <v>7</v>
      </c>
      <c r="D2192" s="649">
        <f ca="1">IF(E2192=4,INDEX(crude_exp_dist,MATCH(B2192,'Crude Exp Dist'!$B$6:$B$78,0),MATCH(C2192,'Crude Exp Dist'!$AD$2:$BC$2,0))*INDEX(crude_exp_by_year,MATCH(B2192,'Data Export'!$B$6:$B$78,0),1),IF(E2192=5,INDEX(ref_exp_dist,MATCH(B2192,'Refined Petro Exp Dist'!$B$6:$B$78,0),MATCH(C2192,'Refined Petro Exp Dist'!$AD$2:$BC$2,0))*INDEX(ref_exp_by_year,MATCH(B2192,'Data Export'!$B$6:$B$78,0),1)))</f>
        <v>0</v>
      </c>
      <c r="E2192">
        <v>5</v>
      </c>
      <c r="F2192" t="s">
        <v>191</v>
      </c>
    </row>
    <row r="2193" spans="1:6">
      <c r="A2193" t="str">
        <f t="shared" si="34"/>
        <v>GenericE&amp;DtemplateCIandGOA</v>
      </c>
      <c r="B2193">
        <v>15</v>
      </c>
      <c r="C2193">
        <v>8</v>
      </c>
      <c r="D2193" s="649">
        <f ca="1">IF(E2193=4,INDEX(crude_exp_dist,MATCH(B2193,'Crude Exp Dist'!$B$6:$B$78,0),MATCH(C2193,'Crude Exp Dist'!$AD$2:$BC$2,0))*INDEX(crude_exp_by_year,MATCH(B2193,'Data Export'!$B$6:$B$78,0),1),IF(E2193=5,INDEX(ref_exp_dist,MATCH(B2193,'Refined Petro Exp Dist'!$B$6:$B$78,0),MATCH(C2193,'Refined Petro Exp Dist'!$AD$2:$BC$2,0))*INDEX(ref_exp_by_year,MATCH(B2193,'Data Export'!$B$6:$B$78,0),1)))</f>
        <v>0</v>
      </c>
      <c r="E2193">
        <v>5</v>
      </c>
      <c r="F2193" t="s">
        <v>197</v>
      </c>
    </row>
    <row r="2194" spans="1:6">
      <c r="A2194" t="str">
        <f t="shared" si="34"/>
        <v>GenericE&amp;DtemplateCIandGOA</v>
      </c>
      <c r="B2194">
        <v>15</v>
      </c>
      <c r="C2194">
        <v>9</v>
      </c>
      <c r="D2194" s="649">
        <f ca="1">IF(E2194=4,INDEX(crude_exp_dist,MATCH(B2194,'Crude Exp Dist'!$B$6:$B$78,0),MATCH(C2194,'Crude Exp Dist'!$AD$2:$BC$2,0))*INDEX(crude_exp_by_year,MATCH(B2194,'Data Export'!$B$6:$B$78,0),1),IF(E2194=5,INDEX(ref_exp_dist,MATCH(B2194,'Refined Petro Exp Dist'!$B$6:$B$78,0),MATCH(C2194,'Refined Petro Exp Dist'!$AD$2:$BC$2,0))*INDEX(ref_exp_by_year,MATCH(B2194,'Data Export'!$B$6:$B$78,0),1)))</f>
        <v>0</v>
      </c>
      <c r="E2194">
        <v>5</v>
      </c>
      <c r="F2194" t="s">
        <v>199</v>
      </c>
    </row>
    <row r="2195" spans="1:6">
      <c r="A2195" t="str">
        <f t="shared" si="34"/>
        <v>GenericE&amp;DtemplateCIandGOA</v>
      </c>
      <c r="B2195">
        <v>15</v>
      </c>
      <c r="C2195">
        <v>10</v>
      </c>
      <c r="D2195" s="649">
        <f ca="1">IF(E2195=4,INDEX(crude_exp_dist,MATCH(B2195,'Crude Exp Dist'!$B$6:$B$78,0),MATCH(C2195,'Crude Exp Dist'!$AD$2:$BC$2,0))*INDEX(crude_exp_by_year,MATCH(B2195,'Data Export'!$B$6:$B$78,0),1),IF(E2195=5,INDEX(ref_exp_dist,MATCH(B2195,'Refined Petro Exp Dist'!$B$6:$B$78,0),MATCH(C2195,'Refined Petro Exp Dist'!$AD$2:$BC$2,0))*INDEX(ref_exp_by_year,MATCH(B2195,'Data Export'!$B$6:$B$78,0),1)))</f>
        <v>0</v>
      </c>
      <c r="E2195">
        <v>5</v>
      </c>
      <c r="F2195" t="s">
        <v>201</v>
      </c>
    </row>
    <row r="2196" spans="1:6">
      <c r="A2196" t="str">
        <f t="shared" si="34"/>
        <v>GenericE&amp;DtemplateCIandGOA</v>
      </c>
      <c r="B2196">
        <v>15</v>
      </c>
      <c r="C2196">
        <v>11</v>
      </c>
      <c r="D2196" s="649">
        <f ca="1">IF(E2196=4,INDEX(crude_exp_dist,MATCH(B2196,'Crude Exp Dist'!$B$6:$B$78,0),MATCH(C2196,'Crude Exp Dist'!$AD$2:$BC$2,0))*INDEX(crude_exp_by_year,MATCH(B2196,'Data Export'!$B$6:$B$78,0),1),IF(E2196=5,INDEX(ref_exp_dist,MATCH(B2196,'Refined Petro Exp Dist'!$B$6:$B$78,0),MATCH(C2196,'Refined Petro Exp Dist'!$AD$2:$BC$2,0))*INDEX(ref_exp_by_year,MATCH(B2196,'Data Export'!$B$6:$B$78,0),1)))</f>
        <v>0</v>
      </c>
      <c r="E2196">
        <v>5</v>
      </c>
      <c r="F2196" t="s">
        <v>921</v>
      </c>
    </row>
    <row r="2197" spans="1:6">
      <c r="A2197" t="str">
        <f t="shared" si="34"/>
        <v>GenericE&amp;DtemplateCIandGOA</v>
      </c>
      <c r="B2197">
        <v>15</v>
      </c>
      <c r="C2197">
        <v>12</v>
      </c>
      <c r="D2197" s="649">
        <f ca="1">IF(E2197=4,INDEX(crude_exp_dist,MATCH(B2197,'Crude Exp Dist'!$B$6:$B$78,0),MATCH(C2197,'Crude Exp Dist'!$AD$2:$BC$2,0))*INDEX(crude_exp_by_year,MATCH(B2197,'Data Export'!$B$6:$B$78,0),1),IF(E2197=5,INDEX(ref_exp_dist,MATCH(B2197,'Refined Petro Exp Dist'!$B$6:$B$78,0),MATCH(C2197,'Refined Petro Exp Dist'!$AD$2:$BC$2,0))*INDEX(ref_exp_by_year,MATCH(B2197,'Data Export'!$B$6:$B$78,0),1)))</f>
        <v>2.226583006067373E-2</v>
      </c>
      <c r="E2197">
        <v>5</v>
      </c>
      <c r="F2197" t="s">
        <v>208</v>
      </c>
    </row>
    <row r="2198" spans="1:6">
      <c r="A2198" t="str">
        <f t="shared" si="34"/>
        <v>GenericE&amp;DtemplateCIandGOA</v>
      </c>
      <c r="B2198">
        <v>15</v>
      </c>
      <c r="C2198">
        <v>13</v>
      </c>
      <c r="D2198" s="649">
        <f ca="1">IF(E2198=4,INDEX(crude_exp_dist,MATCH(B2198,'Crude Exp Dist'!$B$6:$B$78,0),MATCH(C2198,'Crude Exp Dist'!$AD$2:$BC$2,0))*INDEX(crude_exp_by_year,MATCH(B2198,'Data Export'!$B$6:$B$78,0),1),IF(E2198=5,INDEX(ref_exp_dist,MATCH(B2198,'Refined Petro Exp Dist'!$B$6:$B$78,0),MATCH(C2198,'Refined Petro Exp Dist'!$AD$2:$BC$2,0))*INDEX(ref_exp_by_year,MATCH(B2198,'Data Export'!$B$6:$B$78,0),1)))</f>
        <v>2.226583006067373E-2</v>
      </c>
      <c r="E2198">
        <v>5</v>
      </c>
      <c r="F2198" t="s">
        <v>211</v>
      </c>
    </row>
    <row r="2199" spans="1:6">
      <c r="A2199" t="str">
        <f t="shared" si="34"/>
        <v>GenericE&amp;DtemplateCIandGOA</v>
      </c>
      <c r="B2199">
        <v>15</v>
      </c>
      <c r="C2199">
        <v>14</v>
      </c>
      <c r="D2199" s="649">
        <f ca="1">IF(E2199=4,INDEX(crude_exp_dist,MATCH(B2199,'Crude Exp Dist'!$B$6:$B$78,0),MATCH(C2199,'Crude Exp Dist'!$AD$2:$BC$2,0))*INDEX(crude_exp_by_year,MATCH(B2199,'Data Export'!$B$6:$B$78,0),1),IF(E2199=5,INDEX(ref_exp_dist,MATCH(B2199,'Refined Petro Exp Dist'!$B$6:$B$78,0),MATCH(C2199,'Refined Petro Exp Dist'!$AD$2:$BC$2,0))*INDEX(ref_exp_by_year,MATCH(B2199,'Data Export'!$B$6:$B$78,0),1)))</f>
        <v>0</v>
      </c>
      <c r="E2199">
        <v>5</v>
      </c>
      <c r="F2199" t="s">
        <v>213</v>
      </c>
    </row>
    <row r="2200" spans="1:6">
      <c r="A2200" t="str">
        <f t="shared" si="34"/>
        <v>GenericE&amp;DtemplateCIandGOA</v>
      </c>
      <c r="B2200">
        <v>15</v>
      </c>
      <c r="C2200">
        <v>15</v>
      </c>
      <c r="D2200" s="649">
        <f ca="1">IF(E2200=4,INDEX(crude_exp_dist,MATCH(B2200,'Crude Exp Dist'!$B$6:$B$78,0),MATCH(C2200,'Crude Exp Dist'!$AD$2:$BC$2,0))*INDEX(crude_exp_by_year,MATCH(B2200,'Data Export'!$B$6:$B$78,0),1),IF(E2200=5,INDEX(ref_exp_dist,MATCH(B2200,'Refined Petro Exp Dist'!$B$6:$B$78,0),MATCH(C2200,'Refined Petro Exp Dist'!$AD$2:$BC$2,0))*INDEX(ref_exp_by_year,MATCH(B2200,'Data Export'!$B$6:$B$78,0),1)))</f>
        <v>0</v>
      </c>
      <c r="E2200">
        <v>5</v>
      </c>
      <c r="F2200" t="s">
        <v>215</v>
      </c>
    </row>
    <row r="2201" spans="1:6">
      <c r="A2201" t="str">
        <f t="shared" si="34"/>
        <v>GenericE&amp;DtemplateCIandGOA</v>
      </c>
      <c r="B2201">
        <v>15</v>
      </c>
      <c r="C2201">
        <v>16</v>
      </c>
      <c r="D2201" s="649">
        <f ca="1">IF(E2201=4,INDEX(crude_exp_dist,MATCH(B2201,'Crude Exp Dist'!$B$6:$B$78,0),MATCH(C2201,'Crude Exp Dist'!$AD$2:$BC$2,0))*INDEX(crude_exp_by_year,MATCH(B2201,'Data Export'!$B$6:$B$78,0),1),IF(E2201=5,INDEX(ref_exp_dist,MATCH(B2201,'Refined Petro Exp Dist'!$B$6:$B$78,0),MATCH(C2201,'Refined Petro Exp Dist'!$AD$2:$BC$2,0))*INDEX(ref_exp_by_year,MATCH(B2201,'Data Export'!$B$6:$B$78,0),1)))</f>
        <v>0</v>
      </c>
      <c r="E2201">
        <v>5</v>
      </c>
      <c r="F2201" t="s">
        <v>219</v>
      </c>
    </row>
    <row r="2202" spans="1:6">
      <c r="A2202" t="str">
        <f t="shared" si="34"/>
        <v>GenericE&amp;DtemplateCIandGOA</v>
      </c>
      <c r="B2202">
        <v>15</v>
      </c>
      <c r="C2202">
        <v>17</v>
      </c>
      <c r="D2202" s="649">
        <f ca="1">IF(E2202=4,INDEX(crude_exp_dist,MATCH(B2202,'Crude Exp Dist'!$B$6:$B$78,0),MATCH(C2202,'Crude Exp Dist'!$AD$2:$BC$2,0))*INDEX(crude_exp_by_year,MATCH(B2202,'Data Export'!$B$6:$B$78,0),1),IF(E2202=5,INDEX(ref_exp_dist,MATCH(B2202,'Refined Petro Exp Dist'!$B$6:$B$78,0),MATCH(C2202,'Refined Petro Exp Dist'!$AD$2:$BC$2,0))*INDEX(ref_exp_by_year,MATCH(B2202,'Data Export'!$B$6:$B$78,0),1)))</f>
        <v>0</v>
      </c>
      <c r="E2202">
        <v>5</v>
      </c>
      <c r="F2202" t="s">
        <v>222</v>
      </c>
    </row>
    <row r="2203" spans="1:6">
      <c r="A2203" t="str">
        <f t="shared" si="34"/>
        <v>GenericE&amp;DtemplateCIandGOA</v>
      </c>
      <c r="B2203">
        <v>15</v>
      </c>
      <c r="C2203">
        <v>18</v>
      </c>
      <c r="D2203" s="649">
        <f ca="1">IF(E2203=4,INDEX(crude_exp_dist,MATCH(B2203,'Crude Exp Dist'!$B$6:$B$78,0),MATCH(C2203,'Crude Exp Dist'!$AD$2:$BC$2,0))*INDEX(crude_exp_by_year,MATCH(B2203,'Data Export'!$B$6:$B$78,0),1),IF(E2203=5,INDEX(ref_exp_dist,MATCH(B2203,'Refined Petro Exp Dist'!$B$6:$B$78,0),MATCH(C2203,'Refined Petro Exp Dist'!$AD$2:$BC$2,0))*INDEX(ref_exp_by_year,MATCH(B2203,'Data Export'!$B$6:$B$78,0),1)))</f>
        <v>0</v>
      </c>
      <c r="E2203">
        <v>5</v>
      </c>
      <c r="F2203" t="s">
        <v>224</v>
      </c>
    </row>
    <row r="2204" spans="1:6">
      <c r="A2204" t="str">
        <f t="shared" si="34"/>
        <v>GenericE&amp;DtemplateCIandGOA</v>
      </c>
      <c r="B2204">
        <v>15</v>
      </c>
      <c r="C2204">
        <v>19</v>
      </c>
      <c r="D2204" s="649">
        <f ca="1">IF(E2204=4,INDEX(crude_exp_dist,MATCH(B2204,'Crude Exp Dist'!$B$6:$B$78,0),MATCH(C2204,'Crude Exp Dist'!$AD$2:$BC$2,0))*INDEX(crude_exp_by_year,MATCH(B2204,'Data Export'!$B$6:$B$78,0),1),IF(E2204=5,INDEX(ref_exp_dist,MATCH(B2204,'Refined Petro Exp Dist'!$B$6:$B$78,0),MATCH(C2204,'Refined Petro Exp Dist'!$AD$2:$BC$2,0))*INDEX(ref_exp_by_year,MATCH(B2204,'Data Export'!$B$6:$B$78,0),1)))</f>
        <v>0</v>
      </c>
      <c r="E2204">
        <v>5</v>
      </c>
      <c r="F2204" t="s">
        <v>228</v>
      </c>
    </row>
    <row r="2205" spans="1:6">
      <c r="A2205" t="str">
        <f t="shared" si="34"/>
        <v>GenericE&amp;DtemplateCIandGOA</v>
      </c>
      <c r="B2205">
        <v>15</v>
      </c>
      <c r="C2205">
        <v>20</v>
      </c>
      <c r="D2205" s="649">
        <f ca="1">IF(E2205=4,INDEX(crude_exp_dist,MATCH(B2205,'Crude Exp Dist'!$B$6:$B$78,0),MATCH(C2205,'Crude Exp Dist'!$AD$2:$BC$2,0))*INDEX(crude_exp_by_year,MATCH(B2205,'Data Export'!$B$6:$B$78,0),1),IF(E2205=5,INDEX(ref_exp_dist,MATCH(B2205,'Refined Petro Exp Dist'!$B$6:$B$78,0),MATCH(C2205,'Refined Petro Exp Dist'!$AD$2:$BC$2,0))*INDEX(ref_exp_by_year,MATCH(B2205,'Data Export'!$B$6:$B$78,0),1)))</f>
        <v>0</v>
      </c>
      <c r="E2205">
        <v>5</v>
      </c>
      <c r="F2205" t="s">
        <v>231</v>
      </c>
    </row>
    <row r="2206" spans="1:6">
      <c r="A2206" t="str">
        <f t="shared" si="34"/>
        <v>GenericE&amp;DtemplateCIandGOA</v>
      </c>
      <c r="B2206">
        <v>15</v>
      </c>
      <c r="C2206">
        <v>21</v>
      </c>
      <c r="D2206" s="649">
        <f ca="1">IF(E2206=4,INDEX(crude_exp_dist,MATCH(B2206,'Crude Exp Dist'!$B$6:$B$78,0),MATCH(C2206,'Crude Exp Dist'!$AD$2:$BC$2,0))*INDEX(crude_exp_by_year,MATCH(B2206,'Data Export'!$B$6:$B$78,0),1),IF(E2206=5,INDEX(ref_exp_dist,MATCH(B2206,'Refined Petro Exp Dist'!$B$6:$B$78,0),MATCH(C2206,'Refined Petro Exp Dist'!$AD$2:$BC$2,0))*INDEX(ref_exp_by_year,MATCH(B2206,'Data Export'!$B$6:$B$78,0),1)))</f>
        <v>0</v>
      </c>
      <c r="E2206">
        <v>5</v>
      </c>
      <c r="F2206" t="s">
        <v>232</v>
      </c>
    </row>
    <row r="2207" spans="1:6">
      <c r="A2207" t="str">
        <f t="shared" si="34"/>
        <v>GenericE&amp;DtemplateCIandGOA</v>
      </c>
      <c r="B2207">
        <v>15</v>
      </c>
      <c r="C2207">
        <v>22</v>
      </c>
      <c r="D2207" s="649">
        <f ca="1">IF(E2207=4,INDEX(crude_exp_dist,MATCH(B2207,'Crude Exp Dist'!$B$6:$B$78,0),MATCH(C2207,'Crude Exp Dist'!$AD$2:$BC$2,0))*INDEX(crude_exp_by_year,MATCH(B2207,'Data Export'!$B$6:$B$78,0),1),IF(E2207=5,INDEX(ref_exp_dist,MATCH(B2207,'Refined Petro Exp Dist'!$B$6:$B$78,0),MATCH(C2207,'Refined Petro Exp Dist'!$AD$2:$BC$2,0))*INDEX(ref_exp_by_year,MATCH(B2207,'Data Export'!$B$6:$B$78,0),1)))</f>
        <v>0</v>
      </c>
      <c r="E2207">
        <v>5</v>
      </c>
      <c r="F2207" t="s">
        <v>235</v>
      </c>
    </row>
    <row r="2208" spans="1:6">
      <c r="A2208" t="str">
        <f t="shared" si="34"/>
        <v>GenericE&amp;DtemplateCIandGOA</v>
      </c>
      <c r="B2208">
        <v>15</v>
      </c>
      <c r="C2208">
        <v>23</v>
      </c>
      <c r="D2208" s="649">
        <f ca="1">IF(E2208=4,INDEX(crude_exp_dist,MATCH(B2208,'Crude Exp Dist'!$B$6:$B$78,0),MATCH(C2208,'Crude Exp Dist'!$AD$2:$BC$2,0))*INDEX(crude_exp_by_year,MATCH(B2208,'Data Export'!$B$6:$B$78,0),1),IF(E2208=5,INDEX(ref_exp_dist,MATCH(B2208,'Refined Petro Exp Dist'!$B$6:$B$78,0),MATCH(C2208,'Refined Petro Exp Dist'!$AD$2:$BC$2,0))*INDEX(ref_exp_by_year,MATCH(B2208,'Data Export'!$B$6:$B$78,0),1)))</f>
        <v>0</v>
      </c>
      <c r="E2208">
        <v>5</v>
      </c>
      <c r="F2208" t="s">
        <v>237</v>
      </c>
    </row>
    <row r="2209" spans="1:6">
      <c r="A2209" t="str">
        <f t="shared" si="34"/>
        <v>GenericE&amp;DtemplateCIandGOA</v>
      </c>
      <c r="B2209">
        <v>15</v>
      </c>
      <c r="C2209">
        <v>24</v>
      </c>
      <c r="D2209" s="649">
        <f ca="1">IF(E2209=4,INDEX(crude_exp_dist,MATCH(B2209,'Crude Exp Dist'!$B$6:$B$78,0),MATCH(C2209,'Crude Exp Dist'!$AD$2:$BC$2,0))*INDEX(crude_exp_by_year,MATCH(B2209,'Data Export'!$B$6:$B$78,0),1),IF(E2209=5,INDEX(ref_exp_dist,MATCH(B2209,'Refined Petro Exp Dist'!$B$6:$B$78,0),MATCH(C2209,'Refined Petro Exp Dist'!$AD$2:$BC$2,0))*INDEX(ref_exp_by_year,MATCH(B2209,'Data Export'!$B$6:$B$78,0),1)))</f>
        <v>0</v>
      </c>
      <c r="E2209">
        <v>5</v>
      </c>
      <c r="F2209" t="s">
        <v>239</v>
      </c>
    </row>
    <row r="2210" spans="1:6">
      <c r="A2210" t="str">
        <f t="shared" si="34"/>
        <v>GenericE&amp;DtemplateCIandGOA</v>
      </c>
      <c r="B2210">
        <v>15</v>
      </c>
      <c r="C2210">
        <v>25</v>
      </c>
      <c r="D2210" s="649">
        <f ca="1">IF(E2210=4,INDEX(crude_exp_dist,MATCH(B2210,'Crude Exp Dist'!$B$6:$B$78,0),MATCH(C2210,'Crude Exp Dist'!$AD$2:$BC$2,0))*INDEX(crude_exp_by_year,MATCH(B2210,'Data Export'!$B$6:$B$78,0),1),IF(E2210=5,INDEX(ref_exp_dist,MATCH(B2210,'Refined Petro Exp Dist'!$B$6:$B$78,0),MATCH(C2210,'Refined Petro Exp Dist'!$AD$2:$BC$2,0))*INDEX(ref_exp_by_year,MATCH(B2210,'Data Export'!$B$6:$B$78,0),1)))</f>
        <v>0</v>
      </c>
      <c r="E2210">
        <v>5</v>
      </c>
      <c r="F2210" t="s">
        <v>242</v>
      </c>
    </row>
    <row r="2211" spans="1:6">
      <c r="A2211" t="str">
        <f t="shared" si="34"/>
        <v>GenericE&amp;DtemplateCIandGOA</v>
      </c>
      <c r="B2211">
        <v>15</v>
      </c>
      <c r="C2211">
        <v>26</v>
      </c>
      <c r="D2211" s="649">
        <f ca="1">IF(E2211=4,INDEX(crude_exp_dist,MATCH(B2211,'Crude Exp Dist'!$B$6:$B$78,0),MATCH(C2211,'Crude Exp Dist'!$AD$2:$BC$2,0))*INDEX(crude_exp_by_year,MATCH(B2211,'Data Export'!$B$6:$B$78,0),1),IF(E2211=5,INDEX(ref_exp_dist,MATCH(B2211,'Refined Petro Exp Dist'!$B$6:$B$78,0),MATCH(C2211,'Refined Petro Exp Dist'!$AD$2:$BC$2,0))*INDEX(ref_exp_by_year,MATCH(B2211,'Data Export'!$B$6:$B$78,0),1)))</f>
        <v>0</v>
      </c>
      <c r="E2211">
        <v>5</v>
      </c>
      <c r="F2211" t="s">
        <v>245</v>
      </c>
    </row>
    <row r="2212" spans="1:6">
      <c r="A2212" t="str">
        <f t="shared" si="34"/>
        <v>GenericE&amp;DtemplateCIandGOA</v>
      </c>
      <c r="B2212">
        <v>16</v>
      </c>
      <c r="C2212">
        <v>1</v>
      </c>
      <c r="D2212" s="649">
        <f ca="1">IF(E2212=4,INDEX(crude_exp_dist,MATCH(B2212,'Crude Exp Dist'!$B$6:$B$78,0),MATCH(C2212,'Crude Exp Dist'!$AD$2:$BC$2,0))*INDEX(crude_exp_by_year,MATCH(B2212,'Data Export'!$B$6:$B$78,0),1),IF(E2212=5,INDEX(ref_exp_dist,MATCH(B2212,'Refined Petro Exp Dist'!$B$6:$B$78,0),MATCH(C2212,'Refined Petro Exp Dist'!$AD$2:$BC$2,0))*INDEX(ref_exp_by_year,MATCH(B2212,'Data Export'!$B$6:$B$78,0),1)))</f>
        <v>0</v>
      </c>
      <c r="E2212">
        <v>5</v>
      </c>
      <c r="F2212" t="s">
        <v>158</v>
      </c>
    </row>
    <row r="2213" spans="1:6">
      <c r="A2213" t="str">
        <f t="shared" si="34"/>
        <v>GenericE&amp;DtemplateCIandGOA</v>
      </c>
      <c r="B2213">
        <v>16</v>
      </c>
      <c r="C2213">
        <v>2</v>
      </c>
      <c r="D2213" s="649">
        <f ca="1">IF(E2213=4,INDEX(crude_exp_dist,MATCH(B2213,'Crude Exp Dist'!$B$6:$B$78,0),MATCH(C2213,'Crude Exp Dist'!$AD$2:$BC$2,0))*INDEX(crude_exp_by_year,MATCH(B2213,'Data Export'!$B$6:$B$78,0),1),IF(E2213=5,INDEX(ref_exp_dist,MATCH(B2213,'Refined Petro Exp Dist'!$B$6:$B$78,0),MATCH(C2213,'Refined Petro Exp Dist'!$AD$2:$BC$2,0))*INDEX(ref_exp_by_year,MATCH(B2213,'Data Export'!$B$6:$B$78,0),1)))</f>
        <v>0</v>
      </c>
      <c r="E2213">
        <v>5</v>
      </c>
      <c r="F2213" t="s">
        <v>166</v>
      </c>
    </row>
    <row r="2214" spans="1:6">
      <c r="A2214" t="str">
        <f t="shared" si="34"/>
        <v>GenericE&amp;DtemplateCIandGOA</v>
      </c>
      <c r="B2214">
        <v>16</v>
      </c>
      <c r="C2214">
        <v>3</v>
      </c>
      <c r="D2214" s="649">
        <f ca="1">IF(E2214=4,INDEX(crude_exp_dist,MATCH(B2214,'Crude Exp Dist'!$B$6:$B$78,0),MATCH(C2214,'Crude Exp Dist'!$AD$2:$BC$2,0))*INDEX(crude_exp_by_year,MATCH(B2214,'Data Export'!$B$6:$B$78,0),1),IF(E2214=5,INDEX(ref_exp_dist,MATCH(B2214,'Refined Petro Exp Dist'!$B$6:$B$78,0),MATCH(C2214,'Refined Petro Exp Dist'!$AD$2:$BC$2,0))*INDEX(ref_exp_by_year,MATCH(B2214,'Data Export'!$B$6:$B$78,0),1)))</f>
        <v>0</v>
      </c>
      <c r="E2214">
        <v>5</v>
      </c>
      <c r="F2214" t="s">
        <v>171</v>
      </c>
    </row>
    <row r="2215" spans="1:6">
      <c r="A2215" t="str">
        <f t="shared" si="34"/>
        <v>GenericE&amp;DtemplateCIandGOA</v>
      </c>
      <c r="B2215">
        <v>16</v>
      </c>
      <c r="C2215">
        <v>4</v>
      </c>
      <c r="D2215" s="649">
        <f ca="1">IF(E2215=4,INDEX(crude_exp_dist,MATCH(B2215,'Crude Exp Dist'!$B$6:$B$78,0),MATCH(C2215,'Crude Exp Dist'!$AD$2:$BC$2,0))*INDEX(crude_exp_by_year,MATCH(B2215,'Data Export'!$B$6:$B$78,0),1),IF(E2215=5,INDEX(ref_exp_dist,MATCH(B2215,'Refined Petro Exp Dist'!$B$6:$B$78,0),MATCH(C2215,'Refined Petro Exp Dist'!$AD$2:$BC$2,0))*INDEX(ref_exp_by_year,MATCH(B2215,'Data Export'!$B$6:$B$78,0),1)))</f>
        <v>0</v>
      </c>
      <c r="E2215">
        <v>5</v>
      </c>
      <c r="F2215" t="s">
        <v>173</v>
      </c>
    </row>
    <row r="2216" spans="1:6">
      <c r="A2216" t="str">
        <f t="shared" si="34"/>
        <v>GenericE&amp;DtemplateCIandGOA</v>
      </c>
      <c r="B2216">
        <v>16</v>
      </c>
      <c r="C2216">
        <v>5</v>
      </c>
      <c r="D2216" s="649">
        <f ca="1">IF(E2216=4,INDEX(crude_exp_dist,MATCH(B2216,'Crude Exp Dist'!$B$6:$B$78,0),MATCH(C2216,'Crude Exp Dist'!$AD$2:$BC$2,0))*INDEX(crude_exp_by_year,MATCH(B2216,'Data Export'!$B$6:$B$78,0),1),IF(E2216=5,INDEX(ref_exp_dist,MATCH(B2216,'Refined Petro Exp Dist'!$B$6:$B$78,0),MATCH(C2216,'Refined Petro Exp Dist'!$AD$2:$BC$2,0))*INDEX(ref_exp_by_year,MATCH(B2216,'Data Export'!$B$6:$B$78,0),1)))</f>
        <v>0</v>
      </c>
      <c r="E2216">
        <v>5</v>
      </c>
      <c r="F2216" t="s">
        <v>180</v>
      </c>
    </row>
    <row r="2217" spans="1:6">
      <c r="A2217" t="str">
        <f t="shared" si="34"/>
        <v>GenericE&amp;DtemplateCIandGOA</v>
      </c>
      <c r="B2217">
        <v>16</v>
      </c>
      <c r="C2217">
        <v>6</v>
      </c>
      <c r="D2217" s="649">
        <f ca="1">IF(E2217=4,INDEX(crude_exp_dist,MATCH(B2217,'Crude Exp Dist'!$B$6:$B$78,0),MATCH(C2217,'Crude Exp Dist'!$AD$2:$BC$2,0))*INDEX(crude_exp_by_year,MATCH(B2217,'Data Export'!$B$6:$B$78,0),1),IF(E2217=5,INDEX(ref_exp_dist,MATCH(B2217,'Refined Petro Exp Dist'!$B$6:$B$78,0),MATCH(C2217,'Refined Petro Exp Dist'!$AD$2:$BC$2,0))*INDEX(ref_exp_by_year,MATCH(B2217,'Data Export'!$B$6:$B$78,0),1)))</f>
        <v>0.10189878534847777</v>
      </c>
      <c r="E2217">
        <v>5</v>
      </c>
      <c r="F2217" t="s">
        <v>186</v>
      </c>
    </row>
    <row r="2218" spans="1:6">
      <c r="A2218" t="str">
        <f t="shared" si="34"/>
        <v>GenericE&amp;DtemplateCIandGOA</v>
      </c>
      <c r="B2218">
        <v>16</v>
      </c>
      <c r="C2218">
        <v>7</v>
      </c>
      <c r="D2218" s="649">
        <f ca="1">IF(E2218=4,INDEX(crude_exp_dist,MATCH(B2218,'Crude Exp Dist'!$B$6:$B$78,0),MATCH(C2218,'Crude Exp Dist'!$AD$2:$BC$2,0))*INDEX(crude_exp_by_year,MATCH(B2218,'Data Export'!$B$6:$B$78,0),1),IF(E2218=5,INDEX(ref_exp_dist,MATCH(B2218,'Refined Petro Exp Dist'!$B$6:$B$78,0),MATCH(C2218,'Refined Petro Exp Dist'!$AD$2:$BC$2,0))*INDEX(ref_exp_by_year,MATCH(B2218,'Data Export'!$B$6:$B$78,0),1)))</f>
        <v>0</v>
      </c>
      <c r="E2218">
        <v>5</v>
      </c>
      <c r="F2218" t="s">
        <v>191</v>
      </c>
    </row>
    <row r="2219" spans="1:6">
      <c r="A2219" t="str">
        <f t="shared" si="34"/>
        <v>GenericE&amp;DtemplateCIandGOA</v>
      </c>
      <c r="B2219">
        <v>16</v>
      </c>
      <c r="C2219">
        <v>8</v>
      </c>
      <c r="D2219" s="649">
        <f ca="1">IF(E2219=4,INDEX(crude_exp_dist,MATCH(B2219,'Crude Exp Dist'!$B$6:$B$78,0),MATCH(C2219,'Crude Exp Dist'!$AD$2:$BC$2,0))*INDEX(crude_exp_by_year,MATCH(B2219,'Data Export'!$B$6:$B$78,0),1),IF(E2219=5,INDEX(ref_exp_dist,MATCH(B2219,'Refined Petro Exp Dist'!$B$6:$B$78,0),MATCH(C2219,'Refined Petro Exp Dist'!$AD$2:$BC$2,0))*INDEX(ref_exp_by_year,MATCH(B2219,'Data Export'!$B$6:$B$78,0),1)))</f>
        <v>0</v>
      </c>
      <c r="E2219">
        <v>5</v>
      </c>
      <c r="F2219" t="s">
        <v>197</v>
      </c>
    </row>
    <row r="2220" spans="1:6">
      <c r="A2220" t="str">
        <f t="shared" si="34"/>
        <v>GenericE&amp;DtemplateCIandGOA</v>
      </c>
      <c r="B2220">
        <v>16</v>
      </c>
      <c r="C2220">
        <v>9</v>
      </c>
      <c r="D2220" s="649">
        <f ca="1">IF(E2220=4,INDEX(crude_exp_dist,MATCH(B2220,'Crude Exp Dist'!$B$6:$B$78,0),MATCH(C2220,'Crude Exp Dist'!$AD$2:$BC$2,0))*INDEX(crude_exp_by_year,MATCH(B2220,'Data Export'!$B$6:$B$78,0),1),IF(E2220=5,INDEX(ref_exp_dist,MATCH(B2220,'Refined Petro Exp Dist'!$B$6:$B$78,0),MATCH(C2220,'Refined Petro Exp Dist'!$AD$2:$BC$2,0))*INDEX(ref_exp_by_year,MATCH(B2220,'Data Export'!$B$6:$B$78,0),1)))</f>
        <v>0</v>
      </c>
      <c r="E2220">
        <v>5</v>
      </c>
      <c r="F2220" t="s">
        <v>199</v>
      </c>
    </row>
    <row r="2221" spans="1:6">
      <c r="A2221" t="str">
        <f t="shared" si="34"/>
        <v>GenericE&amp;DtemplateCIandGOA</v>
      </c>
      <c r="B2221">
        <v>16</v>
      </c>
      <c r="C2221">
        <v>10</v>
      </c>
      <c r="D2221" s="649">
        <f ca="1">IF(E2221=4,INDEX(crude_exp_dist,MATCH(B2221,'Crude Exp Dist'!$B$6:$B$78,0),MATCH(C2221,'Crude Exp Dist'!$AD$2:$BC$2,0))*INDEX(crude_exp_by_year,MATCH(B2221,'Data Export'!$B$6:$B$78,0),1),IF(E2221=5,INDEX(ref_exp_dist,MATCH(B2221,'Refined Petro Exp Dist'!$B$6:$B$78,0),MATCH(C2221,'Refined Petro Exp Dist'!$AD$2:$BC$2,0))*INDEX(ref_exp_by_year,MATCH(B2221,'Data Export'!$B$6:$B$78,0),1)))</f>
        <v>0</v>
      </c>
      <c r="E2221">
        <v>5</v>
      </c>
      <c r="F2221" t="s">
        <v>201</v>
      </c>
    </row>
    <row r="2222" spans="1:6">
      <c r="A2222" t="str">
        <f t="shared" si="34"/>
        <v>GenericE&amp;DtemplateCIandGOA</v>
      </c>
      <c r="B2222">
        <v>16</v>
      </c>
      <c r="C2222">
        <v>11</v>
      </c>
      <c r="D2222" s="649">
        <f ca="1">IF(E2222=4,INDEX(crude_exp_dist,MATCH(B2222,'Crude Exp Dist'!$B$6:$B$78,0),MATCH(C2222,'Crude Exp Dist'!$AD$2:$BC$2,0))*INDEX(crude_exp_by_year,MATCH(B2222,'Data Export'!$B$6:$B$78,0),1),IF(E2222=5,INDEX(ref_exp_dist,MATCH(B2222,'Refined Petro Exp Dist'!$B$6:$B$78,0),MATCH(C2222,'Refined Petro Exp Dist'!$AD$2:$BC$2,0))*INDEX(ref_exp_by_year,MATCH(B2222,'Data Export'!$B$6:$B$78,0),1)))</f>
        <v>0</v>
      </c>
      <c r="E2222">
        <v>5</v>
      </c>
      <c r="F2222" t="s">
        <v>921</v>
      </c>
    </row>
    <row r="2223" spans="1:6">
      <c r="A2223" t="str">
        <f t="shared" si="34"/>
        <v>GenericE&amp;DtemplateCIandGOA</v>
      </c>
      <c r="B2223">
        <v>16</v>
      </c>
      <c r="C2223">
        <v>12</v>
      </c>
      <c r="D2223" s="649">
        <f ca="1">IF(E2223=4,INDEX(crude_exp_dist,MATCH(B2223,'Crude Exp Dist'!$B$6:$B$78,0),MATCH(C2223,'Crude Exp Dist'!$AD$2:$BC$2,0))*INDEX(crude_exp_by_year,MATCH(B2223,'Data Export'!$B$6:$B$78,0),1),IF(E2223=5,INDEX(ref_exp_dist,MATCH(B2223,'Refined Petro Exp Dist'!$B$6:$B$78,0),MATCH(C2223,'Refined Petro Exp Dist'!$AD$2:$BC$2,0))*INDEX(ref_exp_by_year,MATCH(B2223,'Data Export'!$B$6:$B$78,0),1)))</f>
        <v>2.2568158862955535E-2</v>
      </c>
      <c r="E2223">
        <v>5</v>
      </c>
      <c r="F2223" t="s">
        <v>208</v>
      </c>
    </row>
    <row r="2224" spans="1:6">
      <c r="A2224" t="str">
        <f t="shared" si="34"/>
        <v>GenericE&amp;DtemplateCIandGOA</v>
      </c>
      <c r="B2224">
        <v>16</v>
      </c>
      <c r="C2224">
        <v>13</v>
      </c>
      <c r="D2224" s="649">
        <f ca="1">IF(E2224=4,INDEX(crude_exp_dist,MATCH(B2224,'Crude Exp Dist'!$B$6:$B$78,0),MATCH(C2224,'Crude Exp Dist'!$AD$2:$BC$2,0))*INDEX(crude_exp_by_year,MATCH(B2224,'Data Export'!$B$6:$B$78,0),1),IF(E2224=5,INDEX(ref_exp_dist,MATCH(B2224,'Refined Petro Exp Dist'!$B$6:$B$78,0),MATCH(C2224,'Refined Petro Exp Dist'!$AD$2:$BC$2,0))*INDEX(ref_exp_by_year,MATCH(B2224,'Data Export'!$B$6:$B$78,0),1)))</f>
        <v>2.2568158862955535E-2</v>
      </c>
      <c r="E2224">
        <v>5</v>
      </c>
      <c r="F2224" t="s">
        <v>211</v>
      </c>
    </row>
    <row r="2225" spans="1:6">
      <c r="A2225" t="str">
        <f t="shared" si="34"/>
        <v>GenericE&amp;DtemplateCIandGOA</v>
      </c>
      <c r="B2225">
        <v>16</v>
      </c>
      <c r="C2225">
        <v>14</v>
      </c>
      <c r="D2225" s="649">
        <f ca="1">IF(E2225=4,INDEX(crude_exp_dist,MATCH(B2225,'Crude Exp Dist'!$B$6:$B$78,0),MATCH(C2225,'Crude Exp Dist'!$AD$2:$BC$2,0))*INDEX(crude_exp_by_year,MATCH(B2225,'Data Export'!$B$6:$B$78,0),1),IF(E2225=5,INDEX(ref_exp_dist,MATCH(B2225,'Refined Petro Exp Dist'!$B$6:$B$78,0),MATCH(C2225,'Refined Petro Exp Dist'!$AD$2:$BC$2,0))*INDEX(ref_exp_by_year,MATCH(B2225,'Data Export'!$B$6:$B$78,0),1)))</f>
        <v>0</v>
      </c>
      <c r="E2225">
        <v>5</v>
      </c>
      <c r="F2225" t="s">
        <v>213</v>
      </c>
    </row>
    <row r="2226" spans="1:6">
      <c r="A2226" t="str">
        <f t="shared" si="34"/>
        <v>GenericE&amp;DtemplateCIandGOA</v>
      </c>
      <c r="B2226">
        <v>16</v>
      </c>
      <c r="C2226">
        <v>15</v>
      </c>
      <c r="D2226" s="649">
        <f ca="1">IF(E2226=4,INDEX(crude_exp_dist,MATCH(B2226,'Crude Exp Dist'!$B$6:$B$78,0),MATCH(C2226,'Crude Exp Dist'!$AD$2:$BC$2,0))*INDEX(crude_exp_by_year,MATCH(B2226,'Data Export'!$B$6:$B$78,0),1),IF(E2226=5,INDEX(ref_exp_dist,MATCH(B2226,'Refined Petro Exp Dist'!$B$6:$B$78,0),MATCH(C2226,'Refined Petro Exp Dist'!$AD$2:$BC$2,0))*INDEX(ref_exp_by_year,MATCH(B2226,'Data Export'!$B$6:$B$78,0),1)))</f>
        <v>0</v>
      </c>
      <c r="E2226">
        <v>5</v>
      </c>
      <c r="F2226" t="s">
        <v>215</v>
      </c>
    </row>
    <row r="2227" spans="1:6">
      <c r="A2227" t="str">
        <f t="shared" si="34"/>
        <v>GenericE&amp;DtemplateCIandGOA</v>
      </c>
      <c r="B2227">
        <v>16</v>
      </c>
      <c r="C2227">
        <v>16</v>
      </c>
      <c r="D2227" s="649">
        <f ca="1">IF(E2227=4,INDEX(crude_exp_dist,MATCH(B2227,'Crude Exp Dist'!$B$6:$B$78,0),MATCH(C2227,'Crude Exp Dist'!$AD$2:$BC$2,0))*INDEX(crude_exp_by_year,MATCH(B2227,'Data Export'!$B$6:$B$78,0),1),IF(E2227=5,INDEX(ref_exp_dist,MATCH(B2227,'Refined Petro Exp Dist'!$B$6:$B$78,0),MATCH(C2227,'Refined Petro Exp Dist'!$AD$2:$BC$2,0))*INDEX(ref_exp_by_year,MATCH(B2227,'Data Export'!$B$6:$B$78,0),1)))</f>
        <v>0</v>
      </c>
      <c r="E2227">
        <v>5</v>
      </c>
      <c r="F2227" t="s">
        <v>219</v>
      </c>
    </row>
    <row r="2228" spans="1:6">
      <c r="A2228" t="str">
        <f t="shared" si="34"/>
        <v>GenericE&amp;DtemplateCIandGOA</v>
      </c>
      <c r="B2228">
        <v>16</v>
      </c>
      <c r="C2228">
        <v>17</v>
      </c>
      <c r="D2228" s="649">
        <f ca="1">IF(E2228=4,INDEX(crude_exp_dist,MATCH(B2228,'Crude Exp Dist'!$B$6:$B$78,0),MATCH(C2228,'Crude Exp Dist'!$AD$2:$BC$2,0))*INDEX(crude_exp_by_year,MATCH(B2228,'Data Export'!$B$6:$B$78,0),1),IF(E2228=5,INDEX(ref_exp_dist,MATCH(B2228,'Refined Petro Exp Dist'!$B$6:$B$78,0),MATCH(C2228,'Refined Petro Exp Dist'!$AD$2:$BC$2,0))*INDEX(ref_exp_by_year,MATCH(B2228,'Data Export'!$B$6:$B$78,0),1)))</f>
        <v>0</v>
      </c>
      <c r="E2228">
        <v>5</v>
      </c>
      <c r="F2228" t="s">
        <v>222</v>
      </c>
    </row>
    <row r="2229" spans="1:6">
      <c r="A2229" t="str">
        <f t="shared" si="34"/>
        <v>GenericE&amp;DtemplateCIandGOA</v>
      </c>
      <c r="B2229">
        <v>16</v>
      </c>
      <c r="C2229">
        <v>18</v>
      </c>
      <c r="D2229" s="649">
        <f ca="1">IF(E2229=4,INDEX(crude_exp_dist,MATCH(B2229,'Crude Exp Dist'!$B$6:$B$78,0),MATCH(C2229,'Crude Exp Dist'!$AD$2:$BC$2,0))*INDEX(crude_exp_by_year,MATCH(B2229,'Data Export'!$B$6:$B$78,0),1),IF(E2229=5,INDEX(ref_exp_dist,MATCH(B2229,'Refined Petro Exp Dist'!$B$6:$B$78,0),MATCH(C2229,'Refined Petro Exp Dist'!$AD$2:$BC$2,0))*INDEX(ref_exp_by_year,MATCH(B2229,'Data Export'!$B$6:$B$78,0),1)))</f>
        <v>0</v>
      </c>
      <c r="E2229">
        <v>5</v>
      </c>
      <c r="F2229" t="s">
        <v>224</v>
      </c>
    </row>
    <row r="2230" spans="1:6">
      <c r="A2230" t="str">
        <f t="shared" si="34"/>
        <v>GenericE&amp;DtemplateCIandGOA</v>
      </c>
      <c r="B2230">
        <v>16</v>
      </c>
      <c r="C2230">
        <v>19</v>
      </c>
      <c r="D2230" s="649">
        <f ca="1">IF(E2230=4,INDEX(crude_exp_dist,MATCH(B2230,'Crude Exp Dist'!$B$6:$B$78,0),MATCH(C2230,'Crude Exp Dist'!$AD$2:$BC$2,0))*INDEX(crude_exp_by_year,MATCH(B2230,'Data Export'!$B$6:$B$78,0),1),IF(E2230=5,INDEX(ref_exp_dist,MATCH(B2230,'Refined Petro Exp Dist'!$B$6:$B$78,0),MATCH(C2230,'Refined Petro Exp Dist'!$AD$2:$BC$2,0))*INDEX(ref_exp_by_year,MATCH(B2230,'Data Export'!$B$6:$B$78,0),1)))</f>
        <v>0</v>
      </c>
      <c r="E2230">
        <v>5</v>
      </c>
      <c r="F2230" t="s">
        <v>228</v>
      </c>
    </row>
    <row r="2231" spans="1:6">
      <c r="A2231" t="str">
        <f t="shared" si="34"/>
        <v>GenericE&amp;DtemplateCIandGOA</v>
      </c>
      <c r="B2231">
        <v>16</v>
      </c>
      <c r="C2231">
        <v>20</v>
      </c>
      <c r="D2231" s="649">
        <f ca="1">IF(E2231=4,INDEX(crude_exp_dist,MATCH(B2231,'Crude Exp Dist'!$B$6:$B$78,0),MATCH(C2231,'Crude Exp Dist'!$AD$2:$BC$2,0))*INDEX(crude_exp_by_year,MATCH(B2231,'Data Export'!$B$6:$B$78,0),1),IF(E2231=5,INDEX(ref_exp_dist,MATCH(B2231,'Refined Petro Exp Dist'!$B$6:$B$78,0),MATCH(C2231,'Refined Petro Exp Dist'!$AD$2:$BC$2,0))*INDEX(ref_exp_by_year,MATCH(B2231,'Data Export'!$B$6:$B$78,0),1)))</f>
        <v>0</v>
      </c>
      <c r="E2231">
        <v>5</v>
      </c>
      <c r="F2231" t="s">
        <v>231</v>
      </c>
    </row>
    <row r="2232" spans="1:6">
      <c r="A2232" t="str">
        <f t="shared" si="34"/>
        <v>GenericE&amp;DtemplateCIandGOA</v>
      </c>
      <c r="B2232">
        <v>16</v>
      </c>
      <c r="C2232">
        <v>21</v>
      </c>
      <c r="D2232" s="649">
        <f ca="1">IF(E2232=4,INDEX(crude_exp_dist,MATCH(B2232,'Crude Exp Dist'!$B$6:$B$78,0),MATCH(C2232,'Crude Exp Dist'!$AD$2:$BC$2,0))*INDEX(crude_exp_by_year,MATCH(B2232,'Data Export'!$B$6:$B$78,0),1),IF(E2232=5,INDEX(ref_exp_dist,MATCH(B2232,'Refined Petro Exp Dist'!$B$6:$B$78,0),MATCH(C2232,'Refined Petro Exp Dist'!$AD$2:$BC$2,0))*INDEX(ref_exp_by_year,MATCH(B2232,'Data Export'!$B$6:$B$78,0),1)))</f>
        <v>0</v>
      </c>
      <c r="E2232">
        <v>5</v>
      </c>
      <c r="F2232" t="s">
        <v>232</v>
      </c>
    </row>
    <row r="2233" spans="1:6">
      <c r="A2233" t="str">
        <f t="shared" si="34"/>
        <v>GenericE&amp;DtemplateCIandGOA</v>
      </c>
      <c r="B2233">
        <v>16</v>
      </c>
      <c r="C2233">
        <v>22</v>
      </c>
      <c r="D2233" s="649">
        <f ca="1">IF(E2233=4,INDEX(crude_exp_dist,MATCH(B2233,'Crude Exp Dist'!$B$6:$B$78,0),MATCH(C2233,'Crude Exp Dist'!$AD$2:$BC$2,0))*INDEX(crude_exp_by_year,MATCH(B2233,'Data Export'!$B$6:$B$78,0),1),IF(E2233=5,INDEX(ref_exp_dist,MATCH(B2233,'Refined Petro Exp Dist'!$B$6:$B$78,0),MATCH(C2233,'Refined Petro Exp Dist'!$AD$2:$BC$2,0))*INDEX(ref_exp_by_year,MATCH(B2233,'Data Export'!$B$6:$B$78,0),1)))</f>
        <v>0</v>
      </c>
      <c r="E2233">
        <v>5</v>
      </c>
      <c r="F2233" t="s">
        <v>235</v>
      </c>
    </row>
    <row r="2234" spans="1:6">
      <c r="A2234" t="str">
        <f t="shared" si="34"/>
        <v>GenericE&amp;DtemplateCIandGOA</v>
      </c>
      <c r="B2234">
        <v>16</v>
      </c>
      <c r="C2234">
        <v>23</v>
      </c>
      <c r="D2234" s="649">
        <f ca="1">IF(E2234=4,INDEX(crude_exp_dist,MATCH(B2234,'Crude Exp Dist'!$B$6:$B$78,0),MATCH(C2234,'Crude Exp Dist'!$AD$2:$BC$2,0))*INDEX(crude_exp_by_year,MATCH(B2234,'Data Export'!$B$6:$B$78,0),1),IF(E2234=5,INDEX(ref_exp_dist,MATCH(B2234,'Refined Petro Exp Dist'!$B$6:$B$78,0),MATCH(C2234,'Refined Petro Exp Dist'!$AD$2:$BC$2,0))*INDEX(ref_exp_by_year,MATCH(B2234,'Data Export'!$B$6:$B$78,0),1)))</f>
        <v>0</v>
      </c>
      <c r="E2234">
        <v>5</v>
      </c>
      <c r="F2234" t="s">
        <v>237</v>
      </c>
    </row>
    <row r="2235" spans="1:6">
      <c r="A2235" t="str">
        <f t="shared" si="34"/>
        <v>GenericE&amp;DtemplateCIandGOA</v>
      </c>
      <c r="B2235">
        <v>16</v>
      </c>
      <c r="C2235">
        <v>24</v>
      </c>
      <c r="D2235" s="649">
        <f ca="1">IF(E2235=4,INDEX(crude_exp_dist,MATCH(B2235,'Crude Exp Dist'!$B$6:$B$78,0),MATCH(C2235,'Crude Exp Dist'!$AD$2:$BC$2,0))*INDEX(crude_exp_by_year,MATCH(B2235,'Data Export'!$B$6:$B$78,0),1),IF(E2235=5,INDEX(ref_exp_dist,MATCH(B2235,'Refined Petro Exp Dist'!$B$6:$B$78,0),MATCH(C2235,'Refined Petro Exp Dist'!$AD$2:$BC$2,0))*INDEX(ref_exp_by_year,MATCH(B2235,'Data Export'!$B$6:$B$78,0),1)))</f>
        <v>0</v>
      </c>
      <c r="E2235">
        <v>5</v>
      </c>
      <c r="F2235" t="s">
        <v>239</v>
      </c>
    </row>
    <row r="2236" spans="1:6">
      <c r="A2236" t="str">
        <f t="shared" si="34"/>
        <v>GenericE&amp;DtemplateCIandGOA</v>
      </c>
      <c r="B2236">
        <v>16</v>
      </c>
      <c r="C2236">
        <v>25</v>
      </c>
      <c r="D2236" s="649">
        <f ca="1">IF(E2236=4,INDEX(crude_exp_dist,MATCH(B2236,'Crude Exp Dist'!$B$6:$B$78,0),MATCH(C2236,'Crude Exp Dist'!$AD$2:$BC$2,0))*INDEX(crude_exp_by_year,MATCH(B2236,'Data Export'!$B$6:$B$78,0),1),IF(E2236=5,INDEX(ref_exp_dist,MATCH(B2236,'Refined Petro Exp Dist'!$B$6:$B$78,0),MATCH(C2236,'Refined Petro Exp Dist'!$AD$2:$BC$2,0))*INDEX(ref_exp_by_year,MATCH(B2236,'Data Export'!$B$6:$B$78,0),1)))</f>
        <v>0</v>
      </c>
      <c r="E2236">
        <v>5</v>
      </c>
      <c r="F2236" t="s">
        <v>242</v>
      </c>
    </row>
    <row r="2237" spans="1:6">
      <c r="A2237" t="str">
        <f t="shared" si="34"/>
        <v>GenericE&amp;DtemplateCIandGOA</v>
      </c>
      <c r="B2237">
        <v>16</v>
      </c>
      <c r="C2237">
        <v>26</v>
      </c>
      <c r="D2237" s="649">
        <f ca="1">IF(E2237=4,INDEX(crude_exp_dist,MATCH(B2237,'Crude Exp Dist'!$B$6:$B$78,0),MATCH(C2237,'Crude Exp Dist'!$AD$2:$BC$2,0))*INDEX(crude_exp_by_year,MATCH(B2237,'Data Export'!$B$6:$B$78,0),1),IF(E2237=5,INDEX(ref_exp_dist,MATCH(B2237,'Refined Petro Exp Dist'!$B$6:$B$78,0),MATCH(C2237,'Refined Petro Exp Dist'!$AD$2:$BC$2,0))*INDEX(ref_exp_by_year,MATCH(B2237,'Data Export'!$B$6:$B$78,0),1)))</f>
        <v>0</v>
      </c>
      <c r="E2237">
        <v>5</v>
      </c>
      <c r="F2237" t="s">
        <v>245</v>
      </c>
    </row>
    <row r="2238" spans="1:6">
      <c r="A2238" t="str">
        <f t="shared" si="34"/>
        <v>GenericE&amp;DtemplateCIandGOA</v>
      </c>
      <c r="B2238">
        <v>17</v>
      </c>
      <c r="C2238">
        <v>1</v>
      </c>
      <c r="D2238" s="649">
        <f ca="1">IF(E2238=4,INDEX(crude_exp_dist,MATCH(B2238,'Crude Exp Dist'!$B$6:$B$78,0),MATCH(C2238,'Crude Exp Dist'!$AD$2:$BC$2,0))*INDEX(crude_exp_by_year,MATCH(B2238,'Data Export'!$B$6:$B$78,0),1),IF(E2238=5,INDEX(ref_exp_dist,MATCH(B2238,'Refined Petro Exp Dist'!$B$6:$B$78,0),MATCH(C2238,'Refined Petro Exp Dist'!$AD$2:$BC$2,0))*INDEX(ref_exp_by_year,MATCH(B2238,'Data Export'!$B$6:$B$78,0),1)))</f>
        <v>0</v>
      </c>
      <c r="E2238">
        <v>5</v>
      </c>
      <c r="F2238" t="s">
        <v>158</v>
      </c>
    </row>
    <row r="2239" spans="1:6">
      <c r="A2239" t="str">
        <f t="shared" si="34"/>
        <v>GenericE&amp;DtemplateCIandGOA</v>
      </c>
      <c r="B2239">
        <v>17</v>
      </c>
      <c r="C2239">
        <v>2</v>
      </c>
      <c r="D2239" s="649">
        <f ca="1">IF(E2239=4,INDEX(crude_exp_dist,MATCH(B2239,'Crude Exp Dist'!$B$6:$B$78,0),MATCH(C2239,'Crude Exp Dist'!$AD$2:$BC$2,0))*INDEX(crude_exp_by_year,MATCH(B2239,'Data Export'!$B$6:$B$78,0),1),IF(E2239=5,INDEX(ref_exp_dist,MATCH(B2239,'Refined Petro Exp Dist'!$B$6:$B$78,0),MATCH(C2239,'Refined Petro Exp Dist'!$AD$2:$BC$2,0))*INDEX(ref_exp_by_year,MATCH(B2239,'Data Export'!$B$6:$B$78,0),1)))</f>
        <v>0</v>
      </c>
      <c r="E2239">
        <v>5</v>
      </c>
      <c r="F2239" t="s">
        <v>166</v>
      </c>
    </row>
    <row r="2240" spans="1:6">
      <c r="A2240" t="str">
        <f t="shared" si="34"/>
        <v>GenericE&amp;DtemplateCIandGOA</v>
      </c>
      <c r="B2240">
        <v>17</v>
      </c>
      <c r="C2240">
        <v>3</v>
      </c>
      <c r="D2240" s="649">
        <f ca="1">IF(E2240=4,INDEX(crude_exp_dist,MATCH(B2240,'Crude Exp Dist'!$B$6:$B$78,0),MATCH(C2240,'Crude Exp Dist'!$AD$2:$BC$2,0))*INDEX(crude_exp_by_year,MATCH(B2240,'Data Export'!$B$6:$B$78,0),1),IF(E2240=5,INDEX(ref_exp_dist,MATCH(B2240,'Refined Petro Exp Dist'!$B$6:$B$78,0),MATCH(C2240,'Refined Petro Exp Dist'!$AD$2:$BC$2,0))*INDEX(ref_exp_by_year,MATCH(B2240,'Data Export'!$B$6:$B$78,0),1)))</f>
        <v>0</v>
      </c>
      <c r="E2240">
        <v>5</v>
      </c>
      <c r="F2240" t="s">
        <v>171</v>
      </c>
    </row>
    <row r="2241" spans="1:6">
      <c r="A2241" t="str">
        <f t="shared" si="34"/>
        <v>GenericE&amp;DtemplateCIandGOA</v>
      </c>
      <c r="B2241">
        <v>17</v>
      </c>
      <c r="C2241">
        <v>4</v>
      </c>
      <c r="D2241" s="649">
        <f ca="1">IF(E2241=4,INDEX(crude_exp_dist,MATCH(B2241,'Crude Exp Dist'!$B$6:$B$78,0),MATCH(C2241,'Crude Exp Dist'!$AD$2:$BC$2,0))*INDEX(crude_exp_by_year,MATCH(B2241,'Data Export'!$B$6:$B$78,0),1),IF(E2241=5,INDEX(ref_exp_dist,MATCH(B2241,'Refined Petro Exp Dist'!$B$6:$B$78,0),MATCH(C2241,'Refined Petro Exp Dist'!$AD$2:$BC$2,0))*INDEX(ref_exp_by_year,MATCH(B2241,'Data Export'!$B$6:$B$78,0),1)))</f>
        <v>0</v>
      </c>
      <c r="E2241">
        <v>5</v>
      </c>
      <c r="F2241" t="s">
        <v>173</v>
      </c>
    </row>
    <row r="2242" spans="1:6">
      <c r="A2242" t="str">
        <f t="shared" ref="A2242:A2305" si="35">scenario_name</f>
        <v>GenericE&amp;DtemplateCIandGOA</v>
      </c>
      <c r="B2242">
        <v>17</v>
      </c>
      <c r="C2242">
        <v>5</v>
      </c>
      <c r="D2242" s="649">
        <f ca="1">IF(E2242=4,INDEX(crude_exp_dist,MATCH(B2242,'Crude Exp Dist'!$B$6:$B$78,0),MATCH(C2242,'Crude Exp Dist'!$AD$2:$BC$2,0))*INDEX(crude_exp_by_year,MATCH(B2242,'Data Export'!$B$6:$B$78,0),1),IF(E2242=5,INDEX(ref_exp_dist,MATCH(B2242,'Refined Petro Exp Dist'!$B$6:$B$78,0),MATCH(C2242,'Refined Petro Exp Dist'!$AD$2:$BC$2,0))*INDEX(ref_exp_by_year,MATCH(B2242,'Data Export'!$B$6:$B$78,0),1)))</f>
        <v>0</v>
      </c>
      <c r="E2242">
        <v>5</v>
      </c>
      <c r="F2242" t="s">
        <v>180</v>
      </c>
    </row>
    <row r="2243" spans="1:6">
      <c r="A2243" t="str">
        <f t="shared" si="35"/>
        <v>GenericE&amp;DtemplateCIandGOA</v>
      </c>
      <c r="B2243">
        <v>17</v>
      </c>
      <c r="C2243">
        <v>6</v>
      </c>
      <c r="D2243" s="649">
        <f ca="1">IF(E2243=4,INDEX(crude_exp_dist,MATCH(B2243,'Crude Exp Dist'!$B$6:$B$78,0),MATCH(C2243,'Crude Exp Dist'!$AD$2:$BC$2,0))*INDEX(crude_exp_by_year,MATCH(B2243,'Data Export'!$B$6:$B$78,0),1),IF(E2243=5,INDEX(ref_exp_dist,MATCH(B2243,'Refined Petro Exp Dist'!$B$6:$B$78,0),MATCH(C2243,'Refined Petro Exp Dist'!$AD$2:$BC$2,0))*INDEX(ref_exp_by_year,MATCH(B2243,'Data Export'!$B$6:$B$78,0),1)))</f>
        <v>0.10348020607552118</v>
      </c>
      <c r="E2243">
        <v>5</v>
      </c>
      <c r="F2243" t="s">
        <v>186</v>
      </c>
    </row>
    <row r="2244" spans="1:6">
      <c r="A2244" t="str">
        <f t="shared" si="35"/>
        <v>GenericE&amp;DtemplateCIandGOA</v>
      </c>
      <c r="B2244">
        <v>17</v>
      </c>
      <c r="C2244">
        <v>7</v>
      </c>
      <c r="D2244" s="649">
        <f ca="1">IF(E2244=4,INDEX(crude_exp_dist,MATCH(B2244,'Crude Exp Dist'!$B$6:$B$78,0),MATCH(C2244,'Crude Exp Dist'!$AD$2:$BC$2,0))*INDEX(crude_exp_by_year,MATCH(B2244,'Data Export'!$B$6:$B$78,0),1),IF(E2244=5,INDEX(ref_exp_dist,MATCH(B2244,'Refined Petro Exp Dist'!$B$6:$B$78,0),MATCH(C2244,'Refined Petro Exp Dist'!$AD$2:$BC$2,0))*INDEX(ref_exp_by_year,MATCH(B2244,'Data Export'!$B$6:$B$78,0),1)))</f>
        <v>0</v>
      </c>
      <c r="E2244">
        <v>5</v>
      </c>
      <c r="F2244" t="s">
        <v>191</v>
      </c>
    </row>
    <row r="2245" spans="1:6">
      <c r="A2245" t="str">
        <f t="shared" si="35"/>
        <v>GenericE&amp;DtemplateCIandGOA</v>
      </c>
      <c r="B2245">
        <v>17</v>
      </c>
      <c r="C2245">
        <v>8</v>
      </c>
      <c r="D2245" s="649">
        <f ca="1">IF(E2245=4,INDEX(crude_exp_dist,MATCH(B2245,'Crude Exp Dist'!$B$6:$B$78,0),MATCH(C2245,'Crude Exp Dist'!$AD$2:$BC$2,0))*INDEX(crude_exp_by_year,MATCH(B2245,'Data Export'!$B$6:$B$78,0),1),IF(E2245=5,INDEX(ref_exp_dist,MATCH(B2245,'Refined Petro Exp Dist'!$B$6:$B$78,0),MATCH(C2245,'Refined Petro Exp Dist'!$AD$2:$BC$2,0))*INDEX(ref_exp_by_year,MATCH(B2245,'Data Export'!$B$6:$B$78,0),1)))</f>
        <v>0</v>
      </c>
      <c r="E2245">
        <v>5</v>
      </c>
      <c r="F2245" t="s">
        <v>197</v>
      </c>
    </row>
    <row r="2246" spans="1:6">
      <c r="A2246" t="str">
        <f t="shared" si="35"/>
        <v>GenericE&amp;DtemplateCIandGOA</v>
      </c>
      <c r="B2246">
        <v>17</v>
      </c>
      <c r="C2246">
        <v>9</v>
      </c>
      <c r="D2246" s="649">
        <f ca="1">IF(E2246=4,INDEX(crude_exp_dist,MATCH(B2246,'Crude Exp Dist'!$B$6:$B$78,0),MATCH(C2246,'Crude Exp Dist'!$AD$2:$BC$2,0))*INDEX(crude_exp_by_year,MATCH(B2246,'Data Export'!$B$6:$B$78,0),1),IF(E2246=5,INDEX(ref_exp_dist,MATCH(B2246,'Refined Petro Exp Dist'!$B$6:$B$78,0),MATCH(C2246,'Refined Petro Exp Dist'!$AD$2:$BC$2,0))*INDEX(ref_exp_by_year,MATCH(B2246,'Data Export'!$B$6:$B$78,0),1)))</f>
        <v>0</v>
      </c>
      <c r="E2246">
        <v>5</v>
      </c>
      <c r="F2246" t="s">
        <v>199</v>
      </c>
    </row>
    <row r="2247" spans="1:6">
      <c r="A2247" t="str">
        <f t="shared" si="35"/>
        <v>GenericE&amp;DtemplateCIandGOA</v>
      </c>
      <c r="B2247">
        <v>17</v>
      </c>
      <c r="C2247">
        <v>10</v>
      </c>
      <c r="D2247" s="649">
        <f ca="1">IF(E2247=4,INDEX(crude_exp_dist,MATCH(B2247,'Crude Exp Dist'!$B$6:$B$78,0),MATCH(C2247,'Crude Exp Dist'!$AD$2:$BC$2,0))*INDEX(crude_exp_by_year,MATCH(B2247,'Data Export'!$B$6:$B$78,0),1),IF(E2247=5,INDEX(ref_exp_dist,MATCH(B2247,'Refined Petro Exp Dist'!$B$6:$B$78,0),MATCH(C2247,'Refined Petro Exp Dist'!$AD$2:$BC$2,0))*INDEX(ref_exp_by_year,MATCH(B2247,'Data Export'!$B$6:$B$78,0),1)))</f>
        <v>0</v>
      </c>
      <c r="E2247">
        <v>5</v>
      </c>
      <c r="F2247" t="s">
        <v>201</v>
      </c>
    </row>
    <row r="2248" spans="1:6">
      <c r="A2248" t="str">
        <f t="shared" si="35"/>
        <v>GenericE&amp;DtemplateCIandGOA</v>
      </c>
      <c r="B2248">
        <v>17</v>
      </c>
      <c r="C2248">
        <v>11</v>
      </c>
      <c r="D2248" s="649">
        <f ca="1">IF(E2248=4,INDEX(crude_exp_dist,MATCH(B2248,'Crude Exp Dist'!$B$6:$B$78,0),MATCH(C2248,'Crude Exp Dist'!$AD$2:$BC$2,0))*INDEX(crude_exp_by_year,MATCH(B2248,'Data Export'!$B$6:$B$78,0),1),IF(E2248=5,INDEX(ref_exp_dist,MATCH(B2248,'Refined Petro Exp Dist'!$B$6:$B$78,0),MATCH(C2248,'Refined Petro Exp Dist'!$AD$2:$BC$2,0))*INDEX(ref_exp_by_year,MATCH(B2248,'Data Export'!$B$6:$B$78,0),1)))</f>
        <v>0</v>
      </c>
      <c r="E2248">
        <v>5</v>
      </c>
      <c r="F2248" t="s">
        <v>921</v>
      </c>
    </row>
    <row r="2249" spans="1:6">
      <c r="A2249" t="str">
        <f t="shared" si="35"/>
        <v>GenericE&amp;DtemplateCIandGOA</v>
      </c>
      <c r="B2249">
        <v>17</v>
      </c>
      <c r="C2249">
        <v>12</v>
      </c>
      <c r="D2249" s="649">
        <f ca="1">IF(E2249=4,INDEX(crude_exp_dist,MATCH(B2249,'Crude Exp Dist'!$B$6:$B$78,0),MATCH(C2249,'Crude Exp Dist'!$AD$2:$BC$2,0))*INDEX(crude_exp_by_year,MATCH(B2249,'Data Export'!$B$6:$B$78,0),1),IF(E2249=5,INDEX(ref_exp_dist,MATCH(B2249,'Refined Petro Exp Dist'!$B$6:$B$78,0),MATCH(C2249,'Refined Petro Exp Dist'!$AD$2:$BC$2,0))*INDEX(ref_exp_by_year,MATCH(B2249,'Data Export'!$B$6:$B$78,0),1)))</f>
        <v>2.2918405964282927E-2</v>
      </c>
      <c r="E2249">
        <v>5</v>
      </c>
      <c r="F2249" t="s">
        <v>208</v>
      </c>
    </row>
    <row r="2250" spans="1:6">
      <c r="A2250" t="str">
        <f t="shared" si="35"/>
        <v>GenericE&amp;DtemplateCIandGOA</v>
      </c>
      <c r="B2250">
        <v>17</v>
      </c>
      <c r="C2250">
        <v>13</v>
      </c>
      <c r="D2250" s="649">
        <f ca="1">IF(E2250=4,INDEX(crude_exp_dist,MATCH(B2250,'Crude Exp Dist'!$B$6:$B$78,0),MATCH(C2250,'Crude Exp Dist'!$AD$2:$BC$2,0))*INDEX(crude_exp_by_year,MATCH(B2250,'Data Export'!$B$6:$B$78,0),1),IF(E2250=5,INDEX(ref_exp_dist,MATCH(B2250,'Refined Petro Exp Dist'!$B$6:$B$78,0),MATCH(C2250,'Refined Petro Exp Dist'!$AD$2:$BC$2,0))*INDEX(ref_exp_by_year,MATCH(B2250,'Data Export'!$B$6:$B$78,0),1)))</f>
        <v>2.2918405964282927E-2</v>
      </c>
      <c r="E2250">
        <v>5</v>
      </c>
      <c r="F2250" t="s">
        <v>211</v>
      </c>
    </row>
    <row r="2251" spans="1:6">
      <c r="A2251" t="str">
        <f t="shared" si="35"/>
        <v>GenericE&amp;DtemplateCIandGOA</v>
      </c>
      <c r="B2251">
        <v>17</v>
      </c>
      <c r="C2251">
        <v>14</v>
      </c>
      <c r="D2251" s="649">
        <f ca="1">IF(E2251=4,INDEX(crude_exp_dist,MATCH(B2251,'Crude Exp Dist'!$B$6:$B$78,0),MATCH(C2251,'Crude Exp Dist'!$AD$2:$BC$2,0))*INDEX(crude_exp_by_year,MATCH(B2251,'Data Export'!$B$6:$B$78,0),1),IF(E2251=5,INDEX(ref_exp_dist,MATCH(B2251,'Refined Petro Exp Dist'!$B$6:$B$78,0),MATCH(C2251,'Refined Petro Exp Dist'!$AD$2:$BC$2,0))*INDEX(ref_exp_by_year,MATCH(B2251,'Data Export'!$B$6:$B$78,0),1)))</f>
        <v>0</v>
      </c>
      <c r="E2251">
        <v>5</v>
      </c>
      <c r="F2251" t="s">
        <v>213</v>
      </c>
    </row>
    <row r="2252" spans="1:6">
      <c r="A2252" t="str">
        <f t="shared" si="35"/>
        <v>GenericE&amp;DtemplateCIandGOA</v>
      </c>
      <c r="B2252">
        <v>17</v>
      </c>
      <c r="C2252">
        <v>15</v>
      </c>
      <c r="D2252" s="649">
        <f ca="1">IF(E2252=4,INDEX(crude_exp_dist,MATCH(B2252,'Crude Exp Dist'!$B$6:$B$78,0),MATCH(C2252,'Crude Exp Dist'!$AD$2:$BC$2,0))*INDEX(crude_exp_by_year,MATCH(B2252,'Data Export'!$B$6:$B$78,0),1),IF(E2252=5,INDEX(ref_exp_dist,MATCH(B2252,'Refined Petro Exp Dist'!$B$6:$B$78,0),MATCH(C2252,'Refined Petro Exp Dist'!$AD$2:$BC$2,0))*INDEX(ref_exp_by_year,MATCH(B2252,'Data Export'!$B$6:$B$78,0),1)))</f>
        <v>0</v>
      </c>
      <c r="E2252">
        <v>5</v>
      </c>
      <c r="F2252" t="s">
        <v>215</v>
      </c>
    </row>
    <row r="2253" spans="1:6">
      <c r="A2253" t="str">
        <f t="shared" si="35"/>
        <v>GenericE&amp;DtemplateCIandGOA</v>
      </c>
      <c r="B2253">
        <v>17</v>
      </c>
      <c r="C2253">
        <v>16</v>
      </c>
      <c r="D2253" s="649">
        <f ca="1">IF(E2253=4,INDEX(crude_exp_dist,MATCH(B2253,'Crude Exp Dist'!$B$6:$B$78,0),MATCH(C2253,'Crude Exp Dist'!$AD$2:$BC$2,0))*INDEX(crude_exp_by_year,MATCH(B2253,'Data Export'!$B$6:$B$78,0),1),IF(E2253=5,INDEX(ref_exp_dist,MATCH(B2253,'Refined Petro Exp Dist'!$B$6:$B$78,0),MATCH(C2253,'Refined Petro Exp Dist'!$AD$2:$BC$2,0))*INDEX(ref_exp_by_year,MATCH(B2253,'Data Export'!$B$6:$B$78,0),1)))</f>
        <v>0</v>
      </c>
      <c r="E2253">
        <v>5</v>
      </c>
      <c r="F2253" t="s">
        <v>219</v>
      </c>
    </row>
    <row r="2254" spans="1:6">
      <c r="A2254" t="str">
        <f t="shared" si="35"/>
        <v>GenericE&amp;DtemplateCIandGOA</v>
      </c>
      <c r="B2254">
        <v>17</v>
      </c>
      <c r="C2254">
        <v>17</v>
      </c>
      <c r="D2254" s="649">
        <f ca="1">IF(E2254=4,INDEX(crude_exp_dist,MATCH(B2254,'Crude Exp Dist'!$B$6:$B$78,0),MATCH(C2254,'Crude Exp Dist'!$AD$2:$BC$2,0))*INDEX(crude_exp_by_year,MATCH(B2254,'Data Export'!$B$6:$B$78,0),1),IF(E2254=5,INDEX(ref_exp_dist,MATCH(B2254,'Refined Petro Exp Dist'!$B$6:$B$78,0),MATCH(C2254,'Refined Petro Exp Dist'!$AD$2:$BC$2,0))*INDEX(ref_exp_by_year,MATCH(B2254,'Data Export'!$B$6:$B$78,0),1)))</f>
        <v>0</v>
      </c>
      <c r="E2254">
        <v>5</v>
      </c>
      <c r="F2254" t="s">
        <v>222</v>
      </c>
    </row>
    <row r="2255" spans="1:6">
      <c r="A2255" t="str">
        <f t="shared" si="35"/>
        <v>GenericE&amp;DtemplateCIandGOA</v>
      </c>
      <c r="B2255">
        <v>17</v>
      </c>
      <c r="C2255">
        <v>18</v>
      </c>
      <c r="D2255" s="649">
        <f ca="1">IF(E2255=4,INDEX(crude_exp_dist,MATCH(B2255,'Crude Exp Dist'!$B$6:$B$78,0),MATCH(C2255,'Crude Exp Dist'!$AD$2:$BC$2,0))*INDEX(crude_exp_by_year,MATCH(B2255,'Data Export'!$B$6:$B$78,0),1),IF(E2255=5,INDEX(ref_exp_dist,MATCH(B2255,'Refined Petro Exp Dist'!$B$6:$B$78,0),MATCH(C2255,'Refined Petro Exp Dist'!$AD$2:$BC$2,0))*INDEX(ref_exp_by_year,MATCH(B2255,'Data Export'!$B$6:$B$78,0),1)))</f>
        <v>0</v>
      </c>
      <c r="E2255">
        <v>5</v>
      </c>
      <c r="F2255" t="s">
        <v>224</v>
      </c>
    </row>
    <row r="2256" spans="1:6">
      <c r="A2256" t="str">
        <f t="shared" si="35"/>
        <v>GenericE&amp;DtemplateCIandGOA</v>
      </c>
      <c r="B2256">
        <v>17</v>
      </c>
      <c r="C2256">
        <v>19</v>
      </c>
      <c r="D2256" s="649">
        <f ca="1">IF(E2256=4,INDEX(crude_exp_dist,MATCH(B2256,'Crude Exp Dist'!$B$6:$B$78,0),MATCH(C2256,'Crude Exp Dist'!$AD$2:$BC$2,0))*INDEX(crude_exp_by_year,MATCH(B2256,'Data Export'!$B$6:$B$78,0),1),IF(E2256=5,INDEX(ref_exp_dist,MATCH(B2256,'Refined Petro Exp Dist'!$B$6:$B$78,0),MATCH(C2256,'Refined Petro Exp Dist'!$AD$2:$BC$2,0))*INDEX(ref_exp_by_year,MATCH(B2256,'Data Export'!$B$6:$B$78,0),1)))</f>
        <v>0</v>
      </c>
      <c r="E2256">
        <v>5</v>
      </c>
      <c r="F2256" t="s">
        <v>228</v>
      </c>
    </row>
    <row r="2257" spans="1:6">
      <c r="A2257" t="str">
        <f t="shared" si="35"/>
        <v>GenericE&amp;DtemplateCIandGOA</v>
      </c>
      <c r="B2257">
        <v>17</v>
      </c>
      <c r="C2257">
        <v>20</v>
      </c>
      <c r="D2257" s="649">
        <f ca="1">IF(E2257=4,INDEX(crude_exp_dist,MATCH(B2257,'Crude Exp Dist'!$B$6:$B$78,0),MATCH(C2257,'Crude Exp Dist'!$AD$2:$BC$2,0))*INDEX(crude_exp_by_year,MATCH(B2257,'Data Export'!$B$6:$B$78,0),1),IF(E2257=5,INDEX(ref_exp_dist,MATCH(B2257,'Refined Petro Exp Dist'!$B$6:$B$78,0),MATCH(C2257,'Refined Petro Exp Dist'!$AD$2:$BC$2,0))*INDEX(ref_exp_by_year,MATCH(B2257,'Data Export'!$B$6:$B$78,0),1)))</f>
        <v>0</v>
      </c>
      <c r="E2257">
        <v>5</v>
      </c>
      <c r="F2257" t="s">
        <v>231</v>
      </c>
    </row>
    <row r="2258" spans="1:6">
      <c r="A2258" t="str">
        <f t="shared" si="35"/>
        <v>GenericE&amp;DtemplateCIandGOA</v>
      </c>
      <c r="B2258">
        <v>17</v>
      </c>
      <c r="C2258">
        <v>21</v>
      </c>
      <c r="D2258" s="649">
        <f ca="1">IF(E2258=4,INDEX(crude_exp_dist,MATCH(B2258,'Crude Exp Dist'!$B$6:$B$78,0),MATCH(C2258,'Crude Exp Dist'!$AD$2:$BC$2,0))*INDEX(crude_exp_by_year,MATCH(B2258,'Data Export'!$B$6:$B$78,0),1),IF(E2258=5,INDEX(ref_exp_dist,MATCH(B2258,'Refined Petro Exp Dist'!$B$6:$B$78,0),MATCH(C2258,'Refined Petro Exp Dist'!$AD$2:$BC$2,0))*INDEX(ref_exp_by_year,MATCH(B2258,'Data Export'!$B$6:$B$78,0),1)))</f>
        <v>0</v>
      </c>
      <c r="E2258">
        <v>5</v>
      </c>
      <c r="F2258" t="s">
        <v>232</v>
      </c>
    </row>
    <row r="2259" spans="1:6">
      <c r="A2259" t="str">
        <f t="shared" si="35"/>
        <v>GenericE&amp;DtemplateCIandGOA</v>
      </c>
      <c r="B2259">
        <v>17</v>
      </c>
      <c r="C2259">
        <v>22</v>
      </c>
      <c r="D2259" s="649">
        <f ca="1">IF(E2259=4,INDEX(crude_exp_dist,MATCH(B2259,'Crude Exp Dist'!$B$6:$B$78,0),MATCH(C2259,'Crude Exp Dist'!$AD$2:$BC$2,0))*INDEX(crude_exp_by_year,MATCH(B2259,'Data Export'!$B$6:$B$78,0),1),IF(E2259=5,INDEX(ref_exp_dist,MATCH(B2259,'Refined Petro Exp Dist'!$B$6:$B$78,0),MATCH(C2259,'Refined Petro Exp Dist'!$AD$2:$BC$2,0))*INDEX(ref_exp_by_year,MATCH(B2259,'Data Export'!$B$6:$B$78,0),1)))</f>
        <v>0</v>
      </c>
      <c r="E2259">
        <v>5</v>
      </c>
      <c r="F2259" t="s">
        <v>235</v>
      </c>
    </row>
    <row r="2260" spans="1:6">
      <c r="A2260" t="str">
        <f t="shared" si="35"/>
        <v>GenericE&amp;DtemplateCIandGOA</v>
      </c>
      <c r="B2260">
        <v>17</v>
      </c>
      <c r="C2260">
        <v>23</v>
      </c>
      <c r="D2260" s="649">
        <f ca="1">IF(E2260=4,INDEX(crude_exp_dist,MATCH(B2260,'Crude Exp Dist'!$B$6:$B$78,0),MATCH(C2260,'Crude Exp Dist'!$AD$2:$BC$2,0))*INDEX(crude_exp_by_year,MATCH(B2260,'Data Export'!$B$6:$B$78,0),1),IF(E2260=5,INDEX(ref_exp_dist,MATCH(B2260,'Refined Petro Exp Dist'!$B$6:$B$78,0),MATCH(C2260,'Refined Petro Exp Dist'!$AD$2:$BC$2,0))*INDEX(ref_exp_by_year,MATCH(B2260,'Data Export'!$B$6:$B$78,0),1)))</f>
        <v>0</v>
      </c>
      <c r="E2260">
        <v>5</v>
      </c>
      <c r="F2260" t="s">
        <v>237</v>
      </c>
    </row>
    <row r="2261" spans="1:6">
      <c r="A2261" t="str">
        <f t="shared" si="35"/>
        <v>GenericE&amp;DtemplateCIandGOA</v>
      </c>
      <c r="B2261">
        <v>17</v>
      </c>
      <c r="C2261">
        <v>24</v>
      </c>
      <c r="D2261" s="649">
        <f ca="1">IF(E2261=4,INDEX(crude_exp_dist,MATCH(B2261,'Crude Exp Dist'!$B$6:$B$78,0),MATCH(C2261,'Crude Exp Dist'!$AD$2:$BC$2,0))*INDEX(crude_exp_by_year,MATCH(B2261,'Data Export'!$B$6:$B$78,0),1),IF(E2261=5,INDEX(ref_exp_dist,MATCH(B2261,'Refined Petro Exp Dist'!$B$6:$B$78,0),MATCH(C2261,'Refined Petro Exp Dist'!$AD$2:$BC$2,0))*INDEX(ref_exp_by_year,MATCH(B2261,'Data Export'!$B$6:$B$78,0),1)))</f>
        <v>0</v>
      </c>
      <c r="E2261">
        <v>5</v>
      </c>
      <c r="F2261" t="s">
        <v>239</v>
      </c>
    </row>
    <row r="2262" spans="1:6">
      <c r="A2262" t="str">
        <f t="shared" si="35"/>
        <v>GenericE&amp;DtemplateCIandGOA</v>
      </c>
      <c r="B2262">
        <v>17</v>
      </c>
      <c r="C2262">
        <v>25</v>
      </c>
      <c r="D2262" s="649">
        <f ca="1">IF(E2262=4,INDEX(crude_exp_dist,MATCH(B2262,'Crude Exp Dist'!$B$6:$B$78,0),MATCH(C2262,'Crude Exp Dist'!$AD$2:$BC$2,0))*INDEX(crude_exp_by_year,MATCH(B2262,'Data Export'!$B$6:$B$78,0),1),IF(E2262=5,INDEX(ref_exp_dist,MATCH(B2262,'Refined Petro Exp Dist'!$B$6:$B$78,0),MATCH(C2262,'Refined Petro Exp Dist'!$AD$2:$BC$2,0))*INDEX(ref_exp_by_year,MATCH(B2262,'Data Export'!$B$6:$B$78,0),1)))</f>
        <v>0</v>
      </c>
      <c r="E2262">
        <v>5</v>
      </c>
      <c r="F2262" t="s">
        <v>242</v>
      </c>
    </row>
    <row r="2263" spans="1:6">
      <c r="A2263" t="str">
        <f t="shared" si="35"/>
        <v>GenericE&amp;DtemplateCIandGOA</v>
      </c>
      <c r="B2263">
        <v>17</v>
      </c>
      <c r="C2263">
        <v>26</v>
      </c>
      <c r="D2263" s="649">
        <f ca="1">IF(E2263=4,INDEX(crude_exp_dist,MATCH(B2263,'Crude Exp Dist'!$B$6:$B$78,0),MATCH(C2263,'Crude Exp Dist'!$AD$2:$BC$2,0))*INDEX(crude_exp_by_year,MATCH(B2263,'Data Export'!$B$6:$B$78,0),1),IF(E2263=5,INDEX(ref_exp_dist,MATCH(B2263,'Refined Petro Exp Dist'!$B$6:$B$78,0),MATCH(C2263,'Refined Petro Exp Dist'!$AD$2:$BC$2,0))*INDEX(ref_exp_by_year,MATCH(B2263,'Data Export'!$B$6:$B$78,0),1)))</f>
        <v>0</v>
      </c>
      <c r="E2263">
        <v>5</v>
      </c>
      <c r="F2263" t="s">
        <v>245</v>
      </c>
    </row>
    <row r="2264" spans="1:6">
      <c r="A2264" t="str">
        <f t="shared" si="35"/>
        <v>GenericE&amp;DtemplateCIandGOA</v>
      </c>
      <c r="B2264">
        <v>18</v>
      </c>
      <c r="C2264">
        <v>1</v>
      </c>
      <c r="D2264" s="649">
        <f ca="1">IF(E2264=4,INDEX(crude_exp_dist,MATCH(B2264,'Crude Exp Dist'!$B$6:$B$78,0),MATCH(C2264,'Crude Exp Dist'!$AD$2:$BC$2,0))*INDEX(crude_exp_by_year,MATCH(B2264,'Data Export'!$B$6:$B$78,0),1),IF(E2264=5,INDEX(ref_exp_dist,MATCH(B2264,'Refined Petro Exp Dist'!$B$6:$B$78,0),MATCH(C2264,'Refined Petro Exp Dist'!$AD$2:$BC$2,0))*INDEX(ref_exp_by_year,MATCH(B2264,'Data Export'!$B$6:$B$78,0),1)))</f>
        <v>0</v>
      </c>
      <c r="E2264">
        <v>5</v>
      </c>
      <c r="F2264" t="s">
        <v>158</v>
      </c>
    </row>
    <row r="2265" spans="1:6">
      <c r="A2265" t="str">
        <f t="shared" si="35"/>
        <v>GenericE&amp;DtemplateCIandGOA</v>
      </c>
      <c r="B2265">
        <v>18</v>
      </c>
      <c r="C2265">
        <v>2</v>
      </c>
      <c r="D2265" s="649">
        <f ca="1">IF(E2265=4,INDEX(crude_exp_dist,MATCH(B2265,'Crude Exp Dist'!$B$6:$B$78,0),MATCH(C2265,'Crude Exp Dist'!$AD$2:$BC$2,0))*INDEX(crude_exp_by_year,MATCH(B2265,'Data Export'!$B$6:$B$78,0),1),IF(E2265=5,INDEX(ref_exp_dist,MATCH(B2265,'Refined Petro Exp Dist'!$B$6:$B$78,0),MATCH(C2265,'Refined Petro Exp Dist'!$AD$2:$BC$2,0))*INDEX(ref_exp_by_year,MATCH(B2265,'Data Export'!$B$6:$B$78,0),1)))</f>
        <v>0</v>
      </c>
      <c r="E2265">
        <v>5</v>
      </c>
      <c r="F2265" t="s">
        <v>166</v>
      </c>
    </row>
    <row r="2266" spans="1:6">
      <c r="A2266" t="str">
        <f t="shared" si="35"/>
        <v>GenericE&amp;DtemplateCIandGOA</v>
      </c>
      <c r="B2266">
        <v>18</v>
      </c>
      <c r="C2266">
        <v>3</v>
      </c>
      <c r="D2266" s="649">
        <f ca="1">IF(E2266=4,INDEX(crude_exp_dist,MATCH(B2266,'Crude Exp Dist'!$B$6:$B$78,0),MATCH(C2266,'Crude Exp Dist'!$AD$2:$BC$2,0))*INDEX(crude_exp_by_year,MATCH(B2266,'Data Export'!$B$6:$B$78,0),1),IF(E2266=5,INDEX(ref_exp_dist,MATCH(B2266,'Refined Petro Exp Dist'!$B$6:$B$78,0),MATCH(C2266,'Refined Petro Exp Dist'!$AD$2:$BC$2,0))*INDEX(ref_exp_by_year,MATCH(B2266,'Data Export'!$B$6:$B$78,0),1)))</f>
        <v>0</v>
      </c>
      <c r="E2266">
        <v>5</v>
      </c>
      <c r="F2266" t="s">
        <v>171</v>
      </c>
    </row>
    <row r="2267" spans="1:6">
      <c r="A2267" t="str">
        <f t="shared" si="35"/>
        <v>GenericE&amp;DtemplateCIandGOA</v>
      </c>
      <c r="B2267">
        <v>18</v>
      </c>
      <c r="C2267">
        <v>4</v>
      </c>
      <c r="D2267" s="649">
        <f ca="1">IF(E2267=4,INDEX(crude_exp_dist,MATCH(B2267,'Crude Exp Dist'!$B$6:$B$78,0),MATCH(C2267,'Crude Exp Dist'!$AD$2:$BC$2,0))*INDEX(crude_exp_by_year,MATCH(B2267,'Data Export'!$B$6:$B$78,0),1),IF(E2267=5,INDEX(ref_exp_dist,MATCH(B2267,'Refined Petro Exp Dist'!$B$6:$B$78,0),MATCH(C2267,'Refined Petro Exp Dist'!$AD$2:$BC$2,0))*INDEX(ref_exp_by_year,MATCH(B2267,'Data Export'!$B$6:$B$78,0),1)))</f>
        <v>0</v>
      </c>
      <c r="E2267">
        <v>5</v>
      </c>
      <c r="F2267" t="s">
        <v>173</v>
      </c>
    </row>
    <row r="2268" spans="1:6">
      <c r="A2268" t="str">
        <f t="shared" si="35"/>
        <v>GenericE&amp;DtemplateCIandGOA</v>
      </c>
      <c r="B2268">
        <v>18</v>
      </c>
      <c r="C2268">
        <v>5</v>
      </c>
      <c r="D2268" s="649">
        <f ca="1">IF(E2268=4,INDEX(crude_exp_dist,MATCH(B2268,'Crude Exp Dist'!$B$6:$B$78,0),MATCH(C2268,'Crude Exp Dist'!$AD$2:$BC$2,0))*INDEX(crude_exp_by_year,MATCH(B2268,'Data Export'!$B$6:$B$78,0),1),IF(E2268=5,INDEX(ref_exp_dist,MATCH(B2268,'Refined Petro Exp Dist'!$B$6:$B$78,0),MATCH(C2268,'Refined Petro Exp Dist'!$AD$2:$BC$2,0))*INDEX(ref_exp_by_year,MATCH(B2268,'Data Export'!$B$6:$B$78,0),1)))</f>
        <v>0</v>
      </c>
      <c r="E2268">
        <v>5</v>
      </c>
      <c r="F2268" t="s">
        <v>180</v>
      </c>
    </row>
    <row r="2269" spans="1:6">
      <c r="A2269" t="str">
        <f t="shared" si="35"/>
        <v>GenericE&amp;DtemplateCIandGOA</v>
      </c>
      <c r="B2269">
        <v>18</v>
      </c>
      <c r="C2269">
        <v>6</v>
      </c>
      <c r="D2269" s="649">
        <f ca="1">IF(E2269=4,INDEX(crude_exp_dist,MATCH(B2269,'Crude Exp Dist'!$B$6:$B$78,0),MATCH(C2269,'Crude Exp Dist'!$AD$2:$BC$2,0))*INDEX(crude_exp_by_year,MATCH(B2269,'Data Export'!$B$6:$B$78,0),1),IF(E2269=5,INDEX(ref_exp_dist,MATCH(B2269,'Refined Petro Exp Dist'!$B$6:$B$78,0),MATCH(C2269,'Refined Petro Exp Dist'!$AD$2:$BC$2,0))*INDEX(ref_exp_by_year,MATCH(B2269,'Data Export'!$B$6:$B$78,0),1)))</f>
        <v>0.1042466136699258</v>
      </c>
      <c r="E2269">
        <v>5</v>
      </c>
      <c r="F2269" t="s">
        <v>186</v>
      </c>
    </row>
    <row r="2270" spans="1:6">
      <c r="A2270" t="str">
        <f t="shared" si="35"/>
        <v>GenericE&amp;DtemplateCIandGOA</v>
      </c>
      <c r="B2270">
        <v>18</v>
      </c>
      <c r="C2270">
        <v>7</v>
      </c>
      <c r="D2270" s="649">
        <f ca="1">IF(E2270=4,INDEX(crude_exp_dist,MATCH(B2270,'Crude Exp Dist'!$B$6:$B$78,0),MATCH(C2270,'Crude Exp Dist'!$AD$2:$BC$2,0))*INDEX(crude_exp_by_year,MATCH(B2270,'Data Export'!$B$6:$B$78,0),1),IF(E2270=5,INDEX(ref_exp_dist,MATCH(B2270,'Refined Petro Exp Dist'!$B$6:$B$78,0),MATCH(C2270,'Refined Petro Exp Dist'!$AD$2:$BC$2,0))*INDEX(ref_exp_by_year,MATCH(B2270,'Data Export'!$B$6:$B$78,0),1)))</f>
        <v>0</v>
      </c>
      <c r="E2270">
        <v>5</v>
      </c>
      <c r="F2270" t="s">
        <v>191</v>
      </c>
    </row>
    <row r="2271" spans="1:6">
      <c r="A2271" t="str">
        <f t="shared" si="35"/>
        <v>GenericE&amp;DtemplateCIandGOA</v>
      </c>
      <c r="B2271">
        <v>18</v>
      </c>
      <c r="C2271">
        <v>8</v>
      </c>
      <c r="D2271" s="649">
        <f ca="1">IF(E2271=4,INDEX(crude_exp_dist,MATCH(B2271,'Crude Exp Dist'!$B$6:$B$78,0),MATCH(C2271,'Crude Exp Dist'!$AD$2:$BC$2,0))*INDEX(crude_exp_by_year,MATCH(B2271,'Data Export'!$B$6:$B$78,0),1),IF(E2271=5,INDEX(ref_exp_dist,MATCH(B2271,'Refined Petro Exp Dist'!$B$6:$B$78,0),MATCH(C2271,'Refined Petro Exp Dist'!$AD$2:$BC$2,0))*INDEX(ref_exp_by_year,MATCH(B2271,'Data Export'!$B$6:$B$78,0),1)))</f>
        <v>0</v>
      </c>
      <c r="E2271">
        <v>5</v>
      </c>
      <c r="F2271" t="s">
        <v>197</v>
      </c>
    </row>
    <row r="2272" spans="1:6">
      <c r="A2272" t="str">
        <f t="shared" si="35"/>
        <v>GenericE&amp;DtemplateCIandGOA</v>
      </c>
      <c r="B2272">
        <v>18</v>
      </c>
      <c r="C2272">
        <v>9</v>
      </c>
      <c r="D2272" s="649">
        <f ca="1">IF(E2272=4,INDEX(crude_exp_dist,MATCH(B2272,'Crude Exp Dist'!$B$6:$B$78,0),MATCH(C2272,'Crude Exp Dist'!$AD$2:$BC$2,0))*INDEX(crude_exp_by_year,MATCH(B2272,'Data Export'!$B$6:$B$78,0),1),IF(E2272=5,INDEX(ref_exp_dist,MATCH(B2272,'Refined Petro Exp Dist'!$B$6:$B$78,0),MATCH(C2272,'Refined Petro Exp Dist'!$AD$2:$BC$2,0))*INDEX(ref_exp_by_year,MATCH(B2272,'Data Export'!$B$6:$B$78,0),1)))</f>
        <v>0</v>
      </c>
      <c r="E2272">
        <v>5</v>
      </c>
      <c r="F2272" t="s">
        <v>199</v>
      </c>
    </row>
    <row r="2273" spans="1:6">
      <c r="A2273" t="str">
        <f t="shared" si="35"/>
        <v>GenericE&amp;DtemplateCIandGOA</v>
      </c>
      <c r="B2273">
        <v>18</v>
      </c>
      <c r="C2273">
        <v>10</v>
      </c>
      <c r="D2273" s="649">
        <f ca="1">IF(E2273=4,INDEX(crude_exp_dist,MATCH(B2273,'Crude Exp Dist'!$B$6:$B$78,0),MATCH(C2273,'Crude Exp Dist'!$AD$2:$BC$2,0))*INDEX(crude_exp_by_year,MATCH(B2273,'Data Export'!$B$6:$B$78,0),1),IF(E2273=5,INDEX(ref_exp_dist,MATCH(B2273,'Refined Petro Exp Dist'!$B$6:$B$78,0),MATCH(C2273,'Refined Petro Exp Dist'!$AD$2:$BC$2,0))*INDEX(ref_exp_by_year,MATCH(B2273,'Data Export'!$B$6:$B$78,0),1)))</f>
        <v>0</v>
      </c>
      <c r="E2273">
        <v>5</v>
      </c>
      <c r="F2273" t="s">
        <v>201</v>
      </c>
    </row>
    <row r="2274" spans="1:6">
      <c r="A2274" t="str">
        <f t="shared" si="35"/>
        <v>GenericE&amp;DtemplateCIandGOA</v>
      </c>
      <c r="B2274">
        <v>18</v>
      </c>
      <c r="C2274">
        <v>11</v>
      </c>
      <c r="D2274" s="649">
        <f ca="1">IF(E2274=4,INDEX(crude_exp_dist,MATCH(B2274,'Crude Exp Dist'!$B$6:$B$78,0),MATCH(C2274,'Crude Exp Dist'!$AD$2:$BC$2,0))*INDEX(crude_exp_by_year,MATCH(B2274,'Data Export'!$B$6:$B$78,0),1),IF(E2274=5,INDEX(ref_exp_dist,MATCH(B2274,'Refined Petro Exp Dist'!$B$6:$B$78,0),MATCH(C2274,'Refined Petro Exp Dist'!$AD$2:$BC$2,0))*INDEX(ref_exp_by_year,MATCH(B2274,'Data Export'!$B$6:$B$78,0),1)))</f>
        <v>0</v>
      </c>
      <c r="E2274">
        <v>5</v>
      </c>
      <c r="F2274" t="s">
        <v>921</v>
      </c>
    </row>
    <row r="2275" spans="1:6">
      <c r="A2275" t="str">
        <f t="shared" si="35"/>
        <v>GenericE&amp;DtemplateCIandGOA</v>
      </c>
      <c r="B2275">
        <v>18</v>
      </c>
      <c r="C2275">
        <v>12</v>
      </c>
      <c r="D2275" s="649">
        <f ca="1">IF(E2275=4,INDEX(crude_exp_dist,MATCH(B2275,'Crude Exp Dist'!$B$6:$B$78,0),MATCH(C2275,'Crude Exp Dist'!$AD$2:$BC$2,0))*INDEX(crude_exp_by_year,MATCH(B2275,'Data Export'!$B$6:$B$78,0),1),IF(E2275=5,INDEX(ref_exp_dist,MATCH(B2275,'Refined Petro Exp Dist'!$B$6:$B$78,0),MATCH(C2275,'Refined Petro Exp Dist'!$AD$2:$BC$2,0))*INDEX(ref_exp_by_year,MATCH(B2275,'Data Export'!$B$6:$B$78,0),1)))</f>
        <v>2.3088147029253898E-2</v>
      </c>
      <c r="E2275">
        <v>5</v>
      </c>
      <c r="F2275" t="s">
        <v>208</v>
      </c>
    </row>
    <row r="2276" spans="1:6">
      <c r="A2276" t="str">
        <f t="shared" si="35"/>
        <v>GenericE&amp;DtemplateCIandGOA</v>
      </c>
      <c r="B2276">
        <v>18</v>
      </c>
      <c r="C2276">
        <v>13</v>
      </c>
      <c r="D2276" s="649">
        <f ca="1">IF(E2276=4,INDEX(crude_exp_dist,MATCH(B2276,'Crude Exp Dist'!$B$6:$B$78,0),MATCH(C2276,'Crude Exp Dist'!$AD$2:$BC$2,0))*INDEX(crude_exp_by_year,MATCH(B2276,'Data Export'!$B$6:$B$78,0),1),IF(E2276=5,INDEX(ref_exp_dist,MATCH(B2276,'Refined Petro Exp Dist'!$B$6:$B$78,0),MATCH(C2276,'Refined Petro Exp Dist'!$AD$2:$BC$2,0))*INDEX(ref_exp_by_year,MATCH(B2276,'Data Export'!$B$6:$B$78,0),1)))</f>
        <v>2.3088147029253898E-2</v>
      </c>
      <c r="E2276">
        <v>5</v>
      </c>
      <c r="F2276" t="s">
        <v>211</v>
      </c>
    </row>
    <row r="2277" spans="1:6">
      <c r="A2277" t="str">
        <f t="shared" si="35"/>
        <v>GenericE&amp;DtemplateCIandGOA</v>
      </c>
      <c r="B2277">
        <v>18</v>
      </c>
      <c r="C2277">
        <v>14</v>
      </c>
      <c r="D2277" s="649">
        <f ca="1">IF(E2277=4,INDEX(crude_exp_dist,MATCH(B2277,'Crude Exp Dist'!$B$6:$B$78,0),MATCH(C2277,'Crude Exp Dist'!$AD$2:$BC$2,0))*INDEX(crude_exp_by_year,MATCH(B2277,'Data Export'!$B$6:$B$78,0),1),IF(E2277=5,INDEX(ref_exp_dist,MATCH(B2277,'Refined Petro Exp Dist'!$B$6:$B$78,0),MATCH(C2277,'Refined Petro Exp Dist'!$AD$2:$BC$2,0))*INDEX(ref_exp_by_year,MATCH(B2277,'Data Export'!$B$6:$B$78,0),1)))</f>
        <v>0</v>
      </c>
      <c r="E2277">
        <v>5</v>
      </c>
      <c r="F2277" t="s">
        <v>213</v>
      </c>
    </row>
    <row r="2278" spans="1:6">
      <c r="A2278" t="str">
        <f t="shared" si="35"/>
        <v>GenericE&amp;DtemplateCIandGOA</v>
      </c>
      <c r="B2278">
        <v>18</v>
      </c>
      <c r="C2278">
        <v>15</v>
      </c>
      <c r="D2278" s="649">
        <f ca="1">IF(E2278=4,INDEX(crude_exp_dist,MATCH(B2278,'Crude Exp Dist'!$B$6:$B$78,0),MATCH(C2278,'Crude Exp Dist'!$AD$2:$BC$2,0))*INDEX(crude_exp_by_year,MATCH(B2278,'Data Export'!$B$6:$B$78,0),1),IF(E2278=5,INDEX(ref_exp_dist,MATCH(B2278,'Refined Petro Exp Dist'!$B$6:$B$78,0),MATCH(C2278,'Refined Petro Exp Dist'!$AD$2:$BC$2,0))*INDEX(ref_exp_by_year,MATCH(B2278,'Data Export'!$B$6:$B$78,0),1)))</f>
        <v>0</v>
      </c>
      <c r="E2278">
        <v>5</v>
      </c>
      <c r="F2278" t="s">
        <v>215</v>
      </c>
    </row>
    <row r="2279" spans="1:6">
      <c r="A2279" t="str">
        <f t="shared" si="35"/>
        <v>GenericE&amp;DtemplateCIandGOA</v>
      </c>
      <c r="B2279">
        <v>18</v>
      </c>
      <c r="C2279">
        <v>16</v>
      </c>
      <c r="D2279" s="649">
        <f ca="1">IF(E2279=4,INDEX(crude_exp_dist,MATCH(B2279,'Crude Exp Dist'!$B$6:$B$78,0),MATCH(C2279,'Crude Exp Dist'!$AD$2:$BC$2,0))*INDEX(crude_exp_by_year,MATCH(B2279,'Data Export'!$B$6:$B$78,0),1),IF(E2279=5,INDEX(ref_exp_dist,MATCH(B2279,'Refined Petro Exp Dist'!$B$6:$B$78,0),MATCH(C2279,'Refined Petro Exp Dist'!$AD$2:$BC$2,0))*INDEX(ref_exp_by_year,MATCH(B2279,'Data Export'!$B$6:$B$78,0),1)))</f>
        <v>0</v>
      </c>
      <c r="E2279">
        <v>5</v>
      </c>
      <c r="F2279" t="s">
        <v>219</v>
      </c>
    </row>
    <row r="2280" spans="1:6">
      <c r="A2280" t="str">
        <f t="shared" si="35"/>
        <v>GenericE&amp;DtemplateCIandGOA</v>
      </c>
      <c r="B2280">
        <v>18</v>
      </c>
      <c r="C2280">
        <v>17</v>
      </c>
      <c r="D2280" s="649">
        <f ca="1">IF(E2280=4,INDEX(crude_exp_dist,MATCH(B2280,'Crude Exp Dist'!$B$6:$B$78,0),MATCH(C2280,'Crude Exp Dist'!$AD$2:$BC$2,0))*INDEX(crude_exp_by_year,MATCH(B2280,'Data Export'!$B$6:$B$78,0),1),IF(E2280=5,INDEX(ref_exp_dist,MATCH(B2280,'Refined Petro Exp Dist'!$B$6:$B$78,0),MATCH(C2280,'Refined Petro Exp Dist'!$AD$2:$BC$2,0))*INDEX(ref_exp_by_year,MATCH(B2280,'Data Export'!$B$6:$B$78,0),1)))</f>
        <v>0</v>
      </c>
      <c r="E2280">
        <v>5</v>
      </c>
      <c r="F2280" t="s">
        <v>222</v>
      </c>
    </row>
    <row r="2281" spans="1:6">
      <c r="A2281" t="str">
        <f t="shared" si="35"/>
        <v>GenericE&amp;DtemplateCIandGOA</v>
      </c>
      <c r="B2281">
        <v>18</v>
      </c>
      <c r="C2281">
        <v>18</v>
      </c>
      <c r="D2281" s="649">
        <f ca="1">IF(E2281=4,INDEX(crude_exp_dist,MATCH(B2281,'Crude Exp Dist'!$B$6:$B$78,0),MATCH(C2281,'Crude Exp Dist'!$AD$2:$BC$2,0))*INDEX(crude_exp_by_year,MATCH(B2281,'Data Export'!$B$6:$B$78,0),1),IF(E2281=5,INDEX(ref_exp_dist,MATCH(B2281,'Refined Petro Exp Dist'!$B$6:$B$78,0),MATCH(C2281,'Refined Petro Exp Dist'!$AD$2:$BC$2,0))*INDEX(ref_exp_by_year,MATCH(B2281,'Data Export'!$B$6:$B$78,0),1)))</f>
        <v>0</v>
      </c>
      <c r="E2281">
        <v>5</v>
      </c>
      <c r="F2281" t="s">
        <v>224</v>
      </c>
    </row>
    <row r="2282" spans="1:6">
      <c r="A2282" t="str">
        <f t="shared" si="35"/>
        <v>GenericE&amp;DtemplateCIandGOA</v>
      </c>
      <c r="B2282">
        <v>18</v>
      </c>
      <c r="C2282">
        <v>19</v>
      </c>
      <c r="D2282" s="649">
        <f ca="1">IF(E2282=4,INDEX(crude_exp_dist,MATCH(B2282,'Crude Exp Dist'!$B$6:$B$78,0),MATCH(C2282,'Crude Exp Dist'!$AD$2:$BC$2,0))*INDEX(crude_exp_by_year,MATCH(B2282,'Data Export'!$B$6:$B$78,0),1),IF(E2282=5,INDEX(ref_exp_dist,MATCH(B2282,'Refined Petro Exp Dist'!$B$6:$B$78,0),MATCH(C2282,'Refined Petro Exp Dist'!$AD$2:$BC$2,0))*INDEX(ref_exp_by_year,MATCH(B2282,'Data Export'!$B$6:$B$78,0),1)))</f>
        <v>0</v>
      </c>
      <c r="E2282">
        <v>5</v>
      </c>
      <c r="F2282" t="s">
        <v>228</v>
      </c>
    </row>
    <row r="2283" spans="1:6">
      <c r="A2283" t="str">
        <f t="shared" si="35"/>
        <v>GenericE&amp;DtemplateCIandGOA</v>
      </c>
      <c r="B2283">
        <v>18</v>
      </c>
      <c r="C2283">
        <v>20</v>
      </c>
      <c r="D2283" s="649">
        <f ca="1">IF(E2283=4,INDEX(crude_exp_dist,MATCH(B2283,'Crude Exp Dist'!$B$6:$B$78,0),MATCH(C2283,'Crude Exp Dist'!$AD$2:$BC$2,0))*INDEX(crude_exp_by_year,MATCH(B2283,'Data Export'!$B$6:$B$78,0),1),IF(E2283=5,INDEX(ref_exp_dist,MATCH(B2283,'Refined Petro Exp Dist'!$B$6:$B$78,0),MATCH(C2283,'Refined Petro Exp Dist'!$AD$2:$BC$2,0))*INDEX(ref_exp_by_year,MATCH(B2283,'Data Export'!$B$6:$B$78,0),1)))</f>
        <v>0</v>
      </c>
      <c r="E2283">
        <v>5</v>
      </c>
      <c r="F2283" t="s">
        <v>231</v>
      </c>
    </row>
    <row r="2284" spans="1:6">
      <c r="A2284" t="str">
        <f t="shared" si="35"/>
        <v>GenericE&amp;DtemplateCIandGOA</v>
      </c>
      <c r="B2284">
        <v>18</v>
      </c>
      <c r="C2284">
        <v>21</v>
      </c>
      <c r="D2284" s="649">
        <f ca="1">IF(E2284=4,INDEX(crude_exp_dist,MATCH(B2284,'Crude Exp Dist'!$B$6:$B$78,0),MATCH(C2284,'Crude Exp Dist'!$AD$2:$BC$2,0))*INDEX(crude_exp_by_year,MATCH(B2284,'Data Export'!$B$6:$B$78,0),1),IF(E2284=5,INDEX(ref_exp_dist,MATCH(B2284,'Refined Petro Exp Dist'!$B$6:$B$78,0),MATCH(C2284,'Refined Petro Exp Dist'!$AD$2:$BC$2,0))*INDEX(ref_exp_by_year,MATCH(B2284,'Data Export'!$B$6:$B$78,0),1)))</f>
        <v>0</v>
      </c>
      <c r="E2284">
        <v>5</v>
      </c>
      <c r="F2284" t="s">
        <v>232</v>
      </c>
    </row>
    <row r="2285" spans="1:6">
      <c r="A2285" t="str">
        <f t="shared" si="35"/>
        <v>GenericE&amp;DtemplateCIandGOA</v>
      </c>
      <c r="B2285">
        <v>18</v>
      </c>
      <c r="C2285">
        <v>22</v>
      </c>
      <c r="D2285" s="649">
        <f ca="1">IF(E2285=4,INDEX(crude_exp_dist,MATCH(B2285,'Crude Exp Dist'!$B$6:$B$78,0),MATCH(C2285,'Crude Exp Dist'!$AD$2:$BC$2,0))*INDEX(crude_exp_by_year,MATCH(B2285,'Data Export'!$B$6:$B$78,0),1),IF(E2285=5,INDEX(ref_exp_dist,MATCH(B2285,'Refined Petro Exp Dist'!$B$6:$B$78,0),MATCH(C2285,'Refined Petro Exp Dist'!$AD$2:$BC$2,0))*INDEX(ref_exp_by_year,MATCH(B2285,'Data Export'!$B$6:$B$78,0),1)))</f>
        <v>0</v>
      </c>
      <c r="E2285">
        <v>5</v>
      </c>
      <c r="F2285" t="s">
        <v>235</v>
      </c>
    </row>
    <row r="2286" spans="1:6">
      <c r="A2286" t="str">
        <f t="shared" si="35"/>
        <v>GenericE&amp;DtemplateCIandGOA</v>
      </c>
      <c r="B2286">
        <v>18</v>
      </c>
      <c r="C2286">
        <v>23</v>
      </c>
      <c r="D2286" s="649">
        <f ca="1">IF(E2286=4,INDEX(crude_exp_dist,MATCH(B2286,'Crude Exp Dist'!$B$6:$B$78,0),MATCH(C2286,'Crude Exp Dist'!$AD$2:$BC$2,0))*INDEX(crude_exp_by_year,MATCH(B2286,'Data Export'!$B$6:$B$78,0),1),IF(E2286=5,INDEX(ref_exp_dist,MATCH(B2286,'Refined Petro Exp Dist'!$B$6:$B$78,0),MATCH(C2286,'Refined Petro Exp Dist'!$AD$2:$BC$2,0))*INDEX(ref_exp_by_year,MATCH(B2286,'Data Export'!$B$6:$B$78,0),1)))</f>
        <v>0</v>
      </c>
      <c r="E2286">
        <v>5</v>
      </c>
      <c r="F2286" t="s">
        <v>237</v>
      </c>
    </row>
    <row r="2287" spans="1:6">
      <c r="A2287" t="str">
        <f t="shared" si="35"/>
        <v>GenericE&amp;DtemplateCIandGOA</v>
      </c>
      <c r="B2287">
        <v>18</v>
      </c>
      <c r="C2287">
        <v>24</v>
      </c>
      <c r="D2287" s="649">
        <f ca="1">IF(E2287=4,INDEX(crude_exp_dist,MATCH(B2287,'Crude Exp Dist'!$B$6:$B$78,0),MATCH(C2287,'Crude Exp Dist'!$AD$2:$BC$2,0))*INDEX(crude_exp_by_year,MATCH(B2287,'Data Export'!$B$6:$B$78,0),1),IF(E2287=5,INDEX(ref_exp_dist,MATCH(B2287,'Refined Petro Exp Dist'!$B$6:$B$78,0),MATCH(C2287,'Refined Petro Exp Dist'!$AD$2:$BC$2,0))*INDEX(ref_exp_by_year,MATCH(B2287,'Data Export'!$B$6:$B$78,0),1)))</f>
        <v>0</v>
      </c>
      <c r="E2287">
        <v>5</v>
      </c>
      <c r="F2287" t="s">
        <v>239</v>
      </c>
    </row>
    <row r="2288" spans="1:6">
      <c r="A2288" t="str">
        <f t="shared" si="35"/>
        <v>GenericE&amp;DtemplateCIandGOA</v>
      </c>
      <c r="B2288">
        <v>18</v>
      </c>
      <c r="C2288">
        <v>25</v>
      </c>
      <c r="D2288" s="649">
        <f ca="1">IF(E2288=4,INDEX(crude_exp_dist,MATCH(B2288,'Crude Exp Dist'!$B$6:$B$78,0),MATCH(C2288,'Crude Exp Dist'!$AD$2:$BC$2,0))*INDEX(crude_exp_by_year,MATCH(B2288,'Data Export'!$B$6:$B$78,0),1),IF(E2288=5,INDEX(ref_exp_dist,MATCH(B2288,'Refined Petro Exp Dist'!$B$6:$B$78,0),MATCH(C2288,'Refined Petro Exp Dist'!$AD$2:$BC$2,0))*INDEX(ref_exp_by_year,MATCH(B2288,'Data Export'!$B$6:$B$78,0),1)))</f>
        <v>0</v>
      </c>
      <c r="E2288">
        <v>5</v>
      </c>
      <c r="F2288" t="s">
        <v>242</v>
      </c>
    </row>
    <row r="2289" spans="1:6">
      <c r="A2289" t="str">
        <f t="shared" si="35"/>
        <v>GenericE&amp;DtemplateCIandGOA</v>
      </c>
      <c r="B2289">
        <v>18</v>
      </c>
      <c r="C2289">
        <v>26</v>
      </c>
      <c r="D2289" s="649">
        <f ca="1">IF(E2289=4,INDEX(crude_exp_dist,MATCH(B2289,'Crude Exp Dist'!$B$6:$B$78,0),MATCH(C2289,'Crude Exp Dist'!$AD$2:$BC$2,0))*INDEX(crude_exp_by_year,MATCH(B2289,'Data Export'!$B$6:$B$78,0),1),IF(E2289=5,INDEX(ref_exp_dist,MATCH(B2289,'Refined Petro Exp Dist'!$B$6:$B$78,0),MATCH(C2289,'Refined Petro Exp Dist'!$AD$2:$BC$2,0))*INDEX(ref_exp_by_year,MATCH(B2289,'Data Export'!$B$6:$B$78,0),1)))</f>
        <v>0</v>
      </c>
      <c r="E2289">
        <v>5</v>
      </c>
      <c r="F2289" t="s">
        <v>245</v>
      </c>
    </row>
    <row r="2290" spans="1:6">
      <c r="A2290" t="str">
        <f t="shared" si="35"/>
        <v>GenericE&amp;DtemplateCIandGOA</v>
      </c>
      <c r="B2290">
        <v>19</v>
      </c>
      <c r="C2290">
        <v>1</v>
      </c>
      <c r="D2290" s="649">
        <f ca="1">IF(E2290=4,INDEX(crude_exp_dist,MATCH(B2290,'Crude Exp Dist'!$B$6:$B$78,0),MATCH(C2290,'Crude Exp Dist'!$AD$2:$BC$2,0))*INDEX(crude_exp_by_year,MATCH(B2290,'Data Export'!$B$6:$B$78,0),1),IF(E2290=5,INDEX(ref_exp_dist,MATCH(B2290,'Refined Petro Exp Dist'!$B$6:$B$78,0),MATCH(C2290,'Refined Petro Exp Dist'!$AD$2:$BC$2,0))*INDEX(ref_exp_by_year,MATCH(B2290,'Data Export'!$B$6:$B$78,0),1)))</f>
        <v>0</v>
      </c>
      <c r="E2290">
        <v>5</v>
      </c>
      <c r="F2290" t="s">
        <v>158</v>
      </c>
    </row>
    <row r="2291" spans="1:6">
      <c r="A2291" t="str">
        <f t="shared" si="35"/>
        <v>GenericE&amp;DtemplateCIandGOA</v>
      </c>
      <c r="B2291">
        <v>19</v>
      </c>
      <c r="C2291">
        <v>2</v>
      </c>
      <c r="D2291" s="649">
        <f ca="1">IF(E2291=4,INDEX(crude_exp_dist,MATCH(B2291,'Crude Exp Dist'!$B$6:$B$78,0),MATCH(C2291,'Crude Exp Dist'!$AD$2:$BC$2,0))*INDEX(crude_exp_by_year,MATCH(B2291,'Data Export'!$B$6:$B$78,0),1),IF(E2291=5,INDEX(ref_exp_dist,MATCH(B2291,'Refined Petro Exp Dist'!$B$6:$B$78,0),MATCH(C2291,'Refined Petro Exp Dist'!$AD$2:$BC$2,0))*INDEX(ref_exp_by_year,MATCH(B2291,'Data Export'!$B$6:$B$78,0),1)))</f>
        <v>0</v>
      </c>
      <c r="E2291">
        <v>5</v>
      </c>
      <c r="F2291" t="s">
        <v>166</v>
      </c>
    </row>
    <row r="2292" spans="1:6">
      <c r="A2292" t="str">
        <f t="shared" si="35"/>
        <v>GenericE&amp;DtemplateCIandGOA</v>
      </c>
      <c r="B2292">
        <v>19</v>
      </c>
      <c r="C2292">
        <v>3</v>
      </c>
      <c r="D2292" s="649">
        <f ca="1">IF(E2292=4,INDEX(crude_exp_dist,MATCH(B2292,'Crude Exp Dist'!$B$6:$B$78,0),MATCH(C2292,'Crude Exp Dist'!$AD$2:$BC$2,0))*INDEX(crude_exp_by_year,MATCH(B2292,'Data Export'!$B$6:$B$78,0),1),IF(E2292=5,INDEX(ref_exp_dist,MATCH(B2292,'Refined Petro Exp Dist'!$B$6:$B$78,0),MATCH(C2292,'Refined Petro Exp Dist'!$AD$2:$BC$2,0))*INDEX(ref_exp_by_year,MATCH(B2292,'Data Export'!$B$6:$B$78,0),1)))</f>
        <v>0</v>
      </c>
      <c r="E2292">
        <v>5</v>
      </c>
      <c r="F2292" t="s">
        <v>171</v>
      </c>
    </row>
    <row r="2293" spans="1:6">
      <c r="A2293" t="str">
        <f t="shared" si="35"/>
        <v>GenericE&amp;DtemplateCIandGOA</v>
      </c>
      <c r="B2293">
        <v>19</v>
      </c>
      <c r="C2293">
        <v>4</v>
      </c>
      <c r="D2293" s="649">
        <f ca="1">IF(E2293=4,INDEX(crude_exp_dist,MATCH(B2293,'Crude Exp Dist'!$B$6:$B$78,0),MATCH(C2293,'Crude Exp Dist'!$AD$2:$BC$2,0))*INDEX(crude_exp_by_year,MATCH(B2293,'Data Export'!$B$6:$B$78,0),1),IF(E2293=5,INDEX(ref_exp_dist,MATCH(B2293,'Refined Petro Exp Dist'!$B$6:$B$78,0),MATCH(C2293,'Refined Petro Exp Dist'!$AD$2:$BC$2,0))*INDEX(ref_exp_by_year,MATCH(B2293,'Data Export'!$B$6:$B$78,0),1)))</f>
        <v>0</v>
      </c>
      <c r="E2293">
        <v>5</v>
      </c>
      <c r="F2293" t="s">
        <v>173</v>
      </c>
    </row>
    <row r="2294" spans="1:6">
      <c r="A2294" t="str">
        <f t="shared" si="35"/>
        <v>GenericE&amp;DtemplateCIandGOA</v>
      </c>
      <c r="B2294">
        <v>19</v>
      </c>
      <c r="C2294">
        <v>5</v>
      </c>
      <c r="D2294" s="649">
        <f ca="1">IF(E2294=4,INDEX(crude_exp_dist,MATCH(B2294,'Crude Exp Dist'!$B$6:$B$78,0),MATCH(C2294,'Crude Exp Dist'!$AD$2:$BC$2,0))*INDEX(crude_exp_by_year,MATCH(B2294,'Data Export'!$B$6:$B$78,0),1),IF(E2294=5,INDEX(ref_exp_dist,MATCH(B2294,'Refined Petro Exp Dist'!$B$6:$B$78,0),MATCH(C2294,'Refined Petro Exp Dist'!$AD$2:$BC$2,0))*INDEX(ref_exp_by_year,MATCH(B2294,'Data Export'!$B$6:$B$78,0),1)))</f>
        <v>0</v>
      </c>
      <c r="E2294">
        <v>5</v>
      </c>
      <c r="F2294" t="s">
        <v>180</v>
      </c>
    </row>
    <row r="2295" spans="1:6">
      <c r="A2295" t="str">
        <f t="shared" si="35"/>
        <v>GenericE&amp;DtemplateCIandGOA</v>
      </c>
      <c r="B2295">
        <v>19</v>
      </c>
      <c r="C2295">
        <v>6</v>
      </c>
      <c r="D2295" s="649">
        <f ca="1">IF(E2295=4,INDEX(crude_exp_dist,MATCH(B2295,'Crude Exp Dist'!$B$6:$B$78,0),MATCH(C2295,'Crude Exp Dist'!$AD$2:$BC$2,0))*INDEX(crude_exp_by_year,MATCH(B2295,'Data Export'!$B$6:$B$78,0),1),IF(E2295=5,INDEX(ref_exp_dist,MATCH(B2295,'Refined Petro Exp Dist'!$B$6:$B$78,0),MATCH(C2295,'Refined Petro Exp Dist'!$AD$2:$BC$2,0))*INDEX(ref_exp_by_year,MATCH(B2295,'Data Export'!$B$6:$B$78,0),1)))</f>
        <v>0.10549492640971914</v>
      </c>
      <c r="E2295">
        <v>5</v>
      </c>
      <c r="F2295" t="s">
        <v>186</v>
      </c>
    </row>
    <row r="2296" spans="1:6">
      <c r="A2296" t="str">
        <f t="shared" si="35"/>
        <v>GenericE&amp;DtemplateCIandGOA</v>
      </c>
      <c r="B2296">
        <v>19</v>
      </c>
      <c r="C2296">
        <v>7</v>
      </c>
      <c r="D2296" s="649">
        <f ca="1">IF(E2296=4,INDEX(crude_exp_dist,MATCH(B2296,'Crude Exp Dist'!$B$6:$B$78,0),MATCH(C2296,'Crude Exp Dist'!$AD$2:$BC$2,0))*INDEX(crude_exp_by_year,MATCH(B2296,'Data Export'!$B$6:$B$78,0),1),IF(E2296=5,INDEX(ref_exp_dist,MATCH(B2296,'Refined Petro Exp Dist'!$B$6:$B$78,0),MATCH(C2296,'Refined Petro Exp Dist'!$AD$2:$BC$2,0))*INDEX(ref_exp_by_year,MATCH(B2296,'Data Export'!$B$6:$B$78,0),1)))</f>
        <v>0</v>
      </c>
      <c r="E2296">
        <v>5</v>
      </c>
      <c r="F2296" t="s">
        <v>191</v>
      </c>
    </row>
    <row r="2297" spans="1:6">
      <c r="A2297" t="str">
        <f t="shared" si="35"/>
        <v>GenericE&amp;DtemplateCIandGOA</v>
      </c>
      <c r="B2297">
        <v>19</v>
      </c>
      <c r="C2297">
        <v>8</v>
      </c>
      <c r="D2297" s="649">
        <f ca="1">IF(E2297=4,INDEX(crude_exp_dist,MATCH(B2297,'Crude Exp Dist'!$B$6:$B$78,0),MATCH(C2297,'Crude Exp Dist'!$AD$2:$BC$2,0))*INDEX(crude_exp_by_year,MATCH(B2297,'Data Export'!$B$6:$B$78,0),1),IF(E2297=5,INDEX(ref_exp_dist,MATCH(B2297,'Refined Petro Exp Dist'!$B$6:$B$78,0),MATCH(C2297,'Refined Petro Exp Dist'!$AD$2:$BC$2,0))*INDEX(ref_exp_by_year,MATCH(B2297,'Data Export'!$B$6:$B$78,0),1)))</f>
        <v>0</v>
      </c>
      <c r="E2297">
        <v>5</v>
      </c>
      <c r="F2297" t="s">
        <v>197</v>
      </c>
    </row>
    <row r="2298" spans="1:6">
      <c r="A2298" t="str">
        <f t="shared" si="35"/>
        <v>GenericE&amp;DtemplateCIandGOA</v>
      </c>
      <c r="B2298">
        <v>19</v>
      </c>
      <c r="C2298">
        <v>9</v>
      </c>
      <c r="D2298" s="649">
        <f ca="1">IF(E2298=4,INDEX(crude_exp_dist,MATCH(B2298,'Crude Exp Dist'!$B$6:$B$78,0),MATCH(C2298,'Crude Exp Dist'!$AD$2:$BC$2,0))*INDEX(crude_exp_by_year,MATCH(B2298,'Data Export'!$B$6:$B$78,0),1),IF(E2298=5,INDEX(ref_exp_dist,MATCH(B2298,'Refined Petro Exp Dist'!$B$6:$B$78,0),MATCH(C2298,'Refined Petro Exp Dist'!$AD$2:$BC$2,0))*INDEX(ref_exp_by_year,MATCH(B2298,'Data Export'!$B$6:$B$78,0),1)))</f>
        <v>0</v>
      </c>
      <c r="E2298">
        <v>5</v>
      </c>
      <c r="F2298" t="s">
        <v>199</v>
      </c>
    </row>
    <row r="2299" spans="1:6">
      <c r="A2299" t="str">
        <f t="shared" si="35"/>
        <v>GenericE&amp;DtemplateCIandGOA</v>
      </c>
      <c r="B2299">
        <v>19</v>
      </c>
      <c r="C2299">
        <v>10</v>
      </c>
      <c r="D2299" s="649">
        <f ca="1">IF(E2299=4,INDEX(crude_exp_dist,MATCH(B2299,'Crude Exp Dist'!$B$6:$B$78,0),MATCH(C2299,'Crude Exp Dist'!$AD$2:$BC$2,0))*INDEX(crude_exp_by_year,MATCH(B2299,'Data Export'!$B$6:$B$78,0),1),IF(E2299=5,INDEX(ref_exp_dist,MATCH(B2299,'Refined Petro Exp Dist'!$B$6:$B$78,0),MATCH(C2299,'Refined Petro Exp Dist'!$AD$2:$BC$2,0))*INDEX(ref_exp_by_year,MATCH(B2299,'Data Export'!$B$6:$B$78,0),1)))</f>
        <v>0</v>
      </c>
      <c r="E2299">
        <v>5</v>
      </c>
      <c r="F2299" t="s">
        <v>201</v>
      </c>
    </row>
    <row r="2300" spans="1:6">
      <c r="A2300" t="str">
        <f t="shared" si="35"/>
        <v>GenericE&amp;DtemplateCIandGOA</v>
      </c>
      <c r="B2300">
        <v>19</v>
      </c>
      <c r="C2300">
        <v>11</v>
      </c>
      <c r="D2300" s="649">
        <f ca="1">IF(E2300=4,INDEX(crude_exp_dist,MATCH(B2300,'Crude Exp Dist'!$B$6:$B$78,0),MATCH(C2300,'Crude Exp Dist'!$AD$2:$BC$2,0))*INDEX(crude_exp_by_year,MATCH(B2300,'Data Export'!$B$6:$B$78,0),1),IF(E2300=5,INDEX(ref_exp_dist,MATCH(B2300,'Refined Petro Exp Dist'!$B$6:$B$78,0),MATCH(C2300,'Refined Petro Exp Dist'!$AD$2:$BC$2,0))*INDEX(ref_exp_by_year,MATCH(B2300,'Data Export'!$B$6:$B$78,0),1)))</f>
        <v>0</v>
      </c>
      <c r="E2300">
        <v>5</v>
      </c>
      <c r="F2300" t="s">
        <v>921</v>
      </c>
    </row>
    <row r="2301" spans="1:6">
      <c r="A2301" t="str">
        <f t="shared" si="35"/>
        <v>GenericE&amp;DtemplateCIandGOA</v>
      </c>
      <c r="B2301">
        <v>19</v>
      </c>
      <c r="C2301">
        <v>12</v>
      </c>
      <c r="D2301" s="649">
        <f ca="1">IF(E2301=4,INDEX(crude_exp_dist,MATCH(B2301,'Crude Exp Dist'!$B$6:$B$78,0),MATCH(C2301,'Crude Exp Dist'!$AD$2:$BC$2,0))*INDEX(crude_exp_by_year,MATCH(B2301,'Data Export'!$B$6:$B$78,0),1),IF(E2301=5,INDEX(ref_exp_dist,MATCH(B2301,'Refined Petro Exp Dist'!$B$6:$B$78,0),MATCH(C2301,'Refined Petro Exp Dist'!$AD$2:$BC$2,0))*INDEX(ref_exp_by_year,MATCH(B2301,'Data Export'!$B$6:$B$78,0),1)))</f>
        <v>2.3364618629243664E-2</v>
      </c>
      <c r="E2301">
        <v>5</v>
      </c>
      <c r="F2301" t="s">
        <v>208</v>
      </c>
    </row>
    <row r="2302" spans="1:6">
      <c r="A2302" t="str">
        <f t="shared" si="35"/>
        <v>GenericE&amp;DtemplateCIandGOA</v>
      </c>
      <c r="B2302">
        <v>19</v>
      </c>
      <c r="C2302">
        <v>13</v>
      </c>
      <c r="D2302" s="649">
        <f ca="1">IF(E2302=4,INDEX(crude_exp_dist,MATCH(B2302,'Crude Exp Dist'!$B$6:$B$78,0),MATCH(C2302,'Crude Exp Dist'!$AD$2:$BC$2,0))*INDEX(crude_exp_by_year,MATCH(B2302,'Data Export'!$B$6:$B$78,0),1),IF(E2302=5,INDEX(ref_exp_dist,MATCH(B2302,'Refined Petro Exp Dist'!$B$6:$B$78,0),MATCH(C2302,'Refined Petro Exp Dist'!$AD$2:$BC$2,0))*INDEX(ref_exp_by_year,MATCH(B2302,'Data Export'!$B$6:$B$78,0),1)))</f>
        <v>2.3364618629243664E-2</v>
      </c>
      <c r="E2302">
        <v>5</v>
      </c>
      <c r="F2302" t="s">
        <v>211</v>
      </c>
    </row>
    <row r="2303" spans="1:6">
      <c r="A2303" t="str">
        <f t="shared" si="35"/>
        <v>GenericE&amp;DtemplateCIandGOA</v>
      </c>
      <c r="B2303">
        <v>19</v>
      </c>
      <c r="C2303">
        <v>14</v>
      </c>
      <c r="D2303" s="649">
        <f ca="1">IF(E2303=4,INDEX(crude_exp_dist,MATCH(B2303,'Crude Exp Dist'!$B$6:$B$78,0),MATCH(C2303,'Crude Exp Dist'!$AD$2:$BC$2,0))*INDEX(crude_exp_by_year,MATCH(B2303,'Data Export'!$B$6:$B$78,0),1),IF(E2303=5,INDEX(ref_exp_dist,MATCH(B2303,'Refined Petro Exp Dist'!$B$6:$B$78,0),MATCH(C2303,'Refined Petro Exp Dist'!$AD$2:$BC$2,0))*INDEX(ref_exp_by_year,MATCH(B2303,'Data Export'!$B$6:$B$78,0),1)))</f>
        <v>0</v>
      </c>
      <c r="E2303">
        <v>5</v>
      </c>
      <c r="F2303" t="s">
        <v>213</v>
      </c>
    </row>
    <row r="2304" spans="1:6">
      <c r="A2304" t="str">
        <f t="shared" si="35"/>
        <v>GenericE&amp;DtemplateCIandGOA</v>
      </c>
      <c r="B2304">
        <v>19</v>
      </c>
      <c r="C2304">
        <v>15</v>
      </c>
      <c r="D2304" s="649">
        <f ca="1">IF(E2304=4,INDEX(crude_exp_dist,MATCH(B2304,'Crude Exp Dist'!$B$6:$B$78,0),MATCH(C2304,'Crude Exp Dist'!$AD$2:$BC$2,0))*INDEX(crude_exp_by_year,MATCH(B2304,'Data Export'!$B$6:$B$78,0),1),IF(E2304=5,INDEX(ref_exp_dist,MATCH(B2304,'Refined Petro Exp Dist'!$B$6:$B$78,0),MATCH(C2304,'Refined Petro Exp Dist'!$AD$2:$BC$2,0))*INDEX(ref_exp_by_year,MATCH(B2304,'Data Export'!$B$6:$B$78,0),1)))</f>
        <v>0</v>
      </c>
      <c r="E2304">
        <v>5</v>
      </c>
      <c r="F2304" t="s">
        <v>215</v>
      </c>
    </row>
    <row r="2305" spans="1:6">
      <c r="A2305" t="str">
        <f t="shared" si="35"/>
        <v>GenericE&amp;DtemplateCIandGOA</v>
      </c>
      <c r="B2305">
        <v>19</v>
      </c>
      <c r="C2305">
        <v>16</v>
      </c>
      <c r="D2305" s="649">
        <f ca="1">IF(E2305=4,INDEX(crude_exp_dist,MATCH(B2305,'Crude Exp Dist'!$B$6:$B$78,0),MATCH(C2305,'Crude Exp Dist'!$AD$2:$BC$2,0))*INDEX(crude_exp_by_year,MATCH(B2305,'Data Export'!$B$6:$B$78,0),1),IF(E2305=5,INDEX(ref_exp_dist,MATCH(B2305,'Refined Petro Exp Dist'!$B$6:$B$78,0),MATCH(C2305,'Refined Petro Exp Dist'!$AD$2:$BC$2,0))*INDEX(ref_exp_by_year,MATCH(B2305,'Data Export'!$B$6:$B$78,0),1)))</f>
        <v>0</v>
      </c>
      <c r="E2305">
        <v>5</v>
      </c>
      <c r="F2305" t="s">
        <v>219</v>
      </c>
    </row>
    <row r="2306" spans="1:6">
      <c r="A2306" t="str">
        <f t="shared" ref="A2306:A2369" si="36">scenario_name</f>
        <v>GenericE&amp;DtemplateCIandGOA</v>
      </c>
      <c r="B2306">
        <v>19</v>
      </c>
      <c r="C2306">
        <v>17</v>
      </c>
      <c r="D2306" s="649">
        <f ca="1">IF(E2306=4,INDEX(crude_exp_dist,MATCH(B2306,'Crude Exp Dist'!$B$6:$B$78,0),MATCH(C2306,'Crude Exp Dist'!$AD$2:$BC$2,0))*INDEX(crude_exp_by_year,MATCH(B2306,'Data Export'!$B$6:$B$78,0),1),IF(E2306=5,INDEX(ref_exp_dist,MATCH(B2306,'Refined Petro Exp Dist'!$B$6:$B$78,0),MATCH(C2306,'Refined Petro Exp Dist'!$AD$2:$BC$2,0))*INDEX(ref_exp_by_year,MATCH(B2306,'Data Export'!$B$6:$B$78,0),1)))</f>
        <v>0</v>
      </c>
      <c r="E2306">
        <v>5</v>
      </c>
      <c r="F2306" t="s">
        <v>222</v>
      </c>
    </row>
    <row r="2307" spans="1:6">
      <c r="A2307" t="str">
        <f t="shared" si="36"/>
        <v>GenericE&amp;DtemplateCIandGOA</v>
      </c>
      <c r="B2307">
        <v>19</v>
      </c>
      <c r="C2307">
        <v>18</v>
      </c>
      <c r="D2307" s="649">
        <f ca="1">IF(E2307=4,INDEX(crude_exp_dist,MATCH(B2307,'Crude Exp Dist'!$B$6:$B$78,0),MATCH(C2307,'Crude Exp Dist'!$AD$2:$BC$2,0))*INDEX(crude_exp_by_year,MATCH(B2307,'Data Export'!$B$6:$B$78,0),1),IF(E2307=5,INDEX(ref_exp_dist,MATCH(B2307,'Refined Petro Exp Dist'!$B$6:$B$78,0),MATCH(C2307,'Refined Petro Exp Dist'!$AD$2:$BC$2,0))*INDEX(ref_exp_by_year,MATCH(B2307,'Data Export'!$B$6:$B$78,0),1)))</f>
        <v>0</v>
      </c>
      <c r="E2307">
        <v>5</v>
      </c>
      <c r="F2307" t="s">
        <v>224</v>
      </c>
    </row>
    <row r="2308" spans="1:6">
      <c r="A2308" t="str">
        <f t="shared" si="36"/>
        <v>GenericE&amp;DtemplateCIandGOA</v>
      </c>
      <c r="B2308">
        <v>19</v>
      </c>
      <c r="C2308">
        <v>19</v>
      </c>
      <c r="D2308" s="649">
        <f ca="1">IF(E2308=4,INDEX(crude_exp_dist,MATCH(B2308,'Crude Exp Dist'!$B$6:$B$78,0),MATCH(C2308,'Crude Exp Dist'!$AD$2:$BC$2,0))*INDEX(crude_exp_by_year,MATCH(B2308,'Data Export'!$B$6:$B$78,0),1),IF(E2308=5,INDEX(ref_exp_dist,MATCH(B2308,'Refined Petro Exp Dist'!$B$6:$B$78,0),MATCH(C2308,'Refined Petro Exp Dist'!$AD$2:$BC$2,0))*INDEX(ref_exp_by_year,MATCH(B2308,'Data Export'!$B$6:$B$78,0),1)))</f>
        <v>0</v>
      </c>
      <c r="E2308">
        <v>5</v>
      </c>
      <c r="F2308" t="s">
        <v>228</v>
      </c>
    </row>
    <row r="2309" spans="1:6">
      <c r="A2309" t="str">
        <f t="shared" si="36"/>
        <v>GenericE&amp;DtemplateCIandGOA</v>
      </c>
      <c r="B2309">
        <v>19</v>
      </c>
      <c r="C2309">
        <v>20</v>
      </c>
      <c r="D2309" s="649">
        <f ca="1">IF(E2309=4,INDEX(crude_exp_dist,MATCH(B2309,'Crude Exp Dist'!$B$6:$B$78,0),MATCH(C2309,'Crude Exp Dist'!$AD$2:$BC$2,0))*INDEX(crude_exp_by_year,MATCH(B2309,'Data Export'!$B$6:$B$78,0),1),IF(E2309=5,INDEX(ref_exp_dist,MATCH(B2309,'Refined Petro Exp Dist'!$B$6:$B$78,0),MATCH(C2309,'Refined Petro Exp Dist'!$AD$2:$BC$2,0))*INDEX(ref_exp_by_year,MATCH(B2309,'Data Export'!$B$6:$B$78,0),1)))</f>
        <v>0</v>
      </c>
      <c r="E2309">
        <v>5</v>
      </c>
      <c r="F2309" t="s">
        <v>231</v>
      </c>
    </row>
    <row r="2310" spans="1:6">
      <c r="A2310" t="str">
        <f t="shared" si="36"/>
        <v>GenericE&amp;DtemplateCIandGOA</v>
      </c>
      <c r="B2310">
        <v>19</v>
      </c>
      <c r="C2310">
        <v>21</v>
      </c>
      <c r="D2310" s="649">
        <f ca="1">IF(E2310=4,INDEX(crude_exp_dist,MATCH(B2310,'Crude Exp Dist'!$B$6:$B$78,0),MATCH(C2310,'Crude Exp Dist'!$AD$2:$BC$2,0))*INDEX(crude_exp_by_year,MATCH(B2310,'Data Export'!$B$6:$B$78,0),1),IF(E2310=5,INDEX(ref_exp_dist,MATCH(B2310,'Refined Petro Exp Dist'!$B$6:$B$78,0),MATCH(C2310,'Refined Petro Exp Dist'!$AD$2:$BC$2,0))*INDEX(ref_exp_by_year,MATCH(B2310,'Data Export'!$B$6:$B$78,0),1)))</f>
        <v>0</v>
      </c>
      <c r="E2310">
        <v>5</v>
      </c>
      <c r="F2310" t="s">
        <v>232</v>
      </c>
    </row>
    <row r="2311" spans="1:6">
      <c r="A2311" t="str">
        <f t="shared" si="36"/>
        <v>GenericE&amp;DtemplateCIandGOA</v>
      </c>
      <c r="B2311">
        <v>19</v>
      </c>
      <c r="C2311">
        <v>22</v>
      </c>
      <c r="D2311" s="649">
        <f ca="1">IF(E2311=4,INDEX(crude_exp_dist,MATCH(B2311,'Crude Exp Dist'!$B$6:$B$78,0),MATCH(C2311,'Crude Exp Dist'!$AD$2:$BC$2,0))*INDEX(crude_exp_by_year,MATCH(B2311,'Data Export'!$B$6:$B$78,0),1),IF(E2311=5,INDEX(ref_exp_dist,MATCH(B2311,'Refined Petro Exp Dist'!$B$6:$B$78,0),MATCH(C2311,'Refined Petro Exp Dist'!$AD$2:$BC$2,0))*INDEX(ref_exp_by_year,MATCH(B2311,'Data Export'!$B$6:$B$78,0),1)))</f>
        <v>0</v>
      </c>
      <c r="E2311">
        <v>5</v>
      </c>
      <c r="F2311" t="s">
        <v>235</v>
      </c>
    </row>
    <row r="2312" spans="1:6">
      <c r="A2312" t="str">
        <f t="shared" si="36"/>
        <v>GenericE&amp;DtemplateCIandGOA</v>
      </c>
      <c r="B2312">
        <v>19</v>
      </c>
      <c r="C2312">
        <v>23</v>
      </c>
      <c r="D2312" s="649">
        <f ca="1">IF(E2312=4,INDEX(crude_exp_dist,MATCH(B2312,'Crude Exp Dist'!$B$6:$B$78,0),MATCH(C2312,'Crude Exp Dist'!$AD$2:$BC$2,0))*INDEX(crude_exp_by_year,MATCH(B2312,'Data Export'!$B$6:$B$78,0),1),IF(E2312=5,INDEX(ref_exp_dist,MATCH(B2312,'Refined Petro Exp Dist'!$B$6:$B$78,0),MATCH(C2312,'Refined Petro Exp Dist'!$AD$2:$BC$2,0))*INDEX(ref_exp_by_year,MATCH(B2312,'Data Export'!$B$6:$B$78,0),1)))</f>
        <v>0</v>
      </c>
      <c r="E2312">
        <v>5</v>
      </c>
      <c r="F2312" t="s">
        <v>237</v>
      </c>
    </row>
    <row r="2313" spans="1:6">
      <c r="A2313" t="str">
        <f t="shared" si="36"/>
        <v>GenericE&amp;DtemplateCIandGOA</v>
      </c>
      <c r="B2313">
        <v>19</v>
      </c>
      <c r="C2313">
        <v>24</v>
      </c>
      <c r="D2313" s="649">
        <f ca="1">IF(E2313=4,INDEX(crude_exp_dist,MATCH(B2313,'Crude Exp Dist'!$B$6:$B$78,0),MATCH(C2313,'Crude Exp Dist'!$AD$2:$BC$2,0))*INDEX(crude_exp_by_year,MATCH(B2313,'Data Export'!$B$6:$B$78,0),1),IF(E2313=5,INDEX(ref_exp_dist,MATCH(B2313,'Refined Petro Exp Dist'!$B$6:$B$78,0),MATCH(C2313,'Refined Petro Exp Dist'!$AD$2:$BC$2,0))*INDEX(ref_exp_by_year,MATCH(B2313,'Data Export'!$B$6:$B$78,0),1)))</f>
        <v>0</v>
      </c>
      <c r="E2313">
        <v>5</v>
      </c>
      <c r="F2313" t="s">
        <v>239</v>
      </c>
    </row>
    <row r="2314" spans="1:6">
      <c r="A2314" t="str">
        <f t="shared" si="36"/>
        <v>GenericE&amp;DtemplateCIandGOA</v>
      </c>
      <c r="B2314">
        <v>19</v>
      </c>
      <c r="C2314">
        <v>25</v>
      </c>
      <c r="D2314" s="649">
        <f ca="1">IF(E2314=4,INDEX(crude_exp_dist,MATCH(B2314,'Crude Exp Dist'!$B$6:$B$78,0),MATCH(C2314,'Crude Exp Dist'!$AD$2:$BC$2,0))*INDEX(crude_exp_by_year,MATCH(B2314,'Data Export'!$B$6:$B$78,0),1),IF(E2314=5,INDEX(ref_exp_dist,MATCH(B2314,'Refined Petro Exp Dist'!$B$6:$B$78,0),MATCH(C2314,'Refined Petro Exp Dist'!$AD$2:$BC$2,0))*INDEX(ref_exp_by_year,MATCH(B2314,'Data Export'!$B$6:$B$78,0),1)))</f>
        <v>0</v>
      </c>
      <c r="E2314">
        <v>5</v>
      </c>
      <c r="F2314" t="s">
        <v>242</v>
      </c>
    </row>
    <row r="2315" spans="1:6">
      <c r="A2315" t="str">
        <f t="shared" si="36"/>
        <v>GenericE&amp;DtemplateCIandGOA</v>
      </c>
      <c r="B2315">
        <v>19</v>
      </c>
      <c r="C2315">
        <v>26</v>
      </c>
      <c r="D2315" s="649">
        <f ca="1">IF(E2315=4,INDEX(crude_exp_dist,MATCH(B2315,'Crude Exp Dist'!$B$6:$B$78,0),MATCH(C2315,'Crude Exp Dist'!$AD$2:$BC$2,0))*INDEX(crude_exp_by_year,MATCH(B2315,'Data Export'!$B$6:$B$78,0),1),IF(E2315=5,INDEX(ref_exp_dist,MATCH(B2315,'Refined Petro Exp Dist'!$B$6:$B$78,0),MATCH(C2315,'Refined Petro Exp Dist'!$AD$2:$BC$2,0))*INDEX(ref_exp_by_year,MATCH(B2315,'Data Export'!$B$6:$B$78,0),1)))</f>
        <v>0</v>
      </c>
      <c r="E2315">
        <v>5</v>
      </c>
      <c r="F2315" t="s">
        <v>245</v>
      </c>
    </row>
    <row r="2316" spans="1:6">
      <c r="A2316" t="str">
        <f t="shared" si="36"/>
        <v>GenericE&amp;DtemplateCIandGOA</v>
      </c>
      <c r="B2316">
        <v>20</v>
      </c>
      <c r="C2316">
        <v>1</v>
      </c>
      <c r="D2316" s="649">
        <f ca="1">IF(E2316=4,INDEX(crude_exp_dist,MATCH(B2316,'Crude Exp Dist'!$B$6:$B$78,0),MATCH(C2316,'Crude Exp Dist'!$AD$2:$BC$2,0))*INDEX(crude_exp_by_year,MATCH(B2316,'Data Export'!$B$6:$B$78,0),1),IF(E2316=5,INDEX(ref_exp_dist,MATCH(B2316,'Refined Petro Exp Dist'!$B$6:$B$78,0),MATCH(C2316,'Refined Petro Exp Dist'!$AD$2:$BC$2,0))*INDEX(ref_exp_by_year,MATCH(B2316,'Data Export'!$B$6:$B$78,0),1)))</f>
        <v>0</v>
      </c>
      <c r="E2316">
        <v>5</v>
      </c>
      <c r="F2316" t="s">
        <v>158</v>
      </c>
    </row>
    <row r="2317" spans="1:6">
      <c r="A2317" t="str">
        <f t="shared" si="36"/>
        <v>GenericE&amp;DtemplateCIandGOA</v>
      </c>
      <c r="B2317">
        <v>20</v>
      </c>
      <c r="C2317">
        <v>2</v>
      </c>
      <c r="D2317" s="649">
        <f ca="1">IF(E2317=4,INDEX(crude_exp_dist,MATCH(B2317,'Crude Exp Dist'!$B$6:$B$78,0),MATCH(C2317,'Crude Exp Dist'!$AD$2:$BC$2,0))*INDEX(crude_exp_by_year,MATCH(B2317,'Data Export'!$B$6:$B$78,0),1),IF(E2317=5,INDEX(ref_exp_dist,MATCH(B2317,'Refined Petro Exp Dist'!$B$6:$B$78,0),MATCH(C2317,'Refined Petro Exp Dist'!$AD$2:$BC$2,0))*INDEX(ref_exp_by_year,MATCH(B2317,'Data Export'!$B$6:$B$78,0),1)))</f>
        <v>0</v>
      </c>
      <c r="E2317">
        <v>5</v>
      </c>
      <c r="F2317" t="s">
        <v>166</v>
      </c>
    </row>
    <row r="2318" spans="1:6">
      <c r="A2318" t="str">
        <f t="shared" si="36"/>
        <v>GenericE&amp;DtemplateCIandGOA</v>
      </c>
      <c r="B2318">
        <v>20</v>
      </c>
      <c r="C2318">
        <v>3</v>
      </c>
      <c r="D2318" s="649">
        <f ca="1">IF(E2318=4,INDEX(crude_exp_dist,MATCH(B2318,'Crude Exp Dist'!$B$6:$B$78,0),MATCH(C2318,'Crude Exp Dist'!$AD$2:$BC$2,0))*INDEX(crude_exp_by_year,MATCH(B2318,'Data Export'!$B$6:$B$78,0),1),IF(E2318=5,INDEX(ref_exp_dist,MATCH(B2318,'Refined Petro Exp Dist'!$B$6:$B$78,0),MATCH(C2318,'Refined Petro Exp Dist'!$AD$2:$BC$2,0))*INDEX(ref_exp_by_year,MATCH(B2318,'Data Export'!$B$6:$B$78,0),1)))</f>
        <v>0</v>
      </c>
      <c r="E2318">
        <v>5</v>
      </c>
      <c r="F2318" t="s">
        <v>171</v>
      </c>
    </row>
    <row r="2319" spans="1:6">
      <c r="A2319" t="str">
        <f t="shared" si="36"/>
        <v>GenericE&amp;DtemplateCIandGOA</v>
      </c>
      <c r="B2319">
        <v>20</v>
      </c>
      <c r="C2319">
        <v>4</v>
      </c>
      <c r="D2319" s="649">
        <f ca="1">IF(E2319=4,INDEX(crude_exp_dist,MATCH(B2319,'Crude Exp Dist'!$B$6:$B$78,0),MATCH(C2319,'Crude Exp Dist'!$AD$2:$BC$2,0))*INDEX(crude_exp_by_year,MATCH(B2319,'Data Export'!$B$6:$B$78,0),1),IF(E2319=5,INDEX(ref_exp_dist,MATCH(B2319,'Refined Petro Exp Dist'!$B$6:$B$78,0),MATCH(C2319,'Refined Petro Exp Dist'!$AD$2:$BC$2,0))*INDEX(ref_exp_by_year,MATCH(B2319,'Data Export'!$B$6:$B$78,0),1)))</f>
        <v>0</v>
      </c>
      <c r="E2319">
        <v>5</v>
      </c>
      <c r="F2319" t="s">
        <v>173</v>
      </c>
    </row>
    <row r="2320" spans="1:6">
      <c r="A2320" t="str">
        <f t="shared" si="36"/>
        <v>GenericE&amp;DtemplateCIandGOA</v>
      </c>
      <c r="B2320">
        <v>20</v>
      </c>
      <c r="C2320">
        <v>5</v>
      </c>
      <c r="D2320" s="649">
        <f ca="1">IF(E2320=4,INDEX(crude_exp_dist,MATCH(B2320,'Crude Exp Dist'!$B$6:$B$78,0),MATCH(C2320,'Crude Exp Dist'!$AD$2:$BC$2,0))*INDEX(crude_exp_by_year,MATCH(B2320,'Data Export'!$B$6:$B$78,0),1),IF(E2320=5,INDEX(ref_exp_dist,MATCH(B2320,'Refined Petro Exp Dist'!$B$6:$B$78,0),MATCH(C2320,'Refined Petro Exp Dist'!$AD$2:$BC$2,0))*INDEX(ref_exp_by_year,MATCH(B2320,'Data Export'!$B$6:$B$78,0),1)))</f>
        <v>0</v>
      </c>
      <c r="E2320">
        <v>5</v>
      </c>
      <c r="F2320" t="s">
        <v>180</v>
      </c>
    </row>
    <row r="2321" spans="1:6">
      <c r="A2321" t="str">
        <f t="shared" si="36"/>
        <v>GenericE&amp;DtemplateCIandGOA</v>
      </c>
      <c r="B2321">
        <v>20</v>
      </c>
      <c r="C2321">
        <v>6</v>
      </c>
      <c r="D2321" s="649">
        <f ca="1">IF(E2321=4,INDEX(crude_exp_dist,MATCH(B2321,'Crude Exp Dist'!$B$6:$B$78,0),MATCH(C2321,'Crude Exp Dist'!$AD$2:$BC$2,0))*INDEX(crude_exp_by_year,MATCH(B2321,'Data Export'!$B$6:$B$78,0),1),IF(E2321=5,INDEX(ref_exp_dist,MATCH(B2321,'Refined Petro Exp Dist'!$B$6:$B$78,0),MATCH(C2321,'Refined Petro Exp Dist'!$AD$2:$BC$2,0))*INDEX(ref_exp_by_year,MATCH(B2321,'Data Export'!$B$6:$B$78,0),1)))</f>
        <v>0</v>
      </c>
      <c r="E2321">
        <v>5</v>
      </c>
      <c r="F2321" t="s">
        <v>186</v>
      </c>
    </row>
    <row r="2322" spans="1:6">
      <c r="A2322" t="str">
        <f t="shared" si="36"/>
        <v>GenericE&amp;DtemplateCIandGOA</v>
      </c>
      <c r="B2322">
        <v>20</v>
      </c>
      <c r="C2322">
        <v>7</v>
      </c>
      <c r="D2322" s="649">
        <f ca="1">IF(E2322=4,INDEX(crude_exp_dist,MATCH(B2322,'Crude Exp Dist'!$B$6:$B$78,0),MATCH(C2322,'Crude Exp Dist'!$AD$2:$BC$2,0))*INDEX(crude_exp_by_year,MATCH(B2322,'Data Export'!$B$6:$B$78,0),1),IF(E2322=5,INDEX(ref_exp_dist,MATCH(B2322,'Refined Petro Exp Dist'!$B$6:$B$78,0),MATCH(C2322,'Refined Petro Exp Dist'!$AD$2:$BC$2,0))*INDEX(ref_exp_by_year,MATCH(B2322,'Data Export'!$B$6:$B$78,0),1)))</f>
        <v>0</v>
      </c>
      <c r="E2322">
        <v>5</v>
      </c>
      <c r="F2322" t="s">
        <v>191</v>
      </c>
    </row>
    <row r="2323" spans="1:6">
      <c r="A2323" t="str">
        <f t="shared" si="36"/>
        <v>GenericE&amp;DtemplateCIandGOA</v>
      </c>
      <c r="B2323">
        <v>20</v>
      </c>
      <c r="C2323">
        <v>8</v>
      </c>
      <c r="D2323" s="649">
        <f ca="1">IF(E2323=4,INDEX(crude_exp_dist,MATCH(B2323,'Crude Exp Dist'!$B$6:$B$78,0),MATCH(C2323,'Crude Exp Dist'!$AD$2:$BC$2,0))*INDEX(crude_exp_by_year,MATCH(B2323,'Data Export'!$B$6:$B$78,0),1),IF(E2323=5,INDEX(ref_exp_dist,MATCH(B2323,'Refined Petro Exp Dist'!$B$6:$B$78,0),MATCH(C2323,'Refined Petro Exp Dist'!$AD$2:$BC$2,0))*INDEX(ref_exp_by_year,MATCH(B2323,'Data Export'!$B$6:$B$78,0),1)))</f>
        <v>0</v>
      </c>
      <c r="E2323">
        <v>5</v>
      </c>
      <c r="F2323" t="s">
        <v>197</v>
      </c>
    </row>
    <row r="2324" spans="1:6">
      <c r="A2324" t="str">
        <f t="shared" si="36"/>
        <v>GenericE&amp;DtemplateCIandGOA</v>
      </c>
      <c r="B2324">
        <v>20</v>
      </c>
      <c r="C2324">
        <v>9</v>
      </c>
      <c r="D2324" s="649">
        <f ca="1">IF(E2324=4,INDEX(crude_exp_dist,MATCH(B2324,'Crude Exp Dist'!$B$6:$B$78,0),MATCH(C2324,'Crude Exp Dist'!$AD$2:$BC$2,0))*INDEX(crude_exp_by_year,MATCH(B2324,'Data Export'!$B$6:$B$78,0),1),IF(E2324=5,INDEX(ref_exp_dist,MATCH(B2324,'Refined Petro Exp Dist'!$B$6:$B$78,0),MATCH(C2324,'Refined Petro Exp Dist'!$AD$2:$BC$2,0))*INDEX(ref_exp_by_year,MATCH(B2324,'Data Export'!$B$6:$B$78,0),1)))</f>
        <v>0</v>
      </c>
      <c r="E2324">
        <v>5</v>
      </c>
      <c r="F2324" t="s">
        <v>199</v>
      </c>
    </row>
    <row r="2325" spans="1:6">
      <c r="A2325" t="str">
        <f t="shared" si="36"/>
        <v>GenericE&amp;DtemplateCIandGOA</v>
      </c>
      <c r="B2325">
        <v>20</v>
      </c>
      <c r="C2325">
        <v>10</v>
      </c>
      <c r="D2325" s="649">
        <f ca="1">IF(E2325=4,INDEX(crude_exp_dist,MATCH(B2325,'Crude Exp Dist'!$B$6:$B$78,0),MATCH(C2325,'Crude Exp Dist'!$AD$2:$BC$2,0))*INDEX(crude_exp_by_year,MATCH(B2325,'Data Export'!$B$6:$B$78,0),1),IF(E2325=5,INDEX(ref_exp_dist,MATCH(B2325,'Refined Petro Exp Dist'!$B$6:$B$78,0),MATCH(C2325,'Refined Petro Exp Dist'!$AD$2:$BC$2,0))*INDEX(ref_exp_by_year,MATCH(B2325,'Data Export'!$B$6:$B$78,0),1)))</f>
        <v>0</v>
      </c>
      <c r="E2325">
        <v>5</v>
      </c>
      <c r="F2325" t="s">
        <v>201</v>
      </c>
    </row>
    <row r="2326" spans="1:6">
      <c r="A2326" t="str">
        <f t="shared" si="36"/>
        <v>GenericE&amp;DtemplateCIandGOA</v>
      </c>
      <c r="B2326">
        <v>20</v>
      </c>
      <c r="C2326">
        <v>11</v>
      </c>
      <c r="D2326" s="649">
        <f ca="1">IF(E2326=4,INDEX(crude_exp_dist,MATCH(B2326,'Crude Exp Dist'!$B$6:$B$78,0),MATCH(C2326,'Crude Exp Dist'!$AD$2:$BC$2,0))*INDEX(crude_exp_by_year,MATCH(B2326,'Data Export'!$B$6:$B$78,0),1),IF(E2326=5,INDEX(ref_exp_dist,MATCH(B2326,'Refined Petro Exp Dist'!$B$6:$B$78,0),MATCH(C2326,'Refined Petro Exp Dist'!$AD$2:$BC$2,0))*INDEX(ref_exp_by_year,MATCH(B2326,'Data Export'!$B$6:$B$78,0),1)))</f>
        <v>0</v>
      </c>
      <c r="E2326">
        <v>5</v>
      </c>
      <c r="F2326" t="s">
        <v>921</v>
      </c>
    </row>
    <row r="2327" spans="1:6">
      <c r="A2327" t="str">
        <f t="shared" si="36"/>
        <v>GenericE&amp;DtemplateCIandGOA</v>
      </c>
      <c r="B2327">
        <v>20</v>
      </c>
      <c r="C2327">
        <v>12</v>
      </c>
      <c r="D2327" s="649">
        <f ca="1">IF(E2327=4,INDEX(crude_exp_dist,MATCH(B2327,'Crude Exp Dist'!$B$6:$B$78,0),MATCH(C2327,'Crude Exp Dist'!$AD$2:$BC$2,0))*INDEX(crude_exp_by_year,MATCH(B2327,'Data Export'!$B$6:$B$78,0),1),IF(E2327=5,INDEX(ref_exp_dist,MATCH(B2327,'Refined Petro Exp Dist'!$B$6:$B$78,0),MATCH(C2327,'Refined Petro Exp Dist'!$AD$2:$BC$2,0))*INDEX(ref_exp_by_year,MATCH(B2327,'Data Export'!$B$6:$B$78,0),1)))</f>
        <v>0</v>
      </c>
      <c r="E2327">
        <v>5</v>
      </c>
      <c r="F2327" t="s">
        <v>208</v>
      </c>
    </row>
    <row r="2328" spans="1:6">
      <c r="A2328" t="str">
        <f t="shared" si="36"/>
        <v>GenericE&amp;DtemplateCIandGOA</v>
      </c>
      <c r="B2328">
        <v>20</v>
      </c>
      <c r="C2328">
        <v>13</v>
      </c>
      <c r="D2328" s="649">
        <f ca="1">IF(E2328=4,INDEX(crude_exp_dist,MATCH(B2328,'Crude Exp Dist'!$B$6:$B$78,0),MATCH(C2328,'Crude Exp Dist'!$AD$2:$BC$2,0))*INDEX(crude_exp_by_year,MATCH(B2328,'Data Export'!$B$6:$B$78,0),1),IF(E2328=5,INDEX(ref_exp_dist,MATCH(B2328,'Refined Petro Exp Dist'!$B$6:$B$78,0),MATCH(C2328,'Refined Petro Exp Dist'!$AD$2:$BC$2,0))*INDEX(ref_exp_by_year,MATCH(B2328,'Data Export'!$B$6:$B$78,0),1)))</f>
        <v>0</v>
      </c>
      <c r="E2328">
        <v>5</v>
      </c>
      <c r="F2328" t="s">
        <v>211</v>
      </c>
    </row>
    <row r="2329" spans="1:6">
      <c r="A2329" t="str">
        <f t="shared" si="36"/>
        <v>GenericE&amp;DtemplateCIandGOA</v>
      </c>
      <c r="B2329">
        <v>20</v>
      </c>
      <c r="C2329">
        <v>14</v>
      </c>
      <c r="D2329" s="649">
        <f ca="1">IF(E2329=4,INDEX(crude_exp_dist,MATCH(B2329,'Crude Exp Dist'!$B$6:$B$78,0),MATCH(C2329,'Crude Exp Dist'!$AD$2:$BC$2,0))*INDEX(crude_exp_by_year,MATCH(B2329,'Data Export'!$B$6:$B$78,0),1),IF(E2329=5,INDEX(ref_exp_dist,MATCH(B2329,'Refined Petro Exp Dist'!$B$6:$B$78,0),MATCH(C2329,'Refined Petro Exp Dist'!$AD$2:$BC$2,0))*INDEX(ref_exp_by_year,MATCH(B2329,'Data Export'!$B$6:$B$78,0),1)))</f>
        <v>0</v>
      </c>
      <c r="E2329">
        <v>5</v>
      </c>
      <c r="F2329" t="s">
        <v>213</v>
      </c>
    </row>
    <row r="2330" spans="1:6">
      <c r="A2330" t="str">
        <f t="shared" si="36"/>
        <v>GenericE&amp;DtemplateCIandGOA</v>
      </c>
      <c r="B2330">
        <v>20</v>
      </c>
      <c r="C2330">
        <v>15</v>
      </c>
      <c r="D2330" s="649">
        <f ca="1">IF(E2330=4,INDEX(crude_exp_dist,MATCH(B2330,'Crude Exp Dist'!$B$6:$B$78,0),MATCH(C2330,'Crude Exp Dist'!$AD$2:$BC$2,0))*INDEX(crude_exp_by_year,MATCH(B2330,'Data Export'!$B$6:$B$78,0),1),IF(E2330=5,INDEX(ref_exp_dist,MATCH(B2330,'Refined Petro Exp Dist'!$B$6:$B$78,0),MATCH(C2330,'Refined Petro Exp Dist'!$AD$2:$BC$2,0))*INDEX(ref_exp_by_year,MATCH(B2330,'Data Export'!$B$6:$B$78,0),1)))</f>
        <v>0</v>
      </c>
      <c r="E2330">
        <v>5</v>
      </c>
      <c r="F2330" t="s">
        <v>215</v>
      </c>
    </row>
    <row r="2331" spans="1:6">
      <c r="A2331" t="str">
        <f t="shared" si="36"/>
        <v>GenericE&amp;DtemplateCIandGOA</v>
      </c>
      <c r="B2331">
        <v>20</v>
      </c>
      <c r="C2331">
        <v>16</v>
      </c>
      <c r="D2331" s="649">
        <f ca="1">IF(E2331=4,INDEX(crude_exp_dist,MATCH(B2331,'Crude Exp Dist'!$B$6:$B$78,0),MATCH(C2331,'Crude Exp Dist'!$AD$2:$BC$2,0))*INDEX(crude_exp_by_year,MATCH(B2331,'Data Export'!$B$6:$B$78,0),1),IF(E2331=5,INDEX(ref_exp_dist,MATCH(B2331,'Refined Petro Exp Dist'!$B$6:$B$78,0),MATCH(C2331,'Refined Petro Exp Dist'!$AD$2:$BC$2,0))*INDEX(ref_exp_by_year,MATCH(B2331,'Data Export'!$B$6:$B$78,0),1)))</f>
        <v>0</v>
      </c>
      <c r="E2331">
        <v>5</v>
      </c>
      <c r="F2331" t="s">
        <v>219</v>
      </c>
    </row>
    <row r="2332" spans="1:6">
      <c r="A2332" t="str">
        <f t="shared" si="36"/>
        <v>GenericE&amp;DtemplateCIandGOA</v>
      </c>
      <c r="B2332">
        <v>20</v>
      </c>
      <c r="C2332">
        <v>17</v>
      </c>
      <c r="D2332" s="649">
        <f ca="1">IF(E2332=4,INDEX(crude_exp_dist,MATCH(B2332,'Crude Exp Dist'!$B$6:$B$78,0),MATCH(C2332,'Crude Exp Dist'!$AD$2:$BC$2,0))*INDEX(crude_exp_by_year,MATCH(B2332,'Data Export'!$B$6:$B$78,0),1),IF(E2332=5,INDEX(ref_exp_dist,MATCH(B2332,'Refined Petro Exp Dist'!$B$6:$B$78,0),MATCH(C2332,'Refined Petro Exp Dist'!$AD$2:$BC$2,0))*INDEX(ref_exp_by_year,MATCH(B2332,'Data Export'!$B$6:$B$78,0),1)))</f>
        <v>0</v>
      </c>
      <c r="E2332">
        <v>5</v>
      </c>
      <c r="F2332" t="s">
        <v>222</v>
      </c>
    </row>
    <row r="2333" spans="1:6">
      <c r="A2333" t="str">
        <f t="shared" si="36"/>
        <v>GenericE&amp;DtemplateCIandGOA</v>
      </c>
      <c r="B2333">
        <v>20</v>
      </c>
      <c r="C2333">
        <v>18</v>
      </c>
      <c r="D2333" s="649">
        <f ca="1">IF(E2333=4,INDEX(crude_exp_dist,MATCH(B2333,'Crude Exp Dist'!$B$6:$B$78,0),MATCH(C2333,'Crude Exp Dist'!$AD$2:$BC$2,0))*INDEX(crude_exp_by_year,MATCH(B2333,'Data Export'!$B$6:$B$78,0),1),IF(E2333=5,INDEX(ref_exp_dist,MATCH(B2333,'Refined Petro Exp Dist'!$B$6:$B$78,0),MATCH(C2333,'Refined Petro Exp Dist'!$AD$2:$BC$2,0))*INDEX(ref_exp_by_year,MATCH(B2333,'Data Export'!$B$6:$B$78,0),1)))</f>
        <v>0</v>
      </c>
      <c r="E2333">
        <v>5</v>
      </c>
      <c r="F2333" t="s">
        <v>224</v>
      </c>
    </row>
    <row r="2334" spans="1:6">
      <c r="A2334" t="str">
        <f t="shared" si="36"/>
        <v>GenericE&amp;DtemplateCIandGOA</v>
      </c>
      <c r="B2334">
        <v>20</v>
      </c>
      <c r="C2334">
        <v>19</v>
      </c>
      <c r="D2334" s="649">
        <f ca="1">IF(E2334=4,INDEX(crude_exp_dist,MATCH(B2334,'Crude Exp Dist'!$B$6:$B$78,0),MATCH(C2334,'Crude Exp Dist'!$AD$2:$BC$2,0))*INDEX(crude_exp_by_year,MATCH(B2334,'Data Export'!$B$6:$B$78,0),1),IF(E2334=5,INDEX(ref_exp_dist,MATCH(B2334,'Refined Petro Exp Dist'!$B$6:$B$78,0),MATCH(C2334,'Refined Petro Exp Dist'!$AD$2:$BC$2,0))*INDEX(ref_exp_by_year,MATCH(B2334,'Data Export'!$B$6:$B$78,0),1)))</f>
        <v>0</v>
      </c>
      <c r="E2334">
        <v>5</v>
      </c>
      <c r="F2334" t="s">
        <v>228</v>
      </c>
    </row>
    <row r="2335" spans="1:6">
      <c r="A2335" t="str">
        <f t="shared" si="36"/>
        <v>GenericE&amp;DtemplateCIandGOA</v>
      </c>
      <c r="B2335">
        <v>20</v>
      </c>
      <c r="C2335">
        <v>20</v>
      </c>
      <c r="D2335" s="649">
        <f ca="1">IF(E2335=4,INDEX(crude_exp_dist,MATCH(B2335,'Crude Exp Dist'!$B$6:$B$78,0),MATCH(C2335,'Crude Exp Dist'!$AD$2:$BC$2,0))*INDEX(crude_exp_by_year,MATCH(B2335,'Data Export'!$B$6:$B$78,0),1),IF(E2335=5,INDEX(ref_exp_dist,MATCH(B2335,'Refined Petro Exp Dist'!$B$6:$B$78,0),MATCH(C2335,'Refined Petro Exp Dist'!$AD$2:$BC$2,0))*INDEX(ref_exp_by_year,MATCH(B2335,'Data Export'!$B$6:$B$78,0),1)))</f>
        <v>0</v>
      </c>
      <c r="E2335">
        <v>5</v>
      </c>
      <c r="F2335" t="s">
        <v>231</v>
      </c>
    </row>
    <row r="2336" spans="1:6">
      <c r="A2336" t="str">
        <f t="shared" si="36"/>
        <v>GenericE&amp;DtemplateCIandGOA</v>
      </c>
      <c r="B2336">
        <v>20</v>
      </c>
      <c r="C2336">
        <v>21</v>
      </c>
      <c r="D2336" s="649">
        <f ca="1">IF(E2336=4,INDEX(crude_exp_dist,MATCH(B2336,'Crude Exp Dist'!$B$6:$B$78,0),MATCH(C2336,'Crude Exp Dist'!$AD$2:$BC$2,0))*INDEX(crude_exp_by_year,MATCH(B2336,'Data Export'!$B$6:$B$78,0),1),IF(E2336=5,INDEX(ref_exp_dist,MATCH(B2336,'Refined Petro Exp Dist'!$B$6:$B$78,0),MATCH(C2336,'Refined Petro Exp Dist'!$AD$2:$BC$2,0))*INDEX(ref_exp_by_year,MATCH(B2336,'Data Export'!$B$6:$B$78,0),1)))</f>
        <v>0</v>
      </c>
      <c r="E2336">
        <v>5</v>
      </c>
      <c r="F2336" t="s">
        <v>232</v>
      </c>
    </row>
    <row r="2337" spans="1:6">
      <c r="A2337" t="str">
        <f t="shared" si="36"/>
        <v>GenericE&amp;DtemplateCIandGOA</v>
      </c>
      <c r="B2337">
        <v>20</v>
      </c>
      <c r="C2337">
        <v>22</v>
      </c>
      <c r="D2337" s="649">
        <f ca="1">IF(E2337=4,INDEX(crude_exp_dist,MATCH(B2337,'Crude Exp Dist'!$B$6:$B$78,0),MATCH(C2337,'Crude Exp Dist'!$AD$2:$BC$2,0))*INDEX(crude_exp_by_year,MATCH(B2337,'Data Export'!$B$6:$B$78,0),1),IF(E2337=5,INDEX(ref_exp_dist,MATCH(B2337,'Refined Petro Exp Dist'!$B$6:$B$78,0),MATCH(C2337,'Refined Petro Exp Dist'!$AD$2:$BC$2,0))*INDEX(ref_exp_by_year,MATCH(B2337,'Data Export'!$B$6:$B$78,0),1)))</f>
        <v>0</v>
      </c>
      <c r="E2337">
        <v>5</v>
      </c>
      <c r="F2337" t="s">
        <v>235</v>
      </c>
    </row>
    <row r="2338" spans="1:6">
      <c r="A2338" t="str">
        <f t="shared" si="36"/>
        <v>GenericE&amp;DtemplateCIandGOA</v>
      </c>
      <c r="B2338">
        <v>20</v>
      </c>
      <c r="C2338">
        <v>23</v>
      </c>
      <c r="D2338" s="649">
        <f ca="1">IF(E2338=4,INDEX(crude_exp_dist,MATCH(B2338,'Crude Exp Dist'!$B$6:$B$78,0),MATCH(C2338,'Crude Exp Dist'!$AD$2:$BC$2,0))*INDEX(crude_exp_by_year,MATCH(B2338,'Data Export'!$B$6:$B$78,0),1),IF(E2338=5,INDEX(ref_exp_dist,MATCH(B2338,'Refined Petro Exp Dist'!$B$6:$B$78,0),MATCH(C2338,'Refined Petro Exp Dist'!$AD$2:$BC$2,0))*INDEX(ref_exp_by_year,MATCH(B2338,'Data Export'!$B$6:$B$78,0),1)))</f>
        <v>0</v>
      </c>
      <c r="E2338">
        <v>5</v>
      </c>
      <c r="F2338" t="s">
        <v>237</v>
      </c>
    </row>
    <row r="2339" spans="1:6">
      <c r="A2339" t="str">
        <f t="shared" si="36"/>
        <v>GenericE&amp;DtemplateCIandGOA</v>
      </c>
      <c r="B2339">
        <v>20</v>
      </c>
      <c r="C2339">
        <v>24</v>
      </c>
      <c r="D2339" s="649">
        <f ca="1">IF(E2339=4,INDEX(crude_exp_dist,MATCH(B2339,'Crude Exp Dist'!$B$6:$B$78,0),MATCH(C2339,'Crude Exp Dist'!$AD$2:$BC$2,0))*INDEX(crude_exp_by_year,MATCH(B2339,'Data Export'!$B$6:$B$78,0),1),IF(E2339=5,INDEX(ref_exp_dist,MATCH(B2339,'Refined Petro Exp Dist'!$B$6:$B$78,0),MATCH(C2339,'Refined Petro Exp Dist'!$AD$2:$BC$2,0))*INDEX(ref_exp_by_year,MATCH(B2339,'Data Export'!$B$6:$B$78,0),1)))</f>
        <v>0</v>
      </c>
      <c r="E2339">
        <v>5</v>
      </c>
      <c r="F2339" t="s">
        <v>239</v>
      </c>
    </row>
    <row r="2340" spans="1:6">
      <c r="A2340" t="str">
        <f t="shared" si="36"/>
        <v>GenericE&amp;DtemplateCIandGOA</v>
      </c>
      <c r="B2340">
        <v>20</v>
      </c>
      <c r="C2340">
        <v>25</v>
      </c>
      <c r="D2340" s="649">
        <f ca="1">IF(E2340=4,INDEX(crude_exp_dist,MATCH(B2340,'Crude Exp Dist'!$B$6:$B$78,0),MATCH(C2340,'Crude Exp Dist'!$AD$2:$BC$2,0))*INDEX(crude_exp_by_year,MATCH(B2340,'Data Export'!$B$6:$B$78,0),1),IF(E2340=5,INDEX(ref_exp_dist,MATCH(B2340,'Refined Petro Exp Dist'!$B$6:$B$78,0),MATCH(C2340,'Refined Petro Exp Dist'!$AD$2:$BC$2,0))*INDEX(ref_exp_by_year,MATCH(B2340,'Data Export'!$B$6:$B$78,0),1)))</f>
        <v>0</v>
      </c>
      <c r="E2340">
        <v>5</v>
      </c>
      <c r="F2340" t="s">
        <v>242</v>
      </c>
    </row>
    <row r="2341" spans="1:6">
      <c r="A2341" t="str">
        <f t="shared" si="36"/>
        <v>GenericE&amp;DtemplateCIandGOA</v>
      </c>
      <c r="B2341">
        <v>20</v>
      </c>
      <c r="C2341">
        <v>26</v>
      </c>
      <c r="D2341" s="649">
        <f ca="1">IF(E2341=4,INDEX(crude_exp_dist,MATCH(B2341,'Crude Exp Dist'!$B$6:$B$78,0),MATCH(C2341,'Crude Exp Dist'!$AD$2:$BC$2,0))*INDEX(crude_exp_by_year,MATCH(B2341,'Data Export'!$B$6:$B$78,0),1),IF(E2341=5,INDEX(ref_exp_dist,MATCH(B2341,'Refined Petro Exp Dist'!$B$6:$B$78,0),MATCH(C2341,'Refined Petro Exp Dist'!$AD$2:$BC$2,0))*INDEX(ref_exp_by_year,MATCH(B2341,'Data Export'!$B$6:$B$78,0),1)))</f>
        <v>0</v>
      </c>
      <c r="E2341">
        <v>5</v>
      </c>
      <c r="F2341" t="s">
        <v>245</v>
      </c>
    </row>
    <row r="2342" spans="1:6">
      <c r="A2342" t="str">
        <f t="shared" si="36"/>
        <v>GenericE&amp;DtemplateCIandGOA</v>
      </c>
      <c r="B2342">
        <v>21</v>
      </c>
      <c r="C2342">
        <v>1</v>
      </c>
      <c r="D2342" s="649">
        <f ca="1">IF(E2342=4,INDEX(crude_exp_dist,MATCH(B2342,'Crude Exp Dist'!$B$6:$B$78,0),MATCH(C2342,'Crude Exp Dist'!$AD$2:$BC$2,0))*INDEX(crude_exp_by_year,MATCH(B2342,'Data Export'!$B$6:$B$78,0),1),IF(E2342=5,INDEX(ref_exp_dist,MATCH(B2342,'Refined Petro Exp Dist'!$B$6:$B$78,0),MATCH(C2342,'Refined Petro Exp Dist'!$AD$2:$BC$2,0))*INDEX(ref_exp_by_year,MATCH(B2342,'Data Export'!$B$6:$B$78,0),1)))</f>
        <v>0</v>
      </c>
      <c r="E2342">
        <v>5</v>
      </c>
      <c r="F2342" t="s">
        <v>158</v>
      </c>
    </row>
    <row r="2343" spans="1:6">
      <c r="A2343" t="str">
        <f t="shared" si="36"/>
        <v>GenericE&amp;DtemplateCIandGOA</v>
      </c>
      <c r="B2343">
        <v>21</v>
      </c>
      <c r="C2343">
        <v>2</v>
      </c>
      <c r="D2343" s="649">
        <f ca="1">IF(E2343=4,INDEX(crude_exp_dist,MATCH(B2343,'Crude Exp Dist'!$B$6:$B$78,0),MATCH(C2343,'Crude Exp Dist'!$AD$2:$BC$2,0))*INDEX(crude_exp_by_year,MATCH(B2343,'Data Export'!$B$6:$B$78,0),1),IF(E2343=5,INDEX(ref_exp_dist,MATCH(B2343,'Refined Petro Exp Dist'!$B$6:$B$78,0),MATCH(C2343,'Refined Petro Exp Dist'!$AD$2:$BC$2,0))*INDEX(ref_exp_by_year,MATCH(B2343,'Data Export'!$B$6:$B$78,0),1)))</f>
        <v>0</v>
      </c>
      <c r="E2343">
        <v>5</v>
      </c>
      <c r="F2343" t="s">
        <v>166</v>
      </c>
    </row>
    <row r="2344" spans="1:6">
      <c r="A2344" t="str">
        <f t="shared" si="36"/>
        <v>GenericE&amp;DtemplateCIandGOA</v>
      </c>
      <c r="B2344">
        <v>21</v>
      </c>
      <c r="C2344">
        <v>3</v>
      </c>
      <c r="D2344" s="649">
        <f ca="1">IF(E2344=4,INDEX(crude_exp_dist,MATCH(B2344,'Crude Exp Dist'!$B$6:$B$78,0),MATCH(C2344,'Crude Exp Dist'!$AD$2:$BC$2,0))*INDEX(crude_exp_by_year,MATCH(B2344,'Data Export'!$B$6:$B$78,0),1),IF(E2344=5,INDEX(ref_exp_dist,MATCH(B2344,'Refined Petro Exp Dist'!$B$6:$B$78,0),MATCH(C2344,'Refined Petro Exp Dist'!$AD$2:$BC$2,0))*INDEX(ref_exp_by_year,MATCH(B2344,'Data Export'!$B$6:$B$78,0),1)))</f>
        <v>0</v>
      </c>
      <c r="E2344">
        <v>5</v>
      </c>
      <c r="F2344" t="s">
        <v>171</v>
      </c>
    </row>
    <row r="2345" spans="1:6">
      <c r="A2345" t="str">
        <f t="shared" si="36"/>
        <v>GenericE&amp;DtemplateCIandGOA</v>
      </c>
      <c r="B2345">
        <v>21</v>
      </c>
      <c r="C2345">
        <v>4</v>
      </c>
      <c r="D2345" s="649">
        <f ca="1">IF(E2345=4,INDEX(crude_exp_dist,MATCH(B2345,'Crude Exp Dist'!$B$6:$B$78,0),MATCH(C2345,'Crude Exp Dist'!$AD$2:$BC$2,0))*INDEX(crude_exp_by_year,MATCH(B2345,'Data Export'!$B$6:$B$78,0),1),IF(E2345=5,INDEX(ref_exp_dist,MATCH(B2345,'Refined Petro Exp Dist'!$B$6:$B$78,0),MATCH(C2345,'Refined Petro Exp Dist'!$AD$2:$BC$2,0))*INDEX(ref_exp_by_year,MATCH(B2345,'Data Export'!$B$6:$B$78,0),1)))</f>
        <v>0</v>
      </c>
      <c r="E2345">
        <v>5</v>
      </c>
      <c r="F2345" t="s">
        <v>173</v>
      </c>
    </row>
    <row r="2346" spans="1:6">
      <c r="A2346" t="str">
        <f t="shared" si="36"/>
        <v>GenericE&amp;DtemplateCIandGOA</v>
      </c>
      <c r="B2346">
        <v>21</v>
      </c>
      <c r="C2346">
        <v>5</v>
      </c>
      <c r="D2346" s="649">
        <f ca="1">IF(E2346=4,INDEX(crude_exp_dist,MATCH(B2346,'Crude Exp Dist'!$B$6:$B$78,0),MATCH(C2346,'Crude Exp Dist'!$AD$2:$BC$2,0))*INDEX(crude_exp_by_year,MATCH(B2346,'Data Export'!$B$6:$B$78,0),1),IF(E2346=5,INDEX(ref_exp_dist,MATCH(B2346,'Refined Petro Exp Dist'!$B$6:$B$78,0),MATCH(C2346,'Refined Petro Exp Dist'!$AD$2:$BC$2,0))*INDEX(ref_exp_by_year,MATCH(B2346,'Data Export'!$B$6:$B$78,0),1)))</f>
        <v>0</v>
      </c>
      <c r="E2346">
        <v>5</v>
      </c>
      <c r="F2346" t="s">
        <v>180</v>
      </c>
    </row>
    <row r="2347" spans="1:6">
      <c r="A2347" t="str">
        <f t="shared" si="36"/>
        <v>GenericE&amp;DtemplateCIandGOA</v>
      </c>
      <c r="B2347">
        <v>21</v>
      </c>
      <c r="C2347">
        <v>6</v>
      </c>
      <c r="D2347" s="649">
        <f ca="1">IF(E2347=4,INDEX(crude_exp_dist,MATCH(B2347,'Crude Exp Dist'!$B$6:$B$78,0),MATCH(C2347,'Crude Exp Dist'!$AD$2:$BC$2,0))*INDEX(crude_exp_by_year,MATCH(B2347,'Data Export'!$B$6:$B$78,0),1),IF(E2347=5,INDEX(ref_exp_dist,MATCH(B2347,'Refined Petro Exp Dist'!$B$6:$B$78,0),MATCH(C2347,'Refined Petro Exp Dist'!$AD$2:$BC$2,0))*INDEX(ref_exp_by_year,MATCH(B2347,'Data Export'!$B$6:$B$78,0),1)))</f>
        <v>0</v>
      </c>
      <c r="E2347">
        <v>5</v>
      </c>
      <c r="F2347" t="s">
        <v>186</v>
      </c>
    </row>
    <row r="2348" spans="1:6">
      <c r="A2348" t="str">
        <f t="shared" si="36"/>
        <v>GenericE&amp;DtemplateCIandGOA</v>
      </c>
      <c r="B2348">
        <v>21</v>
      </c>
      <c r="C2348">
        <v>7</v>
      </c>
      <c r="D2348" s="649">
        <f ca="1">IF(E2348=4,INDEX(crude_exp_dist,MATCH(B2348,'Crude Exp Dist'!$B$6:$B$78,0),MATCH(C2348,'Crude Exp Dist'!$AD$2:$BC$2,0))*INDEX(crude_exp_by_year,MATCH(B2348,'Data Export'!$B$6:$B$78,0),1),IF(E2348=5,INDEX(ref_exp_dist,MATCH(B2348,'Refined Petro Exp Dist'!$B$6:$B$78,0),MATCH(C2348,'Refined Petro Exp Dist'!$AD$2:$BC$2,0))*INDEX(ref_exp_by_year,MATCH(B2348,'Data Export'!$B$6:$B$78,0),1)))</f>
        <v>0</v>
      </c>
      <c r="E2348">
        <v>5</v>
      </c>
      <c r="F2348" t="s">
        <v>191</v>
      </c>
    </row>
    <row r="2349" spans="1:6">
      <c r="A2349" t="str">
        <f t="shared" si="36"/>
        <v>GenericE&amp;DtemplateCIandGOA</v>
      </c>
      <c r="B2349">
        <v>21</v>
      </c>
      <c r="C2349">
        <v>8</v>
      </c>
      <c r="D2349" s="649">
        <f ca="1">IF(E2349=4,INDEX(crude_exp_dist,MATCH(B2349,'Crude Exp Dist'!$B$6:$B$78,0),MATCH(C2349,'Crude Exp Dist'!$AD$2:$BC$2,0))*INDEX(crude_exp_by_year,MATCH(B2349,'Data Export'!$B$6:$B$78,0),1),IF(E2349=5,INDEX(ref_exp_dist,MATCH(B2349,'Refined Petro Exp Dist'!$B$6:$B$78,0),MATCH(C2349,'Refined Petro Exp Dist'!$AD$2:$BC$2,0))*INDEX(ref_exp_by_year,MATCH(B2349,'Data Export'!$B$6:$B$78,0),1)))</f>
        <v>0</v>
      </c>
      <c r="E2349">
        <v>5</v>
      </c>
      <c r="F2349" t="s">
        <v>197</v>
      </c>
    </row>
    <row r="2350" spans="1:6">
      <c r="A2350" t="str">
        <f t="shared" si="36"/>
        <v>GenericE&amp;DtemplateCIandGOA</v>
      </c>
      <c r="B2350">
        <v>21</v>
      </c>
      <c r="C2350">
        <v>9</v>
      </c>
      <c r="D2350" s="649">
        <f ca="1">IF(E2350=4,INDEX(crude_exp_dist,MATCH(B2350,'Crude Exp Dist'!$B$6:$B$78,0),MATCH(C2350,'Crude Exp Dist'!$AD$2:$BC$2,0))*INDEX(crude_exp_by_year,MATCH(B2350,'Data Export'!$B$6:$B$78,0),1),IF(E2350=5,INDEX(ref_exp_dist,MATCH(B2350,'Refined Petro Exp Dist'!$B$6:$B$78,0),MATCH(C2350,'Refined Petro Exp Dist'!$AD$2:$BC$2,0))*INDEX(ref_exp_by_year,MATCH(B2350,'Data Export'!$B$6:$B$78,0),1)))</f>
        <v>0</v>
      </c>
      <c r="E2350">
        <v>5</v>
      </c>
      <c r="F2350" t="s">
        <v>199</v>
      </c>
    </row>
    <row r="2351" spans="1:6">
      <c r="A2351" t="str">
        <f t="shared" si="36"/>
        <v>GenericE&amp;DtemplateCIandGOA</v>
      </c>
      <c r="B2351">
        <v>21</v>
      </c>
      <c r="C2351">
        <v>10</v>
      </c>
      <c r="D2351" s="649">
        <f ca="1">IF(E2351=4,INDEX(crude_exp_dist,MATCH(B2351,'Crude Exp Dist'!$B$6:$B$78,0),MATCH(C2351,'Crude Exp Dist'!$AD$2:$BC$2,0))*INDEX(crude_exp_by_year,MATCH(B2351,'Data Export'!$B$6:$B$78,0),1),IF(E2351=5,INDEX(ref_exp_dist,MATCH(B2351,'Refined Petro Exp Dist'!$B$6:$B$78,0),MATCH(C2351,'Refined Petro Exp Dist'!$AD$2:$BC$2,0))*INDEX(ref_exp_by_year,MATCH(B2351,'Data Export'!$B$6:$B$78,0),1)))</f>
        <v>0</v>
      </c>
      <c r="E2351">
        <v>5</v>
      </c>
      <c r="F2351" t="s">
        <v>201</v>
      </c>
    </row>
    <row r="2352" spans="1:6">
      <c r="A2352" t="str">
        <f t="shared" si="36"/>
        <v>GenericE&amp;DtemplateCIandGOA</v>
      </c>
      <c r="B2352">
        <v>21</v>
      </c>
      <c r="C2352">
        <v>11</v>
      </c>
      <c r="D2352" s="649">
        <f ca="1">IF(E2352=4,INDEX(crude_exp_dist,MATCH(B2352,'Crude Exp Dist'!$B$6:$B$78,0),MATCH(C2352,'Crude Exp Dist'!$AD$2:$BC$2,0))*INDEX(crude_exp_by_year,MATCH(B2352,'Data Export'!$B$6:$B$78,0),1),IF(E2352=5,INDEX(ref_exp_dist,MATCH(B2352,'Refined Petro Exp Dist'!$B$6:$B$78,0),MATCH(C2352,'Refined Petro Exp Dist'!$AD$2:$BC$2,0))*INDEX(ref_exp_by_year,MATCH(B2352,'Data Export'!$B$6:$B$78,0),1)))</f>
        <v>0</v>
      </c>
      <c r="E2352">
        <v>5</v>
      </c>
      <c r="F2352" t="s">
        <v>921</v>
      </c>
    </row>
    <row r="2353" spans="1:6">
      <c r="A2353" t="str">
        <f t="shared" si="36"/>
        <v>GenericE&amp;DtemplateCIandGOA</v>
      </c>
      <c r="B2353">
        <v>21</v>
      </c>
      <c r="C2353">
        <v>12</v>
      </c>
      <c r="D2353" s="649">
        <f ca="1">IF(E2353=4,INDEX(crude_exp_dist,MATCH(B2353,'Crude Exp Dist'!$B$6:$B$78,0),MATCH(C2353,'Crude Exp Dist'!$AD$2:$BC$2,0))*INDEX(crude_exp_by_year,MATCH(B2353,'Data Export'!$B$6:$B$78,0),1),IF(E2353=5,INDEX(ref_exp_dist,MATCH(B2353,'Refined Petro Exp Dist'!$B$6:$B$78,0),MATCH(C2353,'Refined Petro Exp Dist'!$AD$2:$BC$2,0))*INDEX(ref_exp_by_year,MATCH(B2353,'Data Export'!$B$6:$B$78,0),1)))</f>
        <v>0</v>
      </c>
      <c r="E2353">
        <v>5</v>
      </c>
      <c r="F2353" t="s">
        <v>208</v>
      </c>
    </row>
    <row r="2354" spans="1:6">
      <c r="A2354" t="str">
        <f t="shared" si="36"/>
        <v>GenericE&amp;DtemplateCIandGOA</v>
      </c>
      <c r="B2354">
        <v>21</v>
      </c>
      <c r="C2354">
        <v>13</v>
      </c>
      <c r="D2354" s="649">
        <f ca="1">IF(E2354=4,INDEX(crude_exp_dist,MATCH(B2354,'Crude Exp Dist'!$B$6:$B$78,0),MATCH(C2354,'Crude Exp Dist'!$AD$2:$BC$2,0))*INDEX(crude_exp_by_year,MATCH(B2354,'Data Export'!$B$6:$B$78,0),1),IF(E2354=5,INDEX(ref_exp_dist,MATCH(B2354,'Refined Petro Exp Dist'!$B$6:$B$78,0),MATCH(C2354,'Refined Petro Exp Dist'!$AD$2:$BC$2,0))*INDEX(ref_exp_by_year,MATCH(B2354,'Data Export'!$B$6:$B$78,0),1)))</f>
        <v>0</v>
      </c>
      <c r="E2354">
        <v>5</v>
      </c>
      <c r="F2354" t="s">
        <v>211</v>
      </c>
    </row>
    <row r="2355" spans="1:6">
      <c r="A2355" t="str">
        <f t="shared" si="36"/>
        <v>GenericE&amp;DtemplateCIandGOA</v>
      </c>
      <c r="B2355">
        <v>21</v>
      </c>
      <c r="C2355">
        <v>14</v>
      </c>
      <c r="D2355" s="649">
        <f ca="1">IF(E2355=4,INDEX(crude_exp_dist,MATCH(B2355,'Crude Exp Dist'!$B$6:$B$78,0),MATCH(C2355,'Crude Exp Dist'!$AD$2:$BC$2,0))*INDEX(crude_exp_by_year,MATCH(B2355,'Data Export'!$B$6:$B$78,0),1),IF(E2355=5,INDEX(ref_exp_dist,MATCH(B2355,'Refined Petro Exp Dist'!$B$6:$B$78,0),MATCH(C2355,'Refined Petro Exp Dist'!$AD$2:$BC$2,0))*INDEX(ref_exp_by_year,MATCH(B2355,'Data Export'!$B$6:$B$78,0),1)))</f>
        <v>0</v>
      </c>
      <c r="E2355">
        <v>5</v>
      </c>
      <c r="F2355" t="s">
        <v>213</v>
      </c>
    </row>
    <row r="2356" spans="1:6">
      <c r="A2356" t="str">
        <f t="shared" si="36"/>
        <v>GenericE&amp;DtemplateCIandGOA</v>
      </c>
      <c r="B2356">
        <v>21</v>
      </c>
      <c r="C2356">
        <v>15</v>
      </c>
      <c r="D2356" s="649">
        <f ca="1">IF(E2356=4,INDEX(crude_exp_dist,MATCH(B2356,'Crude Exp Dist'!$B$6:$B$78,0),MATCH(C2356,'Crude Exp Dist'!$AD$2:$BC$2,0))*INDEX(crude_exp_by_year,MATCH(B2356,'Data Export'!$B$6:$B$78,0),1),IF(E2356=5,INDEX(ref_exp_dist,MATCH(B2356,'Refined Petro Exp Dist'!$B$6:$B$78,0),MATCH(C2356,'Refined Petro Exp Dist'!$AD$2:$BC$2,0))*INDEX(ref_exp_by_year,MATCH(B2356,'Data Export'!$B$6:$B$78,0),1)))</f>
        <v>0</v>
      </c>
      <c r="E2356">
        <v>5</v>
      </c>
      <c r="F2356" t="s">
        <v>215</v>
      </c>
    </row>
    <row r="2357" spans="1:6">
      <c r="A2357" t="str">
        <f t="shared" si="36"/>
        <v>GenericE&amp;DtemplateCIandGOA</v>
      </c>
      <c r="B2357">
        <v>21</v>
      </c>
      <c r="C2357">
        <v>16</v>
      </c>
      <c r="D2357" s="649">
        <f ca="1">IF(E2357=4,INDEX(crude_exp_dist,MATCH(B2357,'Crude Exp Dist'!$B$6:$B$78,0),MATCH(C2357,'Crude Exp Dist'!$AD$2:$BC$2,0))*INDEX(crude_exp_by_year,MATCH(B2357,'Data Export'!$B$6:$B$78,0),1),IF(E2357=5,INDEX(ref_exp_dist,MATCH(B2357,'Refined Petro Exp Dist'!$B$6:$B$78,0),MATCH(C2357,'Refined Petro Exp Dist'!$AD$2:$BC$2,0))*INDEX(ref_exp_by_year,MATCH(B2357,'Data Export'!$B$6:$B$78,0),1)))</f>
        <v>0</v>
      </c>
      <c r="E2357">
        <v>5</v>
      </c>
      <c r="F2357" t="s">
        <v>219</v>
      </c>
    </row>
    <row r="2358" spans="1:6">
      <c r="A2358" t="str">
        <f t="shared" si="36"/>
        <v>GenericE&amp;DtemplateCIandGOA</v>
      </c>
      <c r="B2358">
        <v>21</v>
      </c>
      <c r="C2358">
        <v>17</v>
      </c>
      <c r="D2358" s="649">
        <f ca="1">IF(E2358=4,INDEX(crude_exp_dist,MATCH(B2358,'Crude Exp Dist'!$B$6:$B$78,0),MATCH(C2358,'Crude Exp Dist'!$AD$2:$BC$2,0))*INDEX(crude_exp_by_year,MATCH(B2358,'Data Export'!$B$6:$B$78,0),1),IF(E2358=5,INDEX(ref_exp_dist,MATCH(B2358,'Refined Petro Exp Dist'!$B$6:$B$78,0),MATCH(C2358,'Refined Petro Exp Dist'!$AD$2:$BC$2,0))*INDEX(ref_exp_by_year,MATCH(B2358,'Data Export'!$B$6:$B$78,0),1)))</f>
        <v>0</v>
      </c>
      <c r="E2358">
        <v>5</v>
      </c>
      <c r="F2358" t="s">
        <v>222</v>
      </c>
    </row>
    <row r="2359" spans="1:6">
      <c r="A2359" t="str">
        <f t="shared" si="36"/>
        <v>GenericE&amp;DtemplateCIandGOA</v>
      </c>
      <c r="B2359">
        <v>21</v>
      </c>
      <c r="C2359">
        <v>18</v>
      </c>
      <c r="D2359" s="649">
        <f ca="1">IF(E2359=4,INDEX(crude_exp_dist,MATCH(B2359,'Crude Exp Dist'!$B$6:$B$78,0),MATCH(C2359,'Crude Exp Dist'!$AD$2:$BC$2,0))*INDEX(crude_exp_by_year,MATCH(B2359,'Data Export'!$B$6:$B$78,0),1),IF(E2359=5,INDEX(ref_exp_dist,MATCH(B2359,'Refined Petro Exp Dist'!$B$6:$B$78,0),MATCH(C2359,'Refined Petro Exp Dist'!$AD$2:$BC$2,0))*INDEX(ref_exp_by_year,MATCH(B2359,'Data Export'!$B$6:$B$78,0),1)))</f>
        <v>0</v>
      </c>
      <c r="E2359">
        <v>5</v>
      </c>
      <c r="F2359" t="s">
        <v>224</v>
      </c>
    </row>
    <row r="2360" spans="1:6">
      <c r="A2360" t="str">
        <f t="shared" si="36"/>
        <v>GenericE&amp;DtemplateCIandGOA</v>
      </c>
      <c r="B2360">
        <v>21</v>
      </c>
      <c r="C2360">
        <v>19</v>
      </c>
      <c r="D2360" s="649">
        <f ca="1">IF(E2360=4,INDEX(crude_exp_dist,MATCH(B2360,'Crude Exp Dist'!$B$6:$B$78,0),MATCH(C2360,'Crude Exp Dist'!$AD$2:$BC$2,0))*INDEX(crude_exp_by_year,MATCH(B2360,'Data Export'!$B$6:$B$78,0),1),IF(E2360=5,INDEX(ref_exp_dist,MATCH(B2360,'Refined Petro Exp Dist'!$B$6:$B$78,0),MATCH(C2360,'Refined Petro Exp Dist'!$AD$2:$BC$2,0))*INDEX(ref_exp_by_year,MATCH(B2360,'Data Export'!$B$6:$B$78,0),1)))</f>
        <v>0</v>
      </c>
      <c r="E2360">
        <v>5</v>
      </c>
      <c r="F2360" t="s">
        <v>228</v>
      </c>
    </row>
    <row r="2361" spans="1:6">
      <c r="A2361" t="str">
        <f t="shared" si="36"/>
        <v>GenericE&amp;DtemplateCIandGOA</v>
      </c>
      <c r="B2361">
        <v>21</v>
      </c>
      <c r="C2361">
        <v>20</v>
      </c>
      <c r="D2361" s="649">
        <f ca="1">IF(E2361=4,INDEX(crude_exp_dist,MATCH(B2361,'Crude Exp Dist'!$B$6:$B$78,0),MATCH(C2361,'Crude Exp Dist'!$AD$2:$BC$2,0))*INDEX(crude_exp_by_year,MATCH(B2361,'Data Export'!$B$6:$B$78,0),1),IF(E2361=5,INDEX(ref_exp_dist,MATCH(B2361,'Refined Petro Exp Dist'!$B$6:$B$78,0),MATCH(C2361,'Refined Petro Exp Dist'!$AD$2:$BC$2,0))*INDEX(ref_exp_by_year,MATCH(B2361,'Data Export'!$B$6:$B$78,0),1)))</f>
        <v>0</v>
      </c>
      <c r="E2361">
        <v>5</v>
      </c>
      <c r="F2361" t="s">
        <v>231</v>
      </c>
    </row>
    <row r="2362" spans="1:6">
      <c r="A2362" t="str">
        <f t="shared" si="36"/>
        <v>GenericE&amp;DtemplateCIandGOA</v>
      </c>
      <c r="B2362">
        <v>21</v>
      </c>
      <c r="C2362">
        <v>21</v>
      </c>
      <c r="D2362" s="649">
        <f ca="1">IF(E2362=4,INDEX(crude_exp_dist,MATCH(B2362,'Crude Exp Dist'!$B$6:$B$78,0),MATCH(C2362,'Crude Exp Dist'!$AD$2:$BC$2,0))*INDEX(crude_exp_by_year,MATCH(B2362,'Data Export'!$B$6:$B$78,0),1),IF(E2362=5,INDEX(ref_exp_dist,MATCH(B2362,'Refined Petro Exp Dist'!$B$6:$B$78,0),MATCH(C2362,'Refined Petro Exp Dist'!$AD$2:$BC$2,0))*INDEX(ref_exp_by_year,MATCH(B2362,'Data Export'!$B$6:$B$78,0),1)))</f>
        <v>0</v>
      </c>
      <c r="E2362">
        <v>5</v>
      </c>
      <c r="F2362" t="s">
        <v>232</v>
      </c>
    </row>
    <row r="2363" spans="1:6">
      <c r="A2363" t="str">
        <f t="shared" si="36"/>
        <v>GenericE&amp;DtemplateCIandGOA</v>
      </c>
      <c r="B2363">
        <v>21</v>
      </c>
      <c r="C2363">
        <v>22</v>
      </c>
      <c r="D2363" s="649">
        <f ca="1">IF(E2363=4,INDEX(crude_exp_dist,MATCH(B2363,'Crude Exp Dist'!$B$6:$B$78,0),MATCH(C2363,'Crude Exp Dist'!$AD$2:$BC$2,0))*INDEX(crude_exp_by_year,MATCH(B2363,'Data Export'!$B$6:$B$78,0),1),IF(E2363=5,INDEX(ref_exp_dist,MATCH(B2363,'Refined Petro Exp Dist'!$B$6:$B$78,0),MATCH(C2363,'Refined Petro Exp Dist'!$AD$2:$BC$2,0))*INDEX(ref_exp_by_year,MATCH(B2363,'Data Export'!$B$6:$B$78,0),1)))</f>
        <v>0</v>
      </c>
      <c r="E2363">
        <v>5</v>
      </c>
      <c r="F2363" t="s">
        <v>235</v>
      </c>
    </row>
    <row r="2364" spans="1:6">
      <c r="A2364" t="str">
        <f t="shared" si="36"/>
        <v>GenericE&amp;DtemplateCIandGOA</v>
      </c>
      <c r="B2364">
        <v>21</v>
      </c>
      <c r="C2364">
        <v>23</v>
      </c>
      <c r="D2364" s="649">
        <f ca="1">IF(E2364=4,INDEX(crude_exp_dist,MATCH(B2364,'Crude Exp Dist'!$B$6:$B$78,0),MATCH(C2364,'Crude Exp Dist'!$AD$2:$BC$2,0))*INDEX(crude_exp_by_year,MATCH(B2364,'Data Export'!$B$6:$B$78,0),1),IF(E2364=5,INDEX(ref_exp_dist,MATCH(B2364,'Refined Petro Exp Dist'!$B$6:$B$78,0),MATCH(C2364,'Refined Petro Exp Dist'!$AD$2:$BC$2,0))*INDEX(ref_exp_by_year,MATCH(B2364,'Data Export'!$B$6:$B$78,0),1)))</f>
        <v>0</v>
      </c>
      <c r="E2364">
        <v>5</v>
      </c>
      <c r="F2364" t="s">
        <v>237</v>
      </c>
    </row>
    <row r="2365" spans="1:6">
      <c r="A2365" t="str">
        <f t="shared" si="36"/>
        <v>GenericE&amp;DtemplateCIandGOA</v>
      </c>
      <c r="B2365">
        <v>21</v>
      </c>
      <c r="C2365">
        <v>24</v>
      </c>
      <c r="D2365" s="649">
        <f ca="1">IF(E2365=4,INDEX(crude_exp_dist,MATCH(B2365,'Crude Exp Dist'!$B$6:$B$78,0),MATCH(C2365,'Crude Exp Dist'!$AD$2:$BC$2,0))*INDEX(crude_exp_by_year,MATCH(B2365,'Data Export'!$B$6:$B$78,0),1),IF(E2365=5,INDEX(ref_exp_dist,MATCH(B2365,'Refined Petro Exp Dist'!$B$6:$B$78,0),MATCH(C2365,'Refined Petro Exp Dist'!$AD$2:$BC$2,0))*INDEX(ref_exp_by_year,MATCH(B2365,'Data Export'!$B$6:$B$78,0),1)))</f>
        <v>0</v>
      </c>
      <c r="E2365">
        <v>5</v>
      </c>
      <c r="F2365" t="s">
        <v>239</v>
      </c>
    </row>
    <row r="2366" spans="1:6">
      <c r="A2366" t="str">
        <f t="shared" si="36"/>
        <v>GenericE&amp;DtemplateCIandGOA</v>
      </c>
      <c r="B2366">
        <v>21</v>
      </c>
      <c r="C2366">
        <v>25</v>
      </c>
      <c r="D2366" s="649">
        <f ca="1">IF(E2366=4,INDEX(crude_exp_dist,MATCH(B2366,'Crude Exp Dist'!$B$6:$B$78,0),MATCH(C2366,'Crude Exp Dist'!$AD$2:$BC$2,0))*INDEX(crude_exp_by_year,MATCH(B2366,'Data Export'!$B$6:$B$78,0),1),IF(E2366=5,INDEX(ref_exp_dist,MATCH(B2366,'Refined Petro Exp Dist'!$B$6:$B$78,0),MATCH(C2366,'Refined Petro Exp Dist'!$AD$2:$BC$2,0))*INDEX(ref_exp_by_year,MATCH(B2366,'Data Export'!$B$6:$B$78,0),1)))</f>
        <v>0</v>
      </c>
      <c r="E2366">
        <v>5</v>
      </c>
      <c r="F2366" t="s">
        <v>242</v>
      </c>
    </row>
    <row r="2367" spans="1:6">
      <c r="A2367" t="str">
        <f t="shared" si="36"/>
        <v>GenericE&amp;DtemplateCIandGOA</v>
      </c>
      <c r="B2367">
        <v>21</v>
      </c>
      <c r="C2367">
        <v>26</v>
      </c>
      <c r="D2367" s="649">
        <f ca="1">IF(E2367=4,INDEX(crude_exp_dist,MATCH(B2367,'Crude Exp Dist'!$B$6:$B$78,0),MATCH(C2367,'Crude Exp Dist'!$AD$2:$BC$2,0))*INDEX(crude_exp_by_year,MATCH(B2367,'Data Export'!$B$6:$B$78,0),1),IF(E2367=5,INDEX(ref_exp_dist,MATCH(B2367,'Refined Petro Exp Dist'!$B$6:$B$78,0),MATCH(C2367,'Refined Petro Exp Dist'!$AD$2:$BC$2,0))*INDEX(ref_exp_by_year,MATCH(B2367,'Data Export'!$B$6:$B$78,0),1)))</f>
        <v>0</v>
      </c>
      <c r="E2367">
        <v>5</v>
      </c>
      <c r="F2367" t="s">
        <v>245</v>
      </c>
    </row>
    <row r="2368" spans="1:6">
      <c r="A2368" t="str">
        <f t="shared" si="36"/>
        <v>GenericE&amp;DtemplateCIandGOA</v>
      </c>
      <c r="B2368">
        <v>22</v>
      </c>
      <c r="C2368">
        <v>1</v>
      </c>
      <c r="D2368" s="649">
        <f ca="1">IF(E2368=4,INDEX(crude_exp_dist,MATCH(B2368,'Crude Exp Dist'!$B$6:$B$78,0),MATCH(C2368,'Crude Exp Dist'!$AD$2:$BC$2,0))*INDEX(crude_exp_by_year,MATCH(B2368,'Data Export'!$B$6:$B$78,0),1),IF(E2368=5,INDEX(ref_exp_dist,MATCH(B2368,'Refined Petro Exp Dist'!$B$6:$B$78,0),MATCH(C2368,'Refined Petro Exp Dist'!$AD$2:$BC$2,0))*INDEX(ref_exp_by_year,MATCH(B2368,'Data Export'!$B$6:$B$78,0),1)))</f>
        <v>0</v>
      </c>
      <c r="E2368">
        <v>5</v>
      </c>
      <c r="F2368" t="s">
        <v>158</v>
      </c>
    </row>
    <row r="2369" spans="1:6">
      <c r="A2369" t="str">
        <f t="shared" si="36"/>
        <v>GenericE&amp;DtemplateCIandGOA</v>
      </c>
      <c r="B2369">
        <v>22</v>
      </c>
      <c r="C2369">
        <v>2</v>
      </c>
      <c r="D2369" s="649">
        <f ca="1">IF(E2369=4,INDEX(crude_exp_dist,MATCH(B2369,'Crude Exp Dist'!$B$6:$B$78,0),MATCH(C2369,'Crude Exp Dist'!$AD$2:$BC$2,0))*INDEX(crude_exp_by_year,MATCH(B2369,'Data Export'!$B$6:$B$78,0),1),IF(E2369=5,INDEX(ref_exp_dist,MATCH(B2369,'Refined Petro Exp Dist'!$B$6:$B$78,0),MATCH(C2369,'Refined Petro Exp Dist'!$AD$2:$BC$2,0))*INDEX(ref_exp_by_year,MATCH(B2369,'Data Export'!$B$6:$B$78,0),1)))</f>
        <v>0</v>
      </c>
      <c r="E2369">
        <v>5</v>
      </c>
      <c r="F2369" t="s">
        <v>166</v>
      </c>
    </row>
    <row r="2370" spans="1:6">
      <c r="A2370" t="str">
        <f t="shared" ref="A2370:A2433" si="37">scenario_name</f>
        <v>GenericE&amp;DtemplateCIandGOA</v>
      </c>
      <c r="B2370">
        <v>22</v>
      </c>
      <c r="C2370">
        <v>3</v>
      </c>
      <c r="D2370" s="649">
        <f ca="1">IF(E2370=4,INDEX(crude_exp_dist,MATCH(B2370,'Crude Exp Dist'!$B$6:$B$78,0),MATCH(C2370,'Crude Exp Dist'!$AD$2:$BC$2,0))*INDEX(crude_exp_by_year,MATCH(B2370,'Data Export'!$B$6:$B$78,0),1),IF(E2370=5,INDEX(ref_exp_dist,MATCH(B2370,'Refined Petro Exp Dist'!$B$6:$B$78,0),MATCH(C2370,'Refined Petro Exp Dist'!$AD$2:$BC$2,0))*INDEX(ref_exp_by_year,MATCH(B2370,'Data Export'!$B$6:$B$78,0),1)))</f>
        <v>0</v>
      </c>
      <c r="E2370">
        <v>5</v>
      </c>
      <c r="F2370" t="s">
        <v>171</v>
      </c>
    </row>
    <row r="2371" spans="1:6">
      <c r="A2371" t="str">
        <f t="shared" si="37"/>
        <v>GenericE&amp;DtemplateCIandGOA</v>
      </c>
      <c r="B2371">
        <v>22</v>
      </c>
      <c r="C2371">
        <v>4</v>
      </c>
      <c r="D2371" s="649">
        <f ca="1">IF(E2371=4,INDEX(crude_exp_dist,MATCH(B2371,'Crude Exp Dist'!$B$6:$B$78,0),MATCH(C2371,'Crude Exp Dist'!$AD$2:$BC$2,0))*INDEX(crude_exp_by_year,MATCH(B2371,'Data Export'!$B$6:$B$78,0),1),IF(E2371=5,INDEX(ref_exp_dist,MATCH(B2371,'Refined Petro Exp Dist'!$B$6:$B$78,0),MATCH(C2371,'Refined Petro Exp Dist'!$AD$2:$BC$2,0))*INDEX(ref_exp_by_year,MATCH(B2371,'Data Export'!$B$6:$B$78,0),1)))</f>
        <v>0</v>
      </c>
      <c r="E2371">
        <v>5</v>
      </c>
      <c r="F2371" t="s">
        <v>173</v>
      </c>
    </row>
    <row r="2372" spans="1:6">
      <c r="A2372" t="str">
        <f t="shared" si="37"/>
        <v>GenericE&amp;DtemplateCIandGOA</v>
      </c>
      <c r="B2372">
        <v>22</v>
      </c>
      <c r="C2372">
        <v>5</v>
      </c>
      <c r="D2372" s="649">
        <f ca="1">IF(E2372=4,INDEX(crude_exp_dist,MATCH(B2372,'Crude Exp Dist'!$B$6:$B$78,0),MATCH(C2372,'Crude Exp Dist'!$AD$2:$BC$2,0))*INDEX(crude_exp_by_year,MATCH(B2372,'Data Export'!$B$6:$B$78,0),1),IF(E2372=5,INDEX(ref_exp_dist,MATCH(B2372,'Refined Petro Exp Dist'!$B$6:$B$78,0),MATCH(C2372,'Refined Petro Exp Dist'!$AD$2:$BC$2,0))*INDEX(ref_exp_by_year,MATCH(B2372,'Data Export'!$B$6:$B$78,0),1)))</f>
        <v>0</v>
      </c>
      <c r="E2372">
        <v>5</v>
      </c>
      <c r="F2372" t="s">
        <v>180</v>
      </c>
    </row>
    <row r="2373" spans="1:6">
      <c r="A2373" t="str">
        <f t="shared" si="37"/>
        <v>GenericE&amp;DtemplateCIandGOA</v>
      </c>
      <c r="B2373">
        <v>22</v>
      </c>
      <c r="C2373">
        <v>6</v>
      </c>
      <c r="D2373" s="649">
        <f ca="1">IF(E2373=4,INDEX(crude_exp_dist,MATCH(B2373,'Crude Exp Dist'!$B$6:$B$78,0),MATCH(C2373,'Crude Exp Dist'!$AD$2:$BC$2,0))*INDEX(crude_exp_by_year,MATCH(B2373,'Data Export'!$B$6:$B$78,0),1),IF(E2373=5,INDEX(ref_exp_dist,MATCH(B2373,'Refined Petro Exp Dist'!$B$6:$B$78,0),MATCH(C2373,'Refined Petro Exp Dist'!$AD$2:$BC$2,0))*INDEX(ref_exp_by_year,MATCH(B2373,'Data Export'!$B$6:$B$78,0),1)))</f>
        <v>0</v>
      </c>
      <c r="E2373">
        <v>5</v>
      </c>
      <c r="F2373" t="s">
        <v>186</v>
      </c>
    </row>
    <row r="2374" spans="1:6">
      <c r="A2374" t="str">
        <f t="shared" si="37"/>
        <v>GenericE&amp;DtemplateCIandGOA</v>
      </c>
      <c r="B2374">
        <v>22</v>
      </c>
      <c r="C2374">
        <v>7</v>
      </c>
      <c r="D2374" s="649">
        <f ca="1">IF(E2374=4,INDEX(crude_exp_dist,MATCH(B2374,'Crude Exp Dist'!$B$6:$B$78,0),MATCH(C2374,'Crude Exp Dist'!$AD$2:$BC$2,0))*INDEX(crude_exp_by_year,MATCH(B2374,'Data Export'!$B$6:$B$78,0),1),IF(E2374=5,INDEX(ref_exp_dist,MATCH(B2374,'Refined Petro Exp Dist'!$B$6:$B$78,0),MATCH(C2374,'Refined Petro Exp Dist'!$AD$2:$BC$2,0))*INDEX(ref_exp_by_year,MATCH(B2374,'Data Export'!$B$6:$B$78,0),1)))</f>
        <v>0</v>
      </c>
      <c r="E2374">
        <v>5</v>
      </c>
      <c r="F2374" t="s">
        <v>191</v>
      </c>
    </row>
    <row r="2375" spans="1:6">
      <c r="A2375" t="str">
        <f t="shared" si="37"/>
        <v>GenericE&amp;DtemplateCIandGOA</v>
      </c>
      <c r="B2375">
        <v>22</v>
      </c>
      <c r="C2375">
        <v>8</v>
      </c>
      <c r="D2375" s="649">
        <f ca="1">IF(E2375=4,INDEX(crude_exp_dist,MATCH(B2375,'Crude Exp Dist'!$B$6:$B$78,0),MATCH(C2375,'Crude Exp Dist'!$AD$2:$BC$2,0))*INDEX(crude_exp_by_year,MATCH(B2375,'Data Export'!$B$6:$B$78,0),1),IF(E2375=5,INDEX(ref_exp_dist,MATCH(B2375,'Refined Petro Exp Dist'!$B$6:$B$78,0),MATCH(C2375,'Refined Petro Exp Dist'!$AD$2:$BC$2,0))*INDEX(ref_exp_by_year,MATCH(B2375,'Data Export'!$B$6:$B$78,0),1)))</f>
        <v>0</v>
      </c>
      <c r="E2375">
        <v>5</v>
      </c>
      <c r="F2375" t="s">
        <v>197</v>
      </c>
    </row>
    <row r="2376" spans="1:6">
      <c r="A2376" t="str">
        <f t="shared" si="37"/>
        <v>GenericE&amp;DtemplateCIandGOA</v>
      </c>
      <c r="B2376">
        <v>22</v>
      </c>
      <c r="C2376">
        <v>9</v>
      </c>
      <c r="D2376" s="649">
        <f ca="1">IF(E2376=4,INDEX(crude_exp_dist,MATCH(B2376,'Crude Exp Dist'!$B$6:$B$78,0),MATCH(C2376,'Crude Exp Dist'!$AD$2:$BC$2,0))*INDEX(crude_exp_by_year,MATCH(B2376,'Data Export'!$B$6:$B$78,0),1),IF(E2376=5,INDEX(ref_exp_dist,MATCH(B2376,'Refined Petro Exp Dist'!$B$6:$B$78,0),MATCH(C2376,'Refined Petro Exp Dist'!$AD$2:$BC$2,0))*INDEX(ref_exp_by_year,MATCH(B2376,'Data Export'!$B$6:$B$78,0),1)))</f>
        <v>0</v>
      </c>
      <c r="E2376">
        <v>5</v>
      </c>
      <c r="F2376" t="s">
        <v>199</v>
      </c>
    </row>
    <row r="2377" spans="1:6">
      <c r="A2377" t="str">
        <f t="shared" si="37"/>
        <v>GenericE&amp;DtemplateCIandGOA</v>
      </c>
      <c r="B2377">
        <v>22</v>
      </c>
      <c r="C2377">
        <v>10</v>
      </c>
      <c r="D2377" s="649">
        <f ca="1">IF(E2377=4,INDEX(crude_exp_dist,MATCH(B2377,'Crude Exp Dist'!$B$6:$B$78,0),MATCH(C2377,'Crude Exp Dist'!$AD$2:$BC$2,0))*INDEX(crude_exp_by_year,MATCH(B2377,'Data Export'!$B$6:$B$78,0),1),IF(E2377=5,INDEX(ref_exp_dist,MATCH(B2377,'Refined Petro Exp Dist'!$B$6:$B$78,0),MATCH(C2377,'Refined Petro Exp Dist'!$AD$2:$BC$2,0))*INDEX(ref_exp_by_year,MATCH(B2377,'Data Export'!$B$6:$B$78,0),1)))</f>
        <v>0</v>
      </c>
      <c r="E2377">
        <v>5</v>
      </c>
      <c r="F2377" t="s">
        <v>201</v>
      </c>
    </row>
    <row r="2378" spans="1:6">
      <c r="A2378" t="str">
        <f t="shared" si="37"/>
        <v>GenericE&amp;DtemplateCIandGOA</v>
      </c>
      <c r="B2378">
        <v>22</v>
      </c>
      <c r="C2378">
        <v>11</v>
      </c>
      <c r="D2378" s="649">
        <f ca="1">IF(E2378=4,INDEX(crude_exp_dist,MATCH(B2378,'Crude Exp Dist'!$B$6:$B$78,0),MATCH(C2378,'Crude Exp Dist'!$AD$2:$BC$2,0))*INDEX(crude_exp_by_year,MATCH(B2378,'Data Export'!$B$6:$B$78,0),1),IF(E2378=5,INDEX(ref_exp_dist,MATCH(B2378,'Refined Petro Exp Dist'!$B$6:$B$78,0),MATCH(C2378,'Refined Petro Exp Dist'!$AD$2:$BC$2,0))*INDEX(ref_exp_by_year,MATCH(B2378,'Data Export'!$B$6:$B$78,0),1)))</f>
        <v>0</v>
      </c>
      <c r="E2378">
        <v>5</v>
      </c>
      <c r="F2378" t="s">
        <v>921</v>
      </c>
    </row>
    <row r="2379" spans="1:6">
      <c r="A2379" t="str">
        <f t="shared" si="37"/>
        <v>GenericE&amp;DtemplateCIandGOA</v>
      </c>
      <c r="B2379">
        <v>22</v>
      </c>
      <c r="C2379">
        <v>12</v>
      </c>
      <c r="D2379" s="649">
        <f ca="1">IF(E2379=4,INDEX(crude_exp_dist,MATCH(B2379,'Crude Exp Dist'!$B$6:$B$78,0),MATCH(C2379,'Crude Exp Dist'!$AD$2:$BC$2,0))*INDEX(crude_exp_by_year,MATCH(B2379,'Data Export'!$B$6:$B$78,0),1),IF(E2379=5,INDEX(ref_exp_dist,MATCH(B2379,'Refined Petro Exp Dist'!$B$6:$B$78,0),MATCH(C2379,'Refined Petro Exp Dist'!$AD$2:$BC$2,0))*INDEX(ref_exp_by_year,MATCH(B2379,'Data Export'!$B$6:$B$78,0),1)))</f>
        <v>0</v>
      </c>
      <c r="E2379">
        <v>5</v>
      </c>
      <c r="F2379" t="s">
        <v>208</v>
      </c>
    </row>
    <row r="2380" spans="1:6">
      <c r="A2380" t="str">
        <f t="shared" si="37"/>
        <v>GenericE&amp;DtemplateCIandGOA</v>
      </c>
      <c r="B2380">
        <v>22</v>
      </c>
      <c r="C2380">
        <v>13</v>
      </c>
      <c r="D2380" s="649">
        <f ca="1">IF(E2380=4,INDEX(crude_exp_dist,MATCH(B2380,'Crude Exp Dist'!$B$6:$B$78,0),MATCH(C2380,'Crude Exp Dist'!$AD$2:$BC$2,0))*INDEX(crude_exp_by_year,MATCH(B2380,'Data Export'!$B$6:$B$78,0),1),IF(E2380=5,INDEX(ref_exp_dist,MATCH(B2380,'Refined Petro Exp Dist'!$B$6:$B$78,0),MATCH(C2380,'Refined Petro Exp Dist'!$AD$2:$BC$2,0))*INDEX(ref_exp_by_year,MATCH(B2380,'Data Export'!$B$6:$B$78,0),1)))</f>
        <v>0</v>
      </c>
      <c r="E2380">
        <v>5</v>
      </c>
      <c r="F2380" t="s">
        <v>211</v>
      </c>
    </row>
    <row r="2381" spans="1:6">
      <c r="A2381" t="str">
        <f t="shared" si="37"/>
        <v>GenericE&amp;DtemplateCIandGOA</v>
      </c>
      <c r="B2381">
        <v>22</v>
      </c>
      <c r="C2381">
        <v>14</v>
      </c>
      <c r="D2381" s="649">
        <f ca="1">IF(E2381=4,INDEX(crude_exp_dist,MATCH(B2381,'Crude Exp Dist'!$B$6:$B$78,0),MATCH(C2381,'Crude Exp Dist'!$AD$2:$BC$2,0))*INDEX(crude_exp_by_year,MATCH(B2381,'Data Export'!$B$6:$B$78,0),1),IF(E2381=5,INDEX(ref_exp_dist,MATCH(B2381,'Refined Petro Exp Dist'!$B$6:$B$78,0),MATCH(C2381,'Refined Petro Exp Dist'!$AD$2:$BC$2,0))*INDEX(ref_exp_by_year,MATCH(B2381,'Data Export'!$B$6:$B$78,0),1)))</f>
        <v>0</v>
      </c>
      <c r="E2381">
        <v>5</v>
      </c>
      <c r="F2381" t="s">
        <v>213</v>
      </c>
    </row>
    <row r="2382" spans="1:6">
      <c r="A2382" t="str">
        <f t="shared" si="37"/>
        <v>GenericE&amp;DtemplateCIandGOA</v>
      </c>
      <c r="B2382">
        <v>22</v>
      </c>
      <c r="C2382">
        <v>15</v>
      </c>
      <c r="D2382" s="649">
        <f ca="1">IF(E2382=4,INDEX(crude_exp_dist,MATCH(B2382,'Crude Exp Dist'!$B$6:$B$78,0),MATCH(C2382,'Crude Exp Dist'!$AD$2:$BC$2,0))*INDEX(crude_exp_by_year,MATCH(B2382,'Data Export'!$B$6:$B$78,0),1),IF(E2382=5,INDEX(ref_exp_dist,MATCH(B2382,'Refined Petro Exp Dist'!$B$6:$B$78,0),MATCH(C2382,'Refined Petro Exp Dist'!$AD$2:$BC$2,0))*INDEX(ref_exp_by_year,MATCH(B2382,'Data Export'!$B$6:$B$78,0),1)))</f>
        <v>0</v>
      </c>
      <c r="E2382">
        <v>5</v>
      </c>
      <c r="F2382" t="s">
        <v>215</v>
      </c>
    </row>
    <row r="2383" spans="1:6">
      <c r="A2383" t="str">
        <f t="shared" si="37"/>
        <v>GenericE&amp;DtemplateCIandGOA</v>
      </c>
      <c r="B2383">
        <v>22</v>
      </c>
      <c r="C2383">
        <v>16</v>
      </c>
      <c r="D2383" s="649">
        <f ca="1">IF(E2383=4,INDEX(crude_exp_dist,MATCH(B2383,'Crude Exp Dist'!$B$6:$B$78,0),MATCH(C2383,'Crude Exp Dist'!$AD$2:$BC$2,0))*INDEX(crude_exp_by_year,MATCH(B2383,'Data Export'!$B$6:$B$78,0),1),IF(E2383=5,INDEX(ref_exp_dist,MATCH(B2383,'Refined Petro Exp Dist'!$B$6:$B$78,0),MATCH(C2383,'Refined Petro Exp Dist'!$AD$2:$BC$2,0))*INDEX(ref_exp_by_year,MATCH(B2383,'Data Export'!$B$6:$B$78,0),1)))</f>
        <v>0</v>
      </c>
      <c r="E2383">
        <v>5</v>
      </c>
      <c r="F2383" t="s">
        <v>219</v>
      </c>
    </row>
    <row r="2384" spans="1:6">
      <c r="A2384" t="str">
        <f t="shared" si="37"/>
        <v>GenericE&amp;DtemplateCIandGOA</v>
      </c>
      <c r="B2384">
        <v>22</v>
      </c>
      <c r="C2384">
        <v>17</v>
      </c>
      <c r="D2384" s="649">
        <f ca="1">IF(E2384=4,INDEX(crude_exp_dist,MATCH(B2384,'Crude Exp Dist'!$B$6:$B$78,0),MATCH(C2384,'Crude Exp Dist'!$AD$2:$BC$2,0))*INDEX(crude_exp_by_year,MATCH(B2384,'Data Export'!$B$6:$B$78,0),1),IF(E2384=5,INDEX(ref_exp_dist,MATCH(B2384,'Refined Petro Exp Dist'!$B$6:$B$78,0),MATCH(C2384,'Refined Petro Exp Dist'!$AD$2:$BC$2,0))*INDEX(ref_exp_by_year,MATCH(B2384,'Data Export'!$B$6:$B$78,0),1)))</f>
        <v>0</v>
      </c>
      <c r="E2384">
        <v>5</v>
      </c>
      <c r="F2384" t="s">
        <v>222</v>
      </c>
    </row>
    <row r="2385" spans="1:6">
      <c r="A2385" t="str">
        <f t="shared" si="37"/>
        <v>GenericE&amp;DtemplateCIandGOA</v>
      </c>
      <c r="B2385">
        <v>22</v>
      </c>
      <c r="C2385">
        <v>18</v>
      </c>
      <c r="D2385" s="649">
        <f ca="1">IF(E2385=4,INDEX(crude_exp_dist,MATCH(B2385,'Crude Exp Dist'!$B$6:$B$78,0),MATCH(C2385,'Crude Exp Dist'!$AD$2:$BC$2,0))*INDEX(crude_exp_by_year,MATCH(B2385,'Data Export'!$B$6:$B$78,0),1),IF(E2385=5,INDEX(ref_exp_dist,MATCH(B2385,'Refined Petro Exp Dist'!$B$6:$B$78,0),MATCH(C2385,'Refined Petro Exp Dist'!$AD$2:$BC$2,0))*INDEX(ref_exp_by_year,MATCH(B2385,'Data Export'!$B$6:$B$78,0),1)))</f>
        <v>0</v>
      </c>
      <c r="E2385">
        <v>5</v>
      </c>
      <c r="F2385" t="s">
        <v>224</v>
      </c>
    </row>
    <row r="2386" spans="1:6">
      <c r="A2386" t="str">
        <f t="shared" si="37"/>
        <v>GenericE&amp;DtemplateCIandGOA</v>
      </c>
      <c r="B2386">
        <v>22</v>
      </c>
      <c r="C2386">
        <v>19</v>
      </c>
      <c r="D2386" s="649">
        <f ca="1">IF(E2386=4,INDEX(crude_exp_dist,MATCH(B2386,'Crude Exp Dist'!$B$6:$B$78,0),MATCH(C2386,'Crude Exp Dist'!$AD$2:$BC$2,0))*INDEX(crude_exp_by_year,MATCH(B2386,'Data Export'!$B$6:$B$78,0),1),IF(E2386=5,INDEX(ref_exp_dist,MATCH(B2386,'Refined Petro Exp Dist'!$B$6:$B$78,0),MATCH(C2386,'Refined Petro Exp Dist'!$AD$2:$BC$2,0))*INDEX(ref_exp_by_year,MATCH(B2386,'Data Export'!$B$6:$B$78,0),1)))</f>
        <v>0</v>
      </c>
      <c r="E2386">
        <v>5</v>
      </c>
      <c r="F2386" t="s">
        <v>228</v>
      </c>
    </row>
    <row r="2387" spans="1:6">
      <c r="A2387" t="str">
        <f t="shared" si="37"/>
        <v>GenericE&amp;DtemplateCIandGOA</v>
      </c>
      <c r="B2387">
        <v>22</v>
      </c>
      <c r="C2387">
        <v>20</v>
      </c>
      <c r="D2387" s="649">
        <f ca="1">IF(E2387=4,INDEX(crude_exp_dist,MATCH(B2387,'Crude Exp Dist'!$B$6:$B$78,0),MATCH(C2387,'Crude Exp Dist'!$AD$2:$BC$2,0))*INDEX(crude_exp_by_year,MATCH(B2387,'Data Export'!$B$6:$B$78,0),1),IF(E2387=5,INDEX(ref_exp_dist,MATCH(B2387,'Refined Petro Exp Dist'!$B$6:$B$78,0),MATCH(C2387,'Refined Petro Exp Dist'!$AD$2:$BC$2,0))*INDEX(ref_exp_by_year,MATCH(B2387,'Data Export'!$B$6:$B$78,0),1)))</f>
        <v>0</v>
      </c>
      <c r="E2387">
        <v>5</v>
      </c>
      <c r="F2387" t="s">
        <v>231</v>
      </c>
    </row>
    <row r="2388" spans="1:6">
      <c r="A2388" t="str">
        <f t="shared" si="37"/>
        <v>GenericE&amp;DtemplateCIandGOA</v>
      </c>
      <c r="B2388">
        <v>22</v>
      </c>
      <c r="C2388">
        <v>21</v>
      </c>
      <c r="D2388" s="649">
        <f ca="1">IF(E2388=4,INDEX(crude_exp_dist,MATCH(B2388,'Crude Exp Dist'!$B$6:$B$78,0),MATCH(C2388,'Crude Exp Dist'!$AD$2:$BC$2,0))*INDEX(crude_exp_by_year,MATCH(B2388,'Data Export'!$B$6:$B$78,0),1),IF(E2388=5,INDEX(ref_exp_dist,MATCH(B2388,'Refined Petro Exp Dist'!$B$6:$B$78,0),MATCH(C2388,'Refined Petro Exp Dist'!$AD$2:$BC$2,0))*INDEX(ref_exp_by_year,MATCH(B2388,'Data Export'!$B$6:$B$78,0),1)))</f>
        <v>0</v>
      </c>
      <c r="E2388">
        <v>5</v>
      </c>
      <c r="F2388" t="s">
        <v>232</v>
      </c>
    </row>
    <row r="2389" spans="1:6">
      <c r="A2389" t="str">
        <f t="shared" si="37"/>
        <v>GenericE&amp;DtemplateCIandGOA</v>
      </c>
      <c r="B2389">
        <v>22</v>
      </c>
      <c r="C2389">
        <v>22</v>
      </c>
      <c r="D2389" s="649">
        <f ca="1">IF(E2389=4,INDEX(crude_exp_dist,MATCH(B2389,'Crude Exp Dist'!$B$6:$B$78,0),MATCH(C2389,'Crude Exp Dist'!$AD$2:$BC$2,0))*INDEX(crude_exp_by_year,MATCH(B2389,'Data Export'!$B$6:$B$78,0),1),IF(E2389=5,INDEX(ref_exp_dist,MATCH(B2389,'Refined Petro Exp Dist'!$B$6:$B$78,0),MATCH(C2389,'Refined Petro Exp Dist'!$AD$2:$BC$2,0))*INDEX(ref_exp_by_year,MATCH(B2389,'Data Export'!$B$6:$B$78,0),1)))</f>
        <v>0</v>
      </c>
      <c r="E2389">
        <v>5</v>
      </c>
      <c r="F2389" t="s">
        <v>235</v>
      </c>
    </row>
    <row r="2390" spans="1:6">
      <c r="A2390" t="str">
        <f t="shared" si="37"/>
        <v>GenericE&amp;DtemplateCIandGOA</v>
      </c>
      <c r="B2390">
        <v>22</v>
      </c>
      <c r="C2390">
        <v>23</v>
      </c>
      <c r="D2390" s="649">
        <f ca="1">IF(E2390=4,INDEX(crude_exp_dist,MATCH(B2390,'Crude Exp Dist'!$B$6:$B$78,0),MATCH(C2390,'Crude Exp Dist'!$AD$2:$BC$2,0))*INDEX(crude_exp_by_year,MATCH(B2390,'Data Export'!$B$6:$B$78,0),1),IF(E2390=5,INDEX(ref_exp_dist,MATCH(B2390,'Refined Petro Exp Dist'!$B$6:$B$78,0),MATCH(C2390,'Refined Petro Exp Dist'!$AD$2:$BC$2,0))*INDEX(ref_exp_by_year,MATCH(B2390,'Data Export'!$B$6:$B$78,0),1)))</f>
        <v>0</v>
      </c>
      <c r="E2390">
        <v>5</v>
      </c>
      <c r="F2390" t="s">
        <v>237</v>
      </c>
    </row>
    <row r="2391" spans="1:6">
      <c r="A2391" t="str">
        <f t="shared" si="37"/>
        <v>GenericE&amp;DtemplateCIandGOA</v>
      </c>
      <c r="B2391">
        <v>22</v>
      </c>
      <c r="C2391">
        <v>24</v>
      </c>
      <c r="D2391" s="649">
        <f ca="1">IF(E2391=4,INDEX(crude_exp_dist,MATCH(B2391,'Crude Exp Dist'!$B$6:$B$78,0),MATCH(C2391,'Crude Exp Dist'!$AD$2:$BC$2,0))*INDEX(crude_exp_by_year,MATCH(B2391,'Data Export'!$B$6:$B$78,0),1),IF(E2391=5,INDEX(ref_exp_dist,MATCH(B2391,'Refined Petro Exp Dist'!$B$6:$B$78,0),MATCH(C2391,'Refined Petro Exp Dist'!$AD$2:$BC$2,0))*INDEX(ref_exp_by_year,MATCH(B2391,'Data Export'!$B$6:$B$78,0),1)))</f>
        <v>0</v>
      </c>
      <c r="E2391">
        <v>5</v>
      </c>
      <c r="F2391" t="s">
        <v>239</v>
      </c>
    </row>
    <row r="2392" spans="1:6">
      <c r="A2392" t="str">
        <f t="shared" si="37"/>
        <v>GenericE&amp;DtemplateCIandGOA</v>
      </c>
      <c r="B2392">
        <v>22</v>
      </c>
      <c r="C2392">
        <v>25</v>
      </c>
      <c r="D2392" s="649">
        <f ca="1">IF(E2392=4,INDEX(crude_exp_dist,MATCH(B2392,'Crude Exp Dist'!$B$6:$B$78,0),MATCH(C2392,'Crude Exp Dist'!$AD$2:$BC$2,0))*INDEX(crude_exp_by_year,MATCH(B2392,'Data Export'!$B$6:$B$78,0),1),IF(E2392=5,INDEX(ref_exp_dist,MATCH(B2392,'Refined Petro Exp Dist'!$B$6:$B$78,0),MATCH(C2392,'Refined Petro Exp Dist'!$AD$2:$BC$2,0))*INDEX(ref_exp_by_year,MATCH(B2392,'Data Export'!$B$6:$B$78,0),1)))</f>
        <v>0</v>
      </c>
      <c r="E2392">
        <v>5</v>
      </c>
      <c r="F2392" t="s">
        <v>242</v>
      </c>
    </row>
    <row r="2393" spans="1:6">
      <c r="A2393" t="str">
        <f t="shared" si="37"/>
        <v>GenericE&amp;DtemplateCIandGOA</v>
      </c>
      <c r="B2393">
        <v>22</v>
      </c>
      <c r="C2393">
        <v>26</v>
      </c>
      <c r="D2393" s="649">
        <f ca="1">IF(E2393=4,INDEX(crude_exp_dist,MATCH(B2393,'Crude Exp Dist'!$B$6:$B$78,0),MATCH(C2393,'Crude Exp Dist'!$AD$2:$BC$2,0))*INDEX(crude_exp_by_year,MATCH(B2393,'Data Export'!$B$6:$B$78,0),1),IF(E2393=5,INDEX(ref_exp_dist,MATCH(B2393,'Refined Petro Exp Dist'!$B$6:$B$78,0),MATCH(C2393,'Refined Petro Exp Dist'!$AD$2:$BC$2,0))*INDEX(ref_exp_by_year,MATCH(B2393,'Data Export'!$B$6:$B$78,0),1)))</f>
        <v>0</v>
      </c>
      <c r="E2393">
        <v>5</v>
      </c>
      <c r="F2393" t="s">
        <v>245</v>
      </c>
    </row>
    <row r="2394" spans="1:6">
      <c r="A2394" t="str">
        <f t="shared" si="37"/>
        <v>GenericE&amp;DtemplateCIandGOA</v>
      </c>
      <c r="B2394">
        <v>23</v>
      </c>
      <c r="C2394">
        <v>1</v>
      </c>
      <c r="D2394" s="649">
        <f ca="1">IF(E2394=4,INDEX(crude_exp_dist,MATCH(B2394,'Crude Exp Dist'!$B$6:$B$78,0),MATCH(C2394,'Crude Exp Dist'!$AD$2:$BC$2,0))*INDEX(crude_exp_by_year,MATCH(B2394,'Data Export'!$B$6:$B$78,0),1),IF(E2394=5,INDEX(ref_exp_dist,MATCH(B2394,'Refined Petro Exp Dist'!$B$6:$B$78,0),MATCH(C2394,'Refined Petro Exp Dist'!$AD$2:$BC$2,0))*INDEX(ref_exp_by_year,MATCH(B2394,'Data Export'!$B$6:$B$78,0),1)))</f>
        <v>0</v>
      </c>
      <c r="E2394">
        <v>5</v>
      </c>
      <c r="F2394" t="s">
        <v>158</v>
      </c>
    </row>
    <row r="2395" spans="1:6">
      <c r="A2395" t="str">
        <f t="shared" si="37"/>
        <v>GenericE&amp;DtemplateCIandGOA</v>
      </c>
      <c r="B2395">
        <v>23</v>
      </c>
      <c r="C2395">
        <v>2</v>
      </c>
      <c r="D2395" s="649">
        <f ca="1">IF(E2395=4,INDEX(crude_exp_dist,MATCH(B2395,'Crude Exp Dist'!$B$6:$B$78,0),MATCH(C2395,'Crude Exp Dist'!$AD$2:$BC$2,0))*INDEX(crude_exp_by_year,MATCH(B2395,'Data Export'!$B$6:$B$78,0),1),IF(E2395=5,INDEX(ref_exp_dist,MATCH(B2395,'Refined Petro Exp Dist'!$B$6:$B$78,0),MATCH(C2395,'Refined Petro Exp Dist'!$AD$2:$BC$2,0))*INDEX(ref_exp_by_year,MATCH(B2395,'Data Export'!$B$6:$B$78,0),1)))</f>
        <v>0</v>
      </c>
      <c r="E2395">
        <v>5</v>
      </c>
      <c r="F2395" t="s">
        <v>166</v>
      </c>
    </row>
    <row r="2396" spans="1:6">
      <c r="A2396" t="str">
        <f t="shared" si="37"/>
        <v>GenericE&amp;DtemplateCIandGOA</v>
      </c>
      <c r="B2396">
        <v>23</v>
      </c>
      <c r="C2396">
        <v>3</v>
      </c>
      <c r="D2396" s="649">
        <f ca="1">IF(E2396=4,INDEX(crude_exp_dist,MATCH(B2396,'Crude Exp Dist'!$B$6:$B$78,0),MATCH(C2396,'Crude Exp Dist'!$AD$2:$BC$2,0))*INDEX(crude_exp_by_year,MATCH(B2396,'Data Export'!$B$6:$B$78,0),1),IF(E2396=5,INDEX(ref_exp_dist,MATCH(B2396,'Refined Petro Exp Dist'!$B$6:$B$78,0),MATCH(C2396,'Refined Petro Exp Dist'!$AD$2:$BC$2,0))*INDEX(ref_exp_by_year,MATCH(B2396,'Data Export'!$B$6:$B$78,0),1)))</f>
        <v>0</v>
      </c>
      <c r="E2396">
        <v>5</v>
      </c>
      <c r="F2396" t="s">
        <v>171</v>
      </c>
    </row>
    <row r="2397" spans="1:6">
      <c r="A2397" t="str">
        <f t="shared" si="37"/>
        <v>GenericE&amp;DtemplateCIandGOA</v>
      </c>
      <c r="B2397">
        <v>23</v>
      </c>
      <c r="C2397">
        <v>4</v>
      </c>
      <c r="D2397" s="649">
        <f ca="1">IF(E2397=4,INDEX(crude_exp_dist,MATCH(B2397,'Crude Exp Dist'!$B$6:$B$78,0),MATCH(C2397,'Crude Exp Dist'!$AD$2:$BC$2,0))*INDEX(crude_exp_by_year,MATCH(B2397,'Data Export'!$B$6:$B$78,0),1),IF(E2397=5,INDEX(ref_exp_dist,MATCH(B2397,'Refined Petro Exp Dist'!$B$6:$B$78,0),MATCH(C2397,'Refined Petro Exp Dist'!$AD$2:$BC$2,0))*INDEX(ref_exp_by_year,MATCH(B2397,'Data Export'!$B$6:$B$78,0),1)))</f>
        <v>0</v>
      </c>
      <c r="E2397">
        <v>5</v>
      </c>
      <c r="F2397" t="s">
        <v>173</v>
      </c>
    </row>
    <row r="2398" spans="1:6">
      <c r="A2398" t="str">
        <f t="shared" si="37"/>
        <v>GenericE&amp;DtemplateCIandGOA</v>
      </c>
      <c r="B2398">
        <v>23</v>
      </c>
      <c r="C2398">
        <v>5</v>
      </c>
      <c r="D2398" s="649">
        <f ca="1">IF(E2398=4,INDEX(crude_exp_dist,MATCH(B2398,'Crude Exp Dist'!$B$6:$B$78,0),MATCH(C2398,'Crude Exp Dist'!$AD$2:$BC$2,0))*INDEX(crude_exp_by_year,MATCH(B2398,'Data Export'!$B$6:$B$78,0),1),IF(E2398=5,INDEX(ref_exp_dist,MATCH(B2398,'Refined Petro Exp Dist'!$B$6:$B$78,0),MATCH(C2398,'Refined Petro Exp Dist'!$AD$2:$BC$2,0))*INDEX(ref_exp_by_year,MATCH(B2398,'Data Export'!$B$6:$B$78,0),1)))</f>
        <v>0</v>
      </c>
      <c r="E2398">
        <v>5</v>
      </c>
      <c r="F2398" t="s">
        <v>180</v>
      </c>
    </row>
    <row r="2399" spans="1:6">
      <c r="A2399" t="str">
        <f t="shared" si="37"/>
        <v>GenericE&amp;DtemplateCIandGOA</v>
      </c>
      <c r="B2399">
        <v>23</v>
      </c>
      <c r="C2399">
        <v>6</v>
      </c>
      <c r="D2399" s="649">
        <f ca="1">IF(E2399=4,INDEX(crude_exp_dist,MATCH(B2399,'Crude Exp Dist'!$B$6:$B$78,0),MATCH(C2399,'Crude Exp Dist'!$AD$2:$BC$2,0))*INDEX(crude_exp_by_year,MATCH(B2399,'Data Export'!$B$6:$B$78,0),1),IF(E2399=5,INDEX(ref_exp_dist,MATCH(B2399,'Refined Petro Exp Dist'!$B$6:$B$78,0),MATCH(C2399,'Refined Petro Exp Dist'!$AD$2:$BC$2,0))*INDEX(ref_exp_by_year,MATCH(B2399,'Data Export'!$B$6:$B$78,0),1)))</f>
        <v>0</v>
      </c>
      <c r="E2399">
        <v>5</v>
      </c>
      <c r="F2399" t="s">
        <v>186</v>
      </c>
    </row>
    <row r="2400" spans="1:6">
      <c r="A2400" t="str">
        <f t="shared" si="37"/>
        <v>GenericE&amp;DtemplateCIandGOA</v>
      </c>
      <c r="B2400">
        <v>23</v>
      </c>
      <c r="C2400">
        <v>7</v>
      </c>
      <c r="D2400" s="649">
        <f ca="1">IF(E2400=4,INDEX(crude_exp_dist,MATCH(B2400,'Crude Exp Dist'!$B$6:$B$78,0),MATCH(C2400,'Crude Exp Dist'!$AD$2:$BC$2,0))*INDEX(crude_exp_by_year,MATCH(B2400,'Data Export'!$B$6:$B$78,0),1),IF(E2400=5,INDEX(ref_exp_dist,MATCH(B2400,'Refined Petro Exp Dist'!$B$6:$B$78,0),MATCH(C2400,'Refined Petro Exp Dist'!$AD$2:$BC$2,0))*INDEX(ref_exp_by_year,MATCH(B2400,'Data Export'!$B$6:$B$78,0),1)))</f>
        <v>0</v>
      </c>
      <c r="E2400">
        <v>5</v>
      </c>
      <c r="F2400" t="s">
        <v>191</v>
      </c>
    </row>
    <row r="2401" spans="1:6">
      <c r="A2401" t="str">
        <f t="shared" si="37"/>
        <v>GenericE&amp;DtemplateCIandGOA</v>
      </c>
      <c r="B2401">
        <v>23</v>
      </c>
      <c r="C2401">
        <v>8</v>
      </c>
      <c r="D2401" s="649">
        <f ca="1">IF(E2401=4,INDEX(crude_exp_dist,MATCH(B2401,'Crude Exp Dist'!$B$6:$B$78,0),MATCH(C2401,'Crude Exp Dist'!$AD$2:$BC$2,0))*INDEX(crude_exp_by_year,MATCH(B2401,'Data Export'!$B$6:$B$78,0),1),IF(E2401=5,INDEX(ref_exp_dist,MATCH(B2401,'Refined Petro Exp Dist'!$B$6:$B$78,0),MATCH(C2401,'Refined Petro Exp Dist'!$AD$2:$BC$2,0))*INDEX(ref_exp_by_year,MATCH(B2401,'Data Export'!$B$6:$B$78,0),1)))</f>
        <v>0</v>
      </c>
      <c r="E2401">
        <v>5</v>
      </c>
      <c r="F2401" t="s">
        <v>197</v>
      </c>
    </row>
    <row r="2402" spans="1:6">
      <c r="A2402" t="str">
        <f t="shared" si="37"/>
        <v>GenericE&amp;DtemplateCIandGOA</v>
      </c>
      <c r="B2402">
        <v>23</v>
      </c>
      <c r="C2402">
        <v>9</v>
      </c>
      <c r="D2402" s="649">
        <f ca="1">IF(E2402=4,INDEX(crude_exp_dist,MATCH(B2402,'Crude Exp Dist'!$B$6:$B$78,0),MATCH(C2402,'Crude Exp Dist'!$AD$2:$BC$2,0))*INDEX(crude_exp_by_year,MATCH(B2402,'Data Export'!$B$6:$B$78,0),1),IF(E2402=5,INDEX(ref_exp_dist,MATCH(B2402,'Refined Petro Exp Dist'!$B$6:$B$78,0),MATCH(C2402,'Refined Petro Exp Dist'!$AD$2:$BC$2,0))*INDEX(ref_exp_by_year,MATCH(B2402,'Data Export'!$B$6:$B$78,0),1)))</f>
        <v>0</v>
      </c>
      <c r="E2402">
        <v>5</v>
      </c>
      <c r="F2402" t="s">
        <v>199</v>
      </c>
    </row>
    <row r="2403" spans="1:6">
      <c r="A2403" t="str">
        <f t="shared" si="37"/>
        <v>GenericE&amp;DtemplateCIandGOA</v>
      </c>
      <c r="B2403">
        <v>23</v>
      </c>
      <c r="C2403">
        <v>10</v>
      </c>
      <c r="D2403" s="649">
        <f ca="1">IF(E2403=4,INDEX(crude_exp_dist,MATCH(B2403,'Crude Exp Dist'!$B$6:$B$78,0),MATCH(C2403,'Crude Exp Dist'!$AD$2:$BC$2,0))*INDEX(crude_exp_by_year,MATCH(B2403,'Data Export'!$B$6:$B$78,0),1),IF(E2403=5,INDEX(ref_exp_dist,MATCH(B2403,'Refined Petro Exp Dist'!$B$6:$B$78,0),MATCH(C2403,'Refined Petro Exp Dist'!$AD$2:$BC$2,0))*INDEX(ref_exp_by_year,MATCH(B2403,'Data Export'!$B$6:$B$78,0),1)))</f>
        <v>0</v>
      </c>
      <c r="E2403">
        <v>5</v>
      </c>
      <c r="F2403" t="s">
        <v>201</v>
      </c>
    </row>
    <row r="2404" spans="1:6">
      <c r="A2404" t="str">
        <f t="shared" si="37"/>
        <v>GenericE&amp;DtemplateCIandGOA</v>
      </c>
      <c r="B2404">
        <v>23</v>
      </c>
      <c r="C2404">
        <v>11</v>
      </c>
      <c r="D2404" s="649">
        <f ca="1">IF(E2404=4,INDEX(crude_exp_dist,MATCH(B2404,'Crude Exp Dist'!$B$6:$B$78,0),MATCH(C2404,'Crude Exp Dist'!$AD$2:$BC$2,0))*INDEX(crude_exp_by_year,MATCH(B2404,'Data Export'!$B$6:$B$78,0),1),IF(E2404=5,INDEX(ref_exp_dist,MATCH(B2404,'Refined Petro Exp Dist'!$B$6:$B$78,0),MATCH(C2404,'Refined Petro Exp Dist'!$AD$2:$BC$2,0))*INDEX(ref_exp_by_year,MATCH(B2404,'Data Export'!$B$6:$B$78,0),1)))</f>
        <v>0</v>
      </c>
      <c r="E2404">
        <v>5</v>
      </c>
      <c r="F2404" t="s">
        <v>921</v>
      </c>
    </row>
    <row r="2405" spans="1:6">
      <c r="A2405" t="str">
        <f t="shared" si="37"/>
        <v>GenericE&amp;DtemplateCIandGOA</v>
      </c>
      <c r="B2405">
        <v>23</v>
      </c>
      <c r="C2405">
        <v>12</v>
      </c>
      <c r="D2405" s="649">
        <f ca="1">IF(E2405=4,INDEX(crude_exp_dist,MATCH(B2405,'Crude Exp Dist'!$B$6:$B$78,0),MATCH(C2405,'Crude Exp Dist'!$AD$2:$BC$2,0))*INDEX(crude_exp_by_year,MATCH(B2405,'Data Export'!$B$6:$B$78,0),1),IF(E2405=5,INDEX(ref_exp_dist,MATCH(B2405,'Refined Petro Exp Dist'!$B$6:$B$78,0),MATCH(C2405,'Refined Petro Exp Dist'!$AD$2:$BC$2,0))*INDEX(ref_exp_by_year,MATCH(B2405,'Data Export'!$B$6:$B$78,0),1)))</f>
        <v>0</v>
      </c>
      <c r="E2405">
        <v>5</v>
      </c>
      <c r="F2405" t="s">
        <v>208</v>
      </c>
    </row>
    <row r="2406" spans="1:6">
      <c r="A2406" t="str">
        <f t="shared" si="37"/>
        <v>GenericE&amp;DtemplateCIandGOA</v>
      </c>
      <c r="B2406">
        <v>23</v>
      </c>
      <c r="C2406">
        <v>13</v>
      </c>
      <c r="D2406" s="649">
        <f ca="1">IF(E2406=4,INDEX(crude_exp_dist,MATCH(B2406,'Crude Exp Dist'!$B$6:$B$78,0),MATCH(C2406,'Crude Exp Dist'!$AD$2:$BC$2,0))*INDEX(crude_exp_by_year,MATCH(B2406,'Data Export'!$B$6:$B$78,0),1),IF(E2406=5,INDEX(ref_exp_dist,MATCH(B2406,'Refined Petro Exp Dist'!$B$6:$B$78,0),MATCH(C2406,'Refined Petro Exp Dist'!$AD$2:$BC$2,0))*INDEX(ref_exp_by_year,MATCH(B2406,'Data Export'!$B$6:$B$78,0),1)))</f>
        <v>0</v>
      </c>
      <c r="E2406">
        <v>5</v>
      </c>
      <c r="F2406" t="s">
        <v>211</v>
      </c>
    </row>
    <row r="2407" spans="1:6">
      <c r="A2407" t="str">
        <f t="shared" si="37"/>
        <v>GenericE&amp;DtemplateCIandGOA</v>
      </c>
      <c r="B2407">
        <v>23</v>
      </c>
      <c r="C2407">
        <v>14</v>
      </c>
      <c r="D2407" s="649">
        <f ca="1">IF(E2407=4,INDEX(crude_exp_dist,MATCH(B2407,'Crude Exp Dist'!$B$6:$B$78,0),MATCH(C2407,'Crude Exp Dist'!$AD$2:$BC$2,0))*INDEX(crude_exp_by_year,MATCH(B2407,'Data Export'!$B$6:$B$78,0),1),IF(E2407=5,INDEX(ref_exp_dist,MATCH(B2407,'Refined Petro Exp Dist'!$B$6:$B$78,0),MATCH(C2407,'Refined Petro Exp Dist'!$AD$2:$BC$2,0))*INDEX(ref_exp_by_year,MATCH(B2407,'Data Export'!$B$6:$B$78,0),1)))</f>
        <v>0</v>
      </c>
      <c r="E2407">
        <v>5</v>
      </c>
      <c r="F2407" t="s">
        <v>213</v>
      </c>
    </row>
    <row r="2408" spans="1:6">
      <c r="A2408" t="str">
        <f t="shared" si="37"/>
        <v>GenericE&amp;DtemplateCIandGOA</v>
      </c>
      <c r="B2408">
        <v>23</v>
      </c>
      <c r="C2408">
        <v>15</v>
      </c>
      <c r="D2408" s="649">
        <f ca="1">IF(E2408=4,INDEX(crude_exp_dist,MATCH(B2408,'Crude Exp Dist'!$B$6:$B$78,0),MATCH(C2408,'Crude Exp Dist'!$AD$2:$BC$2,0))*INDEX(crude_exp_by_year,MATCH(B2408,'Data Export'!$B$6:$B$78,0),1),IF(E2408=5,INDEX(ref_exp_dist,MATCH(B2408,'Refined Petro Exp Dist'!$B$6:$B$78,0),MATCH(C2408,'Refined Petro Exp Dist'!$AD$2:$BC$2,0))*INDEX(ref_exp_by_year,MATCH(B2408,'Data Export'!$B$6:$B$78,0),1)))</f>
        <v>0</v>
      </c>
      <c r="E2408">
        <v>5</v>
      </c>
      <c r="F2408" t="s">
        <v>215</v>
      </c>
    </row>
    <row r="2409" spans="1:6">
      <c r="A2409" t="str">
        <f t="shared" si="37"/>
        <v>GenericE&amp;DtemplateCIandGOA</v>
      </c>
      <c r="B2409">
        <v>23</v>
      </c>
      <c r="C2409">
        <v>16</v>
      </c>
      <c r="D2409" s="649">
        <f ca="1">IF(E2409=4,INDEX(crude_exp_dist,MATCH(B2409,'Crude Exp Dist'!$B$6:$B$78,0),MATCH(C2409,'Crude Exp Dist'!$AD$2:$BC$2,0))*INDEX(crude_exp_by_year,MATCH(B2409,'Data Export'!$B$6:$B$78,0),1),IF(E2409=5,INDEX(ref_exp_dist,MATCH(B2409,'Refined Petro Exp Dist'!$B$6:$B$78,0),MATCH(C2409,'Refined Petro Exp Dist'!$AD$2:$BC$2,0))*INDEX(ref_exp_by_year,MATCH(B2409,'Data Export'!$B$6:$B$78,0),1)))</f>
        <v>0</v>
      </c>
      <c r="E2409">
        <v>5</v>
      </c>
      <c r="F2409" t="s">
        <v>219</v>
      </c>
    </row>
    <row r="2410" spans="1:6">
      <c r="A2410" t="str">
        <f t="shared" si="37"/>
        <v>GenericE&amp;DtemplateCIandGOA</v>
      </c>
      <c r="B2410">
        <v>23</v>
      </c>
      <c r="C2410">
        <v>17</v>
      </c>
      <c r="D2410" s="649">
        <f ca="1">IF(E2410=4,INDEX(crude_exp_dist,MATCH(B2410,'Crude Exp Dist'!$B$6:$B$78,0),MATCH(C2410,'Crude Exp Dist'!$AD$2:$BC$2,0))*INDEX(crude_exp_by_year,MATCH(B2410,'Data Export'!$B$6:$B$78,0),1),IF(E2410=5,INDEX(ref_exp_dist,MATCH(B2410,'Refined Petro Exp Dist'!$B$6:$B$78,0),MATCH(C2410,'Refined Petro Exp Dist'!$AD$2:$BC$2,0))*INDEX(ref_exp_by_year,MATCH(B2410,'Data Export'!$B$6:$B$78,0),1)))</f>
        <v>0</v>
      </c>
      <c r="E2410">
        <v>5</v>
      </c>
      <c r="F2410" t="s">
        <v>222</v>
      </c>
    </row>
    <row r="2411" spans="1:6">
      <c r="A2411" t="str">
        <f t="shared" si="37"/>
        <v>GenericE&amp;DtemplateCIandGOA</v>
      </c>
      <c r="B2411">
        <v>23</v>
      </c>
      <c r="C2411">
        <v>18</v>
      </c>
      <c r="D2411" s="649">
        <f ca="1">IF(E2411=4,INDEX(crude_exp_dist,MATCH(B2411,'Crude Exp Dist'!$B$6:$B$78,0),MATCH(C2411,'Crude Exp Dist'!$AD$2:$BC$2,0))*INDEX(crude_exp_by_year,MATCH(B2411,'Data Export'!$B$6:$B$78,0),1),IF(E2411=5,INDEX(ref_exp_dist,MATCH(B2411,'Refined Petro Exp Dist'!$B$6:$B$78,0),MATCH(C2411,'Refined Petro Exp Dist'!$AD$2:$BC$2,0))*INDEX(ref_exp_by_year,MATCH(B2411,'Data Export'!$B$6:$B$78,0),1)))</f>
        <v>0</v>
      </c>
      <c r="E2411">
        <v>5</v>
      </c>
      <c r="F2411" t="s">
        <v>224</v>
      </c>
    </row>
    <row r="2412" spans="1:6">
      <c r="A2412" t="str">
        <f t="shared" si="37"/>
        <v>GenericE&amp;DtemplateCIandGOA</v>
      </c>
      <c r="B2412">
        <v>23</v>
      </c>
      <c r="C2412">
        <v>19</v>
      </c>
      <c r="D2412" s="649">
        <f ca="1">IF(E2412=4,INDEX(crude_exp_dist,MATCH(B2412,'Crude Exp Dist'!$B$6:$B$78,0),MATCH(C2412,'Crude Exp Dist'!$AD$2:$BC$2,0))*INDEX(crude_exp_by_year,MATCH(B2412,'Data Export'!$B$6:$B$78,0),1),IF(E2412=5,INDEX(ref_exp_dist,MATCH(B2412,'Refined Petro Exp Dist'!$B$6:$B$78,0),MATCH(C2412,'Refined Petro Exp Dist'!$AD$2:$BC$2,0))*INDEX(ref_exp_by_year,MATCH(B2412,'Data Export'!$B$6:$B$78,0),1)))</f>
        <v>0</v>
      </c>
      <c r="E2412">
        <v>5</v>
      </c>
      <c r="F2412" t="s">
        <v>228</v>
      </c>
    </row>
    <row r="2413" spans="1:6">
      <c r="A2413" t="str">
        <f t="shared" si="37"/>
        <v>GenericE&amp;DtemplateCIandGOA</v>
      </c>
      <c r="B2413">
        <v>23</v>
      </c>
      <c r="C2413">
        <v>20</v>
      </c>
      <c r="D2413" s="649">
        <f ca="1">IF(E2413=4,INDEX(crude_exp_dist,MATCH(B2413,'Crude Exp Dist'!$B$6:$B$78,0),MATCH(C2413,'Crude Exp Dist'!$AD$2:$BC$2,0))*INDEX(crude_exp_by_year,MATCH(B2413,'Data Export'!$B$6:$B$78,0),1),IF(E2413=5,INDEX(ref_exp_dist,MATCH(B2413,'Refined Petro Exp Dist'!$B$6:$B$78,0),MATCH(C2413,'Refined Petro Exp Dist'!$AD$2:$BC$2,0))*INDEX(ref_exp_by_year,MATCH(B2413,'Data Export'!$B$6:$B$78,0),1)))</f>
        <v>0</v>
      </c>
      <c r="E2413">
        <v>5</v>
      </c>
      <c r="F2413" t="s">
        <v>231</v>
      </c>
    </row>
    <row r="2414" spans="1:6">
      <c r="A2414" t="str">
        <f t="shared" si="37"/>
        <v>GenericE&amp;DtemplateCIandGOA</v>
      </c>
      <c r="B2414">
        <v>23</v>
      </c>
      <c r="C2414">
        <v>21</v>
      </c>
      <c r="D2414" s="649">
        <f ca="1">IF(E2414=4,INDEX(crude_exp_dist,MATCH(B2414,'Crude Exp Dist'!$B$6:$B$78,0),MATCH(C2414,'Crude Exp Dist'!$AD$2:$BC$2,0))*INDEX(crude_exp_by_year,MATCH(B2414,'Data Export'!$B$6:$B$78,0),1),IF(E2414=5,INDEX(ref_exp_dist,MATCH(B2414,'Refined Petro Exp Dist'!$B$6:$B$78,0),MATCH(C2414,'Refined Petro Exp Dist'!$AD$2:$BC$2,0))*INDEX(ref_exp_by_year,MATCH(B2414,'Data Export'!$B$6:$B$78,0),1)))</f>
        <v>0</v>
      </c>
      <c r="E2414">
        <v>5</v>
      </c>
      <c r="F2414" t="s">
        <v>232</v>
      </c>
    </row>
    <row r="2415" spans="1:6">
      <c r="A2415" t="str">
        <f t="shared" si="37"/>
        <v>GenericE&amp;DtemplateCIandGOA</v>
      </c>
      <c r="B2415">
        <v>23</v>
      </c>
      <c r="C2415">
        <v>22</v>
      </c>
      <c r="D2415" s="649">
        <f ca="1">IF(E2415=4,INDEX(crude_exp_dist,MATCH(B2415,'Crude Exp Dist'!$B$6:$B$78,0),MATCH(C2415,'Crude Exp Dist'!$AD$2:$BC$2,0))*INDEX(crude_exp_by_year,MATCH(B2415,'Data Export'!$B$6:$B$78,0),1),IF(E2415=5,INDEX(ref_exp_dist,MATCH(B2415,'Refined Petro Exp Dist'!$B$6:$B$78,0),MATCH(C2415,'Refined Petro Exp Dist'!$AD$2:$BC$2,0))*INDEX(ref_exp_by_year,MATCH(B2415,'Data Export'!$B$6:$B$78,0),1)))</f>
        <v>0</v>
      </c>
      <c r="E2415">
        <v>5</v>
      </c>
      <c r="F2415" t="s">
        <v>235</v>
      </c>
    </row>
    <row r="2416" spans="1:6">
      <c r="A2416" t="str">
        <f t="shared" si="37"/>
        <v>GenericE&amp;DtemplateCIandGOA</v>
      </c>
      <c r="B2416">
        <v>23</v>
      </c>
      <c r="C2416">
        <v>23</v>
      </c>
      <c r="D2416" s="649">
        <f ca="1">IF(E2416=4,INDEX(crude_exp_dist,MATCH(B2416,'Crude Exp Dist'!$B$6:$B$78,0),MATCH(C2416,'Crude Exp Dist'!$AD$2:$BC$2,0))*INDEX(crude_exp_by_year,MATCH(B2416,'Data Export'!$B$6:$B$78,0),1),IF(E2416=5,INDEX(ref_exp_dist,MATCH(B2416,'Refined Petro Exp Dist'!$B$6:$B$78,0),MATCH(C2416,'Refined Petro Exp Dist'!$AD$2:$BC$2,0))*INDEX(ref_exp_by_year,MATCH(B2416,'Data Export'!$B$6:$B$78,0),1)))</f>
        <v>0</v>
      </c>
      <c r="E2416">
        <v>5</v>
      </c>
      <c r="F2416" t="s">
        <v>237</v>
      </c>
    </row>
    <row r="2417" spans="1:6">
      <c r="A2417" t="str">
        <f t="shared" si="37"/>
        <v>GenericE&amp;DtemplateCIandGOA</v>
      </c>
      <c r="B2417">
        <v>23</v>
      </c>
      <c r="C2417">
        <v>24</v>
      </c>
      <c r="D2417" s="649">
        <f ca="1">IF(E2417=4,INDEX(crude_exp_dist,MATCH(B2417,'Crude Exp Dist'!$B$6:$B$78,0),MATCH(C2417,'Crude Exp Dist'!$AD$2:$BC$2,0))*INDEX(crude_exp_by_year,MATCH(B2417,'Data Export'!$B$6:$B$78,0),1),IF(E2417=5,INDEX(ref_exp_dist,MATCH(B2417,'Refined Petro Exp Dist'!$B$6:$B$78,0),MATCH(C2417,'Refined Petro Exp Dist'!$AD$2:$BC$2,0))*INDEX(ref_exp_by_year,MATCH(B2417,'Data Export'!$B$6:$B$78,0),1)))</f>
        <v>0</v>
      </c>
      <c r="E2417">
        <v>5</v>
      </c>
      <c r="F2417" t="s">
        <v>239</v>
      </c>
    </row>
    <row r="2418" spans="1:6">
      <c r="A2418" t="str">
        <f t="shared" si="37"/>
        <v>GenericE&amp;DtemplateCIandGOA</v>
      </c>
      <c r="B2418">
        <v>23</v>
      </c>
      <c r="C2418">
        <v>25</v>
      </c>
      <c r="D2418" s="649">
        <f ca="1">IF(E2418=4,INDEX(crude_exp_dist,MATCH(B2418,'Crude Exp Dist'!$B$6:$B$78,0),MATCH(C2418,'Crude Exp Dist'!$AD$2:$BC$2,0))*INDEX(crude_exp_by_year,MATCH(B2418,'Data Export'!$B$6:$B$78,0),1),IF(E2418=5,INDEX(ref_exp_dist,MATCH(B2418,'Refined Petro Exp Dist'!$B$6:$B$78,0),MATCH(C2418,'Refined Petro Exp Dist'!$AD$2:$BC$2,0))*INDEX(ref_exp_by_year,MATCH(B2418,'Data Export'!$B$6:$B$78,0),1)))</f>
        <v>0</v>
      </c>
      <c r="E2418">
        <v>5</v>
      </c>
      <c r="F2418" t="s">
        <v>242</v>
      </c>
    </row>
    <row r="2419" spans="1:6">
      <c r="A2419" t="str">
        <f t="shared" si="37"/>
        <v>GenericE&amp;DtemplateCIandGOA</v>
      </c>
      <c r="B2419">
        <v>23</v>
      </c>
      <c r="C2419">
        <v>26</v>
      </c>
      <c r="D2419" s="649">
        <f ca="1">IF(E2419=4,INDEX(crude_exp_dist,MATCH(B2419,'Crude Exp Dist'!$B$6:$B$78,0),MATCH(C2419,'Crude Exp Dist'!$AD$2:$BC$2,0))*INDEX(crude_exp_by_year,MATCH(B2419,'Data Export'!$B$6:$B$78,0),1),IF(E2419=5,INDEX(ref_exp_dist,MATCH(B2419,'Refined Petro Exp Dist'!$B$6:$B$78,0),MATCH(C2419,'Refined Petro Exp Dist'!$AD$2:$BC$2,0))*INDEX(ref_exp_by_year,MATCH(B2419,'Data Export'!$B$6:$B$78,0),1)))</f>
        <v>0</v>
      </c>
      <c r="E2419">
        <v>5</v>
      </c>
      <c r="F2419" t="s">
        <v>245</v>
      </c>
    </row>
    <row r="2420" spans="1:6">
      <c r="A2420" t="str">
        <f t="shared" si="37"/>
        <v>GenericE&amp;DtemplateCIandGOA</v>
      </c>
      <c r="B2420">
        <v>24</v>
      </c>
      <c r="C2420">
        <v>1</v>
      </c>
      <c r="D2420" s="649">
        <f ca="1">IF(E2420=4,INDEX(crude_exp_dist,MATCH(B2420,'Crude Exp Dist'!$B$6:$B$78,0),MATCH(C2420,'Crude Exp Dist'!$AD$2:$BC$2,0))*INDEX(crude_exp_by_year,MATCH(B2420,'Data Export'!$B$6:$B$78,0),1),IF(E2420=5,INDEX(ref_exp_dist,MATCH(B2420,'Refined Petro Exp Dist'!$B$6:$B$78,0),MATCH(C2420,'Refined Petro Exp Dist'!$AD$2:$BC$2,0))*INDEX(ref_exp_by_year,MATCH(B2420,'Data Export'!$B$6:$B$78,0),1)))</f>
        <v>0</v>
      </c>
      <c r="E2420">
        <v>5</v>
      </c>
      <c r="F2420" t="s">
        <v>158</v>
      </c>
    </row>
    <row r="2421" spans="1:6">
      <c r="A2421" t="str">
        <f t="shared" si="37"/>
        <v>GenericE&amp;DtemplateCIandGOA</v>
      </c>
      <c r="B2421">
        <v>24</v>
      </c>
      <c r="C2421">
        <v>2</v>
      </c>
      <c r="D2421" s="649">
        <f ca="1">IF(E2421=4,INDEX(crude_exp_dist,MATCH(B2421,'Crude Exp Dist'!$B$6:$B$78,0),MATCH(C2421,'Crude Exp Dist'!$AD$2:$BC$2,0))*INDEX(crude_exp_by_year,MATCH(B2421,'Data Export'!$B$6:$B$78,0),1),IF(E2421=5,INDEX(ref_exp_dist,MATCH(B2421,'Refined Petro Exp Dist'!$B$6:$B$78,0),MATCH(C2421,'Refined Petro Exp Dist'!$AD$2:$BC$2,0))*INDEX(ref_exp_by_year,MATCH(B2421,'Data Export'!$B$6:$B$78,0),1)))</f>
        <v>0</v>
      </c>
      <c r="E2421">
        <v>5</v>
      </c>
      <c r="F2421" t="s">
        <v>166</v>
      </c>
    </row>
    <row r="2422" spans="1:6">
      <c r="A2422" t="str">
        <f t="shared" si="37"/>
        <v>GenericE&amp;DtemplateCIandGOA</v>
      </c>
      <c r="B2422">
        <v>24</v>
      </c>
      <c r="C2422">
        <v>3</v>
      </c>
      <c r="D2422" s="649">
        <f ca="1">IF(E2422=4,INDEX(crude_exp_dist,MATCH(B2422,'Crude Exp Dist'!$B$6:$B$78,0),MATCH(C2422,'Crude Exp Dist'!$AD$2:$BC$2,0))*INDEX(crude_exp_by_year,MATCH(B2422,'Data Export'!$B$6:$B$78,0),1),IF(E2422=5,INDEX(ref_exp_dist,MATCH(B2422,'Refined Petro Exp Dist'!$B$6:$B$78,0),MATCH(C2422,'Refined Petro Exp Dist'!$AD$2:$BC$2,0))*INDEX(ref_exp_by_year,MATCH(B2422,'Data Export'!$B$6:$B$78,0),1)))</f>
        <v>0</v>
      </c>
      <c r="E2422">
        <v>5</v>
      </c>
      <c r="F2422" t="s">
        <v>171</v>
      </c>
    </row>
    <row r="2423" spans="1:6">
      <c r="A2423" t="str">
        <f t="shared" si="37"/>
        <v>GenericE&amp;DtemplateCIandGOA</v>
      </c>
      <c r="B2423">
        <v>24</v>
      </c>
      <c r="C2423">
        <v>4</v>
      </c>
      <c r="D2423" s="649">
        <f ca="1">IF(E2423=4,INDEX(crude_exp_dist,MATCH(B2423,'Crude Exp Dist'!$B$6:$B$78,0),MATCH(C2423,'Crude Exp Dist'!$AD$2:$BC$2,0))*INDEX(crude_exp_by_year,MATCH(B2423,'Data Export'!$B$6:$B$78,0),1),IF(E2423=5,INDEX(ref_exp_dist,MATCH(B2423,'Refined Petro Exp Dist'!$B$6:$B$78,0),MATCH(C2423,'Refined Petro Exp Dist'!$AD$2:$BC$2,0))*INDEX(ref_exp_by_year,MATCH(B2423,'Data Export'!$B$6:$B$78,0),1)))</f>
        <v>0</v>
      </c>
      <c r="E2423">
        <v>5</v>
      </c>
      <c r="F2423" t="s">
        <v>173</v>
      </c>
    </row>
    <row r="2424" spans="1:6">
      <c r="A2424" t="str">
        <f t="shared" si="37"/>
        <v>GenericE&amp;DtemplateCIandGOA</v>
      </c>
      <c r="B2424">
        <v>24</v>
      </c>
      <c r="C2424">
        <v>5</v>
      </c>
      <c r="D2424" s="649">
        <f ca="1">IF(E2424=4,INDEX(crude_exp_dist,MATCH(B2424,'Crude Exp Dist'!$B$6:$B$78,0),MATCH(C2424,'Crude Exp Dist'!$AD$2:$BC$2,0))*INDEX(crude_exp_by_year,MATCH(B2424,'Data Export'!$B$6:$B$78,0),1),IF(E2424=5,INDEX(ref_exp_dist,MATCH(B2424,'Refined Petro Exp Dist'!$B$6:$B$78,0),MATCH(C2424,'Refined Petro Exp Dist'!$AD$2:$BC$2,0))*INDEX(ref_exp_by_year,MATCH(B2424,'Data Export'!$B$6:$B$78,0),1)))</f>
        <v>0</v>
      </c>
      <c r="E2424">
        <v>5</v>
      </c>
      <c r="F2424" t="s">
        <v>180</v>
      </c>
    </row>
    <row r="2425" spans="1:6">
      <c r="A2425" t="str">
        <f t="shared" si="37"/>
        <v>GenericE&amp;DtemplateCIandGOA</v>
      </c>
      <c r="B2425">
        <v>24</v>
      </c>
      <c r="C2425">
        <v>6</v>
      </c>
      <c r="D2425" s="649">
        <f ca="1">IF(E2425=4,INDEX(crude_exp_dist,MATCH(B2425,'Crude Exp Dist'!$B$6:$B$78,0),MATCH(C2425,'Crude Exp Dist'!$AD$2:$BC$2,0))*INDEX(crude_exp_by_year,MATCH(B2425,'Data Export'!$B$6:$B$78,0),1),IF(E2425=5,INDEX(ref_exp_dist,MATCH(B2425,'Refined Petro Exp Dist'!$B$6:$B$78,0),MATCH(C2425,'Refined Petro Exp Dist'!$AD$2:$BC$2,0))*INDEX(ref_exp_by_year,MATCH(B2425,'Data Export'!$B$6:$B$78,0),1)))</f>
        <v>0</v>
      </c>
      <c r="E2425">
        <v>5</v>
      </c>
      <c r="F2425" t="s">
        <v>186</v>
      </c>
    </row>
    <row r="2426" spans="1:6">
      <c r="A2426" t="str">
        <f t="shared" si="37"/>
        <v>GenericE&amp;DtemplateCIandGOA</v>
      </c>
      <c r="B2426">
        <v>24</v>
      </c>
      <c r="C2426">
        <v>7</v>
      </c>
      <c r="D2426" s="649">
        <f ca="1">IF(E2426=4,INDEX(crude_exp_dist,MATCH(B2426,'Crude Exp Dist'!$B$6:$B$78,0),MATCH(C2426,'Crude Exp Dist'!$AD$2:$BC$2,0))*INDEX(crude_exp_by_year,MATCH(B2426,'Data Export'!$B$6:$B$78,0),1),IF(E2426=5,INDEX(ref_exp_dist,MATCH(B2426,'Refined Petro Exp Dist'!$B$6:$B$78,0),MATCH(C2426,'Refined Petro Exp Dist'!$AD$2:$BC$2,0))*INDEX(ref_exp_by_year,MATCH(B2426,'Data Export'!$B$6:$B$78,0),1)))</f>
        <v>0</v>
      </c>
      <c r="E2426">
        <v>5</v>
      </c>
      <c r="F2426" t="s">
        <v>191</v>
      </c>
    </row>
    <row r="2427" spans="1:6">
      <c r="A2427" t="str">
        <f t="shared" si="37"/>
        <v>GenericE&amp;DtemplateCIandGOA</v>
      </c>
      <c r="B2427">
        <v>24</v>
      </c>
      <c r="C2427">
        <v>8</v>
      </c>
      <c r="D2427" s="649">
        <f ca="1">IF(E2427=4,INDEX(crude_exp_dist,MATCH(B2427,'Crude Exp Dist'!$B$6:$B$78,0),MATCH(C2427,'Crude Exp Dist'!$AD$2:$BC$2,0))*INDEX(crude_exp_by_year,MATCH(B2427,'Data Export'!$B$6:$B$78,0),1),IF(E2427=5,INDEX(ref_exp_dist,MATCH(B2427,'Refined Petro Exp Dist'!$B$6:$B$78,0),MATCH(C2427,'Refined Petro Exp Dist'!$AD$2:$BC$2,0))*INDEX(ref_exp_by_year,MATCH(B2427,'Data Export'!$B$6:$B$78,0),1)))</f>
        <v>0</v>
      </c>
      <c r="E2427">
        <v>5</v>
      </c>
      <c r="F2427" t="s">
        <v>197</v>
      </c>
    </row>
    <row r="2428" spans="1:6">
      <c r="A2428" t="str">
        <f t="shared" si="37"/>
        <v>GenericE&amp;DtemplateCIandGOA</v>
      </c>
      <c r="B2428">
        <v>24</v>
      </c>
      <c r="C2428">
        <v>9</v>
      </c>
      <c r="D2428" s="649">
        <f ca="1">IF(E2428=4,INDEX(crude_exp_dist,MATCH(B2428,'Crude Exp Dist'!$B$6:$B$78,0),MATCH(C2428,'Crude Exp Dist'!$AD$2:$BC$2,0))*INDEX(crude_exp_by_year,MATCH(B2428,'Data Export'!$B$6:$B$78,0),1),IF(E2428=5,INDEX(ref_exp_dist,MATCH(B2428,'Refined Petro Exp Dist'!$B$6:$B$78,0),MATCH(C2428,'Refined Petro Exp Dist'!$AD$2:$BC$2,0))*INDEX(ref_exp_by_year,MATCH(B2428,'Data Export'!$B$6:$B$78,0),1)))</f>
        <v>0</v>
      </c>
      <c r="E2428">
        <v>5</v>
      </c>
      <c r="F2428" t="s">
        <v>199</v>
      </c>
    </row>
    <row r="2429" spans="1:6">
      <c r="A2429" t="str">
        <f t="shared" si="37"/>
        <v>GenericE&amp;DtemplateCIandGOA</v>
      </c>
      <c r="B2429">
        <v>24</v>
      </c>
      <c r="C2429">
        <v>10</v>
      </c>
      <c r="D2429" s="649">
        <f ca="1">IF(E2429=4,INDEX(crude_exp_dist,MATCH(B2429,'Crude Exp Dist'!$B$6:$B$78,0),MATCH(C2429,'Crude Exp Dist'!$AD$2:$BC$2,0))*INDEX(crude_exp_by_year,MATCH(B2429,'Data Export'!$B$6:$B$78,0),1),IF(E2429=5,INDEX(ref_exp_dist,MATCH(B2429,'Refined Petro Exp Dist'!$B$6:$B$78,0),MATCH(C2429,'Refined Petro Exp Dist'!$AD$2:$BC$2,0))*INDEX(ref_exp_by_year,MATCH(B2429,'Data Export'!$B$6:$B$78,0),1)))</f>
        <v>0</v>
      </c>
      <c r="E2429">
        <v>5</v>
      </c>
      <c r="F2429" t="s">
        <v>201</v>
      </c>
    </row>
    <row r="2430" spans="1:6">
      <c r="A2430" t="str">
        <f t="shared" si="37"/>
        <v>GenericE&amp;DtemplateCIandGOA</v>
      </c>
      <c r="B2430">
        <v>24</v>
      </c>
      <c r="C2430">
        <v>11</v>
      </c>
      <c r="D2430" s="649">
        <f ca="1">IF(E2430=4,INDEX(crude_exp_dist,MATCH(B2430,'Crude Exp Dist'!$B$6:$B$78,0),MATCH(C2430,'Crude Exp Dist'!$AD$2:$BC$2,0))*INDEX(crude_exp_by_year,MATCH(B2430,'Data Export'!$B$6:$B$78,0),1),IF(E2430=5,INDEX(ref_exp_dist,MATCH(B2430,'Refined Petro Exp Dist'!$B$6:$B$78,0),MATCH(C2430,'Refined Petro Exp Dist'!$AD$2:$BC$2,0))*INDEX(ref_exp_by_year,MATCH(B2430,'Data Export'!$B$6:$B$78,0),1)))</f>
        <v>0</v>
      </c>
      <c r="E2430">
        <v>5</v>
      </c>
      <c r="F2430" t="s">
        <v>921</v>
      </c>
    </row>
    <row r="2431" spans="1:6">
      <c r="A2431" t="str">
        <f t="shared" si="37"/>
        <v>GenericE&amp;DtemplateCIandGOA</v>
      </c>
      <c r="B2431">
        <v>24</v>
      </c>
      <c r="C2431">
        <v>12</v>
      </c>
      <c r="D2431" s="649">
        <f ca="1">IF(E2431=4,INDEX(crude_exp_dist,MATCH(B2431,'Crude Exp Dist'!$B$6:$B$78,0),MATCH(C2431,'Crude Exp Dist'!$AD$2:$BC$2,0))*INDEX(crude_exp_by_year,MATCH(B2431,'Data Export'!$B$6:$B$78,0),1),IF(E2431=5,INDEX(ref_exp_dist,MATCH(B2431,'Refined Petro Exp Dist'!$B$6:$B$78,0),MATCH(C2431,'Refined Petro Exp Dist'!$AD$2:$BC$2,0))*INDEX(ref_exp_by_year,MATCH(B2431,'Data Export'!$B$6:$B$78,0),1)))</f>
        <v>0</v>
      </c>
      <c r="E2431">
        <v>5</v>
      </c>
      <c r="F2431" t="s">
        <v>208</v>
      </c>
    </row>
    <row r="2432" spans="1:6">
      <c r="A2432" t="str">
        <f t="shared" si="37"/>
        <v>GenericE&amp;DtemplateCIandGOA</v>
      </c>
      <c r="B2432">
        <v>24</v>
      </c>
      <c r="C2432">
        <v>13</v>
      </c>
      <c r="D2432" s="649">
        <f ca="1">IF(E2432=4,INDEX(crude_exp_dist,MATCH(B2432,'Crude Exp Dist'!$B$6:$B$78,0),MATCH(C2432,'Crude Exp Dist'!$AD$2:$BC$2,0))*INDEX(crude_exp_by_year,MATCH(B2432,'Data Export'!$B$6:$B$78,0),1),IF(E2432=5,INDEX(ref_exp_dist,MATCH(B2432,'Refined Petro Exp Dist'!$B$6:$B$78,0),MATCH(C2432,'Refined Petro Exp Dist'!$AD$2:$BC$2,0))*INDEX(ref_exp_by_year,MATCH(B2432,'Data Export'!$B$6:$B$78,0),1)))</f>
        <v>0</v>
      </c>
      <c r="E2432">
        <v>5</v>
      </c>
      <c r="F2432" t="s">
        <v>211</v>
      </c>
    </row>
    <row r="2433" spans="1:6">
      <c r="A2433" t="str">
        <f t="shared" si="37"/>
        <v>GenericE&amp;DtemplateCIandGOA</v>
      </c>
      <c r="B2433">
        <v>24</v>
      </c>
      <c r="C2433">
        <v>14</v>
      </c>
      <c r="D2433" s="649">
        <f ca="1">IF(E2433=4,INDEX(crude_exp_dist,MATCH(B2433,'Crude Exp Dist'!$B$6:$B$78,0),MATCH(C2433,'Crude Exp Dist'!$AD$2:$BC$2,0))*INDEX(crude_exp_by_year,MATCH(B2433,'Data Export'!$B$6:$B$78,0),1),IF(E2433=5,INDEX(ref_exp_dist,MATCH(B2433,'Refined Petro Exp Dist'!$B$6:$B$78,0),MATCH(C2433,'Refined Petro Exp Dist'!$AD$2:$BC$2,0))*INDEX(ref_exp_by_year,MATCH(B2433,'Data Export'!$B$6:$B$78,0),1)))</f>
        <v>0</v>
      </c>
      <c r="E2433">
        <v>5</v>
      </c>
      <c r="F2433" t="s">
        <v>213</v>
      </c>
    </row>
    <row r="2434" spans="1:6">
      <c r="A2434" t="str">
        <f t="shared" ref="A2434:A2497" si="38">scenario_name</f>
        <v>GenericE&amp;DtemplateCIandGOA</v>
      </c>
      <c r="B2434">
        <v>24</v>
      </c>
      <c r="C2434">
        <v>15</v>
      </c>
      <c r="D2434" s="649">
        <f ca="1">IF(E2434=4,INDEX(crude_exp_dist,MATCH(B2434,'Crude Exp Dist'!$B$6:$B$78,0),MATCH(C2434,'Crude Exp Dist'!$AD$2:$BC$2,0))*INDEX(crude_exp_by_year,MATCH(B2434,'Data Export'!$B$6:$B$78,0),1),IF(E2434=5,INDEX(ref_exp_dist,MATCH(B2434,'Refined Petro Exp Dist'!$B$6:$B$78,0),MATCH(C2434,'Refined Petro Exp Dist'!$AD$2:$BC$2,0))*INDEX(ref_exp_by_year,MATCH(B2434,'Data Export'!$B$6:$B$78,0),1)))</f>
        <v>0</v>
      </c>
      <c r="E2434">
        <v>5</v>
      </c>
      <c r="F2434" t="s">
        <v>215</v>
      </c>
    </row>
    <row r="2435" spans="1:6">
      <c r="A2435" t="str">
        <f t="shared" si="38"/>
        <v>GenericE&amp;DtemplateCIandGOA</v>
      </c>
      <c r="B2435">
        <v>24</v>
      </c>
      <c r="C2435">
        <v>16</v>
      </c>
      <c r="D2435" s="649">
        <f ca="1">IF(E2435=4,INDEX(crude_exp_dist,MATCH(B2435,'Crude Exp Dist'!$B$6:$B$78,0),MATCH(C2435,'Crude Exp Dist'!$AD$2:$BC$2,0))*INDEX(crude_exp_by_year,MATCH(B2435,'Data Export'!$B$6:$B$78,0),1),IF(E2435=5,INDEX(ref_exp_dist,MATCH(B2435,'Refined Petro Exp Dist'!$B$6:$B$78,0),MATCH(C2435,'Refined Petro Exp Dist'!$AD$2:$BC$2,0))*INDEX(ref_exp_by_year,MATCH(B2435,'Data Export'!$B$6:$B$78,0),1)))</f>
        <v>0</v>
      </c>
      <c r="E2435">
        <v>5</v>
      </c>
      <c r="F2435" t="s">
        <v>219</v>
      </c>
    </row>
    <row r="2436" spans="1:6">
      <c r="A2436" t="str">
        <f t="shared" si="38"/>
        <v>GenericE&amp;DtemplateCIandGOA</v>
      </c>
      <c r="B2436">
        <v>24</v>
      </c>
      <c r="C2436">
        <v>17</v>
      </c>
      <c r="D2436" s="649">
        <f ca="1">IF(E2436=4,INDEX(crude_exp_dist,MATCH(B2436,'Crude Exp Dist'!$B$6:$B$78,0),MATCH(C2436,'Crude Exp Dist'!$AD$2:$BC$2,0))*INDEX(crude_exp_by_year,MATCH(B2436,'Data Export'!$B$6:$B$78,0),1),IF(E2436=5,INDEX(ref_exp_dist,MATCH(B2436,'Refined Petro Exp Dist'!$B$6:$B$78,0),MATCH(C2436,'Refined Petro Exp Dist'!$AD$2:$BC$2,0))*INDEX(ref_exp_by_year,MATCH(B2436,'Data Export'!$B$6:$B$78,0),1)))</f>
        <v>0</v>
      </c>
      <c r="E2436">
        <v>5</v>
      </c>
      <c r="F2436" t="s">
        <v>222</v>
      </c>
    </row>
    <row r="2437" spans="1:6">
      <c r="A2437" t="str">
        <f t="shared" si="38"/>
        <v>GenericE&amp;DtemplateCIandGOA</v>
      </c>
      <c r="B2437">
        <v>24</v>
      </c>
      <c r="C2437">
        <v>18</v>
      </c>
      <c r="D2437" s="649">
        <f ca="1">IF(E2437=4,INDEX(crude_exp_dist,MATCH(B2437,'Crude Exp Dist'!$B$6:$B$78,0),MATCH(C2437,'Crude Exp Dist'!$AD$2:$BC$2,0))*INDEX(crude_exp_by_year,MATCH(B2437,'Data Export'!$B$6:$B$78,0),1),IF(E2437=5,INDEX(ref_exp_dist,MATCH(B2437,'Refined Petro Exp Dist'!$B$6:$B$78,0),MATCH(C2437,'Refined Petro Exp Dist'!$AD$2:$BC$2,0))*INDEX(ref_exp_by_year,MATCH(B2437,'Data Export'!$B$6:$B$78,0),1)))</f>
        <v>0</v>
      </c>
      <c r="E2437">
        <v>5</v>
      </c>
      <c r="F2437" t="s">
        <v>224</v>
      </c>
    </row>
    <row r="2438" spans="1:6">
      <c r="A2438" t="str">
        <f t="shared" si="38"/>
        <v>GenericE&amp;DtemplateCIandGOA</v>
      </c>
      <c r="B2438">
        <v>24</v>
      </c>
      <c r="C2438">
        <v>19</v>
      </c>
      <c r="D2438" s="649">
        <f ca="1">IF(E2438=4,INDEX(crude_exp_dist,MATCH(B2438,'Crude Exp Dist'!$B$6:$B$78,0),MATCH(C2438,'Crude Exp Dist'!$AD$2:$BC$2,0))*INDEX(crude_exp_by_year,MATCH(B2438,'Data Export'!$B$6:$B$78,0),1),IF(E2438=5,INDEX(ref_exp_dist,MATCH(B2438,'Refined Petro Exp Dist'!$B$6:$B$78,0),MATCH(C2438,'Refined Petro Exp Dist'!$AD$2:$BC$2,0))*INDEX(ref_exp_by_year,MATCH(B2438,'Data Export'!$B$6:$B$78,0),1)))</f>
        <v>0</v>
      </c>
      <c r="E2438">
        <v>5</v>
      </c>
      <c r="F2438" t="s">
        <v>228</v>
      </c>
    </row>
    <row r="2439" spans="1:6">
      <c r="A2439" t="str">
        <f t="shared" si="38"/>
        <v>GenericE&amp;DtemplateCIandGOA</v>
      </c>
      <c r="B2439">
        <v>24</v>
      </c>
      <c r="C2439">
        <v>20</v>
      </c>
      <c r="D2439" s="649">
        <f ca="1">IF(E2439=4,INDEX(crude_exp_dist,MATCH(B2439,'Crude Exp Dist'!$B$6:$B$78,0),MATCH(C2439,'Crude Exp Dist'!$AD$2:$BC$2,0))*INDEX(crude_exp_by_year,MATCH(B2439,'Data Export'!$B$6:$B$78,0),1),IF(E2439=5,INDEX(ref_exp_dist,MATCH(B2439,'Refined Petro Exp Dist'!$B$6:$B$78,0),MATCH(C2439,'Refined Petro Exp Dist'!$AD$2:$BC$2,0))*INDEX(ref_exp_by_year,MATCH(B2439,'Data Export'!$B$6:$B$78,0),1)))</f>
        <v>0</v>
      </c>
      <c r="E2439">
        <v>5</v>
      </c>
      <c r="F2439" t="s">
        <v>231</v>
      </c>
    </row>
    <row r="2440" spans="1:6">
      <c r="A2440" t="str">
        <f t="shared" si="38"/>
        <v>GenericE&amp;DtemplateCIandGOA</v>
      </c>
      <c r="B2440">
        <v>24</v>
      </c>
      <c r="C2440">
        <v>21</v>
      </c>
      <c r="D2440" s="649">
        <f ca="1">IF(E2440=4,INDEX(crude_exp_dist,MATCH(B2440,'Crude Exp Dist'!$B$6:$B$78,0),MATCH(C2440,'Crude Exp Dist'!$AD$2:$BC$2,0))*INDEX(crude_exp_by_year,MATCH(B2440,'Data Export'!$B$6:$B$78,0),1),IF(E2440=5,INDEX(ref_exp_dist,MATCH(B2440,'Refined Petro Exp Dist'!$B$6:$B$78,0),MATCH(C2440,'Refined Petro Exp Dist'!$AD$2:$BC$2,0))*INDEX(ref_exp_by_year,MATCH(B2440,'Data Export'!$B$6:$B$78,0),1)))</f>
        <v>0</v>
      </c>
      <c r="E2440">
        <v>5</v>
      </c>
      <c r="F2440" t="s">
        <v>232</v>
      </c>
    </row>
    <row r="2441" spans="1:6">
      <c r="A2441" t="str">
        <f t="shared" si="38"/>
        <v>GenericE&amp;DtemplateCIandGOA</v>
      </c>
      <c r="B2441">
        <v>24</v>
      </c>
      <c r="C2441">
        <v>22</v>
      </c>
      <c r="D2441" s="649">
        <f ca="1">IF(E2441=4,INDEX(crude_exp_dist,MATCH(B2441,'Crude Exp Dist'!$B$6:$B$78,0),MATCH(C2441,'Crude Exp Dist'!$AD$2:$BC$2,0))*INDEX(crude_exp_by_year,MATCH(B2441,'Data Export'!$B$6:$B$78,0),1),IF(E2441=5,INDEX(ref_exp_dist,MATCH(B2441,'Refined Petro Exp Dist'!$B$6:$B$78,0),MATCH(C2441,'Refined Petro Exp Dist'!$AD$2:$BC$2,0))*INDEX(ref_exp_by_year,MATCH(B2441,'Data Export'!$B$6:$B$78,0),1)))</f>
        <v>0</v>
      </c>
      <c r="E2441">
        <v>5</v>
      </c>
      <c r="F2441" t="s">
        <v>235</v>
      </c>
    </row>
    <row r="2442" spans="1:6">
      <c r="A2442" t="str">
        <f t="shared" si="38"/>
        <v>GenericE&amp;DtemplateCIandGOA</v>
      </c>
      <c r="B2442">
        <v>24</v>
      </c>
      <c r="C2442">
        <v>23</v>
      </c>
      <c r="D2442" s="649">
        <f ca="1">IF(E2442=4,INDEX(crude_exp_dist,MATCH(B2442,'Crude Exp Dist'!$B$6:$B$78,0),MATCH(C2442,'Crude Exp Dist'!$AD$2:$BC$2,0))*INDEX(crude_exp_by_year,MATCH(B2442,'Data Export'!$B$6:$B$78,0),1),IF(E2442=5,INDEX(ref_exp_dist,MATCH(B2442,'Refined Petro Exp Dist'!$B$6:$B$78,0),MATCH(C2442,'Refined Petro Exp Dist'!$AD$2:$BC$2,0))*INDEX(ref_exp_by_year,MATCH(B2442,'Data Export'!$B$6:$B$78,0),1)))</f>
        <v>0</v>
      </c>
      <c r="E2442">
        <v>5</v>
      </c>
      <c r="F2442" t="s">
        <v>237</v>
      </c>
    </row>
    <row r="2443" spans="1:6">
      <c r="A2443" t="str">
        <f t="shared" si="38"/>
        <v>GenericE&amp;DtemplateCIandGOA</v>
      </c>
      <c r="B2443">
        <v>24</v>
      </c>
      <c r="C2443">
        <v>24</v>
      </c>
      <c r="D2443" s="649">
        <f ca="1">IF(E2443=4,INDEX(crude_exp_dist,MATCH(B2443,'Crude Exp Dist'!$B$6:$B$78,0),MATCH(C2443,'Crude Exp Dist'!$AD$2:$BC$2,0))*INDEX(crude_exp_by_year,MATCH(B2443,'Data Export'!$B$6:$B$78,0),1),IF(E2443=5,INDEX(ref_exp_dist,MATCH(B2443,'Refined Petro Exp Dist'!$B$6:$B$78,0),MATCH(C2443,'Refined Petro Exp Dist'!$AD$2:$BC$2,0))*INDEX(ref_exp_by_year,MATCH(B2443,'Data Export'!$B$6:$B$78,0),1)))</f>
        <v>0</v>
      </c>
      <c r="E2443">
        <v>5</v>
      </c>
      <c r="F2443" t="s">
        <v>239</v>
      </c>
    </row>
    <row r="2444" spans="1:6">
      <c r="A2444" t="str">
        <f t="shared" si="38"/>
        <v>GenericE&amp;DtemplateCIandGOA</v>
      </c>
      <c r="B2444">
        <v>24</v>
      </c>
      <c r="C2444">
        <v>25</v>
      </c>
      <c r="D2444" s="649">
        <f ca="1">IF(E2444=4,INDEX(crude_exp_dist,MATCH(B2444,'Crude Exp Dist'!$B$6:$B$78,0),MATCH(C2444,'Crude Exp Dist'!$AD$2:$BC$2,0))*INDEX(crude_exp_by_year,MATCH(B2444,'Data Export'!$B$6:$B$78,0),1),IF(E2444=5,INDEX(ref_exp_dist,MATCH(B2444,'Refined Petro Exp Dist'!$B$6:$B$78,0),MATCH(C2444,'Refined Petro Exp Dist'!$AD$2:$BC$2,0))*INDEX(ref_exp_by_year,MATCH(B2444,'Data Export'!$B$6:$B$78,0),1)))</f>
        <v>0</v>
      </c>
      <c r="E2444">
        <v>5</v>
      </c>
      <c r="F2444" t="s">
        <v>242</v>
      </c>
    </row>
    <row r="2445" spans="1:6">
      <c r="A2445" t="str">
        <f t="shared" si="38"/>
        <v>GenericE&amp;DtemplateCIandGOA</v>
      </c>
      <c r="B2445">
        <v>24</v>
      </c>
      <c r="C2445">
        <v>26</v>
      </c>
      <c r="D2445" s="649">
        <f ca="1">IF(E2445=4,INDEX(crude_exp_dist,MATCH(B2445,'Crude Exp Dist'!$B$6:$B$78,0),MATCH(C2445,'Crude Exp Dist'!$AD$2:$BC$2,0))*INDEX(crude_exp_by_year,MATCH(B2445,'Data Export'!$B$6:$B$78,0),1),IF(E2445=5,INDEX(ref_exp_dist,MATCH(B2445,'Refined Petro Exp Dist'!$B$6:$B$78,0),MATCH(C2445,'Refined Petro Exp Dist'!$AD$2:$BC$2,0))*INDEX(ref_exp_by_year,MATCH(B2445,'Data Export'!$B$6:$B$78,0),1)))</f>
        <v>0</v>
      </c>
      <c r="E2445">
        <v>5</v>
      </c>
      <c r="F2445" t="s">
        <v>245</v>
      </c>
    </row>
    <row r="2446" spans="1:6">
      <c r="A2446" t="str">
        <f t="shared" si="38"/>
        <v>GenericE&amp;DtemplateCIandGOA</v>
      </c>
      <c r="B2446">
        <v>25</v>
      </c>
      <c r="C2446">
        <v>1</v>
      </c>
      <c r="D2446" s="649">
        <f ca="1">IF(E2446=4,INDEX(crude_exp_dist,MATCH(B2446,'Crude Exp Dist'!$B$6:$B$78,0),MATCH(C2446,'Crude Exp Dist'!$AD$2:$BC$2,0))*INDEX(crude_exp_by_year,MATCH(B2446,'Data Export'!$B$6:$B$78,0),1),IF(E2446=5,INDEX(ref_exp_dist,MATCH(B2446,'Refined Petro Exp Dist'!$B$6:$B$78,0),MATCH(C2446,'Refined Petro Exp Dist'!$AD$2:$BC$2,0))*INDEX(ref_exp_by_year,MATCH(B2446,'Data Export'!$B$6:$B$78,0),1)))</f>
        <v>0</v>
      </c>
      <c r="E2446">
        <v>5</v>
      </c>
      <c r="F2446" t="s">
        <v>158</v>
      </c>
    </row>
    <row r="2447" spans="1:6">
      <c r="A2447" t="str">
        <f t="shared" si="38"/>
        <v>GenericE&amp;DtemplateCIandGOA</v>
      </c>
      <c r="B2447">
        <v>25</v>
      </c>
      <c r="C2447">
        <v>2</v>
      </c>
      <c r="D2447" s="649">
        <f ca="1">IF(E2447=4,INDEX(crude_exp_dist,MATCH(B2447,'Crude Exp Dist'!$B$6:$B$78,0),MATCH(C2447,'Crude Exp Dist'!$AD$2:$BC$2,0))*INDEX(crude_exp_by_year,MATCH(B2447,'Data Export'!$B$6:$B$78,0),1),IF(E2447=5,INDEX(ref_exp_dist,MATCH(B2447,'Refined Petro Exp Dist'!$B$6:$B$78,0),MATCH(C2447,'Refined Petro Exp Dist'!$AD$2:$BC$2,0))*INDEX(ref_exp_by_year,MATCH(B2447,'Data Export'!$B$6:$B$78,0),1)))</f>
        <v>0</v>
      </c>
      <c r="E2447">
        <v>5</v>
      </c>
      <c r="F2447" t="s">
        <v>166</v>
      </c>
    </row>
    <row r="2448" spans="1:6">
      <c r="A2448" t="str">
        <f t="shared" si="38"/>
        <v>GenericE&amp;DtemplateCIandGOA</v>
      </c>
      <c r="B2448">
        <v>25</v>
      </c>
      <c r="C2448">
        <v>3</v>
      </c>
      <c r="D2448" s="649">
        <f ca="1">IF(E2448=4,INDEX(crude_exp_dist,MATCH(B2448,'Crude Exp Dist'!$B$6:$B$78,0),MATCH(C2448,'Crude Exp Dist'!$AD$2:$BC$2,0))*INDEX(crude_exp_by_year,MATCH(B2448,'Data Export'!$B$6:$B$78,0),1),IF(E2448=5,INDEX(ref_exp_dist,MATCH(B2448,'Refined Petro Exp Dist'!$B$6:$B$78,0),MATCH(C2448,'Refined Petro Exp Dist'!$AD$2:$BC$2,0))*INDEX(ref_exp_by_year,MATCH(B2448,'Data Export'!$B$6:$B$78,0),1)))</f>
        <v>0</v>
      </c>
      <c r="E2448">
        <v>5</v>
      </c>
      <c r="F2448" t="s">
        <v>171</v>
      </c>
    </row>
    <row r="2449" spans="1:6">
      <c r="A2449" t="str">
        <f t="shared" si="38"/>
        <v>GenericE&amp;DtemplateCIandGOA</v>
      </c>
      <c r="B2449">
        <v>25</v>
      </c>
      <c r="C2449">
        <v>4</v>
      </c>
      <c r="D2449" s="649">
        <f ca="1">IF(E2449=4,INDEX(crude_exp_dist,MATCH(B2449,'Crude Exp Dist'!$B$6:$B$78,0),MATCH(C2449,'Crude Exp Dist'!$AD$2:$BC$2,0))*INDEX(crude_exp_by_year,MATCH(B2449,'Data Export'!$B$6:$B$78,0),1),IF(E2449=5,INDEX(ref_exp_dist,MATCH(B2449,'Refined Petro Exp Dist'!$B$6:$B$78,0),MATCH(C2449,'Refined Petro Exp Dist'!$AD$2:$BC$2,0))*INDEX(ref_exp_by_year,MATCH(B2449,'Data Export'!$B$6:$B$78,0),1)))</f>
        <v>0</v>
      </c>
      <c r="E2449">
        <v>5</v>
      </c>
      <c r="F2449" t="s">
        <v>173</v>
      </c>
    </row>
    <row r="2450" spans="1:6">
      <c r="A2450" t="str">
        <f t="shared" si="38"/>
        <v>GenericE&amp;DtemplateCIandGOA</v>
      </c>
      <c r="B2450">
        <v>25</v>
      </c>
      <c r="C2450">
        <v>5</v>
      </c>
      <c r="D2450" s="649">
        <f ca="1">IF(E2450=4,INDEX(crude_exp_dist,MATCH(B2450,'Crude Exp Dist'!$B$6:$B$78,0),MATCH(C2450,'Crude Exp Dist'!$AD$2:$BC$2,0))*INDEX(crude_exp_by_year,MATCH(B2450,'Data Export'!$B$6:$B$78,0),1),IF(E2450=5,INDEX(ref_exp_dist,MATCH(B2450,'Refined Petro Exp Dist'!$B$6:$B$78,0),MATCH(C2450,'Refined Petro Exp Dist'!$AD$2:$BC$2,0))*INDEX(ref_exp_by_year,MATCH(B2450,'Data Export'!$B$6:$B$78,0),1)))</f>
        <v>0</v>
      </c>
      <c r="E2450">
        <v>5</v>
      </c>
      <c r="F2450" t="s">
        <v>180</v>
      </c>
    </row>
    <row r="2451" spans="1:6">
      <c r="A2451" t="str">
        <f t="shared" si="38"/>
        <v>GenericE&amp;DtemplateCIandGOA</v>
      </c>
      <c r="B2451">
        <v>25</v>
      </c>
      <c r="C2451">
        <v>6</v>
      </c>
      <c r="D2451" s="649">
        <f ca="1">IF(E2451=4,INDEX(crude_exp_dist,MATCH(B2451,'Crude Exp Dist'!$B$6:$B$78,0),MATCH(C2451,'Crude Exp Dist'!$AD$2:$BC$2,0))*INDEX(crude_exp_by_year,MATCH(B2451,'Data Export'!$B$6:$B$78,0),1),IF(E2451=5,INDEX(ref_exp_dist,MATCH(B2451,'Refined Petro Exp Dist'!$B$6:$B$78,0),MATCH(C2451,'Refined Petro Exp Dist'!$AD$2:$BC$2,0))*INDEX(ref_exp_by_year,MATCH(B2451,'Data Export'!$B$6:$B$78,0),1)))</f>
        <v>0</v>
      </c>
      <c r="E2451">
        <v>5</v>
      </c>
      <c r="F2451" t="s">
        <v>186</v>
      </c>
    </row>
    <row r="2452" spans="1:6">
      <c r="A2452" t="str">
        <f t="shared" si="38"/>
        <v>GenericE&amp;DtemplateCIandGOA</v>
      </c>
      <c r="B2452">
        <v>25</v>
      </c>
      <c r="C2452">
        <v>7</v>
      </c>
      <c r="D2452" s="649">
        <f ca="1">IF(E2452=4,INDEX(crude_exp_dist,MATCH(B2452,'Crude Exp Dist'!$B$6:$B$78,0),MATCH(C2452,'Crude Exp Dist'!$AD$2:$BC$2,0))*INDEX(crude_exp_by_year,MATCH(B2452,'Data Export'!$B$6:$B$78,0),1),IF(E2452=5,INDEX(ref_exp_dist,MATCH(B2452,'Refined Petro Exp Dist'!$B$6:$B$78,0),MATCH(C2452,'Refined Petro Exp Dist'!$AD$2:$BC$2,0))*INDEX(ref_exp_by_year,MATCH(B2452,'Data Export'!$B$6:$B$78,0),1)))</f>
        <v>0</v>
      </c>
      <c r="E2452">
        <v>5</v>
      </c>
      <c r="F2452" t="s">
        <v>191</v>
      </c>
    </row>
    <row r="2453" spans="1:6">
      <c r="A2453" t="str">
        <f t="shared" si="38"/>
        <v>GenericE&amp;DtemplateCIandGOA</v>
      </c>
      <c r="B2453">
        <v>25</v>
      </c>
      <c r="C2453">
        <v>8</v>
      </c>
      <c r="D2453" s="649">
        <f ca="1">IF(E2453=4,INDEX(crude_exp_dist,MATCH(B2453,'Crude Exp Dist'!$B$6:$B$78,0),MATCH(C2453,'Crude Exp Dist'!$AD$2:$BC$2,0))*INDEX(crude_exp_by_year,MATCH(B2453,'Data Export'!$B$6:$B$78,0),1),IF(E2453=5,INDEX(ref_exp_dist,MATCH(B2453,'Refined Petro Exp Dist'!$B$6:$B$78,0),MATCH(C2453,'Refined Petro Exp Dist'!$AD$2:$BC$2,0))*INDEX(ref_exp_by_year,MATCH(B2453,'Data Export'!$B$6:$B$78,0),1)))</f>
        <v>0</v>
      </c>
      <c r="E2453">
        <v>5</v>
      </c>
      <c r="F2453" t="s">
        <v>197</v>
      </c>
    </row>
    <row r="2454" spans="1:6">
      <c r="A2454" t="str">
        <f t="shared" si="38"/>
        <v>GenericE&amp;DtemplateCIandGOA</v>
      </c>
      <c r="B2454">
        <v>25</v>
      </c>
      <c r="C2454">
        <v>9</v>
      </c>
      <c r="D2454" s="649">
        <f ca="1">IF(E2454=4,INDEX(crude_exp_dist,MATCH(B2454,'Crude Exp Dist'!$B$6:$B$78,0),MATCH(C2454,'Crude Exp Dist'!$AD$2:$BC$2,0))*INDEX(crude_exp_by_year,MATCH(B2454,'Data Export'!$B$6:$B$78,0),1),IF(E2454=5,INDEX(ref_exp_dist,MATCH(B2454,'Refined Petro Exp Dist'!$B$6:$B$78,0),MATCH(C2454,'Refined Petro Exp Dist'!$AD$2:$BC$2,0))*INDEX(ref_exp_by_year,MATCH(B2454,'Data Export'!$B$6:$B$78,0),1)))</f>
        <v>0</v>
      </c>
      <c r="E2454">
        <v>5</v>
      </c>
      <c r="F2454" t="s">
        <v>199</v>
      </c>
    </row>
    <row r="2455" spans="1:6">
      <c r="A2455" t="str">
        <f t="shared" si="38"/>
        <v>GenericE&amp;DtemplateCIandGOA</v>
      </c>
      <c r="B2455">
        <v>25</v>
      </c>
      <c r="C2455">
        <v>10</v>
      </c>
      <c r="D2455" s="649">
        <f ca="1">IF(E2455=4,INDEX(crude_exp_dist,MATCH(B2455,'Crude Exp Dist'!$B$6:$B$78,0),MATCH(C2455,'Crude Exp Dist'!$AD$2:$BC$2,0))*INDEX(crude_exp_by_year,MATCH(B2455,'Data Export'!$B$6:$B$78,0),1),IF(E2455=5,INDEX(ref_exp_dist,MATCH(B2455,'Refined Petro Exp Dist'!$B$6:$B$78,0),MATCH(C2455,'Refined Petro Exp Dist'!$AD$2:$BC$2,0))*INDEX(ref_exp_by_year,MATCH(B2455,'Data Export'!$B$6:$B$78,0),1)))</f>
        <v>0</v>
      </c>
      <c r="E2455">
        <v>5</v>
      </c>
      <c r="F2455" t="s">
        <v>201</v>
      </c>
    </row>
    <row r="2456" spans="1:6">
      <c r="A2456" t="str">
        <f t="shared" si="38"/>
        <v>GenericE&amp;DtemplateCIandGOA</v>
      </c>
      <c r="B2456">
        <v>25</v>
      </c>
      <c r="C2456">
        <v>11</v>
      </c>
      <c r="D2456" s="649">
        <f ca="1">IF(E2456=4,INDEX(crude_exp_dist,MATCH(B2456,'Crude Exp Dist'!$B$6:$B$78,0),MATCH(C2456,'Crude Exp Dist'!$AD$2:$BC$2,0))*INDEX(crude_exp_by_year,MATCH(B2456,'Data Export'!$B$6:$B$78,0),1),IF(E2456=5,INDEX(ref_exp_dist,MATCH(B2456,'Refined Petro Exp Dist'!$B$6:$B$78,0),MATCH(C2456,'Refined Petro Exp Dist'!$AD$2:$BC$2,0))*INDEX(ref_exp_by_year,MATCH(B2456,'Data Export'!$B$6:$B$78,0),1)))</f>
        <v>0</v>
      </c>
      <c r="E2456">
        <v>5</v>
      </c>
      <c r="F2456" t="s">
        <v>921</v>
      </c>
    </row>
    <row r="2457" spans="1:6">
      <c r="A2457" t="str">
        <f t="shared" si="38"/>
        <v>GenericE&amp;DtemplateCIandGOA</v>
      </c>
      <c r="B2457">
        <v>25</v>
      </c>
      <c r="C2457">
        <v>12</v>
      </c>
      <c r="D2457" s="649">
        <f ca="1">IF(E2457=4,INDEX(crude_exp_dist,MATCH(B2457,'Crude Exp Dist'!$B$6:$B$78,0),MATCH(C2457,'Crude Exp Dist'!$AD$2:$BC$2,0))*INDEX(crude_exp_by_year,MATCH(B2457,'Data Export'!$B$6:$B$78,0),1),IF(E2457=5,INDEX(ref_exp_dist,MATCH(B2457,'Refined Petro Exp Dist'!$B$6:$B$78,0),MATCH(C2457,'Refined Petro Exp Dist'!$AD$2:$BC$2,0))*INDEX(ref_exp_by_year,MATCH(B2457,'Data Export'!$B$6:$B$78,0),1)))</f>
        <v>0</v>
      </c>
      <c r="E2457">
        <v>5</v>
      </c>
      <c r="F2457" t="s">
        <v>208</v>
      </c>
    </row>
    <row r="2458" spans="1:6">
      <c r="A2458" t="str">
        <f t="shared" si="38"/>
        <v>GenericE&amp;DtemplateCIandGOA</v>
      </c>
      <c r="B2458">
        <v>25</v>
      </c>
      <c r="C2458">
        <v>13</v>
      </c>
      <c r="D2458" s="649">
        <f ca="1">IF(E2458=4,INDEX(crude_exp_dist,MATCH(B2458,'Crude Exp Dist'!$B$6:$B$78,0),MATCH(C2458,'Crude Exp Dist'!$AD$2:$BC$2,0))*INDEX(crude_exp_by_year,MATCH(B2458,'Data Export'!$B$6:$B$78,0),1),IF(E2458=5,INDEX(ref_exp_dist,MATCH(B2458,'Refined Petro Exp Dist'!$B$6:$B$78,0),MATCH(C2458,'Refined Petro Exp Dist'!$AD$2:$BC$2,0))*INDEX(ref_exp_by_year,MATCH(B2458,'Data Export'!$B$6:$B$78,0),1)))</f>
        <v>0</v>
      </c>
      <c r="E2458">
        <v>5</v>
      </c>
      <c r="F2458" t="s">
        <v>211</v>
      </c>
    </row>
    <row r="2459" spans="1:6">
      <c r="A2459" t="str">
        <f t="shared" si="38"/>
        <v>GenericE&amp;DtemplateCIandGOA</v>
      </c>
      <c r="B2459">
        <v>25</v>
      </c>
      <c r="C2459">
        <v>14</v>
      </c>
      <c r="D2459" s="649">
        <f ca="1">IF(E2459=4,INDEX(crude_exp_dist,MATCH(B2459,'Crude Exp Dist'!$B$6:$B$78,0),MATCH(C2459,'Crude Exp Dist'!$AD$2:$BC$2,0))*INDEX(crude_exp_by_year,MATCH(B2459,'Data Export'!$B$6:$B$78,0),1),IF(E2459=5,INDEX(ref_exp_dist,MATCH(B2459,'Refined Petro Exp Dist'!$B$6:$B$78,0),MATCH(C2459,'Refined Petro Exp Dist'!$AD$2:$BC$2,0))*INDEX(ref_exp_by_year,MATCH(B2459,'Data Export'!$B$6:$B$78,0),1)))</f>
        <v>0</v>
      </c>
      <c r="E2459">
        <v>5</v>
      </c>
      <c r="F2459" t="s">
        <v>213</v>
      </c>
    </row>
    <row r="2460" spans="1:6">
      <c r="A2460" t="str">
        <f t="shared" si="38"/>
        <v>GenericE&amp;DtemplateCIandGOA</v>
      </c>
      <c r="B2460">
        <v>25</v>
      </c>
      <c r="C2460">
        <v>15</v>
      </c>
      <c r="D2460" s="649">
        <f ca="1">IF(E2460=4,INDEX(crude_exp_dist,MATCH(B2460,'Crude Exp Dist'!$B$6:$B$78,0),MATCH(C2460,'Crude Exp Dist'!$AD$2:$BC$2,0))*INDEX(crude_exp_by_year,MATCH(B2460,'Data Export'!$B$6:$B$78,0),1),IF(E2460=5,INDEX(ref_exp_dist,MATCH(B2460,'Refined Petro Exp Dist'!$B$6:$B$78,0),MATCH(C2460,'Refined Petro Exp Dist'!$AD$2:$BC$2,0))*INDEX(ref_exp_by_year,MATCH(B2460,'Data Export'!$B$6:$B$78,0),1)))</f>
        <v>0</v>
      </c>
      <c r="E2460">
        <v>5</v>
      </c>
      <c r="F2460" t="s">
        <v>215</v>
      </c>
    </row>
    <row r="2461" spans="1:6">
      <c r="A2461" t="str">
        <f t="shared" si="38"/>
        <v>GenericE&amp;DtemplateCIandGOA</v>
      </c>
      <c r="B2461">
        <v>25</v>
      </c>
      <c r="C2461">
        <v>16</v>
      </c>
      <c r="D2461" s="649">
        <f ca="1">IF(E2461=4,INDEX(crude_exp_dist,MATCH(B2461,'Crude Exp Dist'!$B$6:$B$78,0),MATCH(C2461,'Crude Exp Dist'!$AD$2:$BC$2,0))*INDEX(crude_exp_by_year,MATCH(B2461,'Data Export'!$B$6:$B$78,0),1),IF(E2461=5,INDEX(ref_exp_dist,MATCH(B2461,'Refined Petro Exp Dist'!$B$6:$B$78,0),MATCH(C2461,'Refined Petro Exp Dist'!$AD$2:$BC$2,0))*INDEX(ref_exp_by_year,MATCH(B2461,'Data Export'!$B$6:$B$78,0),1)))</f>
        <v>0</v>
      </c>
      <c r="E2461">
        <v>5</v>
      </c>
      <c r="F2461" t="s">
        <v>219</v>
      </c>
    </row>
    <row r="2462" spans="1:6">
      <c r="A2462" t="str">
        <f t="shared" si="38"/>
        <v>GenericE&amp;DtemplateCIandGOA</v>
      </c>
      <c r="B2462">
        <v>25</v>
      </c>
      <c r="C2462">
        <v>17</v>
      </c>
      <c r="D2462" s="649">
        <f ca="1">IF(E2462=4,INDEX(crude_exp_dist,MATCH(B2462,'Crude Exp Dist'!$B$6:$B$78,0),MATCH(C2462,'Crude Exp Dist'!$AD$2:$BC$2,0))*INDEX(crude_exp_by_year,MATCH(B2462,'Data Export'!$B$6:$B$78,0),1),IF(E2462=5,INDEX(ref_exp_dist,MATCH(B2462,'Refined Petro Exp Dist'!$B$6:$B$78,0),MATCH(C2462,'Refined Petro Exp Dist'!$AD$2:$BC$2,0))*INDEX(ref_exp_by_year,MATCH(B2462,'Data Export'!$B$6:$B$78,0),1)))</f>
        <v>0</v>
      </c>
      <c r="E2462">
        <v>5</v>
      </c>
      <c r="F2462" t="s">
        <v>222</v>
      </c>
    </row>
    <row r="2463" spans="1:6">
      <c r="A2463" t="str">
        <f t="shared" si="38"/>
        <v>GenericE&amp;DtemplateCIandGOA</v>
      </c>
      <c r="B2463">
        <v>25</v>
      </c>
      <c r="C2463">
        <v>18</v>
      </c>
      <c r="D2463" s="649">
        <f ca="1">IF(E2463=4,INDEX(crude_exp_dist,MATCH(B2463,'Crude Exp Dist'!$B$6:$B$78,0),MATCH(C2463,'Crude Exp Dist'!$AD$2:$BC$2,0))*INDEX(crude_exp_by_year,MATCH(B2463,'Data Export'!$B$6:$B$78,0),1),IF(E2463=5,INDEX(ref_exp_dist,MATCH(B2463,'Refined Petro Exp Dist'!$B$6:$B$78,0),MATCH(C2463,'Refined Petro Exp Dist'!$AD$2:$BC$2,0))*INDEX(ref_exp_by_year,MATCH(B2463,'Data Export'!$B$6:$B$78,0),1)))</f>
        <v>0</v>
      </c>
      <c r="E2463">
        <v>5</v>
      </c>
      <c r="F2463" t="s">
        <v>224</v>
      </c>
    </row>
    <row r="2464" spans="1:6">
      <c r="A2464" t="str">
        <f t="shared" si="38"/>
        <v>GenericE&amp;DtemplateCIandGOA</v>
      </c>
      <c r="B2464">
        <v>25</v>
      </c>
      <c r="C2464">
        <v>19</v>
      </c>
      <c r="D2464" s="649">
        <f ca="1">IF(E2464=4,INDEX(crude_exp_dist,MATCH(B2464,'Crude Exp Dist'!$B$6:$B$78,0),MATCH(C2464,'Crude Exp Dist'!$AD$2:$BC$2,0))*INDEX(crude_exp_by_year,MATCH(B2464,'Data Export'!$B$6:$B$78,0),1),IF(E2464=5,INDEX(ref_exp_dist,MATCH(B2464,'Refined Petro Exp Dist'!$B$6:$B$78,0),MATCH(C2464,'Refined Petro Exp Dist'!$AD$2:$BC$2,0))*INDEX(ref_exp_by_year,MATCH(B2464,'Data Export'!$B$6:$B$78,0),1)))</f>
        <v>0</v>
      </c>
      <c r="E2464">
        <v>5</v>
      </c>
      <c r="F2464" t="s">
        <v>228</v>
      </c>
    </row>
    <row r="2465" spans="1:6">
      <c r="A2465" t="str">
        <f t="shared" si="38"/>
        <v>GenericE&amp;DtemplateCIandGOA</v>
      </c>
      <c r="B2465">
        <v>25</v>
      </c>
      <c r="C2465">
        <v>20</v>
      </c>
      <c r="D2465" s="649">
        <f ca="1">IF(E2465=4,INDEX(crude_exp_dist,MATCH(B2465,'Crude Exp Dist'!$B$6:$B$78,0),MATCH(C2465,'Crude Exp Dist'!$AD$2:$BC$2,0))*INDEX(crude_exp_by_year,MATCH(B2465,'Data Export'!$B$6:$B$78,0),1),IF(E2465=5,INDEX(ref_exp_dist,MATCH(B2465,'Refined Petro Exp Dist'!$B$6:$B$78,0),MATCH(C2465,'Refined Petro Exp Dist'!$AD$2:$BC$2,0))*INDEX(ref_exp_by_year,MATCH(B2465,'Data Export'!$B$6:$B$78,0),1)))</f>
        <v>0</v>
      </c>
      <c r="E2465">
        <v>5</v>
      </c>
      <c r="F2465" t="s">
        <v>231</v>
      </c>
    </row>
    <row r="2466" spans="1:6">
      <c r="A2466" t="str">
        <f t="shared" si="38"/>
        <v>GenericE&amp;DtemplateCIandGOA</v>
      </c>
      <c r="B2466">
        <v>25</v>
      </c>
      <c r="C2466">
        <v>21</v>
      </c>
      <c r="D2466" s="649">
        <f ca="1">IF(E2466=4,INDEX(crude_exp_dist,MATCH(B2466,'Crude Exp Dist'!$B$6:$B$78,0),MATCH(C2466,'Crude Exp Dist'!$AD$2:$BC$2,0))*INDEX(crude_exp_by_year,MATCH(B2466,'Data Export'!$B$6:$B$78,0),1),IF(E2466=5,INDEX(ref_exp_dist,MATCH(B2466,'Refined Petro Exp Dist'!$B$6:$B$78,0),MATCH(C2466,'Refined Petro Exp Dist'!$AD$2:$BC$2,0))*INDEX(ref_exp_by_year,MATCH(B2466,'Data Export'!$B$6:$B$78,0),1)))</f>
        <v>0</v>
      </c>
      <c r="E2466">
        <v>5</v>
      </c>
      <c r="F2466" t="s">
        <v>232</v>
      </c>
    </row>
    <row r="2467" spans="1:6">
      <c r="A2467" t="str">
        <f t="shared" si="38"/>
        <v>GenericE&amp;DtemplateCIandGOA</v>
      </c>
      <c r="B2467">
        <v>25</v>
      </c>
      <c r="C2467">
        <v>22</v>
      </c>
      <c r="D2467" s="649">
        <f ca="1">IF(E2467=4,INDEX(crude_exp_dist,MATCH(B2467,'Crude Exp Dist'!$B$6:$B$78,0),MATCH(C2467,'Crude Exp Dist'!$AD$2:$BC$2,0))*INDEX(crude_exp_by_year,MATCH(B2467,'Data Export'!$B$6:$B$78,0),1),IF(E2467=5,INDEX(ref_exp_dist,MATCH(B2467,'Refined Petro Exp Dist'!$B$6:$B$78,0),MATCH(C2467,'Refined Petro Exp Dist'!$AD$2:$BC$2,0))*INDEX(ref_exp_by_year,MATCH(B2467,'Data Export'!$B$6:$B$78,0),1)))</f>
        <v>0</v>
      </c>
      <c r="E2467">
        <v>5</v>
      </c>
      <c r="F2467" t="s">
        <v>235</v>
      </c>
    </row>
    <row r="2468" spans="1:6">
      <c r="A2468" t="str">
        <f t="shared" si="38"/>
        <v>GenericE&amp;DtemplateCIandGOA</v>
      </c>
      <c r="B2468">
        <v>25</v>
      </c>
      <c r="C2468">
        <v>23</v>
      </c>
      <c r="D2468" s="649">
        <f ca="1">IF(E2468=4,INDEX(crude_exp_dist,MATCH(B2468,'Crude Exp Dist'!$B$6:$B$78,0),MATCH(C2468,'Crude Exp Dist'!$AD$2:$BC$2,0))*INDEX(crude_exp_by_year,MATCH(B2468,'Data Export'!$B$6:$B$78,0),1),IF(E2468=5,INDEX(ref_exp_dist,MATCH(B2468,'Refined Petro Exp Dist'!$B$6:$B$78,0),MATCH(C2468,'Refined Petro Exp Dist'!$AD$2:$BC$2,0))*INDEX(ref_exp_by_year,MATCH(B2468,'Data Export'!$B$6:$B$78,0),1)))</f>
        <v>0</v>
      </c>
      <c r="E2468">
        <v>5</v>
      </c>
      <c r="F2468" t="s">
        <v>237</v>
      </c>
    </row>
    <row r="2469" spans="1:6">
      <c r="A2469" t="str">
        <f t="shared" si="38"/>
        <v>GenericE&amp;DtemplateCIandGOA</v>
      </c>
      <c r="B2469">
        <v>25</v>
      </c>
      <c r="C2469">
        <v>24</v>
      </c>
      <c r="D2469" s="649">
        <f ca="1">IF(E2469=4,INDEX(crude_exp_dist,MATCH(B2469,'Crude Exp Dist'!$B$6:$B$78,0),MATCH(C2469,'Crude Exp Dist'!$AD$2:$BC$2,0))*INDEX(crude_exp_by_year,MATCH(B2469,'Data Export'!$B$6:$B$78,0),1),IF(E2469=5,INDEX(ref_exp_dist,MATCH(B2469,'Refined Petro Exp Dist'!$B$6:$B$78,0),MATCH(C2469,'Refined Petro Exp Dist'!$AD$2:$BC$2,0))*INDEX(ref_exp_by_year,MATCH(B2469,'Data Export'!$B$6:$B$78,0),1)))</f>
        <v>0</v>
      </c>
      <c r="E2469">
        <v>5</v>
      </c>
      <c r="F2469" t="s">
        <v>239</v>
      </c>
    </row>
    <row r="2470" spans="1:6">
      <c r="A2470" t="str">
        <f t="shared" si="38"/>
        <v>GenericE&amp;DtemplateCIandGOA</v>
      </c>
      <c r="B2470">
        <v>25</v>
      </c>
      <c r="C2470">
        <v>25</v>
      </c>
      <c r="D2470" s="649">
        <f ca="1">IF(E2470=4,INDEX(crude_exp_dist,MATCH(B2470,'Crude Exp Dist'!$B$6:$B$78,0),MATCH(C2470,'Crude Exp Dist'!$AD$2:$BC$2,0))*INDEX(crude_exp_by_year,MATCH(B2470,'Data Export'!$B$6:$B$78,0),1),IF(E2470=5,INDEX(ref_exp_dist,MATCH(B2470,'Refined Petro Exp Dist'!$B$6:$B$78,0),MATCH(C2470,'Refined Petro Exp Dist'!$AD$2:$BC$2,0))*INDEX(ref_exp_by_year,MATCH(B2470,'Data Export'!$B$6:$B$78,0),1)))</f>
        <v>0</v>
      </c>
      <c r="E2470">
        <v>5</v>
      </c>
      <c r="F2470" t="s">
        <v>242</v>
      </c>
    </row>
    <row r="2471" spans="1:6">
      <c r="A2471" t="str">
        <f t="shared" si="38"/>
        <v>GenericE&amp;DtemplateCIandGOA</v>
      </c>
      <c r="B2471">
        <v>25</v>
      </c>
      <c r="C2471">
        <v>26</v>
      </c>
      <c r="D2471" s="649">
        <f ca="1">IF(E2471=4,INDEX(crude_exp_dist,MATCH(B2471,'Crude Exp Dist'!$B$6:$B$78,0),MATCH(C2471,'Crude Exp Dist'!$AD$2:$BC$2,0))*INDEX(crude_exp_by_year,MATCH(B2471,'Data Export'!$B$6:$B$78,0),1),IF(E2471=5,INDEX(ref_exp_dist,MATCH(B2471,'Refined Petro Exp Dist'!$B$6:$B$78,0),MATCH(C2471,'Refined Petro Exp Dist'!$AD$2:$BC$2,0))*INDEX(ref_exp_by_year,MATCH(B2471,'Data Export'!$B$6:$B$78,0),1)))</f>
        <v>0</v>
      </c>
      <c r="E2471">
        <v>5</v>
      </c>
      <c r="F2471" t="s">
        <v>245</v>
      </c>
    </row>
    <row r="2472" spans="1:6">
      <c r="A2472" t="str">
        <f t="shared" si="38"/>
        <v>GenericE&amp;DtemplateCIandGOA</v>
      </c>
      <c r="B2472">
        <v>26</v>
      </c>
      <c r="C2472">
        <v>1</v>
      </c>
      <c r="D2472" s="649">
        <f ca="1">IF(E2472=4,INDEX(crude_exp_dist,MATCH(B2472,'Crude Exp Dist'!$B$6:$B$78,0),MATCH(C2472,'Crude Exp Dist'!$AD$2:$BC$2,0))*INDEX(crude_exp_by_year,MATCH(B2472,'Data Export'!$B$6:$B$78,0),1),IF(E2472=5,INDEX(ref_exp_dist,MATCH(B2472,'Refined Petro Exp Dist'!$B$6:$B$78,0),MATCH(C2472,'Refined Petro Exp Dist'!$AD$2:$BC$2,0))*INDEX(ref_exp_by_year,MATCH(B2472,'Data Export'!$B$6:$B$78,0),1)))</f>
        <v>0</v>
      </c>
      <c r="E2472">
        <v>5</v>
      </c>
      <c r="F2472" t="s">
        <v>158</v>
      </c>
    </row>
    <row r="2473" spans="1:6">
      <c r="A2473" t="str">
        <f t="shared" si="38"/>
        <v>GenericE&amp;DtemplateCIandGOA</v>
      </c>
      <c r="B2473">
        <v>26</v>
      </c>
      <c r="C2473">
        <v>2</v>
      </c>
      <c r="D2473" s="649">
        <f ca="1">IF(E2473=4,INDEX(crude_exp_dist,MATCH(B2473,'Crude Exp Dist'!$B$6:$B$78,0),MATCH(C2473,'Crude Exp Dist'!$AD$2:$BC$2,0))*INDEX(crude_exp_by_year,MATCH(B2473,'Data Export'!$B$6:$B$78,0),1),IF(E2473=5,INDEX(ref_exp_dist,MATCH(B2473,'Refined Petro Exp Dist'!$B$6:$B$78,0),MATCH(C2473,'Refined Petro Exp Dist'!$AD$2:$BC$2,0))*INDEX(ref_exp_by_year,MATCH(B2473,'Data Export'!$B$6:$B$78,0),1)))</f>
        <v>0</v>
      </c>
      <c r="E2473">
        <v>5</v>
      </c>
      <c r="F2473" t="s">
        <v>166</v>
      </c>
    </row>
    <row r="2474" spans="1:6">
      <c r="A2474" t="str">
        <f t="shared" si="38"/>
        <v>GenericE&amp;DtemplateCIandGOA</v>
      </c>
      <c r="B2474">
        <v>26</v>
      </c>
      <c r="C2474">
        <v>3</v>
      </c>
      <c r="D2474" s="649">
        <f ca="1">IF(E2474=4,INDEX(crude_exp_dist,MATCH(B2474,'Crude Exp Dist'!$B$6:$B$78,0),MATCH(C2474,'Crude Exp Dist'!$AD$2:$BC$2,0))*INDEX(crude_exp_by_year,MATCH(B2474,'Data Export'!$B$6:$B$78,0),1),IF(E2474=5,INDEX(ref_exp_dist,MATCH(B2474,'Refined Petro Exp Dist'!$B$6:$B$78,0),MATCH(C2474,'Refined Petro Exp Dist'!$AD$2:$BC$2,0))*INDEX(ref_exp_by_year,MATCH(B2474,'Data Export'!$B$6:$B$78,0),1)))</f>
        <v>0</v>
      </c>
      <c r="E2474">
        <v>5</v>
      </c>
      <c r="F2474" t="s">
        <v>171</v>
      </c>
    </row>
    <row r="2475" spans="1:6">
      <c r="A2475" t="str">
        <f t="shared" si="38"/>
        <v>GenericE&amp;DtemplateCIandGOA</v>
      </c>
      <c r="B2475">
        <v>26</v>
      </c>
      <c r="C2475">
        <v>4</v>
      </c>
      <c r="D2475" s="649">
        <f ca="1">IF(E2475=4,INDEX(crude_exp_dist,MATCH(B2475,'Crude Exp Dist'!$B$6:$B$78,0),MATCH(C2475,'Crude Exp Dist'!$AD$2:$BC$2,0))*INDEX(crude_exp_by_year,MATCH(B2475,'Data Export'!$B$6:$B$78,0),1),IF(E2475=5,INDEX(ref_exp_dist,MATCH(B2475,'Refined Petro Exp Dist'!$B$6:$B$78,0),MATCH(C2475,'Refined Petro Exp Dist'!$AD$2:$BC$2,0))*INDEX(ref_exp_by_year,MATCH(B2475,'Data Export'!$B$6:$B$78,0),1)))</f>
        <v>0</v>
      </c>
      <c r="E2475">
        <v>5</v>
      </c>
      <c r="F2475" t="s">
        <v>173</v>
      </c>
    </row>
    <row r="2476" spans="1:6">
      <c r="A2476" t="str">
        <f t="shared" si="38"/>
        <v>GenericE&amp;DtemplateCIandGOA</v>
      </c>
      <c r="B2476">
        <v>26</v>
      </c>
      <c r="C2476">
        <v>5</v>
      </c>
      <c r="D2476" s="649">
        <f ca="1">IF(E2476=4,INDEX(crude_exp_dist,MATCH(B2476,'Crude Exp Dist'!$B$6:$B$78,0),MATCH(C2476,'Crude Exp Dist'!$AD$2:$BC$2,0))*INDEX(crude_exp_by_year,MATCH(B2476,'Data Export'!$B$6:$B$78,0),1),IF(E2476=5,INDEX(ref_exp_dist,MATCH(B2476,'Refined Petro Exp Dist'!$B$6:$B$78,0),MATCH(C2476,'Refined Petro Exp Dist'!$AD$2:$BC$2,0))*INDEX(ref_exp_by_year,MATCH(B2476,'Data Export'!$B$6:$B$78,0),1)))</f>
        <v>0</v>
      </c>
      <c r="E2476">
        <v>5</v>
      </c>
      <c r="F2476" t="s">
        <v>180</v>
      </c>
    </row>
    <row r="2477" spans="1:6">
      <c r="A2477" t="str">
        <f t="shared" si="38"/>
        <v>GenericE&amp;DtemplateCIandGOA</v>
      </c>
      <c r="B2477">
        <v>26</v>
      </c>
      <c r="C2477">
        <v>6</v>
      </c>
      <c r="D2477" s="649">
        <f ca="1">IF(E2477=4,INDEX(crude_exp_dist,MATCH(B2477,'Crude Exp Dist'!$B$6:$B$78,0),MATCH(C2477,'Crude Exp Dist'!$AD$2:$BC$2,0))*INDEX(crude_exp_by_year,MATCH(B2477,'Data Export'!$B$6:$B$78,0),1),IF(E2477=5,INDEX(ref_exp_dist,MATCH(B2477,'Refined Petro Exp Dist'!$B$6:$B$78,0),MATCH(C2477,'Refined Petro Exp Dist'!$AD$2:$BC$2,0))*INDEX(ref_exp_by_year,MATCH(B2477,'Data Export'!$B$6:$B$78,0),1)))</f>
        <v>0</v>
      </c>
      <c r="E2477">
        <v>5</v>
      </c>
      <c r="F2477" t="s">
        <v>186</v>
      </c>
    </row>
    <row r="2478" spans="1:6">
      <c r="A2478" t="str">
        <f t="shared" si="38"/>
        <v>GenericE&amp;DtemplateCIandGOA</v>
      </c>
      <c r="B2478">
        <v>26</v>
      </c>
      <c r="C2478">
        <v>7</v>
      </c>
      <c r="D2478" s="649">
        <f ca="1">IF(E2478=4,INDEX(crude_exp_dist,MATCH(B2478,'Crude Exp Dist'!$B$6:$B$78,0),MATCH(C2478,'Crude Exp Dist'!$AD$2:$BC$2,0))*INDEX(crude_exp_by_year,MATCH(B2478,'Data Export'!$B$6:$B$78,0),1),IF(E2478=5,INDEX(ref_exp_dist,MATCH(B2478,'Refined Petro Exp Dist'!$B$6:$B$78,0),MATCH(C2478,'Refined Petro Exp Dist'!$AD$2:$BC$2,0))*INDEX(ref_exp_by_year,MATCH(B2478,'Data Export'!$B$6:$B$78,0),1)))</f>
        <v>0</v>
      </c>
      <c r="E2478">
        <v>5</v>
      </c>
      <c r="F2478" t="s">
        <v>191</v>
      </c>
    </row>
    <row r="2479" spans="1:6">
      <c r="A2479" t="str">
        <f t="shared" si="38"/>
        <v>GenericE&amp;DtemplateCIandGOA</v>
      </c>
      <c r="B2479">
        <v>26</v>
      </c>
      <c r="C2479">
        <v>8</v>
      </c>
      <c r="D2479" s="649">
        <f ca="1">IF(E2479=4,INDEX(crude_exp_dist,MATCH(B2479,'Crude Exp Dist'!$B$6:$B$78,0),MATCH(C2479,'Crude Exp Dist'!$AD$2:$BC$2,0))*INDEX(crude_exp_by_year,MATCH(B2479,'Data Export'!$B$6:$B$78,0),1),IF(E2479=5,INDEX(ref_exp_dist,MATCH(B2479,'Refined Petro Exp Dist'!$B$6:$B$78,0),MATCH(C2479,'Refined Petro Exp Dist'!$AD$2:$BC$2,0))*INDEX(ref_exp_by_year,MATCH(B2479,'Data Export'!$B$6:$B$78,0),1)))</f>
        <v>0</v>
      </c>
      <c r="E2479">
        <v>5</v>
      </c>
      <c r="F2479" t="s">
        <v>197</v>
      </c>
    </row>
    <row r="2480" spans="1:6">
      <c r="A2480" t="str">
        <f t="shared" si="38"/>
        <v>GenericE&amp;DtemplateCIandGOA</v>
      </c>
      <c r="B2480">
        <v>26</v>
      </c>
      <c r="C2480">
        <v>9</v>
      </c>
      <c r="D2480" s="649">
        <f ca="1">IF(E2480=4,INDEX(crude_exp_dist,MATCH(B2480,'Crude Exp Dist'!$B$6:$B$78,0),MATCH(C2480,'Crude Exp Dist'!$AD$2:$BC$2,0))*INDEX(crude_exp_by_year,MATCH(B2480,'Data Export'!$B$6:$B$78,0),1),IF(E2480=5,INDEX(ref_exp_dist,MATCH(B2480,'Refined Petro Exp Dist'!$B$6:$B$78,0),MATCH(C2480,'Refined Petro Exp Dist'!$AD$2:$BC$2,0))*INDEX(ref_exp_by_year,MATCH(B2480,'Data Export'!$B$6:$B$78,0),1)))</f>
        <v>0</v>
      </c>
      <c r="E2480">
        <v>5</v>
      </c>
      <c r="F2480" t="s">
        <v>199</v>
      </c>
    </row>
    <row r="2481" spans="1:6">
      <c r="A2481" t="str">
        <f t="shared" si="38"/>
        <v>GenericE&amp;DtemplateCIandGOA</v>
      </c>
      <c r="B2481">
        <v>26</v>
      </c>
      <c r="C2481">
        <v>10</v>
      </c>
      <c r="D2481" s="649">
        <f ca="1">IF(E2481=4,INDEX(crude_exp_dist,MATCH(B2481,'Crude Exp Dist'!$B$6:$B$78,0),MATCH(C2481,'Crude Exp Dist'!$AD$2:$BC$2,0))*INDEX(crude_exp_by_year,MATCH(B2481,'Data Export'!$B$6:$B$78,0),1),IF(E2481=5,INDEX(ref_exp_dist,MATCH(B2481,'Refined Petro Exp Dist'!$B$6:$B$78,0),MATCH(C2481,'Refined Petro Exp Dist'!$AD$2:$BC$2,0))*INDEX(ref_exp_by_year,MATCH(B2481,'Data Export'!$B$6:$B$78,0),1)))</f>
        <v>0</v>
      </c>
      <c r="E2481">
        <v>5</v>
      </c>
      <c r="F2481" t="s">
        <v>201</v>
      </c>
    </row>
    <row r="2482" spans="1:6">
      <c r="A2482" t="str">
        <f t="shared" si="38"/>
        <v>GenericE&amp;DtemplateCIandGOA</v>
      </c>
      <c r="B2482">
        <v>26</v>
      </c>
      <c r="C2482">
        <v>11</v>
      </c>
      <c r="D2482" s="649">
        <f ca="1">IF(E2482=4,INDEX(crude_exp_dist,MATCH(B2482,'Crude Exp Dist'!$B$6:$B$78,0),MATCH(C2482,'Crude Exp Dist'!$AD$2:$BC$2,0))*INDEX(crude_exp_by_year,MATCH(B2482,'Data Export'!$B$6:$B$78,0),1),IF(E2482=5,INDEX(ref_exp_dist,MATCH(B2482,'Refined Petro Exp Dist'!$B$6:$B$78,0),MATCH(C2482,'Refined Petro Exp Dist'!$AD$2:$BC$2,0))*INDEX(ref_exp_by_year,MATCH(B2482,'Data Export'!$B$6:$B$78,0),1)))</f>
        <v>0</v>
      </c>
      <c r="E2482">
        <v>5</v>
      </c>
      <c r="F2482" t="s">
        <v>921</v>
      </c>
    </row>
    <row r="2483" spans="1:6">
      <c r="A2483" t="str">
        <f t="shared" si="38"/>
        <v>GenericE&amp;DtemplateCIandGOA</v>
      </c>
      <c r="B2483">
        <v>26</v>
      </c>
      <c r="C2483">
        <v>12</v>
      </c>
      <c r="D2483" s="649">
        <f ca="1">IF(E2483=4,INDEX(crude_exp_dist,MATCH(B2483,'Crude Exp Dist'!$B$6:$B$78,0),MATCH(C2483,'Crude Exp Dist'!$AD$2:$BC$2,0))*INDEX(crude_exp_by_year,MATCH(B2483,'Data Export'!$B$6:$B$78,0),1),IF(E2483=5,INDEX(ref_exp_dist,MATCH(B2483,'Refined Petro Exp Dist'!$B$6:$B$78,0),MATCH(C2483,'Refined Petro Exp Dist'!$AD$2:$BC$2,0))*INDEX(ref_exp_by_year,MATCH(B2483,'Data Export'!$B$6:$B$78,0),1)))</f>
        <v>0</v>
      </c>
      <c r="E2483">
        <v>5</v>
      </c>
      <c r="F2483" t="s">
        <v>208</v>
      </c>
    </row>
    <row r="2484" spans="1:6">
      <c r="A2484" t="str">
        <f t="shared" si="38"/>
        <v>GenericE&amp;DtemplateCIandGOA</v>
      </c>
      <c r="B2484">
        <v>26</v>
      </c>
      <c r="C2484">
        <v>13</v>
      </c>
      <c r="D2484" s="649">
        <f ca="1">IF(E2484=4,INDEX(crude_exp_dist,MATCH(B2484,'Crude Exp Dist'!$B$6:$B$78,0),MATCH(C2484,'Crude Exp Dist'!$AD$2:$BC$2,0))*INDEX(crude_exp_by_year,MATCH(B2484,'Data Export'!$B$6:$B$78,0),1),IF(E2484=5,INDEX(ref_exp_dist,MATCH(B2484,'Refined Petro Exp Dist'!$B$6:$B$78,0),MATCH(C2484,'Refined Petro Exp Dist'!$AD$2:$BC$2,0))*INDEX(ref_exp_by_year,MATCH(B2484,'Data Export'!$B$6:$B$78,0),1)))</f>
        <v>0</v>
      </c>
      <c r="E2484">
        <v>5</v>
      </c>
      <c r="F2484" t="s">
        <v>211</v>
      </c>
    </row>
    <row r="2485" spans="1:6">
      <c r="A2485" t="str">
        <f t="shared" si="38"/>
        <v>GenericE&amp;DtemplateCIandGOA</v>
      </c>
      <c r="B2485">
        <v>26</v>
      </c>
      <c r="C2485">
        <v>14</v>
      </c>
      <c r="D2485" s="649">
        <f ca="1">IF(E2485=4,INDEX(crude_exp_dist,MATCH(B2485,'Crude Exp Dist'!$B$6:$B$78,0),MATCH(C2485,'Crude Exp Dist'!$AD$2:$BC$2,0))*INDEX(crude_exp_by_year,MATCH(B2485,'Data Export'!$B$6:$B$78,0),1),IF(E2485=5,INDEX(ref_exp_dist,MATCH(B2485,'Refined Petro Exp Dist'!$B$6:$B$78,0),MATCH(C2485,'Refined Petro Exp Dist'!$AD$2:$BC$2,0))*INDEX(ref_exp_by_year,MATCH(B2485,'Data Export'!$B$6:$B$78,0),1)))</f>
        <v>0</v>
      </c>
      <c r="E2485">
        <v>5</v>
      </c>
      <c r="F2485" t="s">
        <v>213</v>
      </c>
    </row>
    <row r="2486" spans="1:6">
      <c r="A2486" t="str">
        <f t="shared" si="38"/>
        <v>GenericE&amp;DtemplateCIandGOA</v>
      </c>
      <c r="B2486">
        <v>26</v>
      </c>
      <c r="C2486">
        <v>15</v>
      </c>
      <c r="D2486" s="649">
        <f ca="1">IF(E2486=4,INDEX(crude_exp_dist,MATCH(B2486,'Crude Exp Dist'!$B$6:$B$78,0),MATCH(C2486,'Crude Exp Dist'!$AD$2:$BC$2,0))*INDEX(crude_exp_by_year,MATCH(B2486,'Data Export'!$B$6:$B$78,0),1),IF(E2486=5,INDEX(ref_exp_dist,MATCH(B2486,'Refined Petro Exp Dist'!$B$6:$B$78,0),MATCH(C2486,'Refined Petro Exp Dist'!$AD$2:$BC$2,0))*INDEX(ref_exp_by_year,MATCH(B2486,'Data Export'!$B$6:$B$78,0),1)))</f>
        <v>0</v>
      </c>
      <c r="E2486">
        <v>5</v>
      </c>
      <c r="F2486" t="s">
        <v>215</v>
      </c>
    </row>
    <row r="2487" spans="1:6">
      <c r="A2487" t="str">
        <f t="shared" si="38"/>
        <v>GenericE&amp;DtemplateCIandGOA</v>
      </c>
      <c r="B2487">
        <v>26</v>
      </c>
      <c r="C2487">
        <v>16</v>
      </c>
      <c r="D2487" s="649">
        <f ca="1">IF(E2487=4,INDEX(crude_exp_dist,MATCH(B2487,'Crude Exp Dist'!$B$6:$B$78,0),MATCH(C2487,'Crude Exp Dist'!$AD$2:$BC$2,0))*INDEX(crude_exp_by_year,MATCH(B2487,'Data Export'!$B$6:$B$78,0),1),IF(E2487=5,INDEX(ref_exp_dist,MATCH(B2487,'Refined Petro Exp Dist'!$B$6:$B$78,0),MATCH(C2487,'Refined Petro Exp Dist'!$AD$2:$BC$2,0))*INDEX(ref_exp_by_year,MATCH(B2487,'Data Export'!$B$6:$B$78,0),1)))</f>
        <v>0</v>
      </c>
      <c r="E2487">
        <v>5</v>
      </c>
      <c r="F2487" t="s">
        <v>219</v>
      </c>
    </row>
    <row r="2488" spans="1:6">
      <c r="A2488" t="str">
        <f t="shared" si="38"/>
        <v>GenericE&amp;DtemplateCIandGOA</v>
      </c>
      <c r="B2488">
        <v>26</v>
      </c>
      <c r="C2488">
        <v>17</v>
      </c>
      <c r="D2488" s="649">
        <f ca="1">IF(E2488=4,INDEX(crude_exp_dist,MATCH(B2488,'Crude Exp Dist'!$B$6:$B$78,0),MATCH(C2488,'Crude Exp Dist'!$AD$2:$BC$2,0))*INDEX(crude_exp_by_year,MATCH(B2488,'Data Export'!$B$6:$B$78,0),1),IF(E2488=5,INDEX(ref_exp_dist,MATCH(B2488,'Refined Petro Exp Dist'!$B$6:$B$78,0),MATCH(C2488,'Refined Petro Exp Dist'!$AD$2:$BC$2,0))*INDEX(ref_exp_by_year,MATCH(B2488,'Data Export'!$B$6:$B$78,0),1)))</f>
        <v>0</v>
      </c>
      <c r="E2488">
        <v>5</v>
      </c>
      <c r="F2488" t="s">
        <v>222</v>
      </c>
    </row>
    <row r="2489" spans="1:6">
      <c r="A2489" t="str">
        <f t="shared" si="38"/>
        <v>GenericE&amp;DtemplateCIandGOA</v>
      </c>
      <c r="B2489">
        <v>26</v>
      </c>
      <c r="C2489">
        <v>18</v>
      </c>
      <c r="D2489" s="649">
        <f ca="1">IF(E2489=4,INDEX(crude_exp_dist,MATCH(B2489,'Crude Exp Dist'!$B$6:$B$78,0),MATCH(C2489,'Crude Exp Dist'!$AD$2:$BC$2,0))*INDEX(crude_exp_by_year,MATCH(B2489,'Data Export'!$B$6:$B$78,0),1),IF(E2489=5,INDEX(ref_exp_dist,MATCH(B2489,'Refined Petro Exp Dist'!$B$6:$B$78,0),MATCH(C2489,'Refined Petro Exp Dist'!$AD$2:$BC$2,0))*INDEX(ref_exp_by_year,MATCH(B2489,'Data Export'!$B$6:$B$78,0),1)))</f>
        <v>0</v>
      </c>
      <c r="E2489">
        <v>5</v>
      </c>
      <c r="F2489" t="s">
        <v>224</v>
      </c>
    </row>
    <row r="2490" spans="1:6">
      <c r="A2490" t="str">
        <f t="shared" si="38"/>
        <v>GenericE&amp;DtemplateCIandGOA</v>
      </c>
      <c r="B2490">
        <v>26</v>
      </c>
      <c r="C2490">
        <v>19</v>
      </c>
      <c r="D2490" s="649">
        <f ca="1">IF(E2490=4,INDEX(crude_exp_dist,MATCH(B2490,'Crude Exp Dist'!$B$6:$B$78,0),MATCH(C2490,'Crude Exp Dist'!$AD$2:$BC$2,0))*INDEX(crude_exp_by_year,MATCH(B2490,'Data Export'!$B$6:$B$78,0),1),IF(E2490=5,INDEX(ref_exp_dist,MATCH(B2490,'Refined Petro Exp Dist'!$B$6:$B$78,0),MATCH(C2490,'Refined Petro Exp Dist'!$AD$2:$BC$2,0))*INDEX(ref_exp_by_year,MATCH(B2490,'Data Export'!$B$6:$B$78,0),1)))</f>
        <v>0</v>
      </c>
      <c r="E2490">
        <v>5</v>
      </c>
      <c r="F2490" t="s">
        <v>228</v>
      </c>
    </row>
    <row r="2491" spans="1:6">
      <c r="A2491" t="str">
        <f t="shared" si="38"/>
        <v>GenericE&amp;DtemplateCIandGOA</v>
      </c>
      <c r="B2491">
        <v>26</v>
      </c>
      <c r="C2491">
        <v>20</v>
      </c>
      <c r="D2491" s="649">
        <f ca="1">IF(E2491=4,INDEX(crude_exp_dist,MATCH(B2491,'Crude Exp Dist'!$B$6:$B$78,0),MATCH(C2491,'Crude Exp Dist'!$AD$2:$BC$2,0))*INDEX(crude_exp_by_year,MATCH(B2491,'Data Export'!$B$6:$B$78,0),1),IF(E2491=5,INDEX(ref_exp_dist,MATCH(B2491,'Refined Petro Exp Dist'!$B$6:$B$78,0),MATCH(C2491,'Refined Petro Exp Dist'!$AD$2:$BC$2,0))*INDEX(ref_exp_by_year,MATCH(B2491,'Data Export'!$B$6:$B$78,0),1)))</f>
        <v>0</v>
      </c>
      <c r="E2491">
        <v>5</v>
      </c>
      <c r="F2491" t="s">
        <v>231</v>
      </c>
    </row>
    <row r="2492" spans="1:6">
      <c r="A2492" t="str">
        <f t="shared" si="38"/>
        <v>GenericE&amp;DtemplateCIandGOA</v>
      </c>
      <c r="B2492">
        <v>26</v>
      </c>
      <c r="C2492">
        <v>21</v>
      </c>
      <c r="D2492" s="649">
        <f ca="1">IF(E2492=4,INDEX(crude_exp_dist,MATCH(B2492,'Crude Exp Dist'!$B$6:$B$78,0),MATCH(C2492,'Crude Exp Dist'!$AD$2:$BC$2,0))*INDEX(crude_exp_by_year,MATCH(B2492,'Data Export'!$B$6:$B$78,0),1),IF(E2492=5,INDEX(ref_exp_dist,MATCH(B2492,'Refined Petro Exp Dist'!$B$6:$B$78,0),MATCH(C2492,'Refined Petro Exp Dist'!$AD$2:$BC$2,0))*INDEX(ref_exp_by_year,MATCH(B2492,'Data Export'!$B$6:$B$78,0),1)))</f>
        <v>0</v>
      </c>
      <c r="E2492">
        <v>5</v>
      </c>
      <c r="F2492" t="s">
        <v>232</v>
      </c>
    </row>
    <row r="2493" spans="1:6">
      <c r="A2493" t="str">
        <f t="shared" si="38"/>
        <v>GenericE&amp;DtemplateCIandGOA</v>
      </c>
      <c r="B2493">
        <v>26</v>
      </c>
      <c r="C2493">
        <v>22</v>
      </c>
      <c r="D2493" s="649">
        <f ca="1">IF(E2493=4,INDEX(crude_exp_dist,MATCH(B2493,'Crude Exp Dist'!$B$6:$B$78,0),MATCH(C2493,'Crude Exp Dist'!$AD$2:$BC$2,0))*INDEX(crude_exp_by_year,MATCH(B2493,'Data Export'!$B$6:$B$78,0),1),IF(E2493=5,INDEX(ref_exp_dist,MATCH(B2493,'Refined Petro Exp Dist'!$B$6:$B$78,0),MATCH(C2493,'Refined Petro Exp Dist'!$AD$2:$BC$2,0))*INDEX(ref_exp_by_year,MATCH(B2493,'Data Export'!$B$6:$B$78,0),1)))</f>
        <v>0</v>
      </c>
      <c r="E2493">
        <v>5</v>
      </c>
      <c r="F2493" t="s">
        <v>235</v>
      </c>
    </row>
    <row r="2494" spans="1:6">
      <c r="A2494" t="str">
        <f t="shared" si="38"/>
        <v>GenericE&amp;DtemplateCIandGOA</v>
      </c>
      <c r="B2494">
        <v>26</v>
      </c>
      <c r="C2494">
        <v>23</v>
      </c>
      <c r="D2494" s="649">
        <f ca="1">IF(E2494=4,INDEX(crude_exp_dist,MATCH(B2494,'Crude Exp Dist'!$B$6:$B$78,0),MATCH(C2494,'Crude Exp Dist'!$AD$2:$BC$2,0))*INDEX(crude_exp_by_year,MATCH(B2494,'Data Export'!$B$6:$B$78,0),1),IF(E2494=5,INDEX(ref_exp_dist,MATCH(B2494,'Refined Petro Exp Dist'!$B$6:$B$78,0),MATCH(C2494,'Refined Petro Exp Dist'!$AD$2:$BC$2,0))*INDEX(ref_exp_by_year,MATCH(B2494,'Data Export'!$B$6:$B$78,0),1)))</f>
        <v>0</v>
      </c>
      <c r="E2494">
        <v>5</v>
      </c>
      <c r="F2494" t="s">
        <v>237</v>
      </c>
    </row>
    <row r="2495" spans="1:6">
      <c r="A2495" t="str">
        <f t="shared" si="38"/>
        <v>GenericE&amp;DtemplateCIandGOA</v>
      </c>
      <c r="B2495">
        <v>26</v>
      </c>
      <c r="C2495">
        <v>24</v>
      </c>
      <c r="D2495" s="649">
        <f ca="1">IF(E2495=4,INDEX(crude_exp_dist,MATCH(B2495,'Crude Exp Dist'!$B$6:$B$78,0),MATCH(C2495,'Crude Exp Dist'!$AD$2:$BC$2,0))*INDEX(crude_exp_by_year,MATCH(B2495,'Data Export'!$B$6:$B$78,0),1),IF(E2495=5,INDEX(ref_exp_dist,MATCH(B2495,'Refined Petro Exp Dist'!$B$6:$B$78,0),MATCH(C2495,'Refined Petro Exp Dist'!$AD$2:$BC$2,0))*INDEX(ref_exp_by_year,MATCH(B2495,'Data Export'!$B$6:$B$78,0),1)))</f>
        <v>0</v>
      </c>
      <c r="E2495">
        <v>5</v>
      </c>
      <c r="F2495" t="s">
        <v>239</v>
      </c>
    </row>
    <row r="2496" spans="1:6">
      <c r="A2496" t="str">
        <f t="shared" si="38"/>
        <v>GenericE&amp;DtemplateCIandGOA</v>
      </c>
      <c r="B2496">
        <v>26</v>
      </c>
      <c r="C2496">
        <v>25</v>
      </c>
      <c r="D2496" s="649">
        <f ca="1">IF(E2496=4,INDEX(crude_exp_dist,MATCH(B2496,'Crude Exp Dist'!$B$6:$B$78,0),MATCH(C2496,'Crude Exp Dist'!$AD$2:$BC$2,0))*INDEX(crude_exp_by_year,MATCH(B2496,'Data Export'!$B$6:$B$78,0),1),IF(E2496=5,INDEX(ref_exp_dist,MATCH(B2496,'Refined Petro Exp Dist'!$B$6:$B$78,0),MATCH(C2496,'Refined Petro Exp Dist'!$AD$2:$BC$2,0))*INDEX(ref_exp_by_year,MATCH(B2496,'Data Export'!$B$6:$B$78,0),1)))</f>
        <v>0</v>
      </c>
      <c r="E2496">
        <v>5</v>
      </c>
      <c r="F2496" t="s">
        <v>242</v>
      </c>
    </row>
    <row r="2497" spans="1:6">
      <c r="A2497" t="str">
        <f t="shared" si="38"/>
        <v>GenericE&amp;DtemplateCIandGOA</v>
      </c>
      <c r="B2497">
        <v>26</v>
      </c>
      <c r="C2497">
        <v>26</v>
      </c>
      <c r="D2497" s="649">
        <f ca="1">IF(E2497=4,INDEX(crude_exp_dist,MATCH(B2497,'Crude Exp Dist'!$B$6:$B$78,0),MATCH(C2497,'Crude Exp Dist'!$AD$2:$BC$2,0))*INDEX(crude_exp_by_year,MATCH(B2497,'Data Export'!$B$6:$B$78,0),1),IF(E2497=5,INDEX(ref_exp_dist,MATCH(B2497,'Refined Petro Exp Dist'!$B$6:$B$78,0),MATCH(C2497,'Refined Petro Exp Dist'!$AD$2:$BC$2,0))*INDEX(ref_exp_by_year,MATCH(B2497,'Data Export'!$B$6:$B$78,0),1)))</f>
        <v>0</v>
      </c>
      <c r="E2497">
        <v>5</v>
      </c>
      <c r="F2497" t="s">
        <v>245</v>
      </c>
    </row>
    <row r="2498" spans="1:6">
      <c r="A2498" t="str">
        <f t="shared" ref="A2498:A2561" si="39">scenario_name</f>
        <v>GenericE&amp;DtemplateCIandGOA</v>
      </c>
      <c r="B2498">
        <v>27</v>
      </c>
      <c r="C2498">
        <v>1</v>
      </c>
      <c r="D2498" s="649">
        <f ca="1">IF(E2498=4,INDEX(crude_exp_dist,MATCH(B2498,'Crude Exp Dist'!$B$6:$B$78,0),MATCH(C2498,'Crude Exp Dist'!$AD$2:$BC$2,0))*INDEX(crude_exp_by_year,MATCH(B2498,'Data Export'!$B$6:$B$78,0),1),IF(E2498=5,INDEX(ref_exp_dist,MATCH(B2498,'Refined Petro Exp Dist'!$B$6:$B$78,0),MATCH(C2498,'Refined Petro Exp Dist'!$AD$2:$BC$2,0))*INDEX(ref_exp_by_year,MATCH(B2498,'Data Export'!$B$6:$B$78,0),1)))</f>
        <v>0</v>
      </c>
      <c r="E2498">
        <v>5</v>
      </c>
      <c r="F2498" t="s">
        <v>158</v>
      </c>
    </row>
    <row r="2499" spans="1:6">
      <c r="A2499" t="str">
        <f t="shared" si="39"/>
        <v>GenericE&amp;DtemplateCIandGOA</v>
      </c>
      <c r="B2499">
        <v>27</v>
      </c>
      <c r="C2499">
        <v>2</v>
      </c>
      <c r="D2499" s="649">
        <f ca="1">IF(E2499=4,INDEX(crude_exp_dist,MATCH(B2499,'Crude Exp Dist'!$B$6:$B$78,0),MATCH(C2499,'Crude Exp Dist'!$AD$2:$BC$2,0))*INDEX(crude_exp_by_year,MATCH(B2499,'Data Export'!$B$6:$B$78,0),1),IF(E2499=5,INDEX(ref_exp_dist,MATCH(B2499,'Refined Petro Exp Dist'!$B$6:$B$78,0),MATCH(C2499,'Refined Petro Exp Dist'!$AD$2:$BC$2,0))*INDEX(ref_exp_by_year,MATCH(B2499,'Data Export'!$B$6:$B$78,0),1)))</f>
        <v>0</v>
      </c>
      <c r="E2499">
        <v>5</v>
      </c>
      <c r="F2499" t="s">
        <v>166</v>
      </c>
    </row>
    <row r="2500" spans="1:6">
      <c r="A2500" t="str">
        <f t="shared" si="39"/>
        <v>GenericE&amp;DtemplateCIandGOA</v>
      </c>
      <c r="B2500">
        <v>27</v>
      </c>
      <c r="C2500">
        <v>3</v>
      </c>
      <c r="D2500" s="649">
        <f ca="1">IF(E2500=4,INDEX(crude_exp_dist,MATCH(B2500,'Crude Exp Dist'!$B$6:$B$78,0),MATCH(C2500,'Crude Exp Dist'!$AD$2:$BC$2,0))*INDEX(crude_exp_by_year,MATCH(B2500,'Data Export'!$B$6:$B$78,0),1),IF(E2500=5,INDEX(ref_exp_dist,MATCH(B2500,'Refined Petro Exp Dist'!$B$6:$B$78,0),MATCH(C2500,'Refined Petro Exp Dist'!$AD$2:$BC$2,0))*INDEX(ref_exp_by_year,MATCH(B2500,'Data Export'!$B$6:$B$78,0),1)))</f>
        <v>0</v>
      </c>
      <c r="E2500">
        <v>5</v>
      </c>
      <c r="F2500" t="s">
        <v>171</v>
      </c>
    </row>
    <row r="2501" spans="1:6">
      <c r="A2501" t="str">
        <f t="shared" si="39"/>
        <v>GenericE&amp;DtemplateCIandGOA</v>
      </c>
      <c r="B2501">
        <v>27</v>
      </c>
      <c r="C2501">
        <v>4</v>
      </c>
      <c r="D2501" s="649">
        <f ca="1">IF(E2501=4,INDEX(crude_exp_dist,MATCH(B2501,'Crude Exp Dist'!$B$6:$B$78,0),MATCH(C2501,'Crude Exp Dist'!$AD$2:$BC$2,0))*INDEX(crude_exp_by_year,MATCH(B2501,'Data Export'!$B$6:$B$78,0),1),IF(E2501=5,INDEX(ref_exp_dist,MATCH(B2501,'Refined Petro Exp Dist'!$B$6:$B$78,0),MATCH(C2501,'Refined Petro Exp Dist'!$AD$2:$BC$2,0))*INDEX(ref_exp_by_year,MATCH(B2501,'Data Export'!$B$6:$B$78,0),1)))</f>
        <v>0</v>
      </c>
      <c r="E2501">
        <v>5</v>
      </c>
      <c r="F2501" t="s">
        <v>173</v>
      </c>
    </row>
    <row r="2502" spans="1:6">
      <c r="A2502" t="str">
        <f t="shared" si="39"/>
        <v>GenericE&amp;DtemplateCIandGOA</v>
      </c>
      <c r="B2502">
        <v>27</v>
      </c>
      <c r="C2502">
        <v>5</v>
      </c>
      <c r="D2502" s="649">
        <f ca="1">IF(E2502=4,INDEX(crude_exp_dist,MATCH(B2502,'Crude Exp Dist'!$B$6:$B$78,0),MATCH(C2502,'Crude Exp Dist'!$AD$2:$BC$2,0))*INDEX(crude_exp_by_year,MATCH(B2502,'Data Export'!$B$6:$B$78,0),1),IF(E2502=5,INDEX(ref_exp_dist,MATCH(B2502,'Refined Petro Exp Dist'!$B$6:$B$78,0),MATCH(C2502,'Refined Petro Exp Dist'!$AD$2:$BC$2,0))*INDEX(ref_exp_by_year,MATCH(B2502,'Data Export'!$B$6:$B$78,0),1)))</f>
        <v>0</v>
      </c>
      <c r="E2502">
        <v>5</v>
      </c>
      <c r="F2502" t="s">
        <v>180</v>
      </c>
    </row>
    <row r="2503" spans="1:6">
      <c r="A2503" t="str">
        <f t="shared" si="39"/>
        <v>GenericE&amp;DtemplateCIandGOA</v>
      </c>
      <c r="B2503">
        <v>27</v>
      </c>
      <c r="C2503">
        <v>6</v>
      </c>
      <c r="D2503" s="649">
        <f ca="1">IF(E2503=4,INDEX(crude_exp_dist,MATCH(B2503,'Crude Exp Dist'!$B$6:$B$78,0),MATCH(C2503,'Crude Exp Dist'!$AD$2:$BC$2,0))*INDEX(crude_exp_by_year,MATCH(B2503,'Data Export'!$B$6:$B$78,0),1),IF(E2503=5,INDEX(ref_exp_dist,MATCH(B2503,'Refined Petro Exp Dist'!$B$6:$B$78,0),MATCH(C2503,'Refined Petro Exp Dist'!$AD$2:$BC$2,0))*INDEX(ref_exp_by_year,MATCH(B2503,'Data Export'!$B$6:$B$78,0),1)))</f>
        <v>0</v>
      </c>
      <c r="E2503">
        <v>5</v>
      </c>
      <c r="F2503" t="s">
        <v>186</v>
      </c>
    </row>
    <row r="2504" spans="1:6">
      <c r="A2504" t="str">
        <f t="shared" si="39"/>
        <v>GenericE&amp;DtemplateCIandGOA</v>
      </c>
      <c r="B2504">
        <v>27</v>
      </c>
      <c r="C2504">
        <v>7</v>
      </c>
      <c r="D2504" s="649">
        <f ca="1">IF(E2504=4,INDEX(crude_exp_dist,MATCH(B2504,'Crude Exp Dist'!$B$6:$B$78,0),MATCH(C2504,'Crude Exp Dist'!$AD$2:$BC$2,0))*INDEX(crude_exp_by_year,MATCH(B2504,'Data Export'!$B$6:$B$78,0),1),IF(E2504=5,INDEX(ref_exp_dist,MATCH(B2504,'Refined Petro Exp Dist'!$B$6:$B$78,0),MATCH(C2504,'Refined Petro Exp Dist'!$AD$2:$BC$2,0))*INDEX(ref_exp_by_year,MATCH(B2504,'Data Export'!$B$6:$B$78,0),1)))</f>
        <v>0</v>
      </c>
      <c r="E2504">
        <v>5</v>
      </c>
      <c r="F2504" t="s">
        <v>191</v>
      </c>
    </row>
    <row r="2505" spans="1:6">
      <c r="A2505" t="str">
        <f t="shared" si="39"/>
        <v>GenericE&amp;DtemplateCIandGOA</v>
      </c>
      <c r="B2505">
        <v>27</v>
      </c>
      <c r="C2505">
        <v>8</v>
      </c>
      <c r="D2505" s="649">
        <f ca="1">IF(E2505=4,INDEX(crude_exp_dist,MATCH(B2505,'Crude Exp Dist'!$B$6:$B$78,0),MATCH(C2505,'Crude Exp Dist'!$AD$2:$BC$2,0))*INDEX(crude_exp_by_year,MATCH(B2505,'Data Export'!$B$6:$B$78,0),1),IF(E2505=5,INDEX(ref_exp_dist,MATCH(B2505,'Refined Petro Exp Dist'!$B$6:$B$78,0),MATCH(C2505,'Refined Petro Exp Dist'!$AD$2:$BC$2,0))*INDEX(ref_exp_by_year,MATCH(B2505,'Data Export'!$B$6:$B$78,0),1)))</f>
        <v>0</v>
      </c>
      <c r="E2505">
        <v>5</v>
      </c>
      <c r="F2505" t="s">
        <v>197</v>
      </c>
    </row>
    <row r="2506" spans="1:6">
      <c r="A2506" t="str">
        <f t="shared" si="39"/>
        <v>GenericE&amp;DtemplateCIandGOA</v>
      </c>
      <c r="B2506">
        <v>27</v>
      </c>
      <c r="C2506">
        <v>9</v>
      </c>
      <c r="D2506" s="649">
        <f ca="1">IF(E2506=4,INDEX(crude_exp_dist,MATCH(B2506,'Crude Exp Dist'!$B$6:$B$78,0),MATCH(C2506,'Crude Exp Dist'!$AD$2:$BC$2,0))*INDEX(crude_exp_by_year,MATCH(B2506,'Data Export'!$B$6:$B$78,0),1),IF(E2506=5,INDEX(ref_exp_dist,MATCH(B2506,'Refined Petro Exp Dist'!$B$6:$B$78,0),MATCH(C2506,'Refined Petro Exp Dist'!$AD$2:$BC$2,0))*INDEX(ref_exp_by_year,MATCH(B2506,'Data Export'!$B$6:$B$78,0),1)))</f>
        <v>0</v>
      </c>
      <c r="E2506">
        <v>5</v>
      </c>
      <c r="F2506" t="s">
        <v>199</v>
      </c>
    </row>
    <row r="2507" spans="1:6">
      <c r="A2507" t="str">
        <f t="shared" si="39"/>
        <v>GenericE&amp;DtemplateCIandGOA</v>
      </c>
      <c r="B2507">
        <v>27</v>
      </c>
      <c r="C2507">
        <v>10</v>
      </c>
      <c r="D2507" s="649">
        <f ca="1">IF(E2507=4,INDEX(crude_exp_dist,MATCH(B2507,'Crude Exp Dist'!$B$6:$B$78,0),MATCH(C2507,'Crude Exp Dist'!$AD$2:$BC$2,0))*INDEX(crude_exp_by_year,MATCH(B2507,'Data Export'!$B$6:$B$78,0),1),IF(E2507=5,INDEX(ref_exp_dist,MATCH(B2507,'Refined Petro Exp Dist'!$B$6:$B$78,0),MATCH(C2507,'Refined Petro Exp Dist'!$AD$2:$BC$2,0))*INDEX(ref_exp_by_year,MATCH(B2507,'Data Export'!$B$6:$B$78,0),1)))</f>
        <v>0</v>
      </c>
      <c r="E2507">
        <v>5</v>
      </c>
      <c r="F2507" t="s">
        <v>201</v>
      </c>
    </row>
    <row r="2508" spans="1:6">
      <c r="A2508" t="str">
        <f t="shared" si="39"/>
        <v>GenericE&amp;DtemplateCIandGOA</v>
      </c>
      <c r="B2508">
        <v>27</v>
      </c>
      <c r="C2508">
        <v>11</v>
      </c>
      <c r="D2508" s="649">
        <f ca="1">IF(E2508=4,INDEX(crude_exp_dist,MATCH(B2508,'Crude Exp Dist'!$B$6:$B$78,0),MATCH(C2508,'Crude Exp Dist'!$AD$2:$BC$2,0))*INDEX(crude_exp_by_year,MATCH(B2508,'Data Export'!$B$6:$B$78,0),1),IF(E2508=5,INDEX(ref_exp_dist,MATCH(B2508,'Refined Petro Exp Dist'!$B$6:$B$78,0),MATCH(C2508,'Refined Petro Exp Dist'!$AD$2:$BC$2,0))*INDEX(ref_exp_by_year,MATCH(B2508,'Data Export'!$B$6:$B$78,0),1)))</f>
        <v>0</v>
      </c>
      <c r="E2508">
        <v>5</v>
      </c>
      <c r="F2508" t="s">
        <v>921</v>
      </c>
    </row>
    <row r="2509" spans="1:6">
      <c r="A2509" t="str">
        <f t="shared" si="39"/>
        <v>GenericE&amp;DtemplateCIandGOA</v>
      </c>
      <c r="B2509">
        <v>27</v>
      </c>
      <c r="C2509">
        <v>12</v>
      </c>
      <c r="D2509" s="649">
        <f ca="1">IF(E2509=4,INDEX(crude_exp_dist,MATCH(B2509,'Crude Exp Dist'!$B$6:$B$78,0),MATCH(C2509,'Crude Exp Dist'!$AD$2:$BC$2,0))*INDEX(crude_exp_by_year,MATCH(B2509,'Data Export'!$B$6:$B$78,0),1),IF(E2509=5,INDEX(ref_exp_dist,MATCH(B2509,'Refined Petro Exp Dist'!$B$6:$B$78,0),MATCH(C2509,'Refined Petro Exp Dist'!$AD$2:$BC$2,0))*INDEX(ref_exp_by_year,MATCH(B2509,'Data Export'!$B$6:$B$78,0),1)))</f>
        <v>0</v>
      </c>
      <c r="E2509">
        <v>5</v>
      </c>
      <c r="F2509" t="s">
        <v>208</v>
      </c>
    </row>
    <row r="2510" spans="1:6">
      <c r="A2510" t="str">
        <f t="shared" si="39"/>
        <v>GenericE&amp;DtemplateCIandGOA</v>
      </c>
      <c r="B2510">
        <v>27</v>
      </c>
      <c r="C2510">
        <v>13</v>
      </c>
      <c r="D2510" s="649">
        <f ca="1">IF(E2510=4,INDEX(crude_exp_dist,MATCH(B2510,'Crude Exp Dist'!$B$6:$B$78,0),MATCH(C2510,'Crude Exp Dist'!$AD$2:$BC$2,0))*INDEX(crude_exp_by_year,MATCH(B2510,'Data Export'!$B$6:$B$78,0),1),IF(E2510=5,INDEX(ref_exp_dist,MATCH(B2510,'Refined Petro Exp Dist'!$B$6:$B$78,0),MATCH(C2510,'Refined Petro Exp Dist'!$AD$2:$BC$2,0))*INDEX(ref_exp_by_year,MATCH(B2510,'Data Export'!$B$6:$B$78,0),1)))</f>
        <v>0</v>
      </c>
      <c r="E2510">
        <v>5</v>
      </c>
      <c r="F2510" t="s">
        <v>211</v>
      </c>
    </row>
    <row r="2511" spans="1:6">
      <c r="A2511" t="str">
        <f t="shared" si="39"/>
        <v>GenericE&amp;DtemplateCIandGOA</v>
      </c>
      <c r="B2511">
        <v>27</v>
      </c>
      <c r="C2511">
        <v>14</v>
      </c>
      <c r="D2511" s="649">
        <f ca="1">IF(E2511=4,INDEX(crude_exp_dist,MATCH(B2511,'Crude Exp Dist'!$B$6:$B$78,0),MATCH(C2511,'Crude Exp Dist'!$AD$2:$BC$2,0))*INDEX(crude_exp_by_year,MATCH(B2511,'Data Export'!$B$6:$B$78,0),1),IF(E2511=5,INDEX(ref_exp_dist,MATCH(B2511,'Refined Petro Exp Dist'!$B$6:$B$78,0),MATCH(C2511,'Refined Petro Exp Dist'!$AD$2:$BC$2,0))*INDEX(ref_exp_by_year,MATCH(B2511,'Data Export'!$B$6:$B$78,0),1)))</f>
        <v>0</v>
      </c>
      <c r="E2511">
        <v>5</v>
      </c>
      <c r="F2511" t="s">
        <v>213</v>
      </c>
    </row>
    <row r="2512" spans="1:6">
      <c r="A2512" t="str">
        <f t="shared" si="39"/>
        <v>GenericE&amp;DtemplateCIandGOA</v>
      </c>
      <c r="B2512">
        <v>27</v>
      </c>
      <c r="C2512">
        <v>15</v>
      </c>
      <c r="D2512" s="649">
        <f ca="1">IF(E2512=4,INDEX(crude_exp_dist,MATCH(B2512,'Crude Exp Dist'!$B$6:$B$78,0),MATCH(C2512,'Crude Exp Dist'!$AD$2:$BC$2,0))*INDEX(crude_exp_by_year,MATCH(B2512,'Data Export'!$B$6:$B$78,0),1),IF(E2512=5,INDEX(ref_exp_dist,MATCH(B2512,'Refined Petro Exp Dist'!$B$6:$B$78,0),MATCH(C2512,'Refined Petro Exp Dist'!$AD$2:$BC$2,0))*INDEX(ref_exp_by_year,MATCH(B2512,'Data Export'!$B$6:$B$78,0),1)))</f>
        <v>0</v>
      </c>
      <c r="E2512">
        <v>5</v>
      </c>
      <c r="F2512" t="s">
        <v>215</v>
      </c>
    </row>
    <row r="2513" spans="1:6">
      <c r="A2513" t="str">
        <f t="shared" si="39"/>
        <v>GenericE&amp;DtemplateCIandGOA</v>
      </c>
      <c r="B2513">
        <v>27</v>
      </c>
      <c r="C2513">
        <v>16</v>
      </c>
      <c r="D2513" s="649">
        <f ca="1">IF(E2513=4,INDEX(crude_exp_dist,MATCH(B2513,'Crude Exp Dist'!$B$6:$B$78,0),MATCH(C2513,'Crude Exp Dist'!$AD$2:$BC$2,0))*INDEX(crude_exp_by_year,MATCH(B2513,'Data Export'!$B$6:$B$78,0),1),IF(E2513=5,INDEX(ref_exp_dist,MATCH(B2513,'Refined Petro Exp Dist'!$B$6:$B$78,0),MATCH(C2513,'Refined Petro Exp Dist'!$AD$2:$BC$2,0))*INDEX(ref_exp_by_year,MATCH(B2513,'Data Export'!$B$6:$B$78,0),1)))</f>
        <v>0</v>
      </c>
      <c r="E2513">
        <v>5</v>
      </c>
      <c r="F2513" t="s">
        <v>219</v>
      </c>
    </row>
    <row r="2514" spans="1:6">
      <c r="A2514" t="str">
        <f t="shared" si="39"/>
        <v>GenericE&amp;DtemplateCIandGOA</v>
      </c>
      <c r="B2514">
        <v>27</v>
      </c>
      <c r="C2514">
        <v>17</v>
      </c>
      <c r="D2514" s="649">
        <f ca="1">IF(E2514=4,INDEX(crude_exp_dist,MATCH(B2514,'Crude Exp Dist'!$B$6:$B$78,0),MATCH(C2514,'Crude Exp Dist'!$AD$2:$BC$2,0))*INDEX(crude_exp_by_year,MATCH(B2514,'Data Export'!$B$6:$B$78,0),1),IF(E2514=5,INDEX(ref_exp_dist,MATCH(B2514,'Refined Petro Exp Dist'!$B$6:$B$78,0),MATCH(C2514,'Refined Petro Exp Dist'!$AD$2:$BC$2,0))*INDEX(ref_exp_by_year,MATCH(B2514,'Data Export'!$B$6:$B$78,0),1)))</f>
        <v>0</v>
      </c>
      <c r="E2514">
        <v>5</v>
      </c>
      <c r="F2514" t="s">
        <v>222</v>
      </c>
    </row>
    <row r="2515" spans="1:6">
      <c r="A2515" t="str">
        <f t="shared" si="39"/>
        <v>GenericE&amp;DtemplateCIandGOA</v>
      </c>
      <c r="B2515">
        <v>27</v>
      </c>
      <c r="C2515">
        <v>18</v>
      </c>
      <c r="D2515" s="649">
        <f ca="1">IF(E2515=4,INDEX(crude_exp_dist,MATCH(B2515,'Crude Exp Dist'!$B$6:$B$78,0),MATCH(C2515,'Crude Exp Dist'!$AD$2:$BC$2,0))*INDEX(crude_exp_by_year,MATCH(B2515,'Data Export'!$B$6:$B$78,0),1),IF(E2515=5,INDEX(ref_exp_dist,MATCH(B2515,'Refined Petro Exp Dist'!$B$6:$B$78,0),MATCH(C2515,'Refined Petro Exp Dist'!$AD$2:$BC$2,0))*INDEX(ref_exp_by_year,MATCH(B2515,'Data Export'!$B$6:$B$78,0),1)))</f>
        <v>0</v>
      </c>
      <c r="E2515">
        <v>5</v>
      </c>
      <c r="F2515" t="s">
        <v>224</v>
      </c>
    </row>
    <row r="2516" spans="1:6">
      <c r="A2516" t="str">
        <f t="shared" si="39"/>
        <v>GenericE&amp;DtemplateCIandGOA</v>
      </c>
      <c r="B2516">
        <v>27</v>
      </c>
      <c r="C2516">
        <v>19</v>
      </c>
      <c r="D2516" s="649">
        <f ca="1">IF(E2516=4,INDEX(crude_exp_dist,MATCH(B2516,'Crude Exp Dist'!$B$6:$B$78,0),MATCH(C2516,'Crude Exp Dist'!$AD$2:$BC$2,0))*INDEX(crude_exp_by_year,MATCH(B2516,'Data Export'!$B$6:$B$78,0),1),IF(E2516=5,INDEX(ref_exp_dist,MATCH(B2516,'Refined Petro Exp Dist'!$B$6:$B$78,0),MATCH(C2516,'Refined Petro Exp Dist'!$AD$2:$BC$2,0))*INDEX(ref_exp_by_year,MATCH(B2516,'Data Export'!$B$6:$B$78,0),1)))</f>
        <v>0</v>
      </c>
      <c r="E2516">
        <v>5</v>
      </c>
      <c r="F2516" t="s">
        <v>228</v>
      </c>
    </row>
    <row r="2517" spans="1:6">
      <c r="A2517" t="str">
        <f t="shared" si="39"/>
        <v>GenericE&amp;DtemplateCIandGOA</v>
      </c>
      <c r="B2517">
        <v>27</v>
      </c>
      <c r="C2517">
        <v>20</v>
      </c>
      <c r="D2517" s="649">
        <f ca="1">IF(E2517=4,INDEX(crude_exp_dist,MATCH(B2517,'Crude Exp Dist'!$B$6:$B$78,0),MATCH(C2517,'Crude Exp Dist'!$AD$2:$BC$2,0))*INDEX(crude_exp_by_year,MATCH(B2517,'Data Export'!$B$6:$B$78,0),1),IF(E2517=5,INDEX(ref_exp_dist,MATCH(B2517,'Refined Petro Exp Dist'!$B$6:$B$78,0),MATCH(C2517,'Refined Petro Exp Dist'!$AD$2:$BC$2,0))*INDEX(ref_exp_by_year,MATCH(B2517,'Data Export'!$B$6:$B$78,0),1)))</f>
        <v>0</v>
      </c>
      <c r="E2517">
        <v>5</v>
      </c>
      <c r="F2517" t="s">
        <v>231</v>
      </c>
    </row>
    <row r="2518" spans="1:6">
      <c r="A2518" t="str">
        <f t="shared" si="39"/>
        <v>GenericE&amp;DtemplateCIandGOA</v>
      </c>
      <c r="B2518">
        <v>27</v>
      </c>
      <c r="C2518">
        <v>21</v>
      </c>
      <c r="D2518" s="649">
        <f ca="1">IF(E2518=4,INDEX(crude_exp_dist,MATCH(B2518,'Crude Exp Dist'!$B$6:$B$78,0),MATCH(C2518,'Crude Exp Dist'!$AD$2:$BC$2,0))*INDEX(crude_exp_by_year,MATCH(B2518,'Data Export'!$B$6:$B$78,0),1),IF(E2518=5,INDEX(ref_exp_dist,MATCH(B2518,'Refined Petro Exp Dist'!$B$6:$B$78,0),MATCH(C2518,'Refined Petro Exp Dist'!$AD$2:$BC$2,0))*INDEX(ref_exp_by_year,MATCH(B2518,'Data Export'!$B$6:$B$78,0),1)))</f>
        <v>0</v>
      </c>
      <c r="E2518">
        <v>5</v>
      </c>
      <c r="F2518" t="s">
        <v>232</v>
      </c>
    </row>
    <row r="2519" spans="1:6">
      <c r="A2519" t="str">
        <f t="shared" si="39"/>
        <v>GenericE&amp;DtemplateCIandGOA</v>
      </c>
      <c r="B2519">
        <v>27</v>
      </c>
      <c r="C2519">
        <v>22</v>
      </c>
      <c r="D2519" s="649">
        <f ca="1">IF(E2519=4,INDEX(crude_exp_dist,MATCH(B2519,'Crude Exp Dist'!$B$6:$B$78,0),MATCH(C2519,'Crude Exp Dist'!$AD$2:$BC$2,0))*INDEX(crude_exp_by_year,MATCH(B2519,'Data Export'!$B$6:$B$78,0),1),IF(E2519=5,INDEX(ref_exp_dist,MATCH(B2519,'Refined Petro Exp Dist'!$B$6:$B$78,0),MATCH(C2519,'Refined Petro Exp Dist'!$AD$2:$BC$2,0))*INDEX(ref_exp_by_year,MATCH(B2519,'Data Export'!$B$6:$B$78,0),1)))</f>
        <v>0</v>
      </c>
      <c r="E2519">
        <v>5</v>
      </c>
      <c r="F2519" t="s">
        <v>235</v>
      </c>
    </row>
    <row r="2520" spans="1:6">
      <c r="A2520" t="str">
        <f t="shared" si="39"/>
        <v>GenericE&amp;DtemplateCIandGOA</v>
      </c>
      <c r="B2520">
        <v>27</v>
      </c>
      <c r="C2520">
        <v>23</v>
      </c>
      <c r="D2520" s="649">
        <f ca="1">IF(E2520=4,INDEX(crude_exp_dist,MATCH(B2520,'Crude Exp Dist'!$B$6:$B$78,0),MATCH(C2520,'Crude Exp Dist'!$AD$2:$BC$2,0))*INDEX(crude_exp_by_year,MATCH(B2520,'Data Export'!$B$6:$B$78,0),1),IF(E2520=5,INDEX(ref_exp_dist,MATCH(B2520,'Refined Petro Exp Dist'!$B$6:$B$78,0),MATCH(C2520,'Refined Petro Exp Dist'!$AD$2:$BC$2,0))*INDEX(ref_exp_by_year,MATCH(B2520,'Data Export'!$B$6:$B$78,0),1)))</f>
        <v>0</v>
      </c>
      <c r="E2520">
        <v>5</v>
      </c>
      <c r="F2520" t="s">
        <v>237</v>
      </c>
    </row>
    <row r="2521" spans="1:6">
      <c r="A2521" t="str">
        <f t="shared" si="39"/>
        <v>GenericE&amp;DtemplateCIandGOA</v>
      </c>
      <c r="B2521">
        <v>27</v>
      </c>
      <c r="C2521">
        <v>24</v>
      </c>
      <c r="D2521" s="649">
        <f ca="1">IF(E2521=4,INDEX(crude_exp_dist,MATCH(B2521,'Crude Exp Dist'!$B$6:$B$78,0),MATCH(C2521,'Crude Exp Dist'!$AD$2:$BC$2,0))*INDEX(crude_exp_by_year,MATCH(B2521,'Data Export'!$B$6:$B$78,0),1),IF(E2521=5,INDEX(ref_exp_dist,MATCH(B2521,'Refined Petro Exp Dist'!$B$6:$B$78,0),MATCH(C2521,'Refined Petro Exp Dist'!$AD$2:$BC$2,0))*INDEX(ref_exp_by_year,MATCH(B2521,'Data Export'!$B$6:$B$78,0),1)))</f>
        <v>0</v>
      </c>
      <c r="E2521">
        <v>5</v>
      </c>
      <c r="F2521" t="s">
        <v>239</v>
      </c>
    </row>
    <row r="2522" spans="1:6">
      <c r="A2522" t="str">
        <f t="shared" si="39"/>
        <v>GenericE&amp;DtemplateCIandGOA</v>
      </c>
      <c r="B2522">
        <v>27</v>
      </c>
      <c r="C2522">
        <v>25</v>
      </c>
      <c r="D2522" s="649">
        <f ca="1">IF(E2522=4,INDEX(crude_exp_dist,MATCH(B2522,'Crude Exp Dist'!$B$6:$B$78,0),MATCH(C2522,'Crude Exp Dist'!$AD$2:$BC$2,0))*INDEX(crude_exp_by_year,MATCH(B2522,'Data Export'!$B$6:$B$78,0),1),IF(E2522=5,INDEX(ref_exp_dist,MATCH(B2522,'Refined Petro Exp Dist'!$B$6:$B$78,0),MATCH(C2522,'Refined Petro Exp Dist'!$AD$2:$BC$2,0))*INDEX(ref_exp_by_year,MATCH(B2522,'Data Export'!$B$6:$B$78,0),1)))</f>
        <v>0</v>
      </c>
      <c r="E2522">
        <v>5</v>
      </c>
      <c r="F2522" t="s">
        <v>242</v>
      </c>
    </row>
    <row r="2523" spans="1:6">
      <c r="A2523" t="str">
        <f t="shared" si="39"/>
        <v>GenericE&amp;DtemplateCIandGOA</v>
      </c>
      <c r="B2523">
        <v>27</v>
      </c>
      <c r="C2523">
        <v>26</v>
      </c>
      <c r="D2523" s="649">
        <f ca="1">IF(E2523=4,INDEX(crude_exp_dist,MATCH(B2523,'Crude Exp Dist'!$B$6:$B$78,0),MATCH(C2523,'Crude Exp Dist'!$AD$2:$BC$2,0))*INDEX(crude_exp_by_year,MATCH(B2523,'Data Export'!$B$6:$B$78,0),1),IF(E2523=5,INDEX(ref_exp_dist,MATCH(B2523,'Refined Petro Exp Dist'!$B$6:$B$78,0),MATCH(C2523,'Refined Petro Exp Dist'!$AD$2:$BC$2,0))*INDEX(ref_exp_by_year,MATCH(B2523,'Data Export'!$B$6:$B$78,0),1)))</f>
        <v>0</v>
      </c>
      <c r="E2523">
        <v>5</v>
      </c>
      <c r="F2523" t="s">
        <v>245</v>
      </c>
    </row>
    <row r="2524" spans="1:6">
      <c r="A2524" t="str">
        <f t="shared" si="39"/>
        <v>GenericE&amp;DtemplateCIandGOA</v>
      </c>
      <c r="B2524">
        <v>28</v>
      </c>
      <c r="C2524">
        <v>1</v>
      </c>
      <c r="D2524" s="649">
        <f ca="1">IF(E2524=4,INDEX(crude_exp_dist,MATCH(B2524,'Crude Exp Dist'!$B$6:$B$78,0),MATCH(C2524,'Crude Exp Dist'!$AD$2:$BC$2,0))*INDEX(crude_exp_by_year,MATCH(B2524,'Data Export'!$B$6:$B$78,0),1),IF(E2524=5,INDEX(ref_exp_dist,MATCH(B2524,'Refined Petro Exp Dist'!$B$6:$B$78,0),MATCH(C2524,'Refined Petro Exp Dist'!$AD$2:$BC$2,0))*INDEX(ref_exp_by_year,MATCH(B2524,'Data Export'!$B$6:$B$78,0),1)))</f>
        <v>0</v>
      </c>
      <c r="E2524">
        <v>5</v>
      </c>
      <c r="F2524" t="s">
        <v>158</v>
      </c>
    </row>
    <row r="2525" spans="1:6">
      <c r="A2525" t="str">
        <f t="shared" si="39"/>
        <v>GenericE&amp;DtemplateCIandGOA</v>
      </c>
      <c r="B2525">
        <v>28</v>
      </c>
      <c r="C2525">
        <v>2</v>
      </c>
      <c r="D2525" s="649">
        <f ca="1">IF(E2525=4,INDEX(crude_exp_dist,MATCH(B2525,'Crude Exp Dist'!$B$6:$B$78,0),MATCH(C2525,'Crude Exp Dist'!$AD$2:$BC$2,0))*INDEX(crude_exp_by_year,MATCH(B2525,'Data Export'!$B$6:$B$78,0),1),IF(E2525=5,INDEX(ref_exp_dist,MATCH(B2525,'Refined Petro Exp Dist'!$B$6:$B$78,0),MATCH(C2525,'Refined Petro Exp Dist'!$AD$2:$BC$2,0))*INDEX(ref_exp_by_year,MATCH(B2525,'Data Export'!$B$6:$B$78,0),1)))</f>
        <v>0</v>
      </c>
      <c r="E2525">
        <v>5</v>
      </c>
      <c r="F2525" t="s">
        <v>166</v>
      </c>
    </row>
    <row r="2526" spans="1:6">
      <c r="A2526" t="str">
        <f t="shared" si="39"/>
        <v>GenericE&amp;DtemplateCIandGOA</v>
      </c>
      <c r="B2526">
        <v>28</v>
      </c>
      <c r="C2526">
        <v>3</v>
      </c>
      <c r="D2526" s="649">
        <f ca="1">IF(E2526=4,INDEX(crude_exp_dist,MATCH(B2526,'Crude Exp Dist'!$B$6:$B$78,0),MATCH(C2526,'Crude Exp Dist'!$AD$2:$BC$2,0))*INDEX(crude_exp_by_year,MATCH(B2526,'Data Export'!$B$6:$B$78,0),1),IF(E2526=5,INDEX(ref_exp_dist,MATCH(B2526,'Refined Petro Exp Dist'!$B$6:$B$78,0),MATCH(C2526,'Refined Petro Exp Dist'!$AD$2:$BC$2,0))*INDEX(ref_exp_by_year,MATCH(B2526,'Data Export'!$B$6:$B$78,0),1)))</f>
        <v>0</v>
      </c>
      <c r="E2526">
        <v>5</v>
      </c>
      <c r="F2526" t="s">
        <v>171</v>
      </c>
    </row>
    <row r="2527" spans="1:6">
      <c r="A2527" t="str">
        <f t="shared" si="39"/>
        <v>GenericE&amp;DtemplateCIandGOA</v>
      </c>
      <c r="B2527">
        <v>28</v>
      </c>
      <c r="C2527">
        <v>4</v>
      </c>
      <c r="D2527" s="649">
        <f ca="1">IF(E2527=4,INDEX(crude_exp_dist,MATCH(B2527,'Crude Exp Dist'!$B$6:$B$78,0),MATCH(C2527,'Crude Exp Dist'!$AD$2:$BC$2,0))*INDEX(crude_exp_by_year,MATCH(B2527,'Data Export'!$B$6:$B$78,0),1),IF(E2527=5,INDEX(ref_exp_dist,MATCH(B2527,'Refined Petro Exp Dist'!$B$6:$B$78,0),MATCH(C2527,'Refined Petro Exp Dist'!$AD$2:$BC$2,0))*INDEX(ref_exp_by_year,MATCH(B2527,'Data Export'!$B$6:$B$78,0),1)))</f>
        <v>0</v>
      </c>
      <c r="E2527">
        <v>5</v>
      </c>
      <c r="F2527" t="s">
        <v>173</v>
      </c>
    </row>
    <row r="2528" spans="1:6">
      <c r="A2528" t="str">
        <f t="shared" si="39"/>
        <v>GenericE&amp;DtemplateCIandGOA</v>
      </c>
      <c r="B2528">
        <v>28</v>
      </c>
      <c r="C2528">
        <v>5</v>
      </c>
      <c r="D2528" s="649">
        <f ca="1">IF(E2528=4,INDEX(crude_exp_dist,MATCH(B2528,'Crude Exp Dist'!$B$6:$B$78,0),MATCH(C2528,'Crude Exp Dist'!$AD$2:$BC$2,0))*INDEX(crude_exp_by_year,MATCH(B2528,'Data Export'!$B$6:$B$78,0),1),IF(E2528=5,INDEX(ref_exp_dist,MATCH(B2528,'Refined Petro Exp Dist'!$B$6:$B$78,0),MATCH(C2528,'Refined Petro Exp Dist'!$AD$2:$BC$2,0))*INDEX(ref_exp_by_year,MATCH(B2528,'Data Export'!$B$6:$B$78,0),1)))</f>
        <v>0</v>
      </c>
      <c r="E2528">
        <v>5</v>
      </c>
      <c r="F2528" t="s">
        <v>180</v>
      </c>
    </row>
    <row r="2529" spans="1:6">
      <c r="A2529" t="str">
        <f t="shared" si="39"/>
        <v>GenericE&amp;DtemplateCIandGOA</v>
      </c>
      <c r="B2529">
        <v>28</v>
      </c>
      <c r="C2529">
        <v>6</v>
      </c>
      <c r="D2529" s="649">
        <f ca="1">IF(E2529=4,INDEX(crude_exp_dist,MATCH(B2529,'Crude Exp Dist'!$B$6:$B$78,0),MATCH(C2529,'Crude Exp Dist'!$AD$2:$BC$2,0))*INDEX(crude_exp_by_year,MATCH(B2529,'Data Export'!$B$6:$B$78,0),1),IF(E2529=5,INDEX(ref_exp_dist,MATCH(B2529,'Refined Petro Exp Dist'!$B$6:$B$78,0),MATCH(C2529,'Refined Petro Exp Dist'!$AD$2:$BC$2,0))*INDEX(ref_exp_by_year,MATCH(B2529,'Data Export'!$B$6:$B$78,0),1)))</f>
        <v>0</v>
      </c>
      <c r="E2529">
        <v>5</v>
      </c>
      <c r="F2529" t="s">
        <v>186</v>
      </c>
    </row>
    <row r="2530" spans="1:6">
      <c r="A2530" t="str">
        <f t="shared" si="39"/>
        <v>GenericE&amp;DtemplateCIandGOA</v>
      </c>
      <c r="B2530">
        <v>28</v>
      </c>
      <c r="C2530">
        <v>7</v>
      </c>
      <c r="D2530" s="649">
        <f ca="1">IF(E2530=4,INDEX(crude_exp_dist,MATCH(B2530,'Crude Exp Dist'!$B$6:$B$78,0),MATCH(C2530,'Crude Exp Dist'!$AD$2:$BC$2,0))*INDEX(crude_exp_by_year,MATCH(B2530,'Data Export'!$B$6:$B$78,0),1),IF(E2530=5,INDEX(ref_exp_dist,MATCH(B2530,'Refined Petro Exp Dist'!$B$6:$B$78,0),MATCH(C2530,'Refined Petro Exp Dist'!$AD$2:$BC$2,0))*INDEX(ref_exp_by_year,MATCH(B2530,'Data Export'!$B$6:$B$78,0),1)))</f>
        <v>0</v>
      </c>
      <c r="E2530">
        <v>5</v>
      </c>
      <c r="F2530" t="s">
        <v>191</v>
      </c>
    </row>
    <row r="2531" spans="1:6">
      <c r="A2531" t="str">
        <f t="shared" si="39"/>
        <v>GenericE&amp;DtemplateCIandGOA</v>
      </c>
      <c r="B2531">
        <v>28</v>
      </c>
      <c r="C2531">
        <v>8</v>
      </c>
      <c r="D2531" s="649">
        <f ca="1">IF(E2531=4,INDEX(crude_exp_dist,MATCH(B2531,'Crude Exp Dist'!$B$6:$B$78,0),MATCH(C2531,'Crude Exp Dist'!$AD$2:$BC$2,0))*INDEX(crude_exp_by_year,MATCH(B2531,'Data Export'!$B$6:$B$78,0),1),IF(E2531=5,INDEX(ref_exp_dist,MATCH(B2531,'Refined Petro Exp Dist'!$B$6:$B$78,0),MATCH(C2531,'Refined Petro Exp Dist'!$AD$2:$BC$2,0))*INDEX(ref_exp_by_year,MATCH(B2531,'Data Export'!$B$6:$B$78,0),1)))</f>
        <v>0</v>
      </c>
      <c r="E2531">
        <v>5</v>
      </c>
      <c r="F2531" t="s">
        <v>197</v>
      </c>
    </row>
    <row r="2532" spans="1:6">
      <c r="A2532" t="str">
        <f t="shared" si="39"/>
        <v>GenericE&amp;DtemplateCIandGOA</v>
      </c>
      <c r="B2532">
        <v>28</v>
      </c>
      <c r="C2532">
        <v>9</v>
      </c>
      <c r="D2532" s="649">
        <f ca="1">IF(E2532=4,INDEX(crude_exp_dist,MATCH(B2532,'Crude Exp Dist'!$B$6:$B$78,0),MATCH(C2532,'Crude Exp Dist'!$AD$2:$BC$2,0))*INDEX(crude_exp_by_year,MATCH(B2532,'Data Export'!$B$6:$B$78,0),1),IF(E2532=5,INDEX(ref_exp_dist,MATCH(B2532,'Refined Petro Exp Dist'!$B$6:$B$78,0),MATCH(C2532,'Refined Petro Exp Dist'!$AD$2:$BC$2,0))*INDEX(ref_exp_by_year,MATCH(B2532,'Data Export'!$B$6:$B$78,0),1)))</f>
        <v>0</v>
      </c>
      <c r="E2532">
        <v>5</v>
      </c>
      <c r="F2532" t="s">
        <v>199</v>
      </c>
    </row>
    <row r="2533" spans="1:6">
      <c r="A2533" t="str">
        <f t="shared" si="39"/>
        <v>GenericE&amp;DtemplateCIandGOA</v>
      </c>
      <c r="B2533">
        <v>28</v>
      </c>
      <c r="C2533">
        <v>10</v>
      </c>
      <c r="D2533" s="649">
        <f ca="1">IF(E2533=4,INDEX(crude_exp_dist,MATCH(B2533,'Crude Exp Dist'!$B$6:$B$78,0),MATCH(C2533,'Crude Exp Dist'!$AD$2:$BC$2,0))*INDEX(crude_exp_by_year,MATCH(B2533,'Data Export'!$B$6:$B$78,0),1),IF(E2533=5,INDEX(ref_exp_dist,MATCH(B2533,'Refined Petro Exp Dist'!$B$6:$B$78,0),MATCH(C2533,'Refined Petro Exp Dist'!$AD$2:$BC$2,0))*INDEX(ref_exp_by_year,MATCH(B2533,'Data Export'!$B$6:$B$78,0),1)))</f>
        <v>0</v>
      </c>
      <c r="E2533">
        <v>5</v>
      </c>
      <c r="F2533" t="s">
        <v>201</v>
      </c>
    </row>
    <row r="2534" spans="1:6">
      <c r="A2534" t="str">
        <f t="shared" si="39"/>
        <v>GenericE&amp;DtemplateCIandGOA</v>
      </c>
      <c r="B2534">
        <v>28</v>
      </c>
      <c r="C2534">
        <v>11</v>
      </c>
      <c r="D2534" s="649">
        <f ca="1">IF(E2534=4,INDEX(crude_exp_dist,MATCH(B2534,'Crude Exp Dist'!$B$6:$B$78,0),MATCH(C2534,'Crude Exp Dist'!$AD$2:$BC$2,0))*INDEX(crude_exp_by_year,MATCH(B2534,'Data Export'!$B$6:$B$78,0),1),IF(E2534=5,INDEX(ref_exp_dist,MATCH(B2534,'Refined Petro Exp Dist'!$B$6:$B$78,0),MATCH(C2534,'Refined Petro Exp Dist'!$AD$2:$BC$2,0))*INDEX(ref_exp_by_year,MATCH(B2534,'Data Export'!$B$6:$B$78,0),1)))</f>
        <v>0</v>
      </c>
      <c r="E2534">
        <v>5</v>
      </c>
      <c r="F2534" t="s">
        <v>921</v>
      </c>
    </row>
    <row r="2535" spans="1:6">
      <c r="A2535" t="str">
        <f t="shared" si="39"/>
        <v>GenericE&amp;DtemplateCIandGOA</v>
      </c>
      <c r="B2535">
        <v>28</v>
      </c>
      <c r="C2535">
        <v>12</v>
      </c>
      <c r="D2535" s="649">
        <f ca="1">IF(E2535=4,INDEX(crude_exp_dist,MATCH(B2535,'Crude Exp Dist'!$B$6:$B$78,0),MATCH(C2535,'Crude Exp Dist'!$AD$2:$BC$2,0))*INDEX(crude_exp_by_year,MATCH(B2535,'Data Export'!$B$6:$B$78,0),1),IF(E2535=5,INDEX(ref_exp_dist,MATCH(B2535,'Refined Petro Exp Dist'!$B$6:$B$78,0),MATCH(C2535,'Refined Petro Exp Dist'!$AD$2:$BC$2,0))*INDEX(ref_exp_by_year,MATCH(B2535,'Data Export'!$B$6:$B$78,0),1)))</f>
        <v>0</v>
      </c>
      <c r="E2535">
        <v>5</v>
      </c>
      <c r="F2535" t="s">
        <v>208</v>
      </c>
    </row>
    <row r="2536" spans="1:6">
      <c r="A2536" t="str">
        <f t="shared" si="39"/>
        <v>GenericE&amp;DtemplateCIandGOA</v>
      </c>
      <c r="B2536">
        <v>28</v>
      </c>
      <c r="C2536">
        <v>13</v>
      </c>
      <c r="D2536" s="649">
        <f ca="1">IF(E2536=4,INDEX(crude_exp_dist,MATCH(B2536,'Crude Exp Dist'!$B$6:$B$78,0),MATCH(C2536,'Crude Exp Dist'!$AD$2:$BC$2,0))*INDEX(crude_exp_by_year,MATCH(B2536,'Data Export'!$B$6:$B$78,0),1),IF(E2536=5,INDEX(ref_exp_dist,MATCH(B2536,'Refined Petro Exp Dist'!$B$6:$B$78,0),MATCH(C2536,'Refined Petro Exp Dist'!$AD$2:$BC$2,0))*INDEX(ref_exp_by_year,MATCH(B2536,'Data Export'!$B$6:$B$78,0),1)))</f>
        <v>0</v>
      </c>
      <c r="E2536">
        <v>5</v>
      </c>
      <c r="F2536" t="s">
        <v>211</v>
      </c>
    </row>
    <row r="2537" spans="1:6">
      <c r="A2537" t="str">
        <f t="shared" si="39"/>
        <v>GenericE&amp;DtemplateCIandGOA</v>
      </c>
      <c r="B2537">
        <v>28</v>
      </c>
      <c r="C2537">
        <v>14</v>
      </c>
      <c r="D2537" s="649">
        <f ca="1">IF(E2537=4,INDEX(crude_exp_dist,MATCH(B2537,'Crude Exp Dist'!$B$6:$B$78,0),MATCH(C2537,'Crude Exp Dist'!$AD$2:$BC$2,0))*INDEX(crude_exp_by_year,MATCH(B2537,'Data Export'!$B$6:$B$78,0),1),IF(E2537=5,INDEX(ref_exp_dist,MATCH(B2537,'Refined Petro Exp Dist'!$B$6:$B$78,0),MATCH(C2537,'Refined Petro Exp Dist'!$AD$2:$BC$2,0))*INDEX(ref_exp_by_year,MATCH(B2537,'Data Export'!$B$6:$B$78,0),1)))</f>
        <v>0</v>
      </c>
      <c r="E2537">
        <v>5</v>
      </c>
      <c r="F2537" t="s">
        <v>213</v>
      </c>
    </row>
    <row r="2538" spans="1:6">
      <c r="A2538" t="str">
        <f t="shared" si="39"/>
        <v>GenericE&amp;DtemplateCIandGOA</v>
      </c>
      <c r="B2538">
        <v>28</v>
      </c>
      <c r="C2538">
        <v>15</v>
      </c>
      <c r="D2538" s="649">
        <f ca="1">IF(E2538=4,INDEX(crude_exp_dist,MATCH(B2538,'Crude Exp Dist'!$B$6:$B$78,0),MATCH(C2538,'Crude Exp Dist'!$AD$2:$BC$2,0))*INDEX(crude_exp_by_year,MATCH(B2538,'Data Export'!$B$6:$B$78,0),1),IF(E2538=5,INDEX(ref_exp_dist,MATCH(B2538,'Refined Petro Exp Dist'!$B$6:$B$78,0),MATCH(C2538,'Refined Petro Exp Dist'!$AD$2:$BC$2,0))*INDEX(ref_exp_by_year,MATCH(B2538,'Data Export'!$B$6:$B$78,0),1)))</f>
        <v>0</v>
      </c>
      <c r="E2538">
        <v>5</v>
      </c>
      <c r="F2538" t="s">
        <v>215</v>
      </c>
    </row>
    <row r="2539" spans="1:6">
      <c r="A2539" t="str">
        <f t="shared" si="39"/>
        <v>GenericE&amp;DtemplateCIandGOA</v>
      </c>
      <c r="B2539">
        <v>28</v>
      </c>
      <c r="C2539">
        <v>16</v>
      </c>
      <c r="D2539" s="649">
        <f ca="1">IF(E2539=4,INDEX(crude_exp_dist,MATCH(B2539,'Crude Exp Dist'!$B$6:$B$78,0),MATCH(C2539,'Crude Exp Dist'!$AD$2:$BC$2,0))*INDEX(crude_exp_by_year,MATCH(B2539,'Data Export'!$B$6:$B$78,0),1),IF(E2539=5,INDEX(ref_exp_dist,MATCH(B2539,'Refined Petro Exp Dist'!$B$6:$B$78,0),MATCH(C2539,'Refined Petro Exp Dist'!$AD$2:$BC$2,0))*INDEX(ref_exp_by_year,MATCH(B2539,'Data Export'!$B$6:$B$78,0),1)))</f>
        <v>0</v>
      </c>
      <c r="E2539">
        <v>5</v>
      </c>
      <c r="F2539" t="s">
        <v>219</v>
      </c>
    </row>
    <row r="2540" spans="1:6">
      <c r="A2540" t="str">
        <f t="shared" si="39"/>
        <v>GenericE&amp;DtemplateCIandGOA</v>
      </c>
      <c r="B2540">
        <v>28</v>
      </c>
      <c r="C2540">
        <v>17</v>
      </c>
      <c r="D2540" s="649">
        <f ca="1">IF(E2540=4,INDEX(crude_exp_dist,MATCH(B2540,'Crude Exp Dist'!$B$6:$B$78,0),MATCH(C2540,'Crude Exp Dist'!$AD$2:$BC$2,0))*INDEX(crude_exp_by_year,MATCH(B2540,'Data Export'!$B$6:$B$78,0),1),IF(E2540=5,INDEX(ref_exp_dist,MATCH(B2540,'Refined Petro Exp Dist'!$B$6:$B$78,0),MATCH(C2540,'Refined Petro Exp Dist'!$AD$2:$BC$2,0))*INDEX(ref_exp_by_year,MATCH(B2540,'Data Export'!$B$6:$B$78,0),1)))</f>
        <v>0</v>
      </c>
      <c r="E2540">
        <v>5</v>
      </c>
      <c r="F2540" t="s">
        <v>222</v>
      </c>
    </row>
    <row r="2541" spans="1:6">
      <c r="A2541" t="str">
        <f t="shared" si="39"/>
        <v>GenericE&amp;DtemplateCIandGOA</v>
      </c>
      <c r="B2541">
        <v>28</v>
      </c>
      <c r="C2541">
        <v>18</v>
      </c>
      <c r="D2541" s="649">
        <f ca="1">IF(E2541=4,INDEX(crude_exp_dist,MATCH(B2541,'Crude Exp Dist'!$B$6:$B$78,0),MATCH(C2541,'Crude Exp Dist'!$AD$2:$BC$2,0))*INDEX(crude_exp_by_year,MATCH(B2541,'Data Export'!$B$6:$B$78,0),1),IF(E2541=5,INDEX(ref_exp_dist,MATCH(B2541,'Refined Petro Exp Dist'!$B$6:$B$78,0),MATCH(C2541,'Refined Petro Exp Dist'!$AD$2:$BC$2,0))*INDEX(ref_exp_by_year,MATCH(B2541,'Data Export'!$B$6:$B$78,0),1)))</f>
        <v>0</v>
      </c>
      <c r="E2541">
        <v>5</v>
      </c>
      <c r="F2541" t="s">
        <v>224</v>
      </c>
    </row>
    <row r="2542" spans="1:6">
      <c r="A2542" t="str">
        <f t="shared" si="39"/>
        <v>GenericE&amp;DtemplateCIandGOA</v>
      </c>
      <c r="B2542">
        <v>28</v>
      </c>
      <c r="C2542">
        <v>19</v>
      </c>
      <c r="D2542" s="649">
        <f ca="1">IF(E2542=4,INDEX(crude_exp_dist,MATCH(B2542,'Crude Exp Dist'!$B$6:$B$78,0),MATCH(C2542,'Crude Exp Dist'!$AD$2:$BC$2,0))*INDEX(crude_exp_by_year,MATCH(B2542,'Data Export'!$B$6:$B$78,0),1),IF(E2542=5,INDEX(ref_exp_dist,MATCH(B2542,'Refined Petro Exp Dist'!$B$6:$B$78,0),MATCH(C2542,'Refined Petro Exp Dist'!$AD$2:$BC$2,0))*INDEX(ref_exp_by_year,MATCH(B2542,'Data Export'!$B$6:$B$78,0),1)))</f>
        <v>0</v>
      </c>
      <c r="E2542">
        <v>5</v>
      </c>
      <c r="F2542" t="s">
        <v>228</v>
      </c>
    </row>
    <row r="2543" spans="1:6">
      <c r="A2543" t="str">
        <f t="shared" si="39"/>
        <v>GenericE&amp;DtemplateCIandGOA</v>
      </c>
      <c r="B2543">
        <v>28</v>
      </c>
      <c r="C2543">
        <v>20</v>
      </c>
      <c r="D2543" s="649">
        <f ca="1">IF(E2543=4,INDEX(crude_exp_dist,MATCH(B2543,'Crude Exp Dist'!$B$6:$B$78,0),MATCH(C2543,'Crude Exp Dist'!$AD$2:$BC$2,0))*INDEX(crude_exp_by_year,MATCH(B2543,'Data Export'!$B$6:$B$78,0),1),IF(E2543=5,INDEX(ref_exp_dist,MATCH(B2543,'Refined Petro Exp Dist'!$B$6:$B$78,0),MATCH(C2543,'Refined Petro Exp Dist'!$AD$2:$BC$2,0))*INDEX(ref_exp_by_year,MATCH(B2543,'Data Export'!$B$6:$B$78,0),1)))</f>
        <v>0</v>
      </c>
      <c r="E2543">
        <v>5</v>
      </c>
      <c r="F2543" t="s">
        <v>231</v>
      </c>
    </row>
    <row r="2544" spans="1:6">
      <c r="A2544" t="str">
        <f t="shared" si="39"/>
        <v>GenericE&amp;DtemplateCIandGOA</v>
      </c>
      <c r="B2544">
        <v>28</v>
      </c>
      <c r="C2544">
        <v>21</v>
      </c>
      <c r="D2544" s="649">
        <f ca="1">IF(E2544=4,INDEX(crude_exp_dist,MATCH(B2544,'Crude Exp Dist'!$B$6:$B$78,0),MATCH(C2544,'Crude Exp Dist'!$AD$2:$BC$2,0))*INDEX(crude_exp_by_year,MATCH(B2544,'Data Export'!$B$6:$B$78,0),1),IF(E2544=5,INDEX(ref_exp_dist,MATCH(B2544,'Refined Petro Exp Dist'!$B$6:$B$78,0),MATCH(C2544,'Refined Petro Exp Dist'!$AD$2:$BC$2,0))*INDEX(ref_exp_by_year,MATCH(B2544,'Data Export'!$B$6:$B$78,0),1)))</f>
        <v>0</v>
      </c>
      <c r="E2544">
        <v>5</v>
      </c>
      <c r="F2544" t="s">
        <v>232</v>
      </c>
    </row>
    <row r="2545" spans="1:6">
      <c r="A2545" t="str">
        <f t="shared" si="39"/>
        <v>GenericE&amp;DtemplateCIandGOA</v>
      </c>
      <c r="B2545">
        <v>28</v>
      </c>
      <c r="C2545">
        <v>22</v>
      </c>
      <c r="D2545" s="649">
        <f ca="1">IF(E2545=4,INDEX(crude_exp_dist,MATCH(B2545,'Crude Exp Dist'!$B$6:$B$78,0),MATCH(C2545,'Crude Exp Dist'!$AD$2:$BC$2,0))*INDEX(crude_exp_by_year,MATCH(B2545,'Data Export'!$B$6:$B$78,0),1),IF(E2545=5,INDEX(ref_exp_dist,MATCH(B2545,'Refined Petro Exp Dist'!$B$6:$B$78,0),MATCH(C2545,'Refined Petro Exp Dist'!$AD$2:$BC$2,0))*INDEX(ref_exp_by_year,MATCH(B2545,'Data Export'!$B$6:$B$78,0),1)))</f>
        <v>0</v>
      </c>
      <c r="E2545">
        <v>5</v>
      </c>
      <c r="F2545" t="s">
        <v>235</v>
      </c>
    </row>
    <row r="2546" spans="1:6">
      <c r="A2546" t="str">
        <f t="shared" si="39"/>
        <v>GenericE&amp;DtemplateCIandGOA</v>
      </c>
      <c r="B2546">
        <v>28</v>
      </c>
      <c r="C2546">
        <v>23</v>
      </c>
      <c r="D2546" s="649">
        <f ca="1">IF(E2546=4,INDEX(crude_exp_dist,MATCH(B2546,'Crude Exp Dist'!$B$6:$B$78,0),MATCH(C2546,'Crude Exp Dist'!$AD$2:$BC$2,0))*INDEX(crude_exp_by_year,MATCH(B2546,'Data Export'!$B$6:$B$78,0),1),IF(E2546=5,INDEX(ref_exp_dist,MATCH(B2546,'Refined Petro Exp Dist'!$B$6:$B$78,0),MATCH(C2546,'Refined Petro Exp Dist'!$AD$2:$BC$2,0))*INDEX(ref_exp_by_year,MATCH(B2546,'Data Export'!$B$6:$B$78,0),1)))</f>
        <v>0</v>
      </c>
      <c r="E2546">
        <v>5</v>
      </c>
      <c r="F2546" t="s">
        <v>237</v>
      </c>
    </row>
    <row r="2547" spans="1:6">
      <c r="A2547" t="str">
        <f t="shared" si="39"/>
        <v>GenericE&amp;DtemplateCIandGOA</v>
      </c>
      <c r="B2547">
        <v>28</v>
      </c>
      <c r="C2547">
        <v>24</v>
      </c>
      <c r="D2547" s="649">
        <f ca="1">IF(E2547=4,INDEX(crude_exp_dist,MATCH(B2547,'Crude Exp Dist'!$B$6:$B$78,0),MATCH(C2547,'Crude Exp Dist'!$AD$2:$BC$2,0))*INDEX(crude_exp_by_year,MATCH(B2547,'Data Export'!$B$6:$B$78,0),1),IF(E2547=5,INDEX(ref_exp_dist,MATCH(B2547,'Refined Petro Exp Dist'!$B$6:$B$78,0),MATCH(C2547,'Refined Petro Exp Dist'!$AD$2:$BC$2,0))*INDEX(ref_exp_by_year,MATCH(B2547,'Data Export'!$B$6:$B$78,0),1)))</f>
        <v>0</v>
      </c>
      <c r="E2547">
        <v>5</v>
      </c>
      <c r="F2547" t="s">
        <v>239</v>
      </c>
    </row>
    <row r="2548" spans="1:6">
      <c r="A2548" t="str">
        <f t="shared" si="39"/>
        <v>GenericE&amp;DtemplateCIandGOA</v>
      </c>
      <c r="B2548">
        <v>28</v>
      </c>
      <c r="C2548">
        <v>25</v>
      </c>
      <c r="D2548" s="649">
        <f ca="1">IF(E2548=4,INDEX(crude_exp_dist,MATCH(B2548,'Crude Exp Dist'!$B$6:$B$78,0),MATCH(C2548,'Crude Exp Dist'!$AD$2:$BC$2,0))*INDEX(crude_exp_by_year,MATCH(B2548,'Data Export'!$B$6:$B$78,0),1),IF(E2548=5,INDEX(ref_exp_dist,MATCH(B2548,'Refined Petro Exp Dist'!$B$6:$B$78,0),MATCH(C2548,'Refined Petro Exp Dist'!$AD$2:$BC$2,0))*INDEX(ref_exp_by_year,MATCH(B2548,'Data Export'!$B$6:$B$78,0),1)))</f>
        <v>0</v>
      </c>
      <c r="E2548">
        <v>5</v>
      </c>
      <c r="F2548" t="s">
        <v>242</v>
      </c>
    </row>
    <row r="2549" spans="1:6">
      <c r="A2549" t="str">
        <f t="shared" si="39"/>
        <v>GenericE&amp;DtemplateCIandGOA</v>
      </c>
      <c r="B2549">
        <v>28</v>
      </c>
      <c r="C2549">
        <v>26</v>
      </c>
      <c r="D2549" s="649">
        <f ca="1">IF(E2549=4,INDEX(crude_exp_dist,MATCH(B2549,'Crude Exp Dist'!$B$6:$B$78,0),MATCH(C2549,'Crude Exp Dist'!$AD$2:$BC$2,0))*INDEX(crude_exp_by_year,MATCH(B2549,'Data Export'!$B$6:$B$78,0),1),IF(E2549=5,INDEX(ref_exp_dist,MATCH(B2549,'Refined Petro Exp Dist'!$B$6:$B$78,0),MATCH(C2549,'Refined Petro Exp Dist'!$AD$2:$BC$2,0))*INDEX(ref_exp_by_year,MATCH(B2549,'Data Export'!$B$6:$B$78,0),1)))</f>
        <v>0</v>
      </c>
      <c r="E2549">
        <v>5</v>
      </c>
      <c r="F2549" t="s">
        <v>245</v>
      </c>
    </row>
    <row r="2550" spans="1:6">
      <c r="A2550" t="str">
        <f t="shared" si="39"/>
        <v>GenericE&amp;DtemplateCIandGOA</v>
      </c>
      <c r="B2550">
        <v>29</v>
      </c>
      <c r="C2550">
        <v>1</v>
      </c>
      <c r="D2550" s="649">
        <f ca="1">IF(E2550=4,INDEX(crude_exp_dist,MATCH(B2550,'Crude Exp Dist'!$B$6:$B$78,0),MATCH(C2550,'Crude Exp Dist'!$AD$2:$BC$2,0))*INDEX(crude_exp_by_year,MATCH(B2550,'Data Export'!$B$6:$B$78,0),1),IF(E2550=5,INDEX(ref_exp_dist,MATCH(B2550,'Refined Petro Exp Dist'!$B$6:$B$78,0),MATCH(C2550,'Refined Petro Exp Dist'!$AD$2:$BC$2,0))*INDEX(ref_exp_by_year,MATCH(B2550,'Data Export'!$B$6:$B$78,0),1)))</f>
        <v>0</v>
      </c>
      <c r="E2550">
        <v>5</v>
      </c>
      <c r="F2550" t="s">
        <v>158</v>
      </c>
    </row>
    <row r="2551" spans="1:6">
      <c r="A2551" t="str">
        <f t="shared" si="39"/>
        <v>GenericE&amp;DtemplateCIandGOA</v>
      </c>
      <c r="B2551">
        <v>29</v>
      </c>
      <c r="C2551">
        <v>2</v>
      </c>
      <c r="D2551" s="649">
        <f ca="1">IF(E2551=4,INDEX(crude_exp_dist,MATCH(B2551,'Crude Exp Dist'!$B$6:$B$78,0),MATCH(C2551,'Crude Exp Dist'!$AD$2:$BC$2,0))*INDEX(crude_exp_by_year,MATCH(B2551,'Data Export'!$B$6:$B$78,0),1),IF(E2551=5,INDEX(ref_exp_dist,MATCH(B2551,'Refined Petro Exp Dist'!$B$6:$B$78,0),MATCH(C2551,'Refined Petro Exp Dist'!$AD$2:$BC$2,0))*INDEX(ref_exp_by_year,MATCH(B2551,'Data Export'!$B$6:$B$78,0),1)))</f>
        <v>0</v>
      </c>
      <c r="E2551">
        <v>5</v>
      </c>
      <c r="F2551" t="s">
        <v>166</v>
      </c>
    </row>
    <row r="2552" spans="1:6">
      <c r="A2552" t="str">
        <f t="shared" si="39"/>
        <v>GenericE&amp;DtemplateCIandGOA</v>
      </c>
      <c r="B2552">
        <v>29</v>
      </c>
      <c r="C2552">
        <v>3</v>
      </c>
      <c r="D2552" s="649">
        <f ca="1">IF(E2552=4,INDEX(crude_exp_dist,MATCH(B2552,'Crude Exp Dist'!$B$6:$B$78,0),MATCH(C2552,'Crude Exp Dist'!$AD$2:$BC$2,0))*INDEX(crude_exp_by_year,MATCH(B2552,'Data Export'!$B$6:$B$78,0),1),IF(E2552=5,INDEX(ref_exp_dist,MATCH(B2552,'Refined Petro Exp Dist'!$B$6:$B$78,0),MATCH(C2552,'Refined Petro Exp Dist'!$AD$2:$BC$2,0))*INDEX(ref_exp_by_year,MATCH(B2552,'Data Export'!$B$6:$B$78,0),1)))</f>
        <v>0</v>
      </c>
      <c r="E2552">
        <v>5</v>
      </c>
      <c r="F2552" t="s">
        <v>171</v>
      </c>
    </row>
    <row r="2553" spans="1:6">
      <c r="A2553" t="str">
        <f t="shared" si="39"/>
        <v>GenericE&amp;DtemplateCIandGOA</v>
      </c>
      <c r="B2553">
        <v>29</v>
      </c>
      <c r="C2553">
        <v>4</v>
      </c>
      <c r="D2553" s="649">
        <f ca="1">IF(E2553=4,INDEX(crude_exp_dist,MATCH(B2553,'Crude Exp Dist'!$B$6:$B$78,0),MATCH(C2553,'Crude Exp Dist'!$AD$2:$BC$2,0))*INDEX(crude_exp_by_year,MATCH(B2553,'Data Export'!$B$6:$B$78,0),1),IF(E2553=5,INDEX(ref_exp_dist,MATCH(B2553,'Refined Petro Exp Dist'!$B$6:$B$78,0),MATCH(C2553,'Refined Petro Exp Dist'!$AD$2:$BC$2,0))*INDEX(ref_exp_by_year,MATCH(B2553,'Data Export'!$B$6:$B$78,0),1)))</f>
        <v>0</v>
      </c>
      <c r="E2553">
        <v>5</v>
      </c>
      <c r="F2553" t="s">
        <v>173</v>
      </c>
    </row>
    <row r="2554" spans="1:6">
      <c r="A2554" t="str">
        <f t="shared" si="39"/>
        <v>GenericE&amp;DtemplateCIandGOA</v>
      </c>
      <c r="B2554">
        <v>29</v>
      </c>
      <c r="C2554">
        <v>5</v>
      </c>
      <c r="D2554" s="649">
        <f ca="1">IF(E2554=4,INDEX(crude_exp_dist,MATCH(B2554,'Crude Exp Dist'!$B$6:$B$78,0),MATCH(C2554,'Crude Exp Dist'!$AD$2:$BC$2,0))*INDEX(crude_exp_by_year,MATCH(B2554,'Data Export'!$B$6:$B$78,0),1),IF(E2554=5,INDEX(ref_exp_dist,MATCH(B2554,'Refined Petro Exp Dist'!$B$6:$B$78,0),MATCH(C2554,'Refined Petro Exp Dist'!$AD$2:$BC$2,0))*INDEX(ref_exp_by_year,MATCH(B2554,'Data Export'!$B$6:$B$78,0),1)))</f>
        <v>0</v>
      </c>
      <c r="E2554">
        <v>5</v>
      </c>
      <c r="F2554" t="s">
        <v>180</v>
      </c>
    </row>
    <row r="2555" spans="1:6">
      <c r="A2555" t="str">
        <f t="shared" si="39"/>
        <v>GenericE&amp;DtemplateCIandGOA</v>
      </c>
      <c r="B2555">
        <v>29</v>
      </c>
      <c r="C2555">
        <v>6</v>
      </c>
      <c r="D2555" s="649">
        <f ca="1">IF(E2555=4,INDEX(crude_exp_dist,MATCH(B2555,'Crude Exp Dist'!$B$6:$B$78,0),MATCH(C2555,'Crude Exp Dist'!$AD$2:$BC$2,0))*INDEX(crude_exp_by_year,MATCH(B2555,'Data Export'!$B$6:$B$78,0),1),IF(E2555=5,INDEX(ref_exp_dist,MATCH(B2555,'Refined Petro Exp Dist'!$B$6:$B$78,0),MATCH(C2555,'Refined Petro Exp Dist'!$AD$2:$BC$2,0))*INDEX(ref_exp_by_year,MATCH(B2555,'Data Export'!$B$6:$B$78,0),1)))</f>
        <v>0</v>
      </c>
      <c r="E2555">
        <v>5</v>
      </c>
      <c r="F2555" t="s">
        <v>186</v>
      </c>
    </row>
    <row r="2556" spans="1:6">
      <c r="A2556" t="str">
        <f t="shared" si="39"/>
        <v>GenericE&amp;DtemplateCIandGOA</v>
      </c>
      <c r="B2556">
        <v>29</v>
      </c>
      <c r="C2556">
        <v>7</v>
      </c>
      <c r="D2556" s="649">
        <f ca="1">IF(E2556=4,INDEX(crude_exp_dist,MATCH(B2556,'Crude Exp Dist'!$B$6:$B$78,0),MATCH(C2556,'Crude Exp Dist'!$AD$2:$BC$2,0))*INDEX(crude_exp_by_year,MATCH(B2556,'Data Export'!$B$6:$B$78,0),1),IF(E2556=5,INDEX(ref_exp_dist,MATCH(B2556,'Refined Petro Exp Dist'!$B$6:$B$78,0),MATCH(C2556,'Refined Petro Exp Dist'!$AD$2:$BC$2,0))*INDEX(ref_exp_by_year,MATCH(B2556,'Data Export'!$B$6:$B$78,0),1)))</f>
        <v>0</v>
      </c>
      <c r="E2556">
        <v>5</v>
      </c>
      <c r="F2556" t="s">
        <v>191</v>
      </c>
    </row>
    <row r="2557" spans="1:6">
      <c r="A2557" t="str">
        <f t="shared" si="39"/>
        <v>GenericE&amp;DtemplateCIandGOA</v>
      </c>
      <c r="B2557">
        <v>29</v>
      </c>
      <c r="C2557">
        <v>8</v>
      </c>
      <c r="D2557" s="649">
        <f ca="1">IF(E2557=4,INDEX(crude_exp_dist,MATCH(B2557,'Crude Exp Dist'!$B$6:$B$78,0),MATCH(C2557,'Crude Exp Dist'!$AD$2:$BC$2,0))*INDEX(crude_exp_by_year,MATCH(B2557,'Data Export'!$B$6:$B$78,0),1),IF(E2557=5,INDEX(ref_exp_dist,MATCH(B2557,'Refined Petro Exp Dist'!$B$6:$B$78,0),MATCH(C2557,'Refined Petro Exp Dist'!$AD$2:$BC$2,0))*INDEX(ref_exp_by_year,MATCH(B2557,'Data Export'!$B$6:$B$78,0),1)))</f>
        <v>0</v>
      </c>
      <c r="E2557">
        <v>5</v>
      </c>
      <c r="F2557" t="s">
        <v>197</v>
      </c>
    </row>
    <row r="2558" spans="1:6">
      <c r="A2558" t="str">
        <f t="shared" si="39"/>
        <v>GenericE&amp;DtemplateCIandGOA</v>
      </c>
      <c r="B2558">
        <v>29</v>
      </c>
      <c r="C2558">
        <v>9</v>
      </c>
      <c r="D2558" s="649">
        <f ca="1">IF(E2558=4,INDEX(crude_exp_dist,MATCH(B2558,'Crude Exp Dist'!$B$6:$B$78,0),MATCH(C2558,'Crude Exp Dist'!$AD$2:$BC$2,0))*INDEX(crude_exp_by_year,MATCH(B2558,'Data Export'!$B$6:$B$78,0),1),IF(E2558=5,INDEX(ref_exp_dist,MATCH(B2558,'Refined Petro Exp Dist'!$B$6:$B$78,0),MATCH(C2558,'Refined Petro Exp Dist'!$AD$2:$BC$2,0))*INDEX(ref_exp_by_year,MATCH(B2558,'Data Export'!$B$6:$B$78,0),1)))</f>
        <v>0</v>
      </c>
      <c r="E2558">
        <v>5</v>
      </c>
      <c r="F2558" t="s">
        <v>199</v>
      </c>
    </row>
    <row r="2559" spans="1:6">
      <c r="A2559" t="str">
        <f t="shared" si="39"/>
        <v>GenericE&amp;DtemplateCIandGOA</v>
      </c>
      <c r="B2559">
        <v>29</v>
      </c>
      <c r="C2559">
        <v>10</v>
      </c>
      <c r="D2559" s="649">
        <f ca="1">IF(E2559=4,INDEX(crude_exp_dist,MATCH(B2559,'Crude Exp Dist'!$B$6:$B$78,0),MATCH(C2559,'Crude Exp Dist'!$AD$2:$BC$2,0))*INDEX(crude_exp_by_year,MATCH(B2559,'Data Export'!$B$6:$B$78,0),1),IF(E2559=5,INDEX(ref_exp_dist,MATCH(B2559,'Refined Petro Exp Dist'!$B$6:$B$78,0),MATCH(C2559,'Refined Petro Exp Dist'!$AD$2:$BC$2,0))*INDEX(ref_exp_by_year,MATCH(B2559,'Data Export'!$B$6:$B$78,0),1)))</f>
        <v>0</v>
      </c>
      <c r="E2559">
        <v>5</v>
      </c>
      <c r="F2559" t="s">
        <v>201</v>
      </c>
    </row>
    <row r="2560" spans="1:6">
      <c r="A2560" t="str">
        <f t="shared" si="39"/>
        <v>GenericE&amp;DtemplateCIandGOA</v>
      </c>
      <c r="B2560">
        <v>29</v>
      </c>
      <c r="C2560">
        <v>11</v>
      </c>
      <c r="D2560" s="649">
        <f ca="1">IF(E2560=4,INDEX(crude_exp_dist,MATCH(B2560,'Crude Exp Dist'!$B$6:$B$78,0),MATCH(C2560,'Crude Exp Dist'!$AD$2:$BC$2,0))*INDEX(crude_exp_by_year,MATCH(B2560,'Data Export'!$B$6:$B$78,0),1),IF(E2560=5,INDEX(ref_exp_dist,MATCH(B2560,'Refined Petro Exp Dist'!$B$6:$B$78,0),MATCH(C2560,'Refined Petro Exp Dist'!$AD$2:$BC$2,0))*INDEX(ref_exp_by_year,MATCH(B2560,'Data Export'!$B$6:$B$78,0),1)))</f>
        <v>0</v>
      </c>
      <c r="E2560">
        <v>5</v>
      </c>
      <c r="F2560" t="s">
        <v>921</v>
      </c>
    </row>
    <row r="2561" spans="1:6">
      <c r="A2561" t="str">
        <f t="shared" si="39"/>
        <v>GenericE&amp;DtemplateCIandGOA</v>
      </c>
      <c r="B2561">
        <v>29</v>
      </c>
      <c r="C2561">
        <v>12</v>
      </c>
      <c r="D2561" s="649">
        <f ca="1">IF(E2561=4,INDEX(crude_exp_dist,MATCH(B2561,'Crude Exp Dist'!$B$6:$B$78,0),MATCH(C2561,'Crude Exp Dist'!$AD$2:$BC$2,0))*INDEX(crude_exp_by_year,MATCH(B2561,'Data Export'!$B$6:$B$78,0),1),IF(E2561=5,INDEX(ref_exp_dist,MATCH(B2561,'Refined Petro Exp Dist'!$B$6:$B$78,0),MATCH(C2561,'Refined Petro Exp Dist'!$AD$2:$BC$2,0))*INDEX(ref_exp_by_year,MATCH(B2561,'Data Export'!$B$6:$B$78,0),1)))</f>
        <v>0</v>
      </c>
      <c r="E2561">
        <v>5</v>
      </c>
      <c r="F2561" t="s">
        <v>208</v>
      </c>
    </row>
    <row r="2562" spans="1:6">
      <c r="A2562" t="str">
        <f t="shared" ref="A2562:A2625" si="40">scenario_name</f>
        <v>GenericE&amp;DtemplateCIandGOA</v>
      </c>
      <c r="B2562">
        <v>29</v>
      </c>
      <c r="C2562">
        <v>13</v>
      </c>
      <c r="D2562" s="649">
        <f ca="1">IF(E2562=4,INDEX(crude_exp_dist,MATCH(B2562,'Crude Exp Dist'!$B$6:$B$78,0),MATCH(C2562,'Crude Exp Dist'!$AD$2:$BC$2,0))*INDEX(crude_exp_by_year,MATCH(B2562,'Data Export'!$B$6:$B$78,0),1),IF(E2562=5,INDEX(ref_exp_dist,MATCH(B2562,'Refined Petro Exp Dist'!$B$6:$B$78,0),MATCH(C2562,'Refined Petro Exp Dist'!$AD$2:$BC$2,0))*INDEX(ref_exp_by_year,MATCH(B2562,'Data Export'!$B$6:$B$78,0),1)))</f>
        <v>0</v>
      </c>
      <c r="E2562">
        <v>5</v>
      </c>
      <c r="F2562" t="s">
        <v>211</v>
      </c>
    </row>
    <row r="2563" spans="1:6">
      <c r="A2563" t="str">
        <f t="shared" si="40"/>
        <v>GenericE&amp;DtemplateCIandGOA</v>
      </c>
      <c r="B2563">
        <v>29</v>
      </c>
      <c r="C2563">
        <v>14</v>
      </c>
      <c r="D2563" s="649">
        <f ca="1">IF(E2563=4,INDEX(crude_exp_dist,MATCH(B2563,'Crude Exp Dist'!$B$6:$B$78,0),MATCH(C2563,'Crude Exp Dist'!$AD$2:$BC$2,0))*INDEX(crude_exp_by_year,MATCH(B2563,'Data Export'!$B$6:$B$78,0),1),IF(E2563=5,INDEX(ref_exp_dist,MATCH(B2563,'Refined Petro Exp Dist'!$B$6:$B$78,0),MATCH(C2563,'Refined Petro Exp Dist'!$AD$2:$BC$2,0))*INDEX(ref_exp_by_year,MATCH(B2563,'Data Export'!$B$6:$B$78,0),1)))</f>
        <v>0</v>
      </c>
      <c r="E2563">
        <v>5</v>
      </c>
      <c r="F2563" t="s">
        <v>213</v>
      </c>
    </row>
    <row r="2564" spans="1:6">
      <c r="A2564" t="str">
        <f t="shared" si="40"/>
        <v>GenericE&amp;DtemplateCIandGOA</v>
      </c>
      <c r="B2564">
        <v>29</v>
      </c>
      <c r="C2564">
        <v>15</v>
      </c>
      <c r="D2564" s="649">
        <f ca="1">IF(E2564=4,INDEX(crude_exp_dist,MATCH(B2564,'Crude Exp Dist'!$B$6:$B$78,0),MATCH(C2564,'Crude Exp Dist'!$AD$2:$BC$2,0))*INDEX(crude_exp_by_year,MATCH(B2564,'Data Export'!$B$6:$B$78,0),1),IF(E2564=5,INDEX(ref_exp_dist,MATCH(B2564,'Refined Petro Exp Dist'!$B$6:$B$78,0),MATCH(C2564,'Refined Petro Exp Dist'!$AD$2:$BC$2,0))*INDEX(ref_exp_by_year,MATCH(B2564,'Data Export'!$B$6:$B$78,0),1)))</f>
        <v>0</v>
      </c>
      <c r="E2564">
        <v>5</v>
      </c>
      <c r="F2564" t="s">
        <v>215</v>
      </c>
    </row>
    <row r="2565" spans="1:6">
      <c r="A2565" t="str">
        <f t="shared" si="40"/>
        <v>GenericE&amp;DtemplateCIandGOA</v>
      </c>
      <c r="B2565">
        <v>29</v>
      </c>
      <c r="C2565">
        <v>16</v>
      </c>
      <c r="D2565" s="649">
        <f ca="1">IF(E2565=4,INDEX(crude_exp_dist,MATCH(B2565,'Crude Exp Dist'!$B$6:$B$78,0),MATCH(C2565,'Crude Exp Dist'!$AD$2:$BC$2,0))*INDEX(crude_exp_by_year,MATCH(B2565,'Data Export'!$B$6:$B$78,0),1),IF(E2565=5,INDEX(ref_exp_dist,MATCH(B2565,'Refined Petro Exp Dist'!$B$6:$B$78,0),MATCH(C2565,'Refined Petro Exp Dist'!$AD$2:$BC$2,0))*INDEX(ref_exp_by_year,MATCH(B2565,'Data Export'!$B$6:$B$78,0),1)))</f>
        <v>0</v>
      </c>
      <c r="E2565">
        <v>5</v>
      </c>
      <c r="F2565" t="s">
        <v>219</v>
      </c>
    </row>
    <row r="2566" spans="1:6">
      <c r="A2566" t="str">
        <f t="shared" si="40"/>
        <v>GenericE&amp;DtemplateCIandGOA</v>
      </c>
      <c r="B2566">
        <v>29</v>
      </c>
      <c r="C2566">
        <v>17</v>
      </c>
      <c r="D2566" s="649">
        <f ca="1">IF(E2566=4,INDEX(crude_exp_dist,MATCH(B2566,'Crude Exp Dist'!$B$6:$B$78,0),MATCH(C2566,'Crude Exp Dist'!$AD$2:$BC$2,0))*INDEX(crude_exp_by_year,MATCH(B2566,'Data Export'!$B$6:$B$78,0),1),IF(E2566=5,INDEX(ref_exp_dist,MATCH(B2566,'Refined Petro Exp Dist'!$B$6:$B$78,0),MATCH(C2566,'Refined Petro Exp Dist'!$AD$2:$BC$2,0))*INDEX(ref_exp_by_year,MATCH(B2566,'Data Export'!$B$6:$B$78,0),1)))</f>
        <v>0</v>
      </c>
      <c r="E2566">
        <v>5</v>
      </c>
      <c r="F2566" t="s">
        <v>222</v>
      </c>
    </row>
    <row r="2567" spans="1:6">
      <c r="A2567" t="str">
        <f t="shared" si="40"/>
        <v>GenericE&amp;DtemplateCIandGOA</v>
      </c>
      <c r="B2567">
        <v>29</v>
      </c>
      <c r="C2567">
        <v>18</v>
      </c>
      <c r="D2567" s="649">
        <f ca="1">IF(E2567=4,INDEX(crude_exp_dist,MATCH(B2567,'Crude Exp Dist'!$B$6:$B$78,0),MATCH(C2567,'Crude Exp Dist'!$AD$2:$BC$2,0))*INDEX(crude_exp_by_year,MATCH(B2567,'Data Export'!$B$6:$B$78,0),1),IF(E2567=5,INDEX(ref_exp_dist,MATCH(B2567,'Refined Petro Exp Dist'!$B$6:$B$78,0),MATCH(C2567,'Refined Petro Exp Dist'!$AD$2:$BC$2,0))*INDEX(ref_exp_by_year,MATCH(B2567,'Data Export'!$B$6:$B$78,0),1)))</f>
        <v>0</v>
      </c>
      <c r="E2567">
        <v>5</v>
      </c>
      <c r="F2567" t="s">
        <v>224</v>
      </c>
    </row>
    <row r="2568" spans="1:6">
      <c r="A2568" t="str">
        <f t="shared" si="40"/>
        <v>GenericE&amp;DtemplateCIandGOA</v>
      </c>
      <c r="B2568">
        <v>29</v>
      </c>
      <c r="C2568">
        <v>19</v>
      </c>
      <c r="D2568" s="649">
        <f ca="1">IF(E2568=4,INDEX(crude_exp_dist,MATCH(B2568,'Crude Exp Dist'!$B$6:$B$78,0),MATCH(C2568,'Crude Exp Dist'!$AD$2:$BC$2,0))*INDEX(crude_exp_by_year,MATCH(B2568,'Data Export'!$B$6:$B$78,0),1),IF(E2568=5,INDEX(ref_exp_dist,MATCH(B2568,'Refined Petro Exp Dist'!$B$6:$B$78,0),MATCH(C2568,'Refined Petro Exp Dist'!$AD$2:$BC$2,0))*INDEX(ref_exp_by_year,MATCH(B2568,'Data Export'!$B$6:$B$78,0),1)))</f>
        <v>0</v>
      </c>
      <c r="E2568">
        <v>5</v>
      </c>
      <c r="F2568" t="s">
        <v>228</v>
      </c>
    </row>
    <row r="2569" spans="1:6">
      <c r="A2569" t="str">
        <f t="shared" si="40"/>
        <v>GenericE&amp;DtemplateCIandGOA</v>
      </c>
      <c r="B2569">
        <v>29</v>
      </c>
      <c r="C2569">
        <v>20</v>
      </c>
      <c r="D2569" s="649">
        <f ca="1">IF(E2569=4,INDEX(crude_exp_dist,MATCH(B2569,'Crude Exp Dist'!$B$6:$B$78,0),MATCH(C2569,'Crude Exp Dist'!$AD$2:$BC$2,0))*INDEX(crude_exp_by_year,MATCH(B2569,'Data Export'!$B$6:$B$78,0),1),IF(E2569=5,INDEX(ref_exp_dist,MATCH(B2569,'Refined Petro Exp Dist'!$B$6:$B$78,0),MATCH(C2569,'Refined Petro Exp Dist'!$AD$2:$BC$2,0))*INDEX(ref_exp_by_year,MATCH(B2569,'Data Export'!$B$6:$B$78,0),1)))</f>
        <v>0</v>
      </c>
      <c r="E2569">
        <v>5</v>
      </c>
      <c r="F2569" t="s">
        <v>231</v>
      </c>
    </row>
    <row r="2570" spans="1:6">
      <c r="A2570" t="str">
        <f t="shared" si="40"/>
        <v>GenericE&amp;DtemplateCIandGOA</v>
      </c>
      <c r="B2570">
        <v>29</v>
      </c>
      <c r="C2570">
        <v>21</v>
      </c>
      <c r="D2570" s="649">
        <f ca="1">IF(E2570=4,INDEX(crude_exp_dist,MATCH(B2570,'Crude Exp Dist'!$B$6:$B$78,0),MATCH(C2570,'Crude Exp Dist'!$AD$2:$BC$2,0))*INDEX(crude_exp_by_year,MATCH(B2570,'Data Export'!$B$6:$B$78,0),1),IF(E2570=5,INDEX(ref_exp_dist,MATCH(B2570,'Refined Petro Exp Dist'!$B$6:$B$78,0),MATCH(C2570,'Refined Petro Exp Dist'!$AD$2:$BC$2,0))*INDEX(ref_exp_by_year,MATCH(B2570,'Data Export'!$B$6:$B$78,0),1)))</f>
        <v>0</v>
      </c>
      <c r="E2570">
        <v>5</v>
      </c>
      <c r="F2570" t="s">
        <v>232</v>
      </c>
    </row>
    <row r="2571" spans="1:6">
      <c r="A2571" t="str">
        <f t="shared" si="40"/>
        <v>GenericE&amp;DtemplateCIandGOA</v>
      </c>
      <c r="B2571">
        <v>29</v>
      </c>
      <c r="C2571">
        <v>22</v>
      </c>
      <c r="D2571" s="649">
        <f ca="1">IF(E2571=4,INDEX(crude_exp_dist,MATCH(B2571,'Crude Exp Dist'!$B$6:$B$78,0),MATCH(C2571,'Crude Exp Dist'!$AD$2:$BC$2,0))*INDEX(crude_exp_by_year,MATCH(B2571,'Data Export'!$B$6:$B$78,0),1),IF(E2571=5,INDEX(ref_exp_dist,MATCH(B2571,'Refined Petro Exp Dist'!$B$6:$B$78,0),MATCH(C2571,'Refined Petro Exp Dist'!$AD$2:$BC$2,0))*INDEX(ref_exp_by_year,MATCH(B2571,'Data Export'!$B$6:$B$78,0),1)))</f>
        <v>0</v>
      </c>
      <c r="E2571">
        <v>5</v>
      </c>
      <c r="F2571" t="s">
        <v>235</v>
      </c>
    </row>
    <row r="2572" spans="1:6">
      <c r="A2572" t="str">
        <f t="shared" si="40"/>
        <v>GenericE&amp;DtemplateCIandGOA</v>
      </c>
      <c r="B2572">
        <v>29</v>
      </c>
      <c r="C2572">
        <v>23</v>
      </c>
      <c r="D2572" s="649">
        <f ca="1">IF(E2572=4,INDEX(crude_exp_dist,MATCH(B2572,'Crude Exp Dist'!$B$6:$B$78,0),MATCH(C2572,'Crude Exp Dist'!$AD$2:$BC$2,0))*INDEX(crude_exp_by_year,MATCH(B2572,'Data Export'!$B$6:$B$78,0),1),IF(E2572=5,INDEX(ref_exp_dist,MATCH(B2572,'Refined Petro Exp Dist'!$B$6:$B$78,0),MATCH(C2572,'Refined Petro Exp Dist'!$AD$2:$BC$2,0))*INDEX(ref_exp_by_year,MATCH(B2572,'Data Export'!$B$6:$B$78,0),1)))</f>
        <v>0</v>
      </c>
      <c r="E2572">
        <v>5</v>
      </c>
      <c r="F2572" t="s">
        <v>237</v>
      </c>
    </row>
    <row r="2573" spans="1:6">
      <c r="A2573" t="str">
        <f t="shared" si="40"/>
        <v>GenericE&amp;DtemplateCIandGOA</v>
      </c>
      <c r="B2573">
        <v>29</v>
      </c>
      <c r="C2573">
        <v>24</v>
      </c>
      <c r="D2573" s="649">
        <f ca="1">IF(E2573=4,INDEX(crude_exp_dist,MATCH(B2573,'Crude Exp Dist'!$B$6:$B$78,0),MATCH(C2573,'Crude Exp Dist'!$AD$2:$BC$2,0))*INDEX(crude_exp_by_year,MATCH(B2573,'Data Export'!$B$6:$B$78,0),1),IF(E2573=5,INDEX(ref_exp_dist,MATCH(B2573,'Refined Petro Exp Dist'!$B$6:$B$78,0),MATCH(C2573,'Refined Petro Exp Dist'!$AD$2:$BC$2,0))*INDEX(ref_exp_by_year,MATCH(B2573,'Data Export'!$B$6:$B$78,0),1)))</f>
        <v>0</v>
      </c>
      <c r="E2573">
        <v>5</v>
      </c>
      <c r="F2573" t="s">
        <v>239</v>
      </c>
    </row>
    <row r="2574" spans="1:6">
      <c r="A2574" t="str">
        <f t="shared" si="40"/>
        <v>GenericE&amp;DtemplateCIandGOA</v>
      </c>
      <c r="B2574">
        <v>29</v>
      </c>
      <c r="C2574">
        <v>25</v>
      </c>
      <c r="D2574" s="649">
        <f ca="1">IF(E2574=4,INDEX(crude_exp_dist,MATCH(B2574,'Crude Exp Dist'!$B$6:$B$78,0),MATCH(C2574,'Crude Exp Dist'!$AD$2:$BC$2,0))*INDEX(crude_exp_by_year,MATCH(B2574,'Data Export'!$B$6:$B$78,0),1),IF(E2574=5,INDEX(ref_exp_dist,MATCH(B2574,'Refined Petro Exp Dist'!$B$6:$B$78,0),MATCH(C2574,'Refined Petro Exp Dist'!$AD$2:$BC$2,0))*INDEX(ref_exp_by_year,MATCH(B2574,'Data Export'!$B$6:$B$78,0),1)))</f>
        <v>0</v>
      </c>
      <c r="E2574">
        <v>5</v>
      </c>
      <c r="F2574" t="s">
        <v>242</v>
      </c>
    </row>
    <row r="2575" spans="1:6">
      <c r="A2575" t="str">
        <f t="shared" si="40"/>
        <v>GenericE&amp;DtemplateCIandGOA</v>
      </c>
      <c r="B2575">
        <v>29</v>
      </c>
      <c r="C2575">
        <v>26</v>
      </c>
      <c r="D2575" s="649">
        <f ca="1">IF(E2575=4,INDEX(crude_exp_dist,MATCH(B2575,'Crude Exp Dist'!$B$6:$B$78,0),MATCH(C2575,'Crude Exp Dist'!$AD$2:$BC$2,0))*INDEX(crude_exp_by_year,MATCH(B2575,'Data Export'!$B$6:$B$78,0),1),IF(E2575=5,INDEX(ref_exp_dist,MATCH(B2575,'Refined Petro Exp Dist'!$B$6:$B$78,0),MATCH(C2575,'Refined Petro Exp Dist'!$AD$2:$BC$2,0))*INDEX(ref_exp_by_year,MATCH(B2575,'Data Export'!$B$6:$B$78,0),1)))</f>
        <v>0</v>
      </c>
      <c r="E2575">
        <v>5</v>
      </c>
      <c r="F2575" t="s">
        <v>245</v>
      </c>
    </row>
    <row r="2576" spans="1:6">
      <c r="A2576" t="str">
        <f t="shared" si="40"/>
        <v>GenericE&amp;DtemplateCIandGOA</v>
      </c>
      <c r="B2576">
        <v>30</v>
      </c>
      <c r="C2576">
        <v>1</v>
      </c>
      <c r="D2576" s="649">
        <f ca="1">IF(E2576=4,INDEX(crude_exp_dist,MATCH(B2576,'Crude Exp Dist'!$B$6:$B$78,0),MATCH(C2576,'Crude Exp Dist'!$AD$2:$BC$2,0))*INDEX(crude_exp_by_year,MATCH(B2576,'Data Export'!$B$6:$B$78,0),1),IF(E2576=5,INDEX(ref_exp_dist,MATCH(B2576,'Refined Petro Exp Dist'!$B$6:$B$78,0),MATCH(C2576,'Refined Petro Exp Dist'!$AD$2:$BC$2,0))*INDEX(ref_exp_by_year,MATCH(B2576,'Data Export'!$B$6:$B$78,0),1)))</f>
        <v>0</v>
      </c>
      <c r="E2576">
        <v>5</v>
      </c>
      <c r="F2576" t="s">
        <v>158</v>
      </c>
    </row>
    <row r="2577" spans="1:6">
      <c r="A2577" t="str">
        <f t="shared" si="40"/>
        <v>GenericE&amp;DtemplateCIandGOA</v>
      </c>
      <c r="B2577">
        <v>30</v>
      </c>
      <c r="C2577">
        <v>2</v>
      </c>
      <c r="D2577" s="649">
        <f ca="1">IF(E2577=4,INDEX(crude_exp_dist,MATCH(B2577,'Crude Exp Dist'!$B$6:$B$78,0),MATCH(C2577,'Crude Exp Dist'!$AD$2:$BC$2,0))*INDEX(crude_exp_by_year,MATCH(B2577,'Data Export'!$B$6:$B$78,0),1),IF(E2577=5,INDEX(ref_exp_dist,MATCH(B2577,'Refined Petro Exp Dist'!$B$6:$B$78,0),MATCH(C2577,'Refined Petro Exp Dist'!$AD$2:$BC$2,0))*INDEX(ref_exp_by_year,MATCH(B2577,'Data Export'!$B$6:$B$78,0),1)))</f>
        <v>0</v>
      </c>
      <c r="E2577">
        <v>5</v>
      </c>
      <c r="F2577" t="s">
        <v>166</v>
      </c>
    </row>
    <row r="2578" spans="1:6">
      <c r="A2578" t="str">
        <f t="shared" si="40"/>
        <v>GenericE&amp;DtemplateCIandGOA</v>
      </c>
      <c r="B2578">
        <v>30</v>
      </c>
      <c r="C2578">
        <v>3</v>
      </c>
      <c r="D2578" s="649">
        <f ca="1">IF(E2578=4,INDEX(crude_exp_dist,MATCH(B2578,'Crude Exp Dist'!$B$6:$B$78,0),MATCH(C2578,'Crude Exp Dist'!$AD$2:$BC$2,0))*INDEX(crude_exp_by_year,MATCH(B2578,'Data Export'!$B$6:$B$78,0),1),IF(E2578=5,INDEX(ref_exp_dist,MATCH(B2578,'Refined Petro Exp Dist'!$B$6:$B$78,0),MATCH(C2578,'Refined Petro Exp Dist'!$AD$2:$BC$2,0))*INDEX(ref_exp_by_year,MATCH(B2578,'Data Export'!$B$6:$B$78,0),1)))</f>
        <v>0</v>
      </c>
      <c r="E2578">
        <v>5</v>
      </c>
      <c r="F2578" t="s">
        <v>171</v>
      </c>
    </row>
    <row r="2579" spans="1:6">
      <c r="A2579" t="str">
        <f t="shared" si="40"/>
        <v>GenericE&amp;DtemplateCIandGOA</v>
      </c>
      <c r="B2579">
        <v>30</v>
      </c>
      <c r="C2579">
        <v>4</v>
      </c>
      <c r="D2579" s="649">
        <f ca="1">IF(E2579=4,INDEX(crude_exp_dist,MATCH(B2579,'Crude Exp Dist'!$B$6:$B$78,0),MATCH(C2579,'Crude Exp Dist'!$AD$2:$BC$2,0))*INDEX(crude_exp_by_year,MATCH(B2579,'Data Export'!$B$6:$B$78,0),1),IF(E2579=5,INDEX(ref_exp_dist,MATCH(B2579,'Refined Petro Exp Dist'!$B$6:$B$78,0),MATCH(C2579,'Refined Petro Exp Dist'!$AD$2:$BC$2,0))*INDEX(ref_exp_by_year,MATCH(B2579,'Data Export'!$B$6:$B$78,0),1)))</f>
        <v>0</v>
      </c>
      <c r="E2579">
        <v>5</v>
      </c>
      <c r="F2579" t="s">
        <v>173</v>
      </c>
    </row>
    <row r="2580" spans="1:6">
      <c r="A2580" t="str">
        <f t="shared" si="40"/>
        <v>GenericE&amp;DtemplateCIandGOA</v>
      </c>
      <c r="B2580">
        <v>30</v>
      </c>
      <c r="C2580">
        <v>5</v>
      </c>
      <c r="D2580" s="649">
        <f ca="1">IF(E2580=4,INDEX(crude_exp_dist,MATCH(B2580,'Crude Exp Dist'!$B$6:$B$78,0),MATCH(C2580,'Crude Exp Dist'!$AD$2:$BC$2,0))*INDEX(crude_exp_by_year,MATCH(B2580,'Data Export'!$B$6:$B$78,0),1),IF(E2580=5,INDEX(ref_exp_dist,MATCH(B2580,'Refined Petro Exp Dist'!$B$6:$B$78,0),MATCH(C2580,'Refined Petro Exp Dist'!$AD$2:$BC$2,0))*INDEX(ref_exp_by_year,MATCH(B2580,'Data Export'!$B$6:$B$78,0),1)))</f>
        <v>0</v>
      </c>
      <c r="E2580">
        <v>5</v>
      </c>
      <c r="F2580" t="s">
        <v>180</v>
      </c>
    </row>
    <row r="2581" spans="1:6">
      <c r="A2581" t="str">
        <f t="shared" si="40"/>
        <v>GenericE&amp;DtemplateCIandGOA</v>
      </c>
      <c r="B2581">
        <v>30</v>
      </c>
      <c r="C2581">
        <v>6</v>
      </c>
      <c r="D2581" s="649">
        <f ca="1">IF(E2581=4,INDEX(crude_exp_dist,MATCH(B2581,'Crude Exp Dist'!$B$6:$B$78,0),MATCH(C2581,'Crude Exp Dist'!$AD$2:$BC$2,0))*INDEX(crude_exp_by_year,MATCH(B2581,'Data Export'!$B$6:$B$78,0),1),IF(E2581=5,INDEX(ref_exp_dist,MATCH(B2581,'Refined Petro Exp Dist'!$B$6:$B$78,0),MATCH(C2581,'Refined Petro Exp Dist'!$AD$2:$BC$2,0))*INDEX(ref_exp_by_year,MATCH(B2581,'Data Export'!$B$6:$B$78,0),1)))</f>
        <v>0</v>
      </c>
      <c r="E2581">
        <v>5</v>
      </c>
      <c r="F2581" t="s">
        <v>186</v>
      </c>
    </row>
    <row r="2582" spans="1:6">
      <c r="A2582" t="str">
        <f t="shared" si="40"/>
        <v>GenericE&amp;DtemplateCIandGOA</v>
      </c>
      <c r="B2582">
        <v>30</v>
      </c>
      <c r="C2582">
        <v>7</v>
      </c>
      <c r="D2582" s="649">
        <f ca="1">IF(E2582=4,INDEX(crude_exp_dist,MATCH(B2582,'Crude Exp Dist'!$B$6:$B$78,0),MATCH(C2582,'Crude Exp Dist'!$AD$2:$BC$2,0))*INDEX(crude_exp_by_year,MATCH(B2582,'Data Export'!$B$6:$B$78,0),1),IF(E2582=5,INDEX(ref_exp_dist,MATCH(B2582,'Refined Petro Exp Dist'!$B$6:$B$78,0),MATCH(C2582,'Refined Petro Exp Dist'!$AD$2:$BC$2,0))*INDEX(ref_exp_by_year,MATCH(B2582,'Data Export'!$B$6:$B$78,0),1)))</f>
        <v>0</v>
      </c>
      <c r="E2582">
        <v>5</v>
      </c>
      <c r="F2582" t="s">
        <v>191</v>
      </c>
    </row>
    <row r="2583" spans="1:6">
      <c r="A2583" t="str">
        <f t="shared" si="40"/>
        <v>GenericE&amp;DtemplateCIandGOA</v>
      </c>
      <c r="B2583">
        <v>30</v>
      </c>
      <c r="C2583">
        <v>8</v>
      </c>
      <c r="D2583" s="649">
        <f ca="1">IF(E2583=4,INDEX(crude_exp_dist,MATCH(B2583,'Crude Exp Dist'!$B$6:$B$78,0),MATCH(C2583,'Crude Exp Dist'!$AD$2:$BC$2,0))*INDEX(crude_exp_by_year,MATCH(B2583,'Data Export'!$B$6:$B$78,0),1),IF(E2583=5,INDEX(ref_exp_dist,MATCH(B2583,'Refined Petro Exp Dist'!$B$6:$B$78,0),MATCH(C2583,'Refined Petro Exp Dist'!$AD$2:$BC$2,0))*INDEX(ref_exp_by_year,MATCH(B2583,'Data Export'!$B$6:$B$78,0),1)))</f>
        <v>0</v>
      </c>
      <c r="E2583">
        <v>5</v>
      </c>
      <c r="F2583" t="s">
        <v>197</v>
      </c>
    </row>
    <row r="2584" spans="1:6">
      <c r="A2584" t="str">
        <f t="shared" si="40"/>
        <v>GenericE&amp;DtemplateCIandGOA</v>
      </c>
      <c r="B2584">
        <v>30</v>
      </c>
      <c r="C2584">
        <v>9</v>
      </c>
      <c r="D2584" s="649">
        <f ca="1">IF(E2584=4,INDEX(crude_exp_dist,MATCH(B2584,'Crude Exp Dist'!$B$6:$B$78,0),MATCH(C2584,'Crude Exp Dist'!$AD$2:$BC$2,0))*INDEX(crude_exp_by_year,MATCH(B2584,'Data Export'!$B$6:$B$78,0),1),IF(E2584=5,INDEX(ref_exp_dist,MATCH(B2584,'Refined Petro Exp Dist'!$B$6:$B$78,0),MATCH(C2584,'Refined Petro Exp Dist'!$AD$2:$BC$2,0))*INDEX(ref_exp_by_year,MATCH(B2584,'Data Export'!$B$6:$B$78,0),1)))</f>
        <v>0</v>
      </c>
      <c r="E2584">
        <v>5</v>
      </c>
      <c r="F2584" t="s">
        <v>199</v>
      </c>
    </row>
    <row r="2585" spans="1:6">
      <c r="A2585" t="str">
        <f t="shared" si="40"/>
        <v>GenericE&amp;DtemplateCIandGOA</v>
      </c>
      <c r="B2585">
        <v>30</v>
      </c>
      <c r="C2585">
        <v>10</v>
      </c>
      <c r="D2585" s="649">
        <f ca="1">IF(E2585=4,INDEX(crude_exp_dist,MATCH(B2585,'Crude Exp Dist'!$B$6:$B$78,0),MATCH(C2585,'Crude Exp Dist'!$AD$2:$BC$2,0))*INDEX(crude_exp_by_year,MATCH(B2585,'Data Export'!$B$6:$B$78,0),1),IF(E2585=5,INDEX(ref_exp_dist,MATCH(B2585,'Refined Petro Exp Dist'!$B$6:$B$78,0),MATCH(C2585,'Refined Petro Exp Dist'!$AD$2:$BC$2,0))*INDEX(ref_exp_by_year,MATCH(B2585,'Data Export'!$B$6:$B$78,0),1)))</f>
        <v>0</v>
      </c>
      <c r="E2585">
        <v>5</v>
      </c>
      <c r="F2585" t="s">
        <v>201</v>
      </c>
    </row>
    <row r="2586" spans="1:6">
      <c r="A2586" t="str">
        <f t="shared" si="40"/>
        <v>GenericE&amp;DtemplateCIandGOA</v>
      </c>
      <c r="B2586">
        <v>30</v>
      </c>
      <c r="C2586">
        <v>11</v>
      </c>
      <c r="D2586" s="649">
        <f ca="1">IF(E2586=4,INDEX(crude_exp_dist,MATCH(B2586,'Crude Exp Dist'!$B$6:$B$78,0),MATCH(C2586,'Crude Exp Dist'!$AD$2:$BC$2,0))*INDEX(crude_exp_by_year,MATCH(B2586,'Data Export'!$B$6:$B$78,0),1),IF(E2586=5,INDEX(ref_exp_dist,MATCH(B2586,'Refined Petro Exp Dist'!$B$6:$B$78,0),MATCH(C2586,'Refined Petro Exp Dist'!$AD$2:$BC$2,0))*INDEX(ref_exp_by_year,MATCH(B2586,'Data Export'!$B$6:$B$78,0),1)))</f>
        <v>0</v>
      </c>
      <c r="E2586">
        <v>5</v>
      </c>
      <c r="F2586" t="s">
        <v>921</v>
      </c>
    </row>
    <row r="2587" spans="1:6">
      <c r="A2587" t="str">
        <f t="shared" si="40"/>
        <v>GenericE&amp;DtemplateCIandGOA</v>
      </c>
      <c r="B2587">
        <v>30</v>
      </c>
      <c r="C2587">
        <v>12</v>
      </c>
      <c r="D2587" s="649">
        <f ca="1">IF(E2587=4,INDEX(crude_exp_dist,MATCH(B2587,'Crude Exp Dist'!$B$6:$B$78,0),MATCH(C2587,'Crude Exp Dist'!$AD$2:$BC$2,0))*INDEX(crude_exp_by_year,MATCH(B2587,'Data Export'!$B$6:$B$78,0),1),IF(E2587=5,INDEX(ref_exp_dist,MATCH(B2587,'Refined Petro Exp Dist'!$B$6:$B$78,0),MATCH(C2587,'Refined Petro Exp Dist'!$AD$2:$BC$2,0))*INDEX(ref_exp_by_year,MATCH(B2587,'Data Export'!$B$6:$B$78,0),1)))</f>
        <v>0</v>
      </c>
      <c r="E2587">
        <v>5</v>
      </c>
      <c r="F2587" t="s">
        <v>208</v>
      </c>
    </row>
    <row r="2588" spans="1:6">
      <c r="A2588" t="str">
        <f t="shared" si="40"/>
        <v>GenericE&amp;DtemplateCIandGOA</v>
      </c>
      <c r="B2588">
        <v>30</v>
      </c>
      <c r="C2588">
        <v>13</v>
      </c>
      <c r="D2588" s="649">
        <f ca="1">IF(E2588=4,INDEX(crude_exp_dist,MATCH(B2588,'Crude Exp Dist'!$B$6:$B$78,0),MATCH(C2588,'Crude Exp Dist'!$AD$2:$BC$2,0))*INDEX(crude_exp_by_year,MATCH(B2588,'Data Export'!$B$6:$B$78,0),1),IF(E2588=5,INDEX(ref_exp_dist,MATCH(B2588,'Refined Petro Exp Dist'!$B$6:$B$78,0),MATCH(C2588,'Refined Petro Exp Dist'!$AD$2:$BC$2,0))*INDEX(ref_exp_by_year,MATCH(B2588,'Data Export'!$B$6:$B$78,0),1)))</f>
        <v>0</v>
      </c>
      <c r="E2588">
        <v>5</v>
      </c>
      <c r="F2588" t="s">
        <v>211</v>
      </c>
    </row>
    <row r="2589" spans="1:6">
      <c r="A2589" t="str">
        <f t="shared" si="40"/>
        <v>GenericE&amp;DtemplateCIandGOA</v>
      </c>
      <c r="B2589">
        <v>30</v>
      </c>
      <c r="C2589">
        <v>14</v>
      </c>
      <c r="D2589" s="649">
        <f ca="1">IF(E2589=4,INDEX(crude_exp_dist,MATCH(B2589,'Crude Exp Dist'!$B$6:$B$78,0),MATCH(C2589,'Crude Exp Dist'!$AD$2:$BC$2,0))*INDEX(crude_exp_by_year,MATCH(B2589,'Data Export'!$B$6:$B$78,0),1),IF(E2589=5,INDEX(ref_exp_dist,MATCH(B2589,'Refined Petro Exp Dist'!$B$6:$B$78,0),MATCH(C2589,'Refined Petro Exp Dist'!$AD$2:$BC$2,0))*INDEX(ref_exp_by_year,MATCH(B2589,'Data Export'!$B$6:$B$78,0),1)))</f>
        <v>0</v>
      </c>
      <c r="E2589">
        <v>5</v>
      </c>
      <c r="F2589" t="s">
        <v>213</v>
      </c>
    </row>
    <row r="2590" spans="1:6">
      <c r="A2590" t="str">
        <f t="shared" si="40"/>
        <v>GenericE&amp;DtemplateCIandGOA</v>
      </c>
      <c r="B2590">
        <v>30</v>
      </c>
      <c r="C2590">
        <v>15</v>
      </c>
      <c r="D2590" s="649">
        <f ca="1">IF(E2590=4,INDEX(crude_exp_dist,MATCH(B2590,'Crude Exp Dist'!$B$6:$B$78,0),MATCH(C2590,'Crude Exp Dist'!$AD$2:$BC$2,0))*INDEX(crude_exp_by_year,MATCH(B2590,'Data Export'!$B$6:$B$78,0),1),IF(E2590=5,INDEX(ref_exp_dist,MATCH(B2590,'Refined Petro Exp Dist'!$B$6:$B$78,0),MATCH(C2590,'Refined Petro Exp Dist'!$AD$2:$BC$2,0))*INDEX(ref_exp_by_year,MATCH(B2590,'Data Export'!$B$6:$B$78,0),1)))</f>
        <v>0</v>
      </c>
      <c r="E2590">
        <v>5</v>
      </c>
      <c r="F2590" t="s">
        <v>215</v>
      </c>
    </row>
    <row r="2591" spans="1:6">
      <c r="A2591" t="str">
        <f t="shared" si="40"/>
        <v>GenericE&amp;DtemplateCIandGOA</v>
      </c>
      <c r="B2591">
        <v>30</v>
      </c>
      <c r="C2591">
        <v>16</v>
      </c>
      <c r="D2591" s="649">
        <f ca="1">IF(E2591=4,INDEX(crude_exp_dist,MATCH(B2591,'Crude Exp Dist'!$B$6:$B$78,0),MATCH(C2591,'Crude Exp Dist'!$AD$2:$BC$2,0))*INDEX(crude_exp_by_year,MATCH(B2591,'Data Export'!$B$6:$B$78,0),1),IF(E2591=5,INDEX(ref_exp_dist,MATCH(B2591,'Refined Petro Exp Dist'!$B$6:$B$78,0),MATCH(C2591,'Refined Petro Exp Dist'!$AD$2:$BC$2,0))*INDEX(ref_exp_by_year,MATCH(B2591,'Data Export'!$B$6:$B$78,0),1)))</f>
        <v>0</v>
      </c>
      <c r="E2591">
        <v>5</v>
      </c>
      <c r="F2591" t="s">
        <v>219</v>
      </c>
    </row>
    <row r="2592" spans="1:6">
      <c r="A2592" t="str">
        <f t="shared" si="40"/>
        <v>GenericE&amp;DtemplateCIandGOA</v>
      </c>
      <c r="B2592">
        <v>30</v>
      </c>
      <c r="C2592">
        <v>17</v>
      </c>
      <c r="D2592" s="649">
        <f ca="1">IF(E2592=4,INDEX(crude_exp_dist,MATCH(B2592,'Crude Exp Dist'!$B$6:$B$78,0),MATCH(C2592,'Crude Exp Dist'!$AD$2:$BC$2,0))*INDEX(crude_exp_by_year,MATCH(B2592,'Data Export'!$B$6:$B$78,0),1),IF(E2592=5,INDEX(ref_exp_dist,MATCH(B2592,'Refined Petro Exp Dist'!$B$6:$B$78,0),MATCH(C2592,'Refined Petro Exp Dist'!$AD$2:$BC$2,0))*INDEX(ref_exp_by_year,MATCH(B2592,'Data Export'!$B$6:$B$78,0),1)))</f>
        <v>0</v>
      </c>
      <c r="E2592">
        <v>5</v>
      </c>
      <c r="F2592" t="s">
        <v>222</v>
      </c>
    </row>
    <row r="2593" spans="1:6">
      <c r="A2593" t="str">
        <f t="shared" si="40"/>
        <v>GenericE&amp;DtemplateCIandGOA</v>
      </c>
      <c r="B2593">
        <v>30</v>
      </c>
      <c r="C2593">
        <v>18</v>
      </c>
      <c r="D2593" s="649">
        <f ca="1">IF(E2593=4,INDEX(crude_exp_dist,MATCH(B2593,'Crude Exp Dist'!$B$6:$B$78,0),MATCH(C2593,'Crude Exp Dist'!$AD$2:$BC$2,0))*INDEX(crude_exp_by_year,MATCH(B2593,'Data Export'!$B$6:$B$78,0),1),IF(E2593=5,INDEX(ref_exp_dist,MATCH(B2593,'Refined Petro Exp Dist'!$B$6:$B$78,0),MATCH(C2593,'Refined Petro Exp Dist'!$AD$2:$BC$2,0))*INDEX(ref_exp_by_year,MATCH(B2593,'Data Export'!$B$6:$B$78,0),1)))</f>
        <v>0</v>
      </c>
      <c r="E2593">
        <v>5</v>
      </c>
      <c r="F2593" t="s">
        <v>224</v>
      </c>
    </row>
    <row r="2594" spans="1:6">
      <c r="A2594" t="str">
        <f t="shared" si="40"/>
        <v>GenericE&amp;DtemplateCIandGOA</v>
      </c>
      <c r="B2594">
        <v>30</v>
      </c>
      <c r="C2594">
        <v>19</v>
      </c>
      <c r="D2594" s="649">
        <f ca="1">IF(E2594=4,INDEX(crude_exp_dist,MATCH(B2594,'Crude Exp Dist'!$B$6:$B$78,0),MATCH(C2594,'Crude Exp Dist'!$AD$2:$BC$2,0))*INDEX(crude_exp_by_year,MATCH(B2594,'Data Export'!$B$6:$B$78,0),1),IF(E2594=5,INDEX(ref_exp_dist,MATCH(B2594,'Refined Petro Exp Dist'!$B$6:$B$78,0),MATCH(C2594,'Refined Petro Exp Dist'!$AD$2:$BC$2,0))*INDEX(ref_exp_by_year,MATCH(B2594,'Data Export'!$B$6:$B$78,0),1)))</f>
        <v>0</v>
      </c>
      <c r="E2594">
        <v>5</v>
      </c>
      <c r="F2594" t="s">
        <v>228</v>
      </c>
    </row>
    <row r="2595" spans="1:6">
      <c r="A2595" t="str">
        <f t="shared" si="40"/>
        <v>GenericE&amp;DtemplateCIandGOA</v>
      </c>
      <c r="B2595">
        <v>30</v>
      </c>
      <c r="C2595">
        <v>20</v>
      </c>
      <c r="D2595" s="649">
        <f ca="1">IF(E2595=4,INDEX(crude_exp_dist,MATCH(B2595,'Crude Exp Dist'!$B$6:$B$78,0),MATCH(C2595,'Crude Exp Dist'!$AD$2:$BC$2,0))*INDEX(crude_exp_by_year,MATCH(B2595,'Data Export'!$B$6:$B$78,0),1),IF(E2595=5,INDEX(ref_exp_dist,MATCH(B2595,'Refined Petro Exp Dist'!$B$6:$B$78,0),MATCH(C2595,'Refined Petro Exp Dist'!$AD$2:$BC$2,0))*INDEX(ref_exp_by_year,MATCH(B2595,'Data Export'!$B$6:$B$78,0),1)))</f>
        <v>0</v>
      </c>
      <c r="E2595">
        <v>5</v>
      </c>
      <c r="F2595" t="s">
        <v>231</v>
      </c>
    </row>
    <row r="2596" spans="1:6">
      <c r="A2596" t="str">
        <f t="shared" si="40"/>
        <v>GenericE&amp;DtemplateCIandGOA</v>
      </c>
      <c r="B2596">
        <v>30</v>
      </c>
      <c r="C2596">
        <v>21</v>
      </c>
      <c r="D2596" s="649">
        <f ca="1">IF(E2596=4,INDEX(crude_exp_dist,MATCH(B2596,'Crude Exp Dist'!$B$6:$B$78,0),MATCH(C2596,'Crude Exp Dist'!$AD$2:$BC$2,0))*INDEX(crude_exp_by_year,MATCH(B2596,'Data Export'!$B$6:$B$78,0),1),IF(E2596=5,INDEX(ref_exp_dist,MATCH(B2596,'Refined Petro Exp Dist'!$B$6:$B$78,0),MATCH(C2596,'Refined Petro Exp Dist'!$AD$2:$BC$2,0))*INDEX(ref_exp_by_year,MATCH(B2596,'Data Export'!$B$6:$B$78,0),1)))</f>
        <v>0</v>
      </c>
      <c r="E2596">
        <v>5</v>
      </c>
      <c r="F2596" t="s">
        <v>232</v>
      </c>
    </row>
    <row r="2597" spans="1:6">
      <c r="A2597" t="str">
        <f t="shared" si="40"/>
        <v>GenericE&amp;DtemplateCIandGOA</v>
      </c>
      <c r="B2597">
        <v>30</v>
      </c>
      <c r="C2597">
        <v>22</v>
      </c>
      <c r="D2597" s="649">
        <f ca="1">IF(E2597=4,INDEX(crude_exp_dist,MATCH(B2597,'Crude Exp Dist'!$B$6:$B$78,0),MATCH(C2597,'Crude Exp Dist'!$AD$2:$BC$2,0))*INDEX(crude_exp_by_year,MATCH(B2597,'Data Export'!$B$6:$B$78,0),1),IF(E2597=5,INDEX(ref_exp_dist,MATCH(B2597,'Refined Petro Exp Dist'!$B$6:$B$78,0),MATCH(C2597,'Refined Petro Exp Dist'!$AD$2:$BC$2,0))*INDEX(ref_exp_by_year,MATCH(B2597,'Data Export'!$B$6:$B$78,0),1)))</f>
        <v>0</v>
      </c>
      <c r="E2597">
        <v>5</v>
      </c>
      <c r="F2597" t="s">
        <v>235</v>
      </c>
    </row>
    <row r="2598" spans="1:6">
      <c r="A2598" t="str">
        <f t="shared" si="40"/>
        <v>GenericE&amp;DtemplateCIandGOA</v>
      </c>
      <c r="B2598">
        <v>30</v>
      </c>
      <c r="C2598">
        <v>23</v>
      </c>
      <c r="D2598" s="649">
        <f ca="1">IF(E2598=4,INDEX(crude_exp_dist,MATCH(B2598,'Crude Exp Dist'!$B$6:$B$78,0),MATCH(C2598,'Crude Exp Dist'!$AD$2:$BC$2,0))*INDEX(crude_exp_by_year,MATCH(B2598,'Data Export'!$B$6:$B$78,0),1),IF(E2598=5,INDEX(ref_exp_dist,MATCH(B2598,'Refined Petro Exp Dist'!$B$6:$B$78,0),MATCH(C2598,'Refined Petro Exp Dist'!$AD$2:$BC$2,0))*INDEX(ref_exp_by_year,MATCH(B2598,'Data Export'!$B$6:$B$78,0),1)))</f>
        <v>0</v>
      </c>
      <c r="E2598">
        <v>5</v>
      </c>
      <c r="F2598" t="s">
        <v>237</v>
      </c>
    </row>
    <row r="2599" spans="1:6">
      <c r="A2599" t="str">
        <f t="shared" si="40"/>
        <v>GenericE&amp;DtemplateCIandGOA</v>
      </c>
      <c r="B2599">
        <v>30</v>
      </c>
      <c r="C2599">
        <v>24</v>
      </c>
      <c r="D2599" s="649">
        <f ca="1">IF(E2599=4,INDEX(crude_exp_dist,MATCH(B2599,'Crude Exp Dist'!$B$6:$B$78,0),MATCH(C2599,'Crude Exp Dist'!$AD$2:$BC$2,0))*INDEX(crude_exp_by_year,MATCH(B2599,'Data Export'!$B$6:$B$78,0),1),IF(E2599=5,INDEX(ref_exp_dist,MATCH(B2599,'Refined Petro Exp Dist'!$B$6:$B$78,0),MATCH(C2599,'Refined Petro Exp Dist'!$AD$2:$BC$2,0))*INDEX(ref_exp_by_year,MATCH(B2599,'Data Export'!$B$6:$B$78,0),1)))</f>
        <v>0</v>
      </c>
      <c r="E2599">
        <v>5</v>
      </c>
      <c r="F2599" t="s">
        <v>239</v>
      </c>
    </row>
    <row r="2600" spans="1:6">
      <c r="A2600" t="str">
        <f t="shared" si="40"/>
        <v>GenericE&amp;DtemplateCIandGOA</v>
      </c>
      <c r="B2600">
        <v>30</v>
      </c>
      <c r="C2600">
        <v>25</v>
      </c>
      <c r="D2600" s="649">
        <f ca="1">IF(E2600=4,INDEX(crude_exp_dist,MATCH(B2600,'Crude Exp Dist'!$B$6:$B$78,0),MATCH(C2600,'Crude Exp Dist'!$AD$2:$BC$2,0))*INDEX(crude_exp_by_year,MATCH(B2600,'Data Export'!$B$6:$B$78,0),1),IF(E2600=5,INDEX(ref_exp_dist,MATCH(B2600,'Refined Petro Exp Dist'!$B$6:$B$78,0),MATCH(C2600,'Refined Petro Exp Dist'!$AD$2:$BC$2,0))*INDEX(ref_exp_by_year,MATCH(B2600,'Data Export'!$B$6:$B$78,0),1)))</f>
        <v>0</v>
      </c>
      <c r="E2600">
        <v>5</v>
      </c>
      <c r="F2600" t="s">
        <v>242</v>
      </c>
    </row>
    <row r="2601" spans="1:6">
      <c r="A2601" t="str">
        <f t="shared" si="40"/>
        <v>GenericE&amp;DtemplateCIandGOA</v>
      </c>
      <c r="B2601">
        <v>30</v>
      </c>
      <c r="C2601">
        <v>26</v>
      </c>
      <c r="D2601" s="649">
        <f ca="1">IF(E2601=4,INDEX(crude_exp_dist,MATCH(B2601,'Crude Exp Dist'!$B$6:$B$78,0),MATCH(C2601,'Crude Exp Dist'!$AD$2:$BC$2,0))*INDEX(crude_exp_by_year,MATCH(B2601,'Data Export'!$B$6:$B$78,0),1),IF(E2601=5,INDEX(ref_exp_dist,MATCH(B2601,'Refined Petro Exp Dist'!$B$6:$B$78,0),MATCH(C2601,'Refined Petro Exp Dist'!$AD$2:$BC$2,0))*INDEX(ref_exp_by_year,MATCH(B2601,'Data Export'!$B$6:$B$78,0),1)))</f>
        <v>0</v>
      </c>
      <c r="E2601">
        <v>5</v>
      </c>
      <c r="F2601" t="s">
        <v>245</v>
      </c>
    </row>
    <row r="2602" spans="1:6">
      <c r="A2602" t="str">
        <f t="shared" si="40"/>
        <v>GenericE&amp;DtemplateCIandGOA</v>
      </c>
      <c r="B2602">
        <v>31</v>
      </c>
      <c r="C2602">
        <v>1</v>
      </c>
      <c r="D2602" s="649">
        <f ca="1">IF(E2602=4,INDEX(crude_exp_dist,MATCH(B2602,'Crude Exp Dist'!$B$6:$B$78,0),MATCH(C2602,'Crude Exp Dist'!$AD$2:$BC$2,0))*INDEX(crude_exp_by_year,MATCH(B2602,'Data Export'!$B$6:$B$78,0),1),IF(E2602=5,INDEX(ref_exp_dist,MATCH(B2602,'Refined Petro Exp Dist'!$B$6:$B$78,0),MATCH(C2602,'Refined Petro Exp Dist'!$AD$2:$BC$2,0))*INDEX(ref_exp_by_year,MATCH(B2602,'Data Export'!$B$6:$B$78,0),1)))</f>
        <v>0</v>
      </c>
      <c r="E2602">
        <v>5</v>
      </c>
      <c r="F2602" t="s">
        <v>158</v>
      </c>
    </row>
    <row r="2603" spans="1:6">
      <c r="A2603" t="str">
        <f t="shared" si="40"/>
        <v>GenericE&amp;DtemplateCIandGOA</v>
      </c>
      <c r="B2603">
        <v>31</v>
      </c>
      <c r="C2603">
        <v>2</v>
      </c>
      <c r="D2603" s="649">
        <f ca="1">IF(E2603=4,INDEX(crude_exp_dist,MATCH(B2603,'Crude Exp Dist'!$B$6:$B$78,0),MATCH(C2603,'Crude Exp Dist'!$AD$2:$BC$2,0))*INDEX(crude_exp_by_year,MATCH(B2603,'Data Export'!$B$6:$B$78,0),1),IF(E2603=5,INDEX(ref_exp_dist,MATCH(B2603,'Refined Petro Exp Dist'!$B$6:$B$78,0),MATCH(C2603,'Refined Petro Exp Dist'!$AD$2:$BC$2,0))*INDEX(ref_exp_by_year,MATCH(B2603,'Data Export'!$B$6:$B$78,0),1)))</f>
        <v>0</v>
      </c>
      <c r="E2603">
        <v>5</v>
      </c>
      <c r="F2603" t="s">
        <v>166</v>
      </c>
    </row>
    <row r="2604" spans="1:6">
      <c r="A2604" t="str">
        <f t="shared" si="40"/>
        <v>GenericE&amp;DtemplateCIandGOA</v>
      </c>
      <c r="B2604">
        <v>31</v>
      </c>
      <c r="C2604">
        <v>3</v>
      </c>
      <c r="D2604" s="649">
        <f ca="1">IF(E2604=4,INDEX(crude_exp_dist,MATCH(B2604,'Crude Exp Dist'!$B$6:$B$78,0),MATCH(C2604,'Crude Exp Dist'!$AD$2:$BC$2,0))*INDEX(crude_exp_by_year,MATCH(B2604,'Data Export'!$B$6:$B$78,0),1),IF(E2604=5,INDEX(ref_exp_dist,MATCH(B2604,'Refined Petro Exp Dist'!$B$6:$B$78,0),MATCH(C2604,'Refined Petro Exp Dist'!$AD$2:$BC$2,0))*INDEX(ref_exp_by_year,MATCH(B2604,'Data Export'!$B$6:$B$78,0),1)))</f>
        <v>0</v>
      </c>
      <c r="E2604">
        <v>5</v>
      </c>
      <c r="F2604" t="s">
        <v>171</v>
      </c>
    </row>
    <row r="2605" spans="1:6">
      <c r="A2605" t="str">
        <f t="shared" si="40"/>
        <v>GenericE&amp;DtemplateCIandGOA</v>
      </c>
      <c r="B2605">
        <v>31</v>
      </c>
      <c r="C2605">
        <v>4</v>
      </c>
      <c r="D2605" s="649">
        <f ca="1">IF(E2605=4,INDEX(crude_exp_dist,MATCH(B2605,'Crude Exp Dist'!$B$6:$B$78,0),MATCH(C2605,'Crude Exp Dist'!$AD$2:$BC$2,0))*INDEX(crude_exp_by_year,MATCH(B2605,'Data Export'!$B$6:$B$78,0),1),IF(E2605=5,INDEX(ref_exp_dist,MATCH(B2605,'Refined Petro Exp Dist'!$B$6:$B$78,0),MATCH(C2605,'Refined Petro Exp Dist'!$AD$2:$BC$2,0))*INDEX(ref_exp_by_year,MATCH(B2605,'Data Export'!$B$6:$B$78,0),1)))</f>
        <v>0</v>
      </c>
      <c r="E2605">
        <v>5</v>
      </c>
      <c r="F2605" t="s">
        <v>173</v>
      </c>
    </row>
    <row r="2606" spans="1:6">
      <c r="A2606" t="str">
        <f t="shared" si="40"/>
        <v>GenericE&amp;DtemplateCIandGOA</v>
      </c>
      <c r="B2606">
        <v>31</v>
      </c>
      <c r="C2606">
        <v>5</v>
      </c>
      <c r="D2606" s="649">
        <f ca="1">IF(E2606=4,INDEX(crude_exp_dist,MATCH(B2606,'Crude Exp Dist'!$B$6:$B$78,0),MATCH(C2606,'Crude Exp Dist'!$AD$2:$BC$2,0))*INDEX(crude_exp_by_year,MATCH(B2606,'Data Export'!$B$6:$B$78,0),1),IF(E2606=5,INDEX(ref_exp_dist,MATCH(B2606,'Refined Petro Exp Dist'!$B$6:$B$78,0),MATCH(C2606,'Refined Petro Exp Dist'!$AD$2:$BC$2,0))*INDEX(ref_exp_by_year,MATCH(B2606,'Data Export'!$B$6:$B$78,0),1)))</f>
        <v>0</v>
      </c>
      <c r="E2606">
        <v>5</v>
      </c>
      <c r="F2606" t="s">
        <v>180</v>
      </c>
    </row>
    <row r="2607" spans="1:6">
      <c r="A2607" t="str">
        <f t="shared" si="40"/>
        <v>GenericE&amp;DtemplateCIandGOA</v>
      </c>
      <c r="B2607">
        <v>31</v>
      </c>
      <c r="C2607">
        <v>6</v>
      </c>
      <c r="D2607" s="649">
        <f ca="1">IF(E2607=4,INDEX(crude_exp_dist,MATCH(B2607,'Crude Exp Dist'!$B$6:$B$78,0),MATCH(C2607,'Crude Exp Dist'!$AD$2:$BC$2,0))*INDEX(crude_exp_by_year,MATCH(B2607,'Data Export'!$B$6:$B$78,0),1),IF(E2607=5,INDEX(ref_exp_dist,MATCH(B2607,'Refined Petro Exp Dist'!$B$6:$B$78,0),MATCH(C2607,'Refined Petro Exp Dist'!$AD$2:$BC$2,0))*INDEX(ref_exp_by_year,MATCH(B2607,'Data Export'!$B$6:$B$78,0),1)))</f>
        <v>0</v>
      </c>
      <c r="E2607">
        <v>5</v>
      </c>
      <c r="F2607" t="s">
        <v>186</v>
      </c>
    </row>
    <row r="2608" spans="1:6">
      <c r="A2608" t="str">
        <f t="shared" si="40"/>
        <v>GenericE&amp;DtemplateCIandGOA</v>
      </c>
      <c r="B2608">
        <v>31</v>
      </c>
      <c r="C2608">
        <v>7</v>
      </c>
      <c r="D2608" s="649">
        <f ca="1">IF(E2608=4,INDEX(crude_exp_dist,MATCH(B2608,'Crude Exp Dist'!$B$6:$B$78,0),MATCH(C2608,'Crude Exp Dist'!$AD$2:$BC$2,0))*INDEX(crude_exp_by_year,MATCH(B2608,'Data Export'!$B$6:$B$78,0),1),IF(E2608=5,INDEX(ref_exp_dist,MATCH(B2608,'Refined Petro Exp Dist'!$B$6:$B$78,0),MATCH(C2608,'Refined Petro Exp Dist'!$AD$2:$BC$2,0))*INDEX(ref_exp_by_year,MATCH(B2608,'Data Export'!$B$6:$B$78,0),1)))</f>
        <v>0</v>
      </c>
      <c r="E2608">
        <v>5</v>
      </c>
      <c r="F2608" t="s">
        <v>191</v>
      </c>
    </row>
    <row r="2609" spans="1:6">
      <c r="A2609" t="str">
        <f t="shared" si="40"/>
        <v>GenericE&amp;DtemplateCIandGOA</v>
      </c>
      <c r="B2609">
        <v>31</v>
      </c>
      <c r="C2609">
        <v>8</v>
      </c>
      <c r="D2609" s="649">
        <f ca="1">IF(E2609=4,INDEX(crude_exp_dist,MATCH(B2609,'Crude Exp Dist'!$B$6:$B$78,0),MATCH(C2609,'Crude Exp Dist'!$AD$2:$BC$2,0))*INDEX(crude_exp_by_year,MATCH(B2609,'Data Export'!$B$6:$B$78,0),1),IF(E2609=5,INDEX(ref_exp_dist,MATCH(B2609,'Refined Petro Exp Dist'!$B$6:$B$78,0),MATCH(C2609,'Refined Petro Exp Dist'!$AD$2:$BC$2,0))*INDEX(ref_exp_by_year,MATCH(B2609,'Data Export'!$B$6:$B$78,0),1)))</f>
        <v>0</v>
      </c>
      <c r="E2609">
        <v>5</v>
      </c>
      <c r="F2609" t="s">
        <v>197</v>
      </c>
    </row>
    <row r="2610" spans="1:6">
      <c r="A2610" t="str">
        <f t="shared" si="40"/>
        <v>GenericE&amp;DtemplateCIandGOA</v>
      </c>
      <c r="B2610">
        <v>31</v>
      </c>
      <c r="C2610">
        <v>9</v>
      </c>
      <c r="D2610" s="649">
        <f ca="1">IF(E2610=4,INDEX(crude_exp_dist,MATCH(B2610,'Crude Exp Dist'!$B$6:$B$78,0),MATCH(C2610,'Crude Exp Dist'!$AD$2:$BC$2,0))*INDEX(crude_exp_by_year,MATCH(B2610,'Data Export'!$B$6:$B$78,0),1),IF(E2610=5,INDEX(ref_exp_dist,MATCH(B2610,'Refined Petro Exp Dist'!$B$6:$B$78,0),MATCH(C2610,'Refined Petro Exp Dist'!$AD$2:$BC$2,0))*INDEX(ref_exp_by_year,MATCH(B2610,'Data Export'!$B$6:$B$78,0),1)))</f>
        <v>0</v>
      </c>
      <c r="E2610">
        <v>5</v>
      </c>
      <c r="F2610" t="s">
        <v>199</v>
      </c>
    </row>
    <row r="2611" spans="1:6">
      <c r="A2611" t="str">
        <f t="shared" si="40"/>
        <v>GenericE&amp;DtemplateCIandGOA</v>
      </c>
      <c r="B2611">
        <v>31</v>
      </c>
      <c r="C2611">
        <v>10</v>
      </c>
      <c r="D2611" s="649">
        <f ca="1">IF(E2611=4,INDEX(crude_exp_dist,MATCH(B2611,'Crude Exp Dist'!$B$6:$B$78,0),MATCH(C2611,'Crude Exp Dist'!$AD$2:$BC$2,0))*INDEX(crude_exp_by_year,MATCH(B2611,'Data Export'!$B$6:$B$78,0),1),IF(E2611=5,INDEX(ref_exp_dist,MATCH(B2611,'Refined Petro Exp Dist'!$B$6:$B$78,0),MATCH(C2611,'Refined Petro Exp Dist'!$AD$2:$BC$2,0))*INDEX(ref_exp_by_year,MATCH(B2611,'Data Export'!$B$6:$B$78,0),1)))</f>
        <v>0</v>
      </c>
      <c r="E2611">
        <v>5</v>
      </c>
      <c r="F2611" t="s">
        <v>201</v>
      </c>
    </row>
    <row r="2612" spans="1:6">
      <c r="A2612" t="str">
        <f t="shared" si="40"/>
        <v>GenericE&amp;DtemplateCIandGOA</v>
      </c>
      <c r="B2612">
        <v>31</v>
      </c>
      <c r="C2612">
        <v>11</v>
      </c>
      <c r="D2612" s="649">
        <f ca="1">IF(E2612=4,INDEX(crude_exp_dist,MATCH(B2612,'Crude Exp Dist'!$B$6:$B$78,0),MATCH(C2612,'Crude Exp Dist'!$AD$2:$BC$2,0))*INDEX(crude_exp_by_year,MATCH(B2612,'Data Export'!$B$6:$B$78,0),1),IF(E2612=5,INDEX(ref_exp_dist,MATCH(B2612,'Refined Petro Exp Dist'!$B$6:$B$78,0),MATCH(C2612,'Refined Petro Exp Dist'!$AD$2:$BC$2,0))*INDEX(ref_exp_by_year,MATCH(B2612,'Data Export'!$B$6:$B$78,0),1)))</f>
        <v>0</v>
      </c>
      <c r="E2612">
        <v>5</v>
      </c>
      <c r="F2612" t="s">
        <v>921</v>
      </c>
    </row>
    <row r="2613" spans="1:6">
      <c r="A2613" t="str">
        <f t="shared" si="40"/>
        <v>GenericE&amp;DtemplateCIandGOA</v>
      </c>
      <c r="B2613">
        <v>31</v>
      </c>
      <c r="C2613">
        <v>12</v>
      </c>
      <c r="D2613" s="649">
        <f ca="1">IF(E2613=4,INDEX(crude_exp_dist,MATCH(B2613,'Crude Exp Dist'!$B$6:$B$78,0),MATCH(C2613,'Crude Exp Dist'!$AD$2:$BC$2,0))*INDEX(crude_exp_by_year,MATCH(B2613,'Data Export'!$B$6:$B$78,0),1),IF(E2613=5,INDEX(ref_exp_dist,MATCH(B2613,'Refined Petro Exp Dist'!$B$6:$B$78,0),MATCH(C2613,'Refined Petro Exp Dist'!$AD$2:$BC$2,0))*INDEX(ref_exp_by_year,MATCH(B2613,'Data Export'!$B$6:$B$78,0),1)))</f>
        <v>0</v>
      </c>
      <c r="E2613">
        <v>5</v>
      </c>
      <c r="F2613" t="s">
        <v>208</v>
      </c>
    </row>
    <row r="2614" spans="1:6">
      <c r="A2614" t="str">
        <f t="shared" si="40"/>
        <v>GenericE&amp;DtemplateCIandGOA</v>
      </c>
      <c r="B2614">
        <v>31</v>
      </c>
      <c r="C2614">
        <v>13</v>
      </c>
      <c r="D2614" s="649">
        <f ca="1">IF(E2614=4,INDEX(crude_exp_dist,MATCH(B2614,'Crude Exp Dist'!$B$6:$B$78,0),MATCH(C2614,'Crude Exp Dist'!$AD$2:$BC$2,0))*INDEX(crude_exp_by_year,MATCH(B2614,'Data Export'!$B$6:$B$78,0),1),IF(E2614=5,INDEX(ref_exp_dist,MATCH(B2614,'Refined Petro Exp Dist'!$B$6:$B$78,0),MATCH(C2614,'Refined Petro Exp Dist'!$AD$2:$BC$2,0))*INDEX(ref_exp_by_year,MATCH(B2614,'Data Export'!$B$6:$B$78,0),1)))</f>
        <v>0</v>
      </c>
      <c r="E2614">
        <v>5</v>
      </c>
      <c r="F2614" t="s">
        <v>211</v>
      </c>
    </row>
    <row r="2615" spans="1:6">
      <c r="A2615" t="str">
        <f t="shared" si="40"/>
        <v>GenericE&amp;DtemplateCIandGOA</v>
      </c>
      <c r="B2615">
        <v>31</v>
      </c>
      <c r="C2615">
        <v>14</v>
      </c>
      <c r="D2615" s="649">
        <f ca="1">IF(E2615=4,INDEX(crude_exp_dist,MATCH(B2615,'Crude Exp Dist'!$B$6:$B$78,0),MATCH(C2615,'Crude Exp Dist'!$AD$2:$BC$2,0))*INDEX(crude_exp_by_year,MATCH(B2615,'Data Export'!$B$6:$B$78,0),1),IF(E2615=5,INDEX(ref_exp_dist,MATCH(B2615,'Refined Petro Exp Dist'!$B$6:$B$78,0),MATCH(C2615,'Refined Petro Exp Dist'!$AD$2:$BC$2,0))*INDEX(ref_exp_by_year,MATCH(B2615,'Data Export'!$B$6:$B$78,0),1)))</f>
        <v>0</v>
      </c>
      <c r="E2615">
        <v>5</v>
      </c>
      <c r="F2615" t="s">
        <v>213</v>
      </c>
    </row>
    <row r="2616" spans="1:6">
      <c r="A2616" t="str">
        <f t="shared" si="40"/>
        <v>GenericE&amp;DtemplateCIandGOA</v>
      </c>
      <c r="B2616">
        <v>31</v>
      </c>
      <c r="C2616">
        <v>15</v>
      </c>
      <c r="D2616" s="649">
        <f ca="1">IF(E2616=4,INDEX(crude_exp_dist,MATCH(B2616,'Crude Exp Dist'!$B$6:$B$78,0),MATCH(C2616,'Crude Exp Dist'!$AD$2:$BC$2,0))*INDEX(crude_exp_by_year,MATCH(B2616,'Data Export'!$B$6:$B$78,0),1),IF(E2616=5,INDEX(ref_exp_dist,MATCH(B2616,'Refined Petro Exp Dist'!$B$6:$B$78,0),MATCH(C2616,'Refined Petro Exp Dist'!$AD$2:$BC$2,0))*INDEX(ref_exp_by_year,MATCH(B2616,'Data Export'!$B$6:$B$78,0),1)))</f>
        <v>0</v>
      </c>
      <c r="E2616">
        <v>5</v>
      </c>
      <c r="F2616" t="s">
        <v>215</v>
      </c>
    </row>
    <row r="2617" spans="1:6">
      <c r="A2617" t="str">
        <f t="shared" si="40"/>
        <v>GenericE&amp;DtemplateCIandGOA</v>
      </c>
      <c r="B2617">
        <v>31</v>
      </c>
      <c r="C2617">
        <v>16</v>
      </c>
      <c r="D2617" s="649">
        <f ca="1">IF(E2617=4,INDEX(crude_exp_dist,MATCH(B2617,'Crude Exp Dist'!$B$6:$B$78,0),MATCH(C2617,'Crude Exp Dist'!$AD$2:$BC$2,0))*INDEX(crude_exp_by_year,MATCH(B2617,'Data Export'!$B$6:$B$78,0),1),IF(E2617=5,INDEX(ref_exp_dist,MATCH(B2617,'Refined Petro Exp Dist'!$B$6:$B$78,0),MATCH(C2617,'Refined Petro Exp Dist'!$AD$2:$BC$2,0))*INDEX(ref_exp_by_year,MATCH(B2617,'Data Export'!$B$6:$B$78,0),1)))</f>
        <v>0</v>
      </c>
      <c r="E2617">
        <v>5</v>
      </c>
      <c r="F2617" t="s">
        <v>219</v>
      </c>
    </row>
    <row r="2618" spans="1:6">
      <c r="A2618" t="str">
        <f t="shared" si="40"/>
        <v>GenericE&amp;DtemplateCIandGOA</v>
      </c>
      <c r="B2618">
        <v>31</v>
      </c>
      <c r="C2618">
        <v>17</v>
      </c>
      <c r="D2618" s="649">
        <f ca="1">IF(E2618=4,INDEX(crude_exp_dist,MATCH(B2618,'Crude Exp Dist'!$B$6:$B$78,0),MATCH(C2618,'Crude Exp Dist'!$AD$2:$BC$2,0))*INDEX(crude_exp_by_year,MATCH(B2618,'Data Export'!$B$6:$B$78,0),1),IF(E2618=5,INDEX(ref_exp_dist,MATCH(B2618,'Refined Petro Exp Dist'!$B$6:$B$78,0),MATCH(C2618,'Refined Petro Exp Dist'!$AD$2:$BC$2,0))*INDEX(ref_exp_by_year,MATCH(B2618,'Data Export'!$B$6:$B$78,0),1)))</f>
        <v>0</v>
      </c>
      <c r="E2618">
        <v>5</v>
      </c>
      <c r="F2618" t="s">
        <v>222</v>
      </c>
    </row>
    <row r="2619" spans="1:6">
      <c r="A2619" t="str">
        <f t="shared" si="40"/>
        <v>GenericE&amp;DtemplateCIandGOA</v>
      </c>
      <c r="B2619">
        <v>31</v>
      </c>
      <c r="C2619">
        <v>18</v>
      </c>
      <c r="D2619" s="649">
        <f ca="1">IF(E2619=4,INDEX(crude_exp_dist,MATCH(B2619,'Crude Exp Dist'!$B$6:$B$78,0),MATCH(C2619,'Crude Exp Dist'!$AD$2:$BC$2,0))*INDEX(crude_exp_by_year,MATCH(B2619,'Data Export'!$B$6:$B$78,0),1),IF(E2619=5,INDEX(ref_exp_dist,MATCH(B2619,'Refined Petro Exp Dist'!$B$6:$B$78,0),MATCH(C2619,'Refined Petro Exp Dist'!$AD$2:$BC$2,0))*INDEX(ref_exp_by_year,MATCH(B2619,'Data Export'!$B$6:$B$78,0),1)))</f>
        <v>0</v>
      </c>
      <c r="E2619">
        <v>5</v>
      </c>
      <c r="F2619" t="s">
        <v>224</v>
      </c>
    </row>
    <row r="2620" spans="1:6">
      <c r="A2620" t="str">
        <f t="shared" si="40"/>
        <v>GenericE&amp;DtemplateCIandGOA</v>
      </c>
      <c r="B2620">
        <v>31</v>
      </c>
      <c r="C2620">
        <v>19</v>
      </c>
      <c r="D2620" s="649">
        <f ca="1">IF(E2620=4,INDEX(crude_exp_dist,MATCH(B2620,'Crude Exp Dist'!$B$6:$B$78,0),MATCH(C2620,'Crude Exp Dist'!$AD$2:$BC$2,0))*INDEX(crude_exp_by_year,MATCH(B2620,'Data Export'!$B$6:$B$78,0),1),IF(E2620=5,INDEX(ref_exp_dist,MATCH(B2620,'Refined Petro Exp Dist'!$B$6:$B$78,0),MATCH(C2620,'Refined Petro Exp Dist'!$AD$2:$BC$2,0))*INDEX(ref_exp_by_year,MATCH(B2620,'Data Export'!$B$6:$B$78,0),1)))</f>
        <v>0</v>
      </c>
      <c r="E2620">
        <v>5</v>
      </c>
      <c r="F2620" t="s">
        <v>228</v>
      </c>
    </row>
    <row r="2621" spans="1:6">
      <c r="A2621" t="str">
        <f t="shared" si="40"/>
        <v>GenericE&amp;DtemplateCIandGOA</v>
      </c>
      <c r="B2621">
        <v>31</v>
      </c>
      <c r="C2621">
        <v>20</v>
      </c>
      <c r="D2621" s="649">
        <f ca="1">IF(E2621=4,INDEX(crude_exp_dist,MATCH(B2621,'Crude Exp Dist'!$B$6:$B$78,0),MATCH(C2621,'Crude Exp Dist'!$AD$2:$BC$2,0))*INDEX(crude_exp_by_year,MATCH(B2621,'Data Export'!$B$6:$B$78,0),1),IF(E2621=5,INDEX(ref_exp_dist,MATCH(B2621,'Refined Petro Exp Dist'!$B$6:$B$78,0),MATCH(C2621,'Refined Petro Exp Dist'!$AD$2:$BC$2,0))*INDEX(ref_exp_by_year,MATCH(B2621,'Data Export'!$B$6:$B$78,0),1)))</f>
        <v>0</v>
      </c>
      <c r="E2621">
        <v>5</v>
      </c>
      <c r="F2621" t="s">
        <v>231</v>
      </c>
    </row>
    <row r="2622" spans="1:6">
      <c r="A2622" t="str">
        <f t="shared" si="40"/>
        <v>GenericE&amp;DtemplateCIandGOA</v>
      </c>
      <c r="B2622">
        <v>31</v>
      </c>
      <c r="C2622">
        <v>21</v>
      </c>
      <c r="D2622" s="649">
        <f ca="1">IF(E2622=4,INDEX(crude_exp_dist,MATCH(B2622,'Crude Exp Dist'!$B$6:$B$78,0),MATCH(C2622,'Crude Exp Dist'!$AD$2:$BC$2,0))*INDEX(crude_exp_by_year,MATCH(B2622,'Data Export'!$B$6:$B$78,0),1),IF(E2622=5,INDEX(ref_exp_dist,MATCH(B2622,'Refined Petro Exp Dist'!$B$6:$B$78,0),MATCH(C2622,'Refined Petro Exp Dist'!$AD$2:$BC$2,0))*INDEX(ref_exp_by_year,MATCH(B2622,'Data Export'!$B$6:$B$78,0),1)))</f>
        <v>0</v>
      </c>
      <c r="E2622">
        <v>5</v>
      </c>
      <c r="F2622" t="s">
        <v>232</v>
      </c>
    </row>
    <row r="2623" spans="1:6">
      <c r="A2623" t="str">
        <f t="shared" si="40"/>
        <v>GenericE&amp;DtemplateCIandGOA</v>
      </c>
      <c r="B2623">
        <v>31</v>
      </c>
      <c r="C2623">
        <v>22</v>
      </c>
      <c r="D2623" s="649">
        <f ca="1">IF(E2623=4,INDEX(crude_exp_dist,MATCH(B2623,'Crude Exp Dist'!$B$6:$B$78,0),MATCH(C2623,'Crude Exp Dist'!$AD$2:$BC$2,0))*INDEX(crude_exp_by_year,MATCH(B2623,'Data Export'!$B$6:$B$78,0),1),IF(E2623=5,INDEX(ref_exp_dist,MATCH(B2623,'Refined Petro Exp Dist'!$B$6:$B$78,0),MATCH(C2623,'Refined Petro Exp Dist'!$AD$2:$BC$2,0))*INDEX(ref_exp_by_year,MATCH(B2623,'Data Export'!$B$6:$B$78,0),1)))</f>
        <v>0</v>
      </c>
      <c r="E2623">
        <v>5</v>
      </c>
      <c r="F2623" t="s">
        <v>235</v>
      </c>
    </row>
    <row r="2624" spans="1:6">
      <c r="A2624" t="str">
        <f t="shared" si="40"/>
        <v>GenericE&amp;DtemplateCIandGOA</v>
      </c>
      <c r="B2624">
        <v>31</v>
      </c>
      <c r="C2624">
        <v>23</v>
      </c>
      <c r="D2624" s="649">
        <f ca="1">IF(E2624=4,INDEX(crude_exp_dist,MATCH(B2624,'Crude Exp Dist'!$B$6:$B$78,0),MATCH(C2624,'Crude Exp Dist'!$AD$2:$BC$2,0))*INDEX(crude_exp_by_year,MATCH(B2624,'Data Export'!$B$6:$B$78,0),1),IF(E2624=5,INDEX(ref_exp_dist,MATCH(B2624,'Refined Petro Exp Dist'!$B$6:$B$78,0),MATCH(C2624,'Refined Petro Exp Dist'!$AD$2:$BC$2,0))*INDEX(ref_exp_by_year,MATCH(B2624,'Data Export'!$B$6:$B$78,0),1)))</f>
        <v>0</v>
      </c>
      <c r="E2624">
        <v>5</v>
      </c>
      <c r="F2624" t="s">
        <v>237</v>
      </c>
    </row>
    <row r="2625" spans="1:6">
      <c r="A2625" t="str">
        <f t="shared" si="40"/>
        <v>GenericE&amp;DtemplateCIandGOA</v>
      </c>
      <c r="B2625">
        <v>31</v>
      </c>
      <c r="C2625">
        <v>24</v>
      </c>
      <c r="D2625" s="649">
        <f ca="1">IF(E2625=4,INDEX(crude_exp_dist,MATCH(B2625,'Crude Exp Dist'!$B$6:$B$78,0),MATCH(C2625,'Crude Exp Dist'!$AD$2:$BC$2,0))*INDEX(crude_exp_by_year,MATCH(B2625,'Data Export'!$B$6:$B$78,0),1),IF(E2625=5,INDEX(ref_exp_dist,MATCH(B2625,'Refined Petro Exp Dist'!$B$6:$B$78,0),MATCH(C2625,'Refined Petro Exp Dist'!$AD$2:$BC$2,0))*INDEX(ref_exp_by_year,MATCH(B2625,'Data Export'!$B$6:$B$78,0),1)))</f>
        <v>0</v>
      </c>
      <c r="E2625">
        <v>5</v>
      </c>
      <c r="F2625" t="s">
        <v>239</v>
      </c>
    </row>
    <row r="2626" spans="1:6">
      <c r="A2626" t="str">
        <f t="shared" ref="A2626:A2689" si="41">scenario_name</f>
        <v>GenericE&amp;DtemplateCIandGOA</v>
      </c>
      <c r="B2626">
        <v>31</v>
      </c>
      <c r="C2626">
        <v>25</v>
      </c>
      <c r="D2626" s="649">
        <f ca="1">IF(E2626=4,INDEX(crude_exp_dist,MATCH(B2626,'Crude Exp Dist'!$B$6:$B$78,0),MATCH(C2626,'Crude Exp Dist'!$AD$2:$BC$2,0))*INDEX(crude_exp_by_year,MATCH(B2626,'Data Export'!$B$6:$B$78,0),1),IF(E2626=5,INDEX(ref_exp_dist,MATCH(B2626,'Refined Petro Exp Dist'!$B$6:$B$78,0),MATCH(C2626,'Refined Petro Exp Dist'!$AD$2:$BC$2,0))*INDEX(ref_exp_by_year,MATCH(B2626,'Data Export'!$B$6:$B$78,0),1)))</f>
        <v>0</v>
      </c>
      <c r="E2626">
        <v>5</v>
      </c>
      <c r="F2626" t="s">
        <v>242</v>
      </c>
    </row>
    <row r="2627" spans="1:6">
      <c r="A2627" t="str">
        <f t="shared" si="41"/>
        <v>GenericE&amp;DtemplateCIandGOA</v>
      </c>
      <c r="B2627">
        <v>31</v>
      </c>
      <c r="C2627">
        <v>26</v>
      </c>
      <c r="D2627" s="649">
        <f ca="1">IF(E2627=4,INDEX(crude_exp_dist,MATCH(B2627,'Crude Exp Dist'!$B$6:$B$78,0),MATCH(C2627,'Crude Exp Dist'!$AD$2:$BC$2,0))*INDEX(crude_exp_by_year,MATCH(B2627,'Data Export'!$B$6:$B$78,0),1),IF(E2627=5,INDEX(ref_exp_dist,MATCH(B2627,'Refined Petro Exp Dist'!$B$6:$B$78,0),MATCH(C2627,'Refined Petro Exp Dist'!$AD$2:$BC$2,0))*INDEX(ref_exp_by_year,MATCH(B2627,'Data Export'!$B$6:$B$78,0),1)))</f>
        <v>0</v>
      </c>
      <c r="E2627">
        <v>5</v>
      </c>
      <c r="F2627" t="s">
        <v>245</v>
      </c>
    </row>
    <row r="2628" spans="1:6">
      <c r="A2628" t="str">
        <f t="shared" si="41"/>
        <v>GenericE&amp;DtemplateCIandGOA</v>
      </c>
      <c r="B2628">
        <v>32</v>
      </c>
      <c r="C2628">
        <v>1</v>
      </c>
      <c r="D2628" s="649">
        <f ca="1">IF(E2628=4,INDEX(crude_exp_dist,MATCH(B2628,'Crude Exp Dist'!$B$6:$B$78,0),MATCH(C2628,'Crude Exp Dist'!$AD$2:$BC$2,0))*INDEX(crude_exp_by_year,MATCH(B2628,'Data Export'!$B$6:$B$78,0),1),IF(E2628=5,INDEX(ref_exp_dist,MATCH(B2628,'Refined Petro Exp Dist'!$B$6:$B$78,0),MATCH(C2628,'Refined Petro Exp Dist'!$AD$2:$BC$2,0))*INDEX(ref_exp_by_year,MATCH(B2628,'Data Export'!$B$6:$B$78,0),1)))</f>
        <v>0</v>
      </c>
      <c r="E2628">
        <v>5</v>
      </c>
      <c r="F2628" t="s">
        <v>158</v>
      </c>
    </row>
    <row r="2629" spans="1:6">
      <c r="A2629" t="str">
        <f t="shared" si="41"/>
        <v>GenericE&amp;DtemplateCIandGOA</v>
      </c>
      <c r="B2629">
        <v>32</v>
      </c>
      <c r="C2629">
        <v>2</v>
      </c>
      <c r="D2629" s="649">
        <f ca="1">IF(E2629=4,INDEX(crude_exp_dist,MATCH(B2629,'Crude Exp Dist'!$B$6:$B$78,0),MATCH(C2629,'Crude Exp Dist'!$AD$2:$BC$2,0))*INDEX(crude_exp_by_year,MATCH(B2629,'Data Export'!$B$6:$B$78,0),1),IF(E2629=5,INDEX(ref_exp_dist,MATCH(B2629,'Refined Petro Exp Dist'!$B$6:$B$78,0),MATCH(C2629,'Refined Petro Exp Dist'!$AD$2:$BC$2,0))*INDEX(ref_exp_by_year,MATCH(B2629,'Data Export'!$B$6:$B$78,0),1)))</f>
        <v>0</v>
      </c>
      <c r="E2629">
        <v>5</v>
      </c>
      <c r="F2629" t="s">
        <v>166</v>
      </c>
    </row>
    <row r="2630" spans="1:6">
      <c r="A2630" t="str">
        <f t="shared" si="41"/>
        <v>GenericE&amp;DtemplateCIandGOA</v>
      </c>
      <c r="B2630">
        <v>32</v>
      </c>
      <c r="C2630">
        <v>3</v>
      </c>
      <c r="D2630" s="649">
        <f ca="1">IF(E2630=4,INDEX(crude_exp_dist,MATCH(B2630,'Crude Exp Dist'!$B$6:$B$78,0),MATCH(C2630,'Crude Exp Dist'!$AD$2:$BC$2,0))*INDEX(crude_exp_by_year,MATCH(B2630,'Data Export'!$B$6:$B$78,0),1),IF(E2630=5,INDEX(ref_exp_dist,MATCH(B2630,'Refined Petro Exp Dist'!$B$6:$B$78,0),MATCH(C2630,'Refined Petro Exp Dist'!$AD$2:$BC$2,0))*INDEX(ref_exp_by_year,MATCH(B2630,'Data Export'!$B$6:$B$78,0),1)))</f>
        <v>0</v>
      </c>
      <c r="E2630">
        <v>5</v>
      </c>
      <c r="F2630" t="s">
        <v>171</v>
      </c>
    </row>
    <row r="2631" spans="1:6">
      <c r="A2631" t="str">
        <f t="shared" si="41"/>
        <v>GenericE&amp;DtemplateCIandGOA</v>
      </c>
      <c r="B2631">
        <v>32</v>
      </c>
      <c r="C2631">
        <v>4</v>
      </c>
      <c r="D2631" s="649">
        <f ca="1">IF(E2631=4,INDEX(crude_exp_dist,MATCH(B2631,'Crude Exp Dist'!$B$6:$B$78,0),MATCH(C2631,'Crude Exp Dist'!$AD$2:$BC$2,0))*INDEX(crude_exp_by_year,MATCH(B2631,'Data Export'!$B$6:$B$78,0),1),IF(E2631=5,INDEX(ref_exp_dist,MATCH(B2631,'Refined Petro Exp Dist'!$B$6:$B$78,0),MATCH(C2631,'Refined Petro Exp Dist'!$AD$2:$BC$2,0))*INDEX(ref_exp_by_year,MATCH(B2631,'Data Export'!$B$6:$B$78,0),1)))</f>
        <v>0</v>
      </c>
      <c r="E2631">
        <v>5</v>
      </c>
      <c r="F2631" t="s">
        <v>173</v>
      </c>
    </row>
    <row r="2632" spans="1:6">
      <c r="A2632" t="str">
        <f t="shared" si="41"/>
        <v>GenericE&amp;DtemplateCIandGOA</v>
      </c>
      <c r="B2632">
        <v>32</v>
      </c>
      <c r="C2632">
        <v>5</v>
      </c>
      <c r="D2632" s="649">
        <f ca="1">IF(E2632=4,INDEX(crude_exp_dist,MATCH(B2632,'Crude Exp Dist'!$B$6:$B$78,0),MATCH(C2632,'Crude Exp Dist'!$AD$2:$BC$2,0))*INDEX(crude_exp_by_year,MATCH(B2632,'Data Export'!$B$6:$B$78,0),1),IF(E2632=5,INDEX(ref_exp_dist,MATCH(B2632,'Refined Petro Exp Dist'!$B$6:$B$78,0),MATCH(C2632,'Refined Petro Exp Dist'!$AD$2:$BC$2,0))*INDEX(ref_exp_by_year,MATCH(B2632,'Data Export'!$B$6:$B$78,0),1)))</f>
        <v>0</v>
      </c>
      <c r="E2632">
        <v>5</v>
      </c>
      <c r="F2632" t="s">
        <v>180</v>
      </c>
    </row>
    <row r="2633" spans="1:6">
      <c r="A2633" t="str">
        <f t="shared" si="41"/>
        <v>GenericE&amp;DtemplateCIandGOA</v>
      </c>
      <c r="B2633">
        <v>32</v>
      </c>
      <c r="C2633">
        <v>6</v>
      </c>
      <c r="D2633" s="649">
        <f ca="1">IF(E2633=4,INDEX(crude_exp_dist,MATCH(B2633,'Crude Exp Dist'!$B$6:$B$78,0),MATCH(C2633,'Crude Exp Dist'!$AD$2:$BC$2,0))*INDEX(crude_exp_by_year,MATCH(B2633,'Data Export'!$B$6:$B$78,0),1),IF(E2633=5,INDEX(ref_exp_dist,MATCH(B2633,'Refined Petro Exp Dist'!$B$6:$B$78,0),MATCH(C2633,'Refined Petro Exp Dist'!$AD$2:$BC$2,0))*INDEX(ref_exp_by_year,MATCH(B2633,'Data Export'!$B$6:$B$78,0),1)))</f>
        <v>0</v>
      </c>
      <c r="E2633">
        <v>5</v>
      </c>
      <c r="F2633" t="s">
        <v>186</v>
      </c>
    </row>
    <row r="2634" spans="1:6">
      <c r="A2634" t="str">
        <f t="shared" si="41"/>
        <v>GenericE&amp;DtemplateCIandGOA</v>
      </c>
      <c r="B2634">
        <v>32</v>
      </c>
      <c r="C2634">
        <v>7</v>
      </c>
      <c r="D2634" s="649">
        <f ca="1">IF(E2634=4,INDEX(crude_exp_dist,MATCH(B2634,'Crude Exp Dist'!$B$6:$B$78,0),MATCH(C2634,'Crude Exp Dist'!$AD$2:$BC$2,0))*INDEX(crude_exp_by_year,MATCH(B2634,'Data Export'!$B$6:$B$78,0),1),IF(E2634=5,INDEX(ref_exp_dist,MATCH(B2634,'Refined Petro Exp Dist'!$B$6:$B$78,0),MATCH(C2634,'Refined Petro Exp Dist'!$AD$2:$BC$2,0))*INDEX(ref_exp_by_year,MATCH(B2634,'Data Export'!$B$6:$B$78,0),1)))</f>
        <v>0</v>
      </c>
      <c r="E2634">
        <v>5</v>
      </c>
      <c r="F2634" t="s">
        <v>191</v>
      </c>
    </row>
    <row r="2635" spans="1:6">
      <c r="A2635" t="str">
        <f t="shared" si="41"/>
        <v>GenericE&amp;DtemplateCIandGOA</v>
      </c>
      <c r="B2635">
        <v>32</v>
      </c>
      <c r="C2635">
        <v>8</v>
      </c>
      <c r="D2635" s="649">
        <f ca="1">IF(E2635=4,INDEX(crude_exp_dist,MATCH(B2635,'Crude Exp Dist'!$B$6:$B$78,0),MATCH(C2635,'Crude Exp Dist'!$AD$2:$BC$2,0))*INDEX(crude_exp_by_year,MATCH(B2635,'Data Export'!$B$6:$B$78,0),1),IF(E2635=5,INDEX(ref_exp_dist,MATCH(B2635,'Refined Petro Exp Dist'!$B$6:$B$78,0),MATCH(C2635,'Refined Petro Exp Dist'!$AD$2:$BC$2,0))*INDEX(ref_exp_by_year,MATCH(B2635,'Data Export'!$B$6:$B$78,0),1)))</f>
        <v>0</v>
      </c>
      <c r="E2635">
        <v>5</v>
      </c>
      <c r="F2635" t="s">
        <v>197</v>
      </c>
    </row>
    <row r="2636" spans="1:6">
      <c r="A2636" t="str">
        <f t="shared" si="41"/>
        <v>GenericE&amp;DtemplateCIandGOA</v>
      </c>
      <c r="B2636">
        <v>32</v>
      </c>
      <c r="C2636">
        <v>9</v>
      </c>
      <c r="D2636" s="649">
        <f ca="1">IF(E2636=4,INDEX(crude_exp_dist,MATCH(B2636,'Crude Exp Dist'!$B$6:$B$78,0),MATCH(C2636,'Crude Exp Dist'!$AD$2:$BC$2,0))*INDEX(crude_exp_by_year,MATCH(B2636,'Data Export'!$B$6:$B$78,0),1),IF(E2636=5,INDEX(ref_exp_dist,MATCH(B2636,'Refined Petro Exp Dist'!$B$6:$B$78,0),MATCH(C2636,'Refined Petro Exp Dist'!$AD$2:$BC$2,0))*INDEX(ref_exp_by_year,MATCH(B2636,'Data Export'!$B$6:$B$78,0),1)))</f>
        <v>0</v>
      </c>
      <c r="E2636">
        <v>5</v>
      </c>
      <c r="F2636" t="s">
        <v>199</v>
      </c>
    </row>
    <row r="2637" spans="1:6">
      <c r="A2637" t="str">
        <f t="shared" si="41"/>
        <v>GenericE&amp;DtemplateCIandGOA</v>
      </c>
      <c r="B2637">
        <v>32</v>
      </c>
      <c r="C2637">
        <v>10</v>
      </c>
      <c r="D2637" s="649">
        <f ca="1">IF(E2637=4,INDEX(crude_exp_dist,MATCH(B2637,'Crude Exp Dist'!$B$6:$B$78,0),MATCH(C2637,'Crude Exp Dist'!$AD$2:$BC$2,0))*INDEX(crude_exp_by_year,MATCH(B2637,'Data Export'!$B$6:$B$78,0),1),IF(E2637=5,INDEX(ref_exp_dist,MATCH(B2637,'Refined Petro Exp Dist'!$B$6:$B$78,0),MATCH(C2637,'Refined Petro Exp Dist'!$AD$2:$BC$2,0))*INDEX(ref_exp_by_year,MATCH(B2637,'Data Export'!$B$6:$B$78,0),1)))</f>
        <v>0</v>
      </c>
      <c r="E2637">
        <v>5</v>
      </c>
      <c r="F2637" t="s">
        <v>201</v>
      </c>
    </row>
    <row r="2638" spans="1:6">
      <c r="A2638" t="str">
        <f t="shared" si="41"/>
        <v>GenericE&amp;DtemplateCIandGOA</v>
      </c>
      <c r="B2638">
        <v>32</v>
      </c>
      <c r="C2638">
        <v>11</v>
      </c>
      <c r="D2638" s="649">
        <f ca="1">IF(E2638=4,INDEX(crude_exp_dist,MATCH(B2638,'Crude Exp Dist'!$B$6:$B$78,0),MATCH(C2638,'Crude Exp Dist'!$AD$2:$BC$2,0))*INDEX(crude_exp_by_year,MATCH(B2638,'Data Export'!$B$6:$B$78,0),1),IF(E2638=5,INDEX(ref_exp_dist,MATCH(B2638,'Refined Petro Exp Dist'!$B$6:$B$78,0),MATCH(C2638,'Refined Petro Exp Dist'!$AD$2:$BC$2,0))*INDEX(ref_exp_by_year,MATCH(B2638,'Data Export'!$B$6:$B$78,0),1)))</f>
        <v>0</v>
      </c>
      <c r="E2638">
        <v>5</v>
      </c>
      <c r="F2638" t="s">
        <v>921</v>
      </c>
    </row>
    <row r="2639" spans="1:6">
      <c r="A2639" t="str">
        <f t="shared" si="41"/>
        <v>GenericE&amp;DtemplateCIandGOA</v>
      </c>
      <c r="B2639">
        <v>32</v>
      </c>
      <c r="C2639">
        <v>12</v>
      </c>
      <c r="D2639" s="649">
        <f ca="1">IF(E2639=4,INDEX(crude_exp_dist,MATCH(B2639,'Crude Exp Dist'!$B$6:$B$78,0),MATCH(C2639,'Crude Exp Dist'!$AD$2:$BC$2,0))*INDEX(crude_exp_by_year,MATCH(B2639,'Data Export'!$B$6:$B$78,0),1),IF(E2639=5,INDEX(ref_exp_dist,MATCH(B2639,'Refined Petro Exp Dist'!$B$6:$B$78,0),MATCH(C2639,'Refined Petro Exp Dist'!$AD$2:$BC$2,0))*INDEX(ref_exp_by_year,MATCH(B2639,'Data Export'!$B$6:$B$78,0),1)))</f>
        <v>0</v>
      </c>
      <c r="E2639">
        <v>5</v>
      </c>
      <c r="F2639" t="s">
        <v>208</v>
      </c>
    </row>
    <row r="2640" spans="1:6">
      <c r="A2640" t="str">
        <f t="shared" si="41"/>
        <v>GenericE&amp;DtemplateCIandGOA</v>
      </c>
      <c r="B2640">
        <v>32</v>
      </c>
      <c r="C2640">
        <v>13</v>
      </c>
      <c r="D2640" s="649">
        <f ca="1">IF(E2640=4,INDEX(crude_exp_dist,MATCH(B2640,'Crude Exp Dist'!$B$6:$B$78,0),MATCH(C2640,'Crude Exp Dist'!$AD$2:$BC$2,0))*INDEX(crude_exp_by_year,MATCH(B2640,'Data Export'!$B$6:$B$78,0),1),IF(E2640=5,INDEX(ref_exp_dist,MATCH(B2640,'Refined Petro Exp Dist'!$B$6:$B$78,0),MATCH(C2640,'Refined Petro Exp Dist'!$AD$2:$BC$2,0))*INDEX(ref_exp_by_year,MATCH(B2640,'Data Export'!$B$6:$B$78,0),1)))</f>
        <v>0</v>
      </c>
      <c r="E2640">
        <v>5</v>
      </c>
      <c r="F2640" t="s">
        <v>211</v>
      </c>
    </row>
    <row r="2641" spans="1:6">
      <c r="A2641" t="str">
        <f t="shared" si="41"/>
        <v>GenericE&amp;DtemplateCIandGOA</v>
      </c>
      <c r="B2641">
        <v>32</v>
      </c>
      <c r="C2641">
        <v>14</v>
      </c>
      <c r="D2641" s="649">
        <f ca="1">IF(E2641=4,INDEX(crude_exp_dist,MATCH(B2641,'Crude Exp Dist'!$B$6:$B$78,0),MATCH(C2641,'Crude Exp Dist'!$AD$2:$BC$2,0))*INDEX(crude_exp_by_year,MATCH(B2641,'Data Export'!$B$6:$B$78,0),1),IF(E2641=5,INDEX(ref_exp_dist,MATCH(B2641,'Refined Petro Exp Dist'!$B$6:$B$78,0),MATCH(C2641,'Refined Petro Exp Dist'!$AD$2:$BC$2,0))*INDEX(ref_exp_by_year,MATCH(B2641,'Data Export'!$B$6:$B$78,0),1)))</f>
        <v>0</v>
      </c>
      <c r="E2641">
        <v>5</v>
      </c>
      <c r="F2641" t="s">
        <v>213</v>
      </c>
    </row>
    <row r="2642" spans="1:6">
      <c r="A2642" t="str">
        <f t="shared" si="41"/>
        <v>GenericE&amp;DtemplateCIandGOA</v>
      </c>
      <c r="B2642">
        <v>32</v>
      </c>
      <c r="C2642">
        <v>15</v>
      </c>
      <c r="D2642" s="649">
        <f ca="1">IF(E2642=4,INDEX(crude_exp_dist,MATCH(B2642,'Crude Exp Dist'!$B$6:$B$78,0),MATCH(C2642,'Crude Exp Dist'!$AD$2:$BC$2,0))*INDEX(crude_exp_by_year,MATCH(B2642,'Data Export'!$B$6:$B$78,0),1),IF(E2642=5,INDEX(ref_exp_dist,MATCH(B2642,'Refined Petro Exp Dist'!$B$6:$B$78,0),MATCH(C2642,'Refined Petro Exp Dist'!$AD$2:$BC$2,0))*INDEX(ref_exp_by_year,MATCH(B2642,'Data Export'!$B$6:$B$78,0),1)))</f>
        <v>0</v>
      </c>
      <c r="E2642">
        <v>5</v>
      </c>
      <c r="F2642" t="s">
        <v>215</v>
      </c>
    </row>
    <row r="2643" spans="1:6">
      <c r="A2643" t="str">
        <f t="shared" si="41"/>
        <v>GenericE&amp;DtemplateCIandGOA</v>
      </c>
      <c r="B2643">
        <v>32</v>
      </c>
      <c r="C2643">
        <v>16</v>
      </c>
      <c r="D2643" s="649">
        <f ca="1">IF(E2643=4,INDEX(crude_exp_dist,MATCH(B2643,'Crude Exp Dist'!$B$6:$B$78,0),MATCH(C2643,'Crude Exp Dist'!$AD$2:$BC$2,0))*INDEX(crude_exp_by_year,MATCH(B2643,'Data Export'!$B$6:$B$78,0),1),IF(E2643=5,INDEX(ref_exp_dist,MATCH(B2643,'Refined Petro Exp Dist'!$B$6:$B$78,0),MATCH(C2643,'Refined Petro Exp Dist'!$AD$2:$BC$2,0))*INDEX(ref_exp_by_year,MATCH(B2643,'Data Export'!$B$6:$B$78,0),1)))</f>
        <v>0</v>
      </c>
      <c r="E2643">
        <v>5</v>
      </c>
      <c r="F2643" t="s">
        <v>219</v>
      </c>
    </row>
    <row r="2644" spans="1:6">
      <c r="A2644" t="str">
        <f t="shared" si="41"/>
        <v>GenericE&amp;DtemplateCIandGOA</v>
      </c>
      <c r="B2644">
        <v>32</v>
      </c>
      <c r="C2644">
        <v>17</v>
      </c>
      <c r="D2644" s="649">
        <f ca="1">IF(E2644=4,INDEX(crude_exp_dist,MATCH(B2644,'Crude Exp Dist'!$B$6:$B$78,0),MATCH(C2644,'Crude Exp Dist'!$AD$2:$BC$2,0))*INDEX(crude_exp_by_year,MATCH(B2644,'Data Export'!$B$6:$B$78,0),1),IF(E2644=5,INDEX(ref_exp_dist,MATCH(B2644,'Refined Petro Exp Dist'!$B$6:$B$78,0),MATCH(C2644,'Refined Petro Exp Dist'!$AD$2:$BC$2,0))*INDEX(ref_exp_by_year,MATCH(B2644,'Data Export'!$B$6:$B$78,0),1)))</f>
        <v>0</v>
      </c>
      <c r="E2644">
        <v>5</v>
      </c>
      <c r="F2644" t="s">
        <v>222</v>
      </c>
    </row>
    <row r="2645" spans="1:6">
      <c r="A2645" t="str">
        <f t="shared" si="41"/>
        <v>GenericE&amp;DtemplateCIandGOA</v>
      </c>
      <c r="B2645">
        <v>32</v>
      </c>
      <c r="C2645">
        <v>18</v>
      </c>
      <c r="D2645" s="649">
        <f ca="1">IF(E2645=4,INDEX(crude_exp_dist,MATCH(B2645,'Crude Exp Dist'!$B$6:$B$78,0),MATCH(C2645,'Crude Exp Dist'!$AD$2:$BC$2,0))*INDEX(crude_exp_by_year,MATCH(B2645,'Data Export'!$B$6:$B$78,0),1),IF(E2645=5,INDEX(ref_exp_dist,MATCH(B2645,'Refined Petro Exp Dist'!$B$6:$B$78,0),MATCH(C2645,'Refined Petro Exp Dist'!$AD$2:$BC$2,0))*INDEX(ref_exp_by_year,MATCH(B2645,'Data Export'!$B$6:$B$78,0),1)))</f>
        <v>0</v>
      </c>
      <c r="E2645">
        <v>5</v>
      </c>
      <c r="F2645" t="s">
        <v>224</v>
      </c>
    </row>
    <row r="2646" spans="1:6">
      <c r="A2646" t="str">
        <f t="shared" si="41"/>
        <v>GenericE&amp;DtemplateCIandGOA</v>
      </c>
      <c r="B2646">
        <v>32</v>
      </c>
      <c r="C2646">
        <v>19</v>
      </c>
      <c r="D2646" s="649">
        <f ca="1">IF(E2646=4,INDEX(crude_exp_dist,MATCH(B2646,'Crude Exp Dist'!$B$6:$B$78,0),MATCH(C2646,'Crude Exp Dist'!$AD$2:$BC$2,0))*INDEX(crude_exp_by_year,MATCH(B2646,'Data Export'!$B$6:$B$78,0),1),IF(E2646=5,INDEX(ref_exp_dist,MATCH(B2646,'Refined Petro Exp Dist'!$B$6:$B$78,0),MATCH(C2646,'Refined Petro Exp Dist'!$AD$2:$BC$2,0))*INDEX(ref_exp_by_year,MATCH(B2646,'Data Export'!$B$6:$B$78,0),1)))</f>
        <v>0</v>
      </c>
      <c r="E2646">
        <v>5</v>
      </c>
      <c r="F2646" t="s">
        <v>228</v>
      </c>
    </row>
    <row r="2647" spans="1:6">
      <c r="A2647" t="str">
        <f t="shared" si="41"/>
        <v>GenericE&amp;DtemplateCIandGOA</v>
      </c>
      <c r="B2647">
        <v>32</v>
      </c>
      <c r="C2647">
        <v>20</v>
      </c>
      <c r="D2647" s="649">
        <f ca="1">IF(E2647=4,INDEX(crude_exp_dist,MATCH(B2647,'Crude Exp Dist'!$B$6:$B$78,0),MATCH(C2647,'Crude Exp Dist'!$AD$2:$BC$2,0))*INDEX(crude_exp_by_year,MATCH(B2647,'Data Export'!$B$6:$B$78,0),1),IF(E2647=5,INDEX(ref_exp_dist,MATCH(B2647,'Refined Petro Exp Dist'!$B$6:$B$78,0),MATCH(C2647,'Refined Petro Exp Dist'!$AD$2:$BC$2,0))*INDEX(ref_exp_by_year,MATCH(B2647,'Data Export'!$B$6:$B$78,0),1)))</f>
        <v>0</v>
      </c>
      <c r="E2647">
        <v>5</v>
      </c>
      <c r="F2647" t="s">
        <v>231</v>
      </c>
    </row>
    <row r="2648" spans="1:6">
      <c r="A2648" t="str">
        <f t="shared" si="41"/>
        <v>GenericE&amp;DtemplateCIandGOA</v>
      </c>
      <c r="B2648">
        <v>32</v>
      </c>
      <c r="C2648">
        <v>21</v>
      </c>
      <c r="D2648" s="649">
        <f ca="1">IF(E2648=4,INDEX(crude_exp_dist,MATCH(B2648,'Crude Exp Dist'!$B$6:$B$78,0),MATCH(C2648,'Crude Exp Dist'!$AD$2:$BC$2,0))*INDEX(crude_exp_by_year,MATCH(B2648,'Data Export'!$B$6:$B$78,0),1),IF(E2648=5,INDEX(ref_exp_dist,MATCH(B2648,'Refined Petro Exp Dist'!$B$6:$B$78,0),MATCH(C2648,'Refined Petro Exp Dist'!$AD$2:$BC$2,0))*INDEX(ref_exp_by_year,MATCH(B2648,'Data Export'!$B$6:$B$78,0),1)))</f>
        <v>0</v>
      </c>
      <c r="E2648">
        <v>5</v>
      </c>
      <c r="F2648" t="s">
        <v>232</v>
      </c>
    </row>
    <row r="2649" spans="1:6">
      <c r="A2649" t="str">
        <f t="shared" si="41"/>
        <v>GenericE&amp;DtemplateCIandGOA</v>
      </c>
      <c r="B2649">
        <v>32</v>
      </c>
      <c r="C2649">
        <v>22</v>
      </c>
      <c r="D2649" s="649">
        <f ca="1">IF(E2649=4,INDEX(crude_exp_dist,MATCH(B2649,'Crude Exp Dist'!$B$6:$B$78,0),MATCH(C2649,'Crude Exp Dist'!$AD$2:$BC$2,0))*INDEX(crude_exp_by_year,MATCH(B2649,'Data Export'!$B$6:$B$78,0),1),IF(E2649=5,INDEX(ref_exp_dist,MATCH(B2649,'Refined Petro Exp Dist'!$B$6:$B$78,0),MATCH(C2649,'Refined Petro Exp Dist'!$AD$2:$BC$2,0))*INDEX(ref_exp_by_year,MATCH(B2649,'Data Export'!$B$6:$B$78,0),1)))</f>
        <v>0</v>
      </c>
      <c r="E2649">
        <v>5</v>
      </c>
      <c r="F2649" t="s">
        <v>235</v>
      </c>
    </row>
    <row r="2650" spans="1:6">
      <c r="A2650" t="str">
        <f t="shared" si="41"/>
        <v>GenericE&amp;DtemplateCIandGOA</v>
      </c>
      <c r="B2650">
        <v>32</v>
      </c>
      <c r="C2650">
        <v>23</v>
      </c>
      <c r="D2650" s="649">
        <f ca="1">IF(E2650=4,INDEX(crude_exp_dist,MATCH(B2650,'Crude Exp Dist'!$B$6:$B$78,0),MATCH(C2650,'Crude Exp Dist'!$AD$2:$BC$2,0))*INDEX(crude_exp_by_year,MATCH(B2650,'Data Export'!$B$6:$B$78,0),1),IF(E2650=5,INDEX(ref_exp_dist,MATCH(B2650,'Refined Petro Exp Dist'!$B$6:$B$78,0),MATCH(C2650,'Refined Petro Exp Dist'!$AD$2:$BC$2,0))*INDEX(ref_exp_by_year,MATCH(B2650,'Data Export'!$B$6:$B$78,0),1)))</f>
        <v>0</v>
      </c>
      <c r="E2650">
        <v>5</v>
      </c>
      <c r="F2650" t="s">
        <v>237</v>
      </c>
    </row>
    <row r="2651" spans="1:6">
      <c r="A2651" t="str">
        <f t="shared" si="41"/>
        <v>GenericE&amp;DtemplateCIandGOA</v>
      </c>
      <c r="B2651">
        <v>32</v>
      </c>
      <c r="C2651">
        <v>24</v>
      </c>
      <c r="D2651" s="649">
        <f ca="1">IF(E2651=4,INDEX(crude_exp_dist,MATCH(B2651,'Crude Exp Dist'!$B$6:$B$78,0),MATCH(C2651,'Crude Exp Dist'!$AD$2:$BC$2,0))*INDEX(crude_exp_by_year,MATCH(B2651,'Data Export'!$B$6:$B$78,0),1),IF(E2651=5,INDEX(ref_exp_dist,MATCH(B2651,'Refined Petro Exp Dist'!$B$6:$B$78,0),MATCH(C2651,'Refined Petro Exp Dist'!$AD$2:$BC$2,0))*INDEX(ref_exp_by_year,MATCH(B2651,'Data Export'!$B$6:$B$78,0),1)))</f>
        <v>0</v>
      </c>
      <c r="E2651">
        <v>5</v>
      </c>
      <c r="F2651" t="s">
        <v>239</v>
      </c>
    </row>
    <row r="2652" spans="1:6">
      <c r="A2652" t="str">
        <f t="shared" si="41"/>
        <v>GenericE&amp;DtemplateCIandGOA</v>
      </c>
      <c r="B2652">
        <v>32</v>
      </c>
      <c r="C2652">
        <v>25</v>
      </c>
      <c r="D2652" s="649">
        <f ca="1">IF(E2652=4,INDEX(crude_exp_dist,MATCH(B2652,'Crude Exp Dist'!$B$6:$B$78,0),MATCH(C2652,'Crude Exp Dist'!$AD$2:$BC$2,0))*INDEX(crude_exp_by_year,MATCH(B2652,'Data Export'!$B$6:$B$78,0),1),IF(E2652=5,INDEX(ref_exp_dist,MATCH(B2652,'Refined Petro Exp Dist'!$B$6:$B$78,0),MATCH(C2652,'Refined Petro Exp Dist'!$AD$2:$BC$2,0))*INDEX(ref_exp_by_year,MATCH(B2652,'Data Export'!$B$6:$B$78,0),1)))</f>
        <v>0</v>
      </c>
      <c r="E2652">
        <v>5</v>
      </c>
      <c r="F2652" t="s">
        <v>242</v>
      </c>
    </row>
    <row r="2653" spans="1:6">
      <c r="A2653" t="str">
        <f t="shared" si="41"/>
        <v>GenericE&amp;DtemplateCIandGOA</v>
      </c>
      <c r="B2653">
        <v>32</v>
      </c>
      <c r="C2653">
        <v>26</v>
      </c>
      <c r="D2653" s="649">
        <f ca="1">IF(E2653=4,INDEX(crude_exp_dist,MATCH(B2653,'Crude Exp Dist'!$B$6:$B$78,0),MATCH(C2653,'Crude Exp Dist'!$AD$2:$BC$2,0))*INDEX(crude_exp_by_year,MATCH(B2653,'Data Export'!$B$6:$B$78,0),1),IF(E2653=5,INDEX(ref_exp_dist,MATCH(B2653,'Refined Petro Exp Dist'!$B$6:$B$78,0),MATCH(C2653,'Refined Petro Exp Dist'!$AD$2:$BC$2,0))*INDEX(ref_exp_by_year,MATCH(B2653,'Data Export'!$B$6:$B$78,0),1)))</f>
        <v>0</v>
      </c>
      <c r="E2653">
        <v>5</v>
      </c>
      <c r="F2653" t="s">
        <v>245</v>
      </c>
    </row>
    <row r="2654" spans="1:6">
      <c r="A2654" t="str">
        <f t="shared" si="41"/>
        <v>GenericE&amp;DtemplateCIandGOA</v>
      </c>
      <c r="B2654">
        <v>33</v>
      </c>
      <c r="C2654">
        <v>1</v>
      </c>
      <c r="D2654" s="649">
        <f ca="1">IF(E2654=4,INDEX(crude_exp_dist,MATCH(B2654,'Crude Exp Dist'!$B$6:$B$78,0),MATCH(C2654,'Crude Exp Dist'!$AD$2:$BC$2,0))*INDEX(crude_exp_by_year,MATCH(B2654,'Data Export'!$B$6:$B$78,0),1),IF(E2654=5,INDEX(ref_exp_dist,MATCH(B2654,'Refined Petro Exp Dist'!$B$6:$B$78,0),MATCH(C2654,'Refined Petro Exp Dist'!$AD$2:$BC$2,0))*INDEX(ref_exp_by_year,MATCH(B2654,'Data Export'!$B$6:$B$78,0),1)))</f>
        <v>0</v>
      </c>
      <c r="E2654">
        <v>5</v>
      </c>
      <c r="F2654" t="s">
        <v>158</v>
      </c>
    </row>
    <row r="2655" spans="1:6">
      <c r="A2655" t="str">
        <f t="shared" si="41"/>
        <v>GenericE&amp;DtemplateCIandGOA</v>
      </c>
      <c r="B2655">
        <v>33</v>
      </c>
      <c r="C2655">
        <v>2</v>
      </c>
      <c r="D2655" s="649">
        <f ca="1">IF(E2655=4,INDEX(crude_exp_dist,MATCH(B2655,'Crude Exp Dist'!$B$6:$B$78,0),MATCH(C2655,'Crude Exp Dist'!$AD$2:$BC$2,0))*INDEX(crude_exp_by_year,MATCH(B2655,'Data Export'!$B$6:$B$78,0),1),IF(E2655=5,INDEX(ref_exp_dist,MATCH(B2655,'Refined Petro Exp Dist'!$B$6:$B$78,0),MATCH(C2655,'Refined Petro Exp Dist'!$AD$2:$BC$2,0))*INDEX(ref_exp_by_year,MATCH(B2655,'Data Export'!$B$6:$B$78,0),1)))</f>
        <v>0</v>
      </c>
      <c r="E2655">
        <v>5</v>
      </c>
      <c r="F2655" t="s">
        <v>166</v>
      </c>
    </row>
    <row r="2656" spans="1:6">
      <c r="A2656" t="str">
        <f t="shared" si="41"/>
        <v>GenericE&amp;DtemplateCIandGOA</v>
      </c>
      <c r="B2656">
        <v>33</v>
      </c>
      <c r="C2656">
        <v>3</v>
      </c>
      <c r="D2656" s="649">
        <f ca="1">IF(E2656=4,INDEX(crude_exp_dist,MATCH(B2656,'Crude Exp Dist'!$B$6:$B$78,0),MATCH(C2656,'Crude Exp Dist'!$AD$2:$BC$2,0))*INDEX(crude_exp_by_year,MATCH(B2656,'Data Export'!$B$6:$B$78,0),1),IF(E2656=5,INDEX(ref_exp_dist,MATCH(B2656,'Refined Petro Exp Dist'!$B$6:$B$78,0),MATCH(C2656,'Refined Petro Exp Dist'!$AD$2:$BC$2,0))*INDEX(ref_exp_by_year,MATCH(B2656,'Data Export'!$B$6:$B$78,0),1)))</f>
        <v>0</v>
      </c>
      <c r="E2656">
        <v>5</v>
      </c>
      <c r="F2656" t="s">
        <v>171</v>
      </c>
    </row>
    <row r="2657" spans="1:6">
      <c r="A2657" t="str">
        <f t="shared" si="41"/>
        <v>GenericE&amp;DtemplateCIandGOA</v>
      </c>
      <c r="B2657">
        <v>33</v>
      </c>
      <c r="C2657">
        <v>4</v>
      </c>
      <c r="D2657" s="649">
        <f ca="1">IF(E2657=4,INDEX(crude_exp_dist,MATCH(B2657,'Crude Exp Dist'!$B$6:$B$78,0),MATCH(C2657,'Crude Exp Dist'!$AD$2:$BC$2,0))*INDEX(crude_exp_by_year,MATCH(B2657,'Data Export'!$B$6:$B$78,0),1),IF(E2657=5,INDEX(ref_exp_dist,MATCH(B2657,'Refined Petro Exp Dist'!$B$6:$B$78,0),MATCH(C2657,'Refined Petro Exp Dist'!$AD$2:$BC$2,0))*INDEX(ref_exp_by_year,MATCH(B2657,'Data Export'!$B$6:$B$78,0),1)))</f>
        <v>0</v>
      </c>
      <c r="E2657">
        <v>5</v>
      </c>
      <c r="F2657" t="s">
        <v>173</v>
      </c>
    </row>
    <row r="2658" spans="1:6">
      <c r="A2658" t="str">
        <f t="shared" si="41"/>
        <v>GenericE&amp;DtemplateCIandGOA</v>
      </c>
      <c r="B2658">
        <v>33</v>
      </c>
      <c r="C2658">
        <v>5</v>
      </c>
      <c r="D2658" s="649">
        <f ca="1">IF(E2658=4,INDEX(crude_exp_dist,MATCH(B2658,'Crude Exp Dist'!$B$6:$B$78,0),MATCH(C2658,'Crude Exp Dist'!$AD$2:$BC$2,0))*INDEX(crude_exp_by_year,MATCH(B2658,'Data Export'!$B$6:$B$78,0),1),IF(E2658=5,INDEX(ref_exp_dist,MATCH(B2658,'Refined Petro Exp Dist'!$B$6:$B$78,0),MATCH(C2658,'Refined Petro Exp Dist'!$AD$2:$BC$2,0))*INDEX(ref_exp_by_year,MATCH(B2658,'Data Export'!$B$6:$B$78,0),1)))</f>
        <v>0</v>
      </c>
      <c r="E2658">
        <v>5</v>
      </c>
      <c r="F2658" t="s">
        <v>180</v>
      </c>
    </row>
    <row r="2659" spans="1:6">
      <c r="A2659" t="str">
        <f t="shared" si="41"/>
        <v>GenericE&amp;DtemplateCIandGOA</v>
      </c>
      <c r="B2659">
        <v>33</v>
      </c>
      <c r="C2659">
        <v>6</v>
      </c>
      <c r="D2659" s="649">
        <f ca="1">IF(E2659=4,INDEX(crude_exp_dist,MATCH(B2659,'Crude Exp Dist'!$B$6:$B$78,0),MATCH(C2659,'Crude Exp Dist'!$AD$2:$BC$2,0))*INDEX(crude_exp_by_year,MATCH(B2659,'Data Export'!$B$6:$B$78,0),1),IF(E2659=5,INDEX(ref_exp_dist,MATCH(B2659,'Refined Petro Exp Dist'!$B$6:$B$78,0),MATCH(C2659,'Refined Petro Exp Dist'!$AD$2:$BC$2,0))*INDEX(ref_exp_by_year,MATCH(B2659,'Data Export'!$B$6:$B$78,0),1)))</f>
        <v>0</v>
      </c>
      <c r="E2659">
        <v>5</v>
      </c>
      <c r="F2659" t="s">
        <v>186</v>
      </c>
    </row>
    <row r="2660" spans="1:6">
      <c r="A2660" t="str">
        <f t="shared" si="41"/>
        <v>GenericE&amp;DtemplateCIandGOA</v>
      </c>
      <c r="B2660">
        <v>33</v>
      </c>
      <c r="C2660">
        <v>7</v>
      </c>
      <c r="D2660" s="649">
        <f ca="1">IF(E2660=4,INDEX(crude_exp_dist,MATCH(B2660,'Crude Exp Dist'!$B$6:$B$78,0),MATCH(C2660,'Crude Exp Dist'!$AD$2:$BC$2,0))*INDEX(crude_exp_by_year,MATCH(B2660,'Data Export'!$B$6:$B$78,0),1),IF(E2660=5,INDEX(ref_exp_dist,MATCH(B2660,'Refined Petro Exp Dist'!$B$6:$B$78,0),MATCH(C2660,'Refined Petro Exp Dist'!$AD$2:$BC$2,0))*INDEX(ref_exp_by_year,MATCH(B2660,'Data Export'!$B$6:$B$78,0),1)))</f>
        <v>0</v>
      </c>
      <c r="E2660">
        <v>5</v>
      </c>
      <c r="F2660" t="s">
        <v>191</v>
      </c>
    </row>
    <row r="2661" spans="1:6">
      <c r="A2661" t="str">
        <f t="shared" si="41"/>
        <v>GenericE&amp;DtemplateCIandGOA</v>
      </c>
      <c r="B2661">
        <v>33</v>
      </c>
      <c r="C2661">
        <v>8</v>
      </c>
      <c r="D2661" s="649">
        <f ca="1">IF(E2661=4,INDEX(crude_exp_dist,MATCH(B2661,'Crude Exp Dist'!$B$6:$B$78,0),MATCH(C2661,'Crude Exp Dist'!$AD$2:$BC$2,0))*INDEX(crude_exp_by_year,MATCH(B2661,'Data Export'!$B$6:$B$78,0),1),IF(E2661=5,INDEX(ref_exp_dist,MATCH(B2661,'Refined Petro Exp Dist'!$B$6:$B$78,0),MATCH(C2661,'Refined Petro Exp Dist'!$AD$2:$BC$2,0))*INDEX(ref_exp_by_year,MATCH(B2661,'Data Export'!$B$6:$B$78,0),1)))</f>
        <v>0</v>
      </c>
      <c r="E2661">
        <v>5</v>
      </c>
      <c r="F2661" t="s">
        <v>197</v>
      </c>
    </row>
    <row r="2662" spans="1:6">
      <c r="A2662" t="str">
        <f t="shared" si="41"/>
        <v>GenericE&amp;DtemplateCIandGOA</v>
      </c>
      <c r="B2662">
        <v>33</v>
      </c>
      <c r="C2662">
        <v>9</v>
      </c>
      <c r="D2662" s="649">
        <f ca="1">IF(E2662=4,INDEX(crude_exp_dist,MATCH(B2662,'Crude Exp Dist'!$B$6:$B$78,0),MATCH(C2662,'Crude Exp Dist'!$AD$2:$BC$2,0))*INDEX(crude_exp_by_year,MATCH(B2662,'Data Export'!$B$6:$B$78,0),1),IF(E2662=5,INDEX(ref_exp_dist,MATCH(B2662,'Refined Petro Exp Dist'!$B$6:$B$78,0),MATCH(C2662,'Refined Petro Exp Dist'!$AD$2:$BC$2,0))*INDEX(ref_exp_by_year,MATCH(B2662,'Data Export'!$B$6:$B$78,0),1)))</f>
        <v>0</v>
      </c>
      <c r="E2662">
        <v>5</v>
      </c>
      <c r="F2662" t="s">
        <v>199</v>
      </c>
    </row>
    <row r="2663" spans="1:6">
      <c r="A2663" t="str">
        <f t="shared" si="41"/>
        <v>GenericE&amp;DtemplateCIandGOA</v>
      </c>
      <c r="B2663">
        <v>33</v>
      </c>
      <c r="C2663">
        <v>10</v>
      </c>
      <c r="D2663" s="649">
        <f ca="1">IF(E2663=4,INDEX(crude_exp_dist,MATCH(B2663,'Crude Exp Dist'!$B$6:$B$78,0),MATCH(C2663,'Crude Exp Dist'!$AD$2:$BC$2,0))*INDEX(crude_exp_by_year,MATCH(B2663,'Data Export'!$B$6:$B$78,0),1),IF(E2663=5,INDEX(ref_exp_dist,MATCH(B2663,'Refined Petro Exp Dist'!$B$6:$B$78,0),MATCH(C2663,'Refined Petro Exp Dist'!$AD$2:$BC$2,0))*INDEX(ref_exp_by_year,MATCH(B2663,'Data Export'!$B$6:$B$78,0),1)))</f>
        <v>0</v>
      </c>
      <c r="E2663">
        <v>5</v>
      </c>
      <c r="F2663" t="s">
        <v>201</v>
      </c>
    </row>
    <row r="2664" spans="1:6">
      <c r="A2664" t="str">
        <f t="shared" si="41"/>
        <v>GenericE&amp;DtemplateCIandGOA</v>
      </c>
      <c r="B2664">
        <v>33</v>
      </c>
      <c r="C2664">
        <v>11</v>
      </c>
      <c r="D2664" s="649">
        <f ca="1">IF(E2664=4,INDEX(crude_exp_dist,MATCH(B2664,'Crude Exp Dist'!$B$6:$B$78,0),MATCH(C2664,'Crude Exp Dist'!$AD$2:$BC$2,0))*INDEX(crude_exp_by_year,MATCH(B2664,'Data Export'!$B$6:$B$78,0),1),IF(E2664=5,INDEX(ref_exp_dist,MATCH(B2664,'Refined Petro Exp Dist'!$B$6:$B$78,0),MATCH(C2664,'Refined Petro Exp Dist'!$AD$2:$BC$2,0))*INDEX(ref_exp_by_year,MATCH(B2664,'Data Export'!$B$6:$B$78,0),1)))</f>
        <v>0</v>
      </c>
      <c r="E2664">
        <v>5</v>
      </c>
      <c r="F2664" t="s">
        <v>921</v>
      </c>
    </row>
    <row r="2665" spans="1:6">
      <c r="A2665" t="str">
        <f t="shared" si="41"/>
        <v>GenericE&amp;DtemplateCIandGOA</v>
      </c>
      <c r="B2665">
        <v>33</v>
      </c>
      <c r="C2665">
        <v>12</v>
      </c>
      <c r="D2665" s="649">
        <f ca="1">IF(E2665=4,INDEX(crude_exp_dist,MATCH(B2665,'Crude Exp Dist'!$B$6:$B$78,0),MATCH(C2665,'Crude Exp Dist'!$AD$2:$BC$2,0))*INDEX(crude_exp_by_year,MATCH(B2665,'Data Export'!$B$6:$B$78,0),1),IF(E2665=5,INDEX(ref_exp_dist,MATCH(B2665,'Refined Petro Exp Dist'!$B$6:$B$78,0),MATCH(C2665,'Refined Petro Exp Dist'!$AD$2:$BC$2,0))*INDEX(ref_exp_by_year,MATCH(B2665,'Data Export'!$B$6:$B$78,0),1)))</f>
        <v>0</v>
      </c>
      <c r="E2665">
        <v>5</v>
      </c>
      <c r="F2665" t="s">
        <v>208</v>
      </c>
    </row>
    <row r="2666" spans="1:6">
      <c r="A2666" t="str">
        <f t="shared" si="41"/>
        <v>GenericE&amp;DtemplateCIandGOA</v>
      </c>
      <c r="B2666">
        <v>33</v>
      </c>
      <c r="C2666">
        <v>13</v>
      </c>
      <c r="D2666" s="649">
        <f ca="1">IF(E2666=4,INDEX(crude_exp_dist,MATCH(B2666,'Crude Exp Dist'!$B$6:$B$78,0),MATCH(C2666,'Crude Exp Dist'!$AD$2:$BC$2,0))*INDEX(crude_exp_by_year,MATCH(B2666,'Data Export'!$B$6:$B$78,0),1),IF(E2666=5,INDEX(ref_exp_dist,MATCH(B2666,'Refined Petro Exp Dist'!$B$6:$B$78,0),MATCH(C2666,'Refined Petro Exp Dist'!$AD$2:$BC$2,0))*INDEX(ref_exp_by_year,MATCH(B2666,'Data Export'!$B$6:$B$78,0),1)))</f>
        <v>0</v>
      </c>
      <c r="E2666">
        <v>5</v>
      </c>
      <c r="F2666" t="s">
        <v>211</v>
      </c>
    </row>
    <row r="2667" spans="1:6">
      <c r="A2667" t="str">
        <f t="shared" si="41"/>
        <v>GenericE&amp;DtemplateCIandGOA</v>
      </c>
      <c r="B2667">
        <v>33</v>
      </c>
      <c r="C2667">
        <v>14</v>
      </c>
      <c r="D2667" s="649">
        <f ca="1">IF(E2667=4,INDEX(crude_exp_dist,MATCH(B2667,'Crude Exp Dist'!$B$6:$B$78,0),MATCH(C2667,'Crude Exp Dist'!$AD$2:$BC$2,0))*INDEX(crude_exp_by_year,MATCH(B2667,'Data Export'!$B$6:$B$78,0),1),IF(E2667=5,INDEX(ref_exp_dist,MATCH(B2667,'Refined Petro Exp Dist'!$B$6:$B$78,0),MATCH(C2667,'Refined Petro Exp Dist'!$AD$2:$BC$2,0))*INDEX(ref_exp_by_year,MATCH(B2667,'Data Export'!$B$6:$B$78,0),1)))</f>
        <v>0</v>
      </c>
      <c r="E2667">
        <v>5</v>
      </c>
      <c r="F2667" t="s">
        <v>213</v>
      </c>
    </row>
    <row r="2668" spans="1:6">
      <c r="A2668" t="str">
        <f t="shared" si="41"/>
        <v>GenericE&amp;DtemplateCIandGOA</v>
      </c>
      <c r="B2668">
        <v>33</v>
      </c>
      <c r="C2668">
        <v>15</v>
      </c>
      <c r="D2668" s="649">
        <f ca="1">IF(E2668=4,INDEX(crude_exp_dist,MATCH(B2668,'Crude Exp Dist'!$B$6:$B$78,0),MATCH(C2668,'Crude Exp Dist'!$AD$2:$BC$2,0))*INDEX(crude_exp_by_year,MATCH(B2668,'Data Export'!$B$6:$B$78,0),1),IF(E2668=5,INDEX(ref_exp_dist,MATCH(B2668,'Refined Petro Exp Dist'!$B$6:$B$78,0),MATCH(C2668,'Refined Petro Exp Dist'!$AD$2:$BC$2,0))*INDEX(ref_exp_by_year,MATCH(B2668,'Data Export'!$B$6:$B$78,0),1)))</f>
        <v>0</v>
      </c>
      <c r="E2668">
        <v>5</v>
      </c>
      <c r="F2668" t="s">
        <v>215</v>
      </c>
    </row>
    <row r="2669" spans="1:6">
      <c r="A2669" t="str">
        <f t="shared" si="41"/>
        <v>GenericE&amp;DtemplateCIandGOA</v>
      </c>
      <c r="B2669">
        <v>33</v>
      </c>
      <c r="C2669">
        <v>16</v>
      </c>
      <c r="D2669" s="649">
        <f ca="1">IF(E2669=4,INDEX(crude_exp_dist,MATCH(B2669,'Crude Exp Dist'!$B$6:$B$78,0),MATCH(C2669,'Crude Exp Dist'!$AD$2:$BC$2,0))*INDEX(crude_exp_by_year,MATCH(B2669,'Data Export'!$B$6:$B$78,0),1),IF(E2669=5,INDEX(ref_exp_dist,MATCH(B2669,'Refined Petro Exp Dist'!$B$6:$B$78,0),MATCH(C2669,'Refined Petro Exp Dist'!$AD$2:$BC$2,0))*INDEX(ref_exp_by_year,MATCH(B2669,'Data Export'!$B$6:$B$78,0),1)))</f>
        <v>0</v>
      </c>
      <c r="E2669">
        <v>5</v>
      </c>
      <c r="F2669" t="s">
        <v>219</v>
      </c>
    </row>
    <row r="2670" spans="1:6">
      <c r="A2670" t="str">
        <f t="shared" si="41"/>
        <v>GenericE&amp;DtemplateCIandGOA</v>
      </c>
      <c r="B2670">
        <v>33</v>
      </c>
      <c r="C2670">
        <v>17</v>
      </c>
      <c r="D2670" s="649">
        <f ca="1">IF(E2670=4,INDEX(crude_exp_dist,MATCH(B2670,'Crude Exp Dist'!$B$6:$B$78,0),MATCH(C2670,'Crude Exp Dist'!$AD$2:$BC$2,0))*INDEX(crude_exp_by_year,MATCH(B2670,'Data Export'!$B$6:$B$78,0),1),IF(E2670=5,INDEX(ref_exp_dist,MATCH(B2670,'Refined Petro Exp Dist'!$B$6:$B$78,0),MATCH(C2670,'Refined Petro Exp Dist'!$AD$2:$BC$2,0))*INDEX(ref_exp_by_year,MATCH(B2670,'Data Export'!$B$6:$B$78,0),1)))</f>
        <v>0</v>
      </c>
      <c r="E2670">
        <v>5</v>
      </c>
      <c r="F2670" t="s">
        <v>222</v>
      </c>
    </row>
    <row r="2671" spans="1:6">
      <c r="A2671" t="str">
        <f t="shared" si="41"/>
        <v>GenericE&amp;DtemplateCIandGOA</v>
      </c>
      <c r="B2671">
        <v>33</v>
      </c>
      <c r="C2671">
        <v>18</v>
      </c>
      <c r="D2671" s="649">
        <f ca="1">IF(E2671=4,INDEX(crude_exp_dist,MATCH(B2671,'Crude Exp Dist'!$B$6:$B$78,0),MATCH(C2671,'Crude Exp Dist'!$AD$2:$BC$2,0))*INDEX(crude_exp_by_year,MATCH(B2671,'Data Export'!$B$6:$B$78,0),1),IF(E2671=5,INDEX(ref_exp_dist,MATCH(B2671,'Refined Petro Exp Dist'!$B$6:$B$78,0),MATCH(C2671,'Refined Petro Exp Dist'!$AD$2:$BC$2,0))*INDEX(ref_exp_by_year,MATCH(B2671,'Data Export'!$B$6:$B$78,0),1)))</f>
        <v>0</v>
      </c>
      <c r="E2671">
        <v>5</v>
      </c>
      <c r="F2671" t="s">
        <v>224</v>
      </c>
    </row>
    <row r="2672" spans="1:6">
      <c r="A2672" t="str">
        <f t="shared" si="41"/>
        <v>GenericE&amp;DtemplateCIandGOA</v>
      </c>
      <c r="B2672">
        <v>33</v>
      </c>
      <c r="C2672">
        <v>19</v>
      </c>
      <c r="D2672" s="649">
        <f ca="1">IF(E2672=4,INDEX(crude_exp_dist,MATCH(B2672,'Crude Exp Dist'!$B$6:$B$78,0),MATCH(C2672,'Crude Exp Dist'!$AD$2:$BC$2,0))*INDEX(crude_exp_by_year,MATCH(B2672,'Data Export'!$B$6:$B$78,0),1),IF(E2672=5,INDEX(ref_exp_dist,MATCH(B2672,'Refined Petro Exp Dist'!$B$6:$B$78,0),MATCH(C2672,'Refined Petro Exp Dist'!$AD$2:$BC$2,0))*INDEX(ref_exp_by_year,MATCH(B2672,'Data Export'!$B$6:$B$78,0),1)))</f>
        <v>0</v>
      </c>
      <c r="E2672">
        <v>5</v>
      </c>
      <c r="F2672" t="s">
        <v>228</v>
      </c>
    </row>
    <row r="2673" spans="1:6">
      <c r="A2673" t="str">
        <f t="shared" si="41"/>
        <v>GenericE&amp;DtemplateCIandGOA</v>
      </c>
      <c r="B2673">
        <v>33</v>
      </c>
      <c r="C2673">
        <v>20</v>
      </c>
      <c r="D2673" s="649">
        <f ca="1">IF(E2673=4,INDEX(crude_exp_dist,MATCH(B2673,'Crude Exp Dist'!$B$6:$B$78,0),MATCH(C2673,'Crude Exp Dist'!$AD$2:$BC$2,0))*INDEX(crude_exp_by_year,MATCH(B2673,'Data Export'!$B$6:$B$78,0),1),IF(E2673=5,INDEX(ref_exp_dist,MATCH(B2673,'Refined Petro Exp Dist'!$B$6:$B$78,0),MATCH(C2673,'Refined Petro Exp Dist'!$AD$2:$BC$2,0))*INDEX(ref_exp_by_year,MATCH(B2673,'Data Export'!$B$6:$B$78,0),1)))</f>
        <v>0</v>
      </c>
      <c r="E2673">
        <v>5</v>
      </c>
      <c r="F2673" t="s">
        <v>231</v>
      </c>
    </row>
    <row r="2674" spans="1:6">
      <c r="A2674" t="str">
        <f t="shared" si="41"/>
        <v>GenericE&amp;DtemplateCIandGOA</v>
      </c>
      <c r="B2674">
        <v>33</v>
      </c>
      <c r="C2674">
        <v>21</v>
      </c>
      <c r="D2674" s="649">
        <f ca="1">IF(E2674=4,INDEX(crude_exp_dist,MATCH(B2674,'Crude Exp Dist'!$B$6:$B$78,0),MATCH(C2674,'Crude Exp Dist'!$AD$2:$BC$2,0))*INDEX(crude_exp_by_year,MATCH(B2674,'Data Export'!$B$6:$B$78,0),1),IF(E2674=5,INDEX(ref_exp_dist,MATCH(B2674,'Refined Petro Exp Dist'!$B$6:$B$78,0),MATCH(C2674,'Refined Petro Exp Dist'!$AD$2:$BC$2,0))*INDEX(ref_exp_by_year,MATCH(B2674,'Data Export'!$B$6:$B$78,0),1)))</f>
        <v>0</v>
      </c>
      <c r="E2674">
        <v>5</v>
      </c>
      <c r="F2674" t="s">
        <v>232</v>
      </c>
    </row>
    <row r="2675" spans="1:6">
      <c r="A2675" t="str">
        <f t="shared" si="41"/>
        <v>GenericE&amp;DtemplateCIandGOA</v>
      </c>
      <c r="B2675">
        <v>33</v>
      </c>
      <c r="C2675">
        <v>22</v>
      </c>
      <c r="D2675" s="649">
        <f ca="1">IF(E2675=4,INDEX(crude_exp_dist,MATCH(B2675,'Crude Exp Dist'!$B$6:$B$78,0),MATCH(C2675,'Crude Exp Dist'!$AD$2:$BC$2,0))*INDEX(crude_exp_by_year,MATCH(B2675,'Data Export'!$B$6:$B$78,0),1),IF(E2675=5,INDEX(ref_exp_dist,MATCH(B2675,'Refined Petro Exp Dist'!$B$6:$B$78,0),MATCH(C2675,'Refined Petro Exp Dist'!$AD$2:$BC$2,0))*INDEX(ref_exp_by_year,MATCH(B2675,'Data Export'!$B$6:$B$78,0),1)))</f>
        <v>0</v>
      </c>
      <c r="E2675">
        <v>5</v>
      </c>
      <c r="F2675" t="s">
        <v>235</v>
      </c>
    </row>
    <row r="2676" spans="1:6">
      <c r="A2676" t="str">
        <f t="shared" si="41"/>
        <v>GenericE&amp;DtemplateCIandGOA</v>
      </c>
      <c r="B2676">
        <v>33</v>
      </c>
      <c r="C2676">
        <v>23</v>
      </c>
      <c r="D2676" s="649">
        <f ca="1">IF(E2676=4,INDEX(crude_exp_dist,MATCH(B2676,'Crude Exp Dist'!$B$6:$B$78,0),MATCH(C2676,'Crude Exp Dist'!$AD$2:$BC$2,0))*INDEX(crude_exp_by_year,MATCH(B2676,'Data Export'!$B$6:$B$78,0),1),IF(E2676=5,INDEX(ref_exp_dist,MATCH(B2676,'Refined Petro Exp Dist'!$B$6:$B$78,0),MATCH(C2676,'Refined Petro Exp Dist'!$AD$2:$BC$2,0))*INDEX(ref_exp_by_year,MATCH(B2676,'Data Export'!$B$6:$B$78,0),1)))</f>
        <v>0</v>
      </c>
      <c r="E2676">
        <v>5</v>
      </c>
      <c r="F2676" t="s">
        <v>237</v>
      </c>
    </row>
    <row r="2677" spans="1:6">
      <c r="A2677" t="str">
        <f t="shared" si="41"/>
        <v>GenericE&amp;DtemplateCIandGOA</v>
      </c>
      <c r="B2677">
        <v>33</v>
      </c>
      <c r="C2677">
        <v>24</v>
      </c>
      <c r="D2677" s="649">
        <f ca="1">IF(E2677=4,INDEX(crude_exp_dist,MATCH(B2677,'Crude Exp Dist'!$B$6:$B$78,0),MATCH(C2677,'Crude Exp Dist'!$AD$2:$BC$2,0))*INDEX(crude_exp_by_year,MATCH(B2677,'Data Export'!$B$6:$B$78,0),1),IF(E2677=5,INDEX(ref_exp_dist,MATCH(B2677,'Refined Petro Exp Dist'!$B$6:$B$78,0),MATCH(C2677,'Refined Petro Exp Dist'!$AD$2:$BC$2,0))*INDEX(ref_exp_by_year,MATCH(B2677,'Data Export'!$B$6:$B$78,0),1)))</f>
        <v>0</v>
      </c>
      <c r="E2677">
        <v>5</v>
      </c>
      <c r="F2677" t="s">
        <v>239</v>
      </c>
    </row>
    <row r="2678" spans="1:6">
      <c r="A2678" t="str">
        <f t="shared" si="41"/>
        <v>GenericE&amp;DtemplateCIandGOA</v>
      </c>
      <c r="B2678">
        <v>33</v>
      </c>
      <c r="C2678">
        <v>25</v>
      </c>
      <c r="D2678" s="649">
        <f ca="1">IF(E2678=4,INDEX(crude_exp_dist,MATCH(B2678,'Crude Exp Dist'!$B$6:$B$78,0),MATCH(C2678,'Crude Exp Dist'!$AD$2:$BC$2,0))*INDEX(crude_exp_by_year,MATCH(B2678,'Data Export'!$B$6:$B$78,0),1),IF(E2678=5,INDEX(ref_exp_dist,MATCH(B2678,'Refined Petro Exp Dist'!$B$6:$B$78,0),MATCH(C2678,'Refined Petro Exp Dist'!$AD$2:$BC$2,0))*INDEX(ref_exp_by_year,MATCH(B2678,'Data Export'!$B$6:$B$78,0),1)))</f>
        <v>0</v>
      </c>
      <c r="E2678">
        <v>5</v>
      </c>
      <c r="F2678" t="s">
        <v>242</v>
      </c>
    </row>
    <row r="2679" spans="1:6">
      <c r="A2679" t="str">
        <f t="shared" si="41"/>
        <v>GenericE&amp;DtemplateCIandGOA</v>
      </c>
      <c r="B2679">
        <v>33</v>
      </c>
      <c r="C2679">
        <v>26</v>
      </c>
      <c r="D2679" s="649">
        <f ca="1">IF(E2679=4,INDEX(crude_exp_dist,MATCH(B2679,'Crude Exp Dist'!$B$6:$B$78,0),MATCH(C2679,'Crude Exp Dist'!$AD$2:$BC$2,0))*INDEX(crude_exp_by_year,MATCH(B2679,'Data Export'!$B$6:$B$78,0),1),IF(E2679=5,INDEX(ref_exp_dist,MATCH(B2679,'Refined Petro Exp Dist'!$B$6:$B$78,0),MATCH(C2679,'Refined Petro Exp Dist'!$AD$2:$BC$2,0))*INDEX(ref_exp_by_year,MATCH(B2679,'Data Export'!$B$6:$B$78,0),1)))</f>
        <v>0</v>
      </c>
      <c r="E2679">
        <v>5</v>
      </c>
      <c r="F2679" t="s">
        <v>245</v>
      </c>
    </row>
    <row r="2680" spans="1:6">
      <c r="A2680" t="str">
        <f t="shared" si="41"/>
        <v>GenericE&amp;DtemplateCIandGOA</v>
      </c>
      <c r="B2680">
        <v>34</v>
      </c>
      <c r="C2680">
        <v>1</v>
      </c>
      <c r="D2680" s="649">
        <f ca="1">IF(E2680=4,INDEX(crude_exp_dist,MATCH(B2680,'Crude Exp Dist'!$B$6:$B$78,0),MATCH(C2680,'Crude Exp Dist'!$AD$2:$BC$2,0))*INDEX(crude_exp_by_year,MATCH(B2680,'Data Export'!$B$6:$B$78,0),1),IF(E2680=5,INDEX(ref_exp_dist,MATCH(B2680,'Refined Petro Exp Dist'!$B$6:$B$78,0),MATCH(C2680,'Refined Petro Exp Dist'!$AD$2:$BC$2,0))*INDEX(ref_exp_by_year,MATCH(B2680,'Data Export'!$B$6:$B$78,0),1)))</f>
        <v>0</v>
      </c>
      <c r="E2680">
        <v>5</v>
      </c>
      <c r="F2680" t="s">
        <v>158</v>
      </c>
    </row>
    <row r="2681" spans="1:6">
      <c r="A2681" t="str">
        <f t="shared" si="41"/>
        <v>GenericE&amp;DtemplateCIandGOA</v>
      </c>
      <c r="B2681">
        <v>34</v>
      </c>
      <c r="C2681">
        <v>2</v>
      </c>
      <c r="D2681" s="649">
        <f ca="1">IF(E2681=4,INDEX(crude_exp_dist,MATCH(B2681,'Crude Exp Dist'!$B$6:$B$78,0),MATCH(C2681,'Crude Exp Dist'!$AD$2:$BC$2,0))*INDEX(crude_exp_by_year,MATCH(B2681,'Data Export'!$B$6:$B$78,0),1),IF(E2681=5,INDEX(ref_exp_dist,MATCH(B2681,'Refined Petro Exp Dist'!$B$6:$B$78,0),MATCH(C2681,'Refined Petro Exp Dist'!$AD$2:$BC$2,0))*INDEX(ref_exp_by_year,MATCH(B2681,'Data Export'!$B$6:$B$78,0),1)))</f>
        <v>0</v>
      </c>
      <c r="E2681">
        <v>5</v>
      </c>
      <c r="F2681" t="s">
        <v>166</v>
      </c>
    </row>
    <row r="2682" spans="1:6">
      <c r="A2682" t="str">
        <f t="shared" si="41"/>
        <v>GenericE&amp;DtemplateCIandGOA</v>
      </c>
      <c r="B2682">
        <v>34</v>
      </c>
      <c r="C2682">
        <v>3</v>
      </c>
      <c r="D2682" s="649">
        <f ca="1">IF(E2682=4,INDEX(crude_exp_dist,MATCH(B2682,'Crude Exp Dist'!$B$6:$B$78,0),MATCH(C2682,'Crude Exp Dist'!$AD$2:$BC$2,0))*INDEX(crude_exp_by_year,MATCH(B2682,'Data Export'!$B$6:$B$78,0),1),IF(E2682=5,INDEX(ref_exp_dist,MATCH(B2682,'Refined Petro Exp Dist'!$B$6:$B$78,0),MATCH(C2682,'Refined Petro Exp Dist'!$AD$2:$BC$2,0))*INDEX(ref_exp_by_year,MATCH(B2682,'Data Export'!$B$6:$B$78,0),1)))</f>
        <v>0</v>
      </c>
      <c r="E2682">
        <v>5</v>
      </c>
      <c r="F2682" t="s">
        <v>171</v>
      </c>
    </row>
    <row r="2683" spans="1:6">
      <c r="A2683" t="str">
        <f t="shared" si="41"/>
        <v>GenericE&amp;DtemplateCIandGOA</v>
      </c>
      <c r="B2683">
        <v>34</v>
      </c>
      <c r="C2683">
        <v>4</v>
      </c>
      <c r="D2683" s="649">
        <f ca="1">IF(E2683=4,INDEX(crude_exp_dist,MATCH(B2683,'Crude Exp Dist'!$B$6:$B$78,0),MATCH(C2683,'Crude Exp Dist'!$AD$2:$BC$2,0))*INDEX(crude_exp_by_year,MATCH(B2683,'Data Export'!$B$6:$B$78,0),1),IF(E2683=5,INDEX(ref_exp_dist,MATCH(B2683,'Refined Petro Exp Dist'!$B$6:$B$78,0),MATCH(C2683,'Refined Petro Exp Dist'!$AD$2:$BC$2,0))*INDEX(ref_exp_by_year,MATCH(B2683,'Data Export'!$B$6:$B$78,0),1)))</f>
        <v>0</v>
      </c>
      <c r="E2683">
        <v>5</v>
      </c>
      <c r="F2683" t="s">
        <v>173</v>
      </c>
    </row>
    <row r="2684" spans="1:6">
      <c r="A2684" t="str">
        <f t="shared" si="41"/>
        <v>GenericE&amp;DtemplateCIandGOA</v>
      </c>
      <c r="B2684">
        <v>34</v>
      </c>
      <c r="C2684">
        <v>5</v>
      </c>
      <c r="D2684" s="649">
        <f ca="1">IF(E2684=4,INDEX(crude_exp_dist,MATCH(B2684,'Crude Exp Dist'!$B$6:$B$78,0),MATCH(C2684,'Crude Exp Dist'!$AD$2:$BC$2,0))*INDEX(crude_exp_by_year,MATCH(B2684,'Data Export'!$B$6:$B$78,0),1),IF(E2684=5,INDEX(ref_exp_dist,MATCH(B2684,'Refined Petro Exp Dist'!$B$6:$B$78,0),MATCH(C2684,'Refined Petro Exp Dist'!$AD$2:$BC$2,0))*INDEX(ref_exp_by_year,MATCH(B2684,'Data Export'!$B$6:$B$78,0),1)))</f>
        <v>0</v>
      </c>
      <c r="E2684">
        <v>5</v>
      </c>
      <c r="F2684" t="s">
        <v>180</v>
      </c>
    </row>
    <row r="2685" spans="1:6">
      <c r="A2685" t="str">
        <f t="shared" si="41"/>
        <v>GenericE&amp;DtemplateCIandGOA</v>
      </c>
      <c r="B2685">
        <v>34</v>
      </c>
      <c r="C2685">
        <v>6</v>
      </c>
      <c r="D2685" s="649">
        <f ca="1">IF(E2685=4,INDEX(crude_exp_dist,MATCH(B2685,'Crude Exp Dist'!$B$6:$B$78,0),MATCH(C2685,'Crude Exp Dist'!$AD$2:$BC$2,0))*INDEX(crude_exp_by_year,MATCH(B2685,'Data Export'!$B$6:$B$78,0),1),IF(E2685=5,INDEX(ref_exp_dist,MATCH(B2685,'Refined Petro Exp Dist'!$B$6:$B$78,0),MATCH(C2685,'Refined Petro Exp Dist'!$AD$2:$BC$2,0))*INDEX(ref_exp_by_year,MATCH(B2685,'Data Export'!$B$6:$B$78,0),1)))</f>
        <v>0</v>
      </c>
      <c r="E2685">
        <v>5</v>
      </c>
      <c r="F2685" t="s">
        <v>186</v>
      </c>
    </row>
    <row r="2686" spans="1:6">
      <c r="A2686" t="str">
        <f t="shared" si="41"/>
        <v>GenericE&amp;DtemplateCIandGOA</v>
      </c>
      <c r="B2686">
        <v>34</v>
      </c>
      <c r="C2686">
        <v>7</v>
      </c>
      <c r="D2686" s="649">
        <f ca="1">IF(E2686=4,INDEX(crude_exp_dist,MATCH(B2686,'Crude Exp Dist'!$B$6:$B$78,0),MATCH(C2686,'Crude Exp Dist'!$AD$2:$BC$2,0))*INDEX(crude_exp_by_year,MATCH(B2686,'Data Export'!$B$6:$B$78,0),1),IF(E2686=5,INDEX(ref_exp_dist,MATCH(B2686,'Refined Petro Exp Dist'!$B$6:$B$78,0),MATCH(C2686,'Refined Petro Exp Dist'!$AD$2:$BC$2,0))*INDEX(ref_exp_by_year,MATCH(B2686,'Data Export'!$B$6:$B$78,0),1)))</f>
        <v>0</v>
      </c>
      <c r="E2686">
        <v>5</v>
      </c>
      <c r="F2686" t="s">
        <v>191</v>
      </c>
    </row>
    <row r="2687" spans="1:6">
      <c r="A2687" t="str">
        <f t="shared" si="41"/>
        <v>GenericE&amp;DtemplateCIandGOA</v>
      </c>
      <c r="B2687">
        <v>34</v>
      </c>
      <c r="C2687">
        <v>8</v>
      </c>
      <c r="D2687" s="649">
        <f ca="1">IF(E2687=4,INDEX(crude_exp_dist,MATCH(B2687,'Crude Exp Dist'!$B$6:$B$78,0),MATCH(C2687,'Crude Exp Dist'!$AD$2:$BC$2,0))*INDEX(crude_exp_by_year,MATCH(B2687,'Data Export'!$B$6:$B$78,0),1),IF(E2687=5,INDEX(ref_exp_dist,MATCH(B2687,'Refined Petro Exp Dist'!$B$6:$B$78,0),MATCH(C2687,'Refined Petro Exp Dist'!$AD$2:$BC$2,0))*INDEX(ref_exp_by_year,MATCH(B2687,'Data Export'!$B$6:$B$78,0),1)))</f>
        <v>0</v>
      </c>
      <c r="E2687">
        <v>5</v>
      </c>
      <c r="F2687" t="s">
        <v>197</v>
      </c>
    </row>
    <row r="2688" spans="1:6">
      <c r="A2688" t="str">
        <f t="shared" si="41"/>
        <v>GenericE&amp;DtemplateCIandGOA</v>
      </c>
      <c r="B2688">
        <v>34</v>
      </c>
      <c r="C2688">
        <v>9</v>
      </c>
      <c r="D2688" s="649">
        <f ca="1">IF(E2688=4,INDEX(crude_exp_dist,MATCH(B2688,'Crude Exp Dist'!$B$6:$B$78,0),MATCH(C2688,'Crude Exp Dist'!$AD$2:$BC$2,0))*INDEX(crude_exp_by_year,MATCH(B2688,'Data Export'!$B$6:$B$78,0),1),IF(E2688=5,INDEX(ref_exp_dist,MATCH(B2688,'Refined Petro Exp Dist'!$B$6:$B$78,0),MATCH(C2688,'Refined Petro Exp Dist'!$AD$2:$BC$2,0))*INDEX(ref_exp_by_year,MATCH(B2688,'Data Export'!$B$6:$B$78,0),1)))</f>
        <v>0</v>
      </c>
      <c r="E2688">
        <v>5</v>
      </c>
      <c r="F2688" t="s">
        <v>199</v>
      </c>
    </row>
    <row r="2689" spans="1:6">
      <c r="A2689" t="str">
        <f t="shared" si="41"/>
        <v>GenericE&amp;DtemplateCIandGOA</v>
      </c>
      <c r="B2689">
        <v>34</v>
      </c>
      <c r="C2689">
        <v>10</v>
      </c>
      <c r="D2689" s="649">
        <f ca="1">IF(E2689=4,INDEX(crude_exp_dist,MATCH(B2689,'Crude Exp Dist'!$B$6:$B$78,0),MATCH(C2689,'Crude Exp Dist'!$AD$2:$BC$2,0))*INDEX(crude_exp_by_year,MATCH(B2689,'Data Export'!$B$6:$B$78,0),1),IF(E2689=5,INDEX(ref_exp_dist,MATCH(B2689,'Refined Petro Exp Dist'!$B$6:$B$78,0),MATCH(C2689,'Refined Petro Exp Dist'!$AD$2:$BC$2,0))*INDEX(ref_exp_by_year,MATCH(B2689,'Data Export'!$B$6:$B$78,0),1)))</f>
        <v>0</v>
      </c>
      <c r="E2689">
        <v>5</v>
      </c>
      <c r="F2689" t="s">
        <v>201</v>
      </c>
    </row>
    <row r="2690" spans="1:6">
      <c r="A2690" t="str">
        <f t="shared" ref="A2690:A2753" si="42">scenario_name</f>
        <v>GenericE&amp;DtemplateCIandGOA</v>
      </c>
      <c r="B2690">
        <v>34</v>
      </c>
      <c r="C2690">
        <v>11</v>
      </c>
      <c r="D2690" s="649">
        <f ca="1">IF(E2690=4,INDEX(crude_exp_dist,MATCH(B2690,'Crude Exp Dist'!$B$6:$B$78,0),MATCH(C2690,'Crude Exp Dist'!$AD$2:$BC$2,0))*INDEX(crude_exp_by_year,MATCH(B2690,'Data Export'!$B$6:$B$78,0),1),IF(E2690=5,INDEX(ref_exp_dist,MATCH(B2690,'Refined Petro Exp Dist'!$B$6:$B$78,0),MATCH(C2690,'Refined Petro Exp Dist'!$AD$2:$BC$2,0))*INDEX(ref_exp_by_year,MATCH(B2690,'Data Export'!$B$6:$B$78,0),1)))</f>
        <v>0</v>
      </c>
      <c r="E2690">
        <v>5</v>
      </c>
      <c r="F2690" t="s">
        <v>921</v>
      </c>
    </row>
    <row r="2691" spans="1:6">
      <c r="A2691" t="str">
        <f t="shared" si="42"/>
        <v>GenericE&amp;DtemplateCIandGOA</v>
      </c>
      <c r="B2691">
        <v>34</v>
      </c>
      <c r="C2691">
        <v>12</v>
      </c>
      <c r="D2691" s="649">
        <f ca="1">IF(E2691=4,INDEX(crude_exp_dist,MATCH(B2691,'Crude Exp Dist'!$B$6:$B$78,0),MATCH(C2691,'Crude Exp Dist'!$AD$2:$BC$2,0))*INDEX(crude_exp_by_year,MATCH(B2691,'Data Export'!$B$6:$B$78,0),1),IF(E2691=5,INDEX(ref_exp_dist,MATCH(B2691,'Refined Petro Exp Dist'!$B$6:$B$78,0),MATCH(C2691,'Refined Petro Exp Dist'!$AD$2:$BC$2,0))*INDEX(ref_exp_by_year,MATCH(B2691,'Data Export'!$B$6:$B$78,0),1)))</f>
        <v>0</v>
      </c>
      <c r="E2691">
        <v>5</v>
      </c>
      <c r="F2691" t="s">
        <v>208</v>
      </c>
    </row>
    <row r="2692" spans="1:6">
      <c r="A2692" t="str">
        <f t="shared" si="42"/>
        <v>GenericE&amp;DtemplateCIandGOA</v>
      </c>
      <c r="B2692">
        <v>34</v>
      </c>
      <c r="C2692">
        <v>13</v>
      </c>
      <c r="D2692" s="649">
        <f ca="1">IF(E2692=4,INDEX(crude_exp_dist,MATCH(B2692,'Crude Exp Dist'!$B$6:$B$78,0),MATCH(C2692,'Crude Exp Dist'!$AD$2:$BC$2,0))*INDEX(crude_exp_by_year,MATCH(B2692,'Data Export'!$B$6:$B$78,0),1),IF(E2692=5,INDEX(ref_exp_dist,MATCH(B2692,'Refined Petro Exp Dist'!$B$6:$B$78,0),MATCH(C2692,'Refined Petro Exp Dist'!$AD$2:$BC$2,0))*INDEX(ref_exp_by_year,MATCH(B2692,'Data Export'!$B$6:$B$78,0),1)))</f>
        <v>0</v>
      </c>
      <c r="E2692">
        <v>5</v>
      </c>
      <c r="F2692" t="s">
        <v>211</v>
      </c>
    </row>
    <row r="2693" spans="1:6">
      <c r="A2693" t="str">
        <f t="shared" si="42"/>
        <v>GenericE&amp;DtemplateCIandGOA</v>
      </c>
      <c r="B2693">
        <v>34</v>
      </c>
      <c r="C2693">
        <v>14</v>
      </c>
      <c r="D2693" s="649">
        <f ca="1">IF(E2693=4,INDEX(crude_exp_dist,MATCH(B2693,'Crude Exp Dist'!$B$6:$B$78,0),MATCH(C2693,'Crude Exp Dist'!$AD$2:$BC$2,0))*INDEX(crude_exp_by_year,MATCH(B2693,'Data Export'!$B$6:$B$78,0),1),IF(E2693=5,INDEX(ref_exp_dist,MATCH(B2693,'Refined Petro Exp Dist'!$B$6:$B$78,0),MATCH(C2693,'Refined Petro Exp Dist'!$AD$2:$BC$2,0))*INDEX(ref_exp_by_year,MATCH(B2693,'Data Export'!$B$6:$B$78,0),1)))</f>
        <v>0</v>
      </c>
      <c r="E2693">
        <v>5</v>
      </c>
      <c r="F2693" t="s">
        <v>213</v>
      </c>
    </row>
    <row r="2694" spans="1:6">
      <c r="A2694" t="str">
        <f t="shared" si="42"/>
        <v>GenericE&amp;DtemplateCIandGOA</v>
      </c>
      <c r="B2694">
        <v>34</v>
      </c>
      <c r="C2694">
        <v>15</v>
      </c>
      <c r="D2694" s="649">
        <f ca="1">IF(E2694=4,INDEX(crude_exp_dist,MATCH(B2694,'Crude Exp Dist'!$B$6:$B$78,0),MATCH(C2694,'Crude Exp Dist'!$AD$2:$BC$2,0))*INDEX(crude_exp_by_year,MATCH(B2694,'Data Export'!$B$6:$B$78,0),1),IF(E2694=5,INDEX(ref_exp_dist,MATCH(B2694,'Refined Petro Exp Dist'!$B$6:$B$78,0),MATCH(C2694,'Refined Petro Exp Dist'!$AD$2:$BC$2,0))*INDEX(ref_exp_by_year,MATCH(B2694,'Data Export'!$B$6:$B$78,0),1)))</f>
        <v>0</v>
      </c>
      <c r="E2694">
        <v>5</v>
      </c>
      <c r="F2694" t="s">
        <v>215</v>
      </c>
    </row>
    <row r="2695" spans="1:6">
      <c r="A2695" t="str">
        <f t="shared" si="42"/>
        <v>GenericE&amp;DtemplateCIandGOA</v>
      </c>
      <c r="B2695">
        <v>34</v>
      </c>
      <c r="C2695">
        <v>16</v>
      </c>
      <c r="D2695" s="649">
        <f ca="1">IF(E2695=4,INDEX(crude_exp_dist,MATCH(B2695,'Crude Exp Dist'!$B$6:$B$78,0),MATCH(C2695,'Crude Exp Dist'!$AD$2:$BC$2,0))*INDEX(crude_exp_by_year,MATCH(B2695,'Data Export'!$B$6:$B$78,0),1),IF(E2695=5,INDEX(ref_exp_dist,MATCH(B2695,'Refined Petro Exp Dist'!$B$6:$B$78,0),MATCH(C2695,'Refined Petro Exp Dist'!$AD$2:$BC$2,0))*INDEX(ref_exp_by_year,MATCH(B2695,'Data Export'!$B$6:$B$78,0),1)))</f>
        <v>0</v>
      </c>
      <c r="E2695">
        <v>5</v>
      </c>
      <c r="F2695" t="s">
        <v>219</v>
      </c>
    </row>
    <row r="2696" spans="1:6">
      <c r="A2696" t="str">
        <f t="shared" si="42"/>
        <v>GenericE&amp;DtemplateCIandGOA</v>
      </c>
      <c r="B2696">
        <v>34</v>
      </c>
      <c r="C2696">
        <v>17</v>
      </c>
      <c r="D2696" s="649">
        <f ca="1">IF(E2696=4,INDEX(crude_exp_dist,MATCH(B2696,'Crude Exp Dist'!$B$6:$B$78,0),MATCH(C2696,'Crude Exp Dist'!$AD$2:$BC$2,0))*INDEX(crude_exp_by_year,MATCH(B2696,'Data Export'!$B$6:$B$78,0),1),IF(E2696=5,INDEX(ref_exp_dist,MATCH(B2696,'Refined Petro Exp Dist'!$B$6:$B$78,0),MATCH(C2696,'Refined Petro Exp Dist'!$AD$2:$BC$2,0))*INDEX(ref_exp_by_year,MATCH(B2696,'Data Export'!$B$6:$B$78,0),1)))</f>
        <v>0</v>
      </c>
      <c r="E2696">
        <v>5</v>
      </c>
      <c r="F2696" t="s">
        <v>222</v>
      </c>
    </row>
    <row r="2697" spans="1:6">
      <c r="A2697" t="str">
        <f t="shared" si="42"/>
        <v>GenericE&amp;DtemplateCIandGOA</v>
      </c>
      <c r="B2697">
        <v>34</v>
      </c>
      <c r="C2697">
        <v>18</v>
      </c>
      <c r="D2697" s="649">
        <f ca="1">IF(E2697=4,INDEX(crude_exp_dist,MATCH(B2697,'Crude Exp Dist'!$B$6:$B$78,0),MATCH(C2697,'Crude Exp Dist'!$AD$2:$BC$2,0))*INDEX(crude_exp_by_year,MATCH(B2697,'Data Export'!$B$6:$B$78,0),1),IF(E2697=5,INDEX(ref_exp_dist,MATCH(B2697,'Refined Petro Exp Dist'!$B$6:$B$78,0),MATCH(C2697,'Refined Petro Exp Dist'!$AD$2:$BC$2,0))*INDEX(ref_exp_by_year,MATCH(B2697,'Data Export'!$B$6:$B$78,0),1)))</f>
        <v>0</v>
      </c>
      <c r="E2697">
        <v>5</v>
      </c>
      <c r="F2697" t="s">
        <v>224</v>
      </c>
    </row>
    <row r="2698" spans="1:6">
      <c r="A2698" t="str">
        <f t="shared" si="42"/>
        <v>GenericE&amp;DtemplateCIandGOA</v>
      </c>
      <c r="B2698">
        <v>34</v>
      </c>
      <c r="C2698">
        <v>19</v>
      </c>
      <c r="D2698" s="649">
        <f ca="1">IF(E2698=4,INDEX(crude_exp_dist,MATCH(B2698,'Crude Exp Dist'!$B$6:$B$78,0),MATCH(C2698,'Crude Exp Dist'!$AD$2:$BC$2,0))*INDEX(crude_exp_by_year,MATCH(B2698,'Data Export'!$B$6:$B$78,0),1),IF(E2698=5,INDEX(ref_exp_dist,MATCH(B2698,'Refined Petro Exp Dist'!$B$6:$B$78,0),MATCH(C2698,'Refined Petro Exp Dist'!$AD$2:$BC$2,0))*INDEX(ref_exp_by_year,MATCH(B2698,'Data Export'!$B$6:$B$78,0),1)))</f>
        <v>0</v>
      </c>
      <c r="E2698">
        <v>5</v>
      </c>
      <c r="F2698" t="s">
        <v>228</v>
      </c>
    </row>
    <row r="2699" spans="1:6">
      <c r="A2699" t="str">
        <f t="shared" si="42"/>
        <v>GenericE&amp;DtemplateCIandGOA</v>
      </c>
      <c r="B2699">
        <v>34</v>
      </c>
      <c r="C2699">
        <v>20</v>
      </c>
      <c r="D2699" s="649">
        <f ca="1">IF(E2699=4,INDEX(crude_exp_dist,MATCH(B2699,'Crude Exp Dist'!$B$6:$B$78,0),MATCH(C2699,'Crude Exp Dist'!$AD$2:$BC$2,0))*INDEX(crude_exp_by_year,MATCH(B2699,'Data Export'!$B$6:$B$78,0),1),IF(E2699=5,INDEX(ref_exp_dist,MATCH(B2699,'Refined Petro Exp Dist'!$B$6:$B$78,0),MATCH(C2699,'Refined Petro Exp Dist'!$AD$2:$BC$2,0))*INDEX(ref_exp_by_year,MATCH(B2699,'Data Export'!$B$6:$B$78,0),1)))</f>
        <v>0</v>
      </c>
      <c r="E2699">
        <v>5</v>
      </c>
      <c r="F2699" t="s">
        <v>231</v>
      </c>
    </row>
    <row r="2700" spans="1:6">
      <c r="A2700" t="str">
        <f t="shared" si="42"/>
        <v>GenericE&amp;DtemplateCIandGOA</v>
      </c>
      <c r="B2700">
        <v>34</v>
      </c>
      <c r="C2700">
        <v>21</v>
      </c>
      <c r="D2700" s="649">
        <f ca="1">IF(E2700=4,INDEX(crude_exp_dist,MATCH(B2700,'Crude Exp Dist'!$B$6:$B$78,0),MATCH(C2700,'Crude Exp Dist'!$AD$2:$BC$2,0))*INDEX(crude_exp_by_year,MATCH(B2700,'Data Export'!$B$6:$B$78,0),1),IF(E2700=5,INDEX(ref_exp_dist,MATCH(B2700,'Refined Petro Exp Dist'!$B$6:$B$78,0),MATCH(C2700,'Refined Petro Exp Dist'!$AD$2:$BC$2,0))*INDEX(ref_exp_by_year,MATCH(B2700,'Data Export'!$B$6:$B$78,0),1)))</f>
        <v>0</v>
      </c>
      <c r="E2700">
        <v>5</v>
      </c>
      <c r="F2700" t="s">
        <v>232</v>
      </c>
    </row>
    <row r="2701" spans="1:6">
      <c r="A2701" t="str">
        <f t="shared" si="42"/>
        <v>GenericE&amp;DtemplateCIandGOA</v>
      </c>
      <c r="B2701">
        <v>34</v>
      </c>
      <c r="C2701">
        <v>22</v>
      </c>
      <c r="D2701" s="649">
        <f ca="1">IF(E2701=4,INDEX(crude_exp_dist,MATCH(B2701,'Crude Exp Dist'!$B$6:$B$78,0),MATCH(C2701,'Crude Exp Dist'!$AD$2:$BC$2,0))*INDEX(crude_exp_by_year,MATCH(B2701,'Data Export'!$B$6:$B$78,0),1),IF(E2701=5,INDEX(ref_exp_dist,MATCH(B2701,'Refined Petro Exp Dist'!$B$6:$B$78,0),MATCH(C2701,'Refined Petro Exp Dist'!$AD$2:$BC$2,0))*INDEX(ref_exp_by_year,MATCH(B2701,'Data Export'!$B$6:$B$78,0),1)))</f>
        <v>0</v>
      </c>
      <c r="E2701">
        <v>5</v>
      </c>
      <c r="F2701" t="s">
        <v>235</v>
      </c>
    </row>
    <row r="2702" spans="1:6">
      <c r="A2702" t="str">
        <f t="shared" si="42"/>
        <v>GenericE&amp;DtemplateCIandGOA</v>
      </c>
      <c r="B2702">
        <v>34</v>
      </c>
      <c r="C2702">
        <v>23</v>
      </c>
      <c r="D2702" s="649">
        <f ca="1">IF(E2702=4,INDEX(crude_exp_dist,MATCH(B2702,'Crude Exp Dist'!$B$6:$B$78,0),MATCH(C2702,'Crude Exp Dist'!$AD$2:$BC$2,0))*INDEX(crude_exp_by_year,MATCH(B2702,'Data Export'!$B$6:$B$78,0),1),IF(E2702=5,INDEX(ref_exp_dist,MATCH(B2702,'Refined Petro Exp Dist'!$B$6:$B$78,0),MATCH(C2702,'Refined Petro Exp Dist'!$AD$2:$BC$2,0))*INDEX(ref_exp_by_year,MATCH(B2702,'Data Export'!$B$6:$B$78,0),1)))</f>
        <v>0</v>
      </c>
      <c r="E2702">
        <v>5</v>
      </c>
      <c r="F2702" t="s">
        <v>237</v>
      </c>
    </row>
    <row r="2703" spans="1:6">
      <c r="A2703" t="str">
        <f t="shared" si="42"/>
        <v>GenericE&amp;DtemplateCIandGOA</v>
      </c>
      <c r="B2703">
        <v>34</v>
      </c>
      <c r="C2703">
        <v>24</v>
      </c>
      <c r="D2703" s="649">
        <f ca="1">IF(E2703=4,INDEX(crude_exp_dist,MATCH(B2703,'Crude Exp Dist'!$B$6:$B$78,0),MATCH(C2703,'Crude Exp Dist'!$AD$2:$BC$2,0))*INDEX(crude_exp_by_year,MATCH(B2703,'Data Export'!$B$6:$B$78,0),1),IF(E2703=5,INDEX(ref_exp_dist,MATCH(B2703,'Refined Petro Exp Dist'!$B$6:$B$78,0),MATCH(C2703,'Refined Petro Exp Dist'!$AD$2:$BC$2,0))*INDEX(ref_exp_by_year,MATCH(B2703,'Data Export'!$B$6:$B$78,0),1)))</f>
        <v>0</v>
      </c>
      <c r="E2703">
        <v>5</v>
      </c>
      <c r="F2703" t="s">
        <v>239</v>
      </c>
    </row>
    <row r="2704" spans="1:6">
      <c r="A2704" t="str">
        <f t="shared" si="42"/>
        <v>GenericE&amp;DtemplateCIandGOA</v>
      </c>
      <c r="B2704">
        <v>34</v>
      </c>
      <c r="C2704">
        <v>25</v>
      </c>
      <c r="D2704" s="649">
        <f ca="1">IF(E2704=4,INDEX(crude_exp_dist,MATCH(B2704,'Crude Exp Dist'!$B$6:$B$78,0),MATCH(C2704,'Crude Exp Dist'!$AD$2:$BC$2,0))*INDEX(crude_exp_by_year,MATCH(B2704,'Data Export'!$B$6:$B$78,0),1),IF(E2704=5,INDEX(ref_exp_dist,MATCH(B2704,'Refined Petro Exp Dist'!$B$6:$B$78,0),MATCH(C2704,'Refined Petro Exp Dist'!$AD$2:$BC$2,0))*INDEX(ref_exp_by_year,MATCH(B2704,'Data Export'!$B$6:$B$78,0),1)))</f>
        <v>0</v>
      </c>
      <c r="E2704">
        <v>5</v>
      </c>
      <c r="F2704" t="s">
        <v>242</v>
      </c>
    </row>
    <row r="2705" spans="1:6">
      <c r="A2705" t="str">
        <f t="shared" si="42"/>
        <v>GenericE&amp;DtemplateCIandGOA</v>
      </c>
      <c r="B2705">
        <v>34</v>
      </c>
      <c r="C2705">
        <v>26</v>
      </c>
      <c r="D2705" s="649">
        <f ca="1">IF(E2705=4,INDEX(crude_exp_dist,MATCH(B2705,'Crude Exp Dist'!$B$6:$B$78,0),MATCH(C2705,'Crude Exp Dist'!$AD$2:$BC$2,0))*INDEX(crude_exp_by_year,MATCH(B2705,'Data Export'!$B$6:$B$78,0),1),IF(E2705=5,INDEX(ref_exp_dist,MATCH(B2705,'Refined Petro Exp Dist'!$B$6:$B$78,0),MATCH(C2705,'Refined Petro Exp Dist'!$AD$2:$BC$2,0))*INDEX(ref_exp_by_year,MATCH(B2705,'Data Export'!$B$6:$B$78,0),1)))</f>
        <v>0</v>
      </c>
      <c r="E2705">
        <v>5</v>
      </c>
      <c r="F2705" t="s">
        <v>245</v>
      </c>
    </row>
    <row r="2706" spans="1:6">
      <c r="A2706" t="str">
        <f t="shared" si="42"/>
        <v>GenericE&amp;DtemplateCIandGOA</v>
      </c>
      <c r="B2706">
        <v>35</v>
      </c>
      <c r="C2706">
        <v>1</v>
      </c>
      <c r="D2706" s="649">
        <f ca="1">IF(E2706=4,INDEX(crude_exp_dist,MATCH(B2706,'Crude Exp Dist'!$B$6:$B$78,0),MATCH(C2706,'Crude Exp Dist'!$AD$2:$BC$2,0))*INDEX(crude_exp_by_year,MATCH(B2706,'Data Export'!$B$6:$B$78,0),1),IF(E2706=5,INDEX(ref_exp_dist,MATCH(B2706,'Refined Petro Exp Dist'!$B$6:$B$78,0),MATCH(C2706,'Refined Petro Exp Dist'!$AD$2:$BC$2,0))*INDEX(ref_exp_by_year,MATCH(B2706,'Data Export'!$B$6:$B$78,0),1)))</f>
        <v>0</v>
      </c>
      <c r="E2706">
        <v>5</v>
      </c>
      <c r="F2706" t="s">
        <v>158</v>
      </c>
    </row>
    <row r="2707" spans="1:6">
      <c r="A2707" t="str">
        <f t="shared" si="42"/>
        <v>GenericE&amp;DtemplateCIandGOA</v>
      </c>
      <c r="B2707">
        <v>35</v>
      </c>
      <c r="C2707">
        <v>2</v>
      </c>
      <c r="D2707" s="649">
        <f ca="1">IF(E2707=4,INDEX(crude_exp_dist,MATCH(B2707,'Crude Exp Dist'!$B$6:$B$78,0),MATCH(C2707,'Crude Exp Dist'!$AD$2:$BC$2,0))*INDEX(crude_exp_by_year,MATCH(B2707,'Data Export'!$B$6:$B$78,0),1),IF(E2707=5,INDEX(ref_exp_dist,MATCH(B2707,'Refined Petro Exp Dist'!$B$6:$B$78,0),MATCH(C2707,'Refined Petro Exp Dist'!$AD$2:$BC$2,0))*INDEX(ref_exp_by_year,MATCH(B2707,'Data Export'!$B$6:$B$78,0),1)))</f>
        <v>0</v>
      </c>
      <c r="E2707">
        <v>5</v>
      </c>
      <c r="F2707" t="s">
        <v>166</v>
      </c>
    </row>
    <row r="2708" spans="1:6">
      <c r="A2708" t="str">
        <f t="shared" si="42"/>
        <v>GenericE&amp;DtemplateCIandGOA</v>
      </c>
      <c r="B2708">
        <v>35</v>
      </c>
      <c r="C2708">
        <v>3</v>
      </c>
      <c r="D2708" s="649">
        <f ca="1">IF(E2708=4,INDEX(crude_exp_dist,MATCH(B2708,'Crude Exp Dist'!$B$6:$B$78,0),MATCH(C2708,'Crude Exp Dist'!$AD$2:$BC$2,0))*INDEX(crude_exp_by_year,MATCH(B2708,'Data Export'!$B$6:$B$78,0),1),IF(E2708=5,INDEX(ref_exp_dist,MATCH(B2708,'Refined Petro Exp Dist'!$B$6:$B$78,0),MATCH(C2708,'Refined Petro Exp Dist'!$AD$2:$BC$2,0))*INDEX(ref_exp_by_year,MATCH(B2708,'Data Export'!$B$6:$B$78,0),1)))</f>
        <v>0</v>
      </c>
      <c r="E2708">
        <v>5</v>
      </c>
      <c r="F2708" t="s">
        <v>171</v>
      </c>
    </row>
    <row r="2709" spans="1:6">
      <c r="A2709" t="str">
        <f t="shared" si="42"/>
        <v>GenericE&amp;DtemplateCIandGOA</v>
      </c>
      <c r="B2709">
        <v>35</v>
      </c>
      <c r="C2709">
        <v>4</v>
      </c>
      <c r="D2709" s="649">
        <f ca="1">IF(E2709=4,INDEX(crude_exp_dist,MATCH(B2709,'Crude Exp Dist'!$B$6:$B$78,0),MATCH(C2709,'Crude Exp Dist'!$AD$2:$BC$2,0))*INDEX(crude_exp_by_year,MATCH(B2709,'Data Export'!$B$6:$B$78,0),1),IF(E2709=5,INDEX(ref_exp_dist,MATCH(B2709,'Refined Petro Exp Dist'!$B$6:$B$78,0),MATCH(C2709,'Refined Petro Exp Dist'!$AD$2:$BC$2,0))*INDEX(ref_exp_by_year,MATCH(B2709,'Data Export'!$B$6:$B$78,0),1)))</f>
        <v>0</v>
      </c>
      <c r="E2709">
        <v>5</v>
      </c>
      <c r="F2709" t="s">
        <v>173</v>
      </c>
    </row>
    <row r="2710" spans="1:6">
      <c r="A2710" t="str">
        <f t="shared" si="42"/>
        <v>GenericE&amp;DtemplateCIandGOA</v>
      </c>
      <c r="B2710">
        <v>35</v>
      </c>
      <c r="C2710">
        <v>5</v>
      </c>
      <c r="D2710" s="649">
        <f ca="1">IF(E2710=4,INDEX(crude_exp_dist,MATCH(B2710,'Crude Exp Dist'!$B$6:$B$78,0),MATCH(C2710,'Crude Exp Dist'!$AD$2:$BC$2,0))*INDEX(crude_exp_by_year,MATCH(B2710,'Data Export'!$B$6:$B$78,0),1),IF(E2710=5,INDEX(ref_exp_dist,MATCH(B2710,'Refined Petro Exp Dist'!$B$6:$B$78,0),MATCH(C2710,'Refined Petro Exp Dist'!$AD$2:$BC$2,0))*INDEX(ref_exp_by_year,MATCH(B2710,'Data Export'!$B$6:$B$78,0),1)))</f>
        <v>0</v>
      </c>
      <c r="E2710">
        <v>5</v>
      </c>
      <c r="F2710" t="s">
        <v>180</v>
      </c>
    </row>
    <row r="2711" spans="1:6">
      <c r="A2711" t="str">
        <f t="shared" si="42"/>
        <v>GenericE&amp;DtemplateCIandGOA</v>
      </c>
      <c r="B2711">
        <v>35</v>
      </c>
      <c r="C2711">
        <v>6</v>
      </c>
      <c r="D2711" s="649">
        <f ca="1">IF(E2711=4,INDEX(crude_exp_dist,MATCH(B2711,'Crude Exp Dist'!$B$6:$B$78,0),MATCH(C2711,'Crude Exp Dist'!$AD$2:$BC$2,0))*INDEX(crude_exp_by_year,MATCH(B2711,'Data Export'!$B$6:$B$78,0),1),IF(E2711=5,INDEX(ref_exp_dist,MATCH(B2711,'Refined Petro Exp Dist'!$B$6:$B$78,0),MATCH(C2711,'Refined Petro Exp Dist'!$AD$2:$BC$2,0))*INDEX(ref_exp_by_year,MATCH(B2711,'Data Export'!$B$6:$B$78,0),1)))</f>
        <v>0</v>
      </c>
      <c r="E2711">
        <v>5</v>
      </c>
      <c r="F2711" t="s">
        <v>186</v>
      </c>
    </row>
    <row r="2712" spans="1:6">
      <c r="A2712" t="str">
        <f t="shared" si="42"/>
        <v>GenericE&amp;DtemplateCIandGOA</v>
      </c>
      <c r="B2712">
        <v>35</v>
      </c>
      <c r="C2712">
        <v>7</v>
      </c>
      <c r="D2712" s="649">
        <f ca="1">IF(E2712=4,INDEX(crude_exp_dist,MATCH(B2712,'Crude Exp Dist'!$B$6:$B$78,0),MATCH(C2712,'Crude Exp Dist'!$AD$2:$BC$2,0))*INDEX(crude_exp_by_year,MATCH(B2712,'Data Export'!$B$6:$B$78,0),1),IF(E2712=5,INDEX(ref_exp_dist,MATCH(B2712,'Refined Petro Exp Dist'!$B$6:$B$78,0),MATCH(C2712,'Refined Petro Exp Dist'!$AD$2:$BC$2,0))*INDEX(ref_exp_by_year,MATCH(B2712,'Data Export'!$B$6:$B$78,0),1)))</f>
        <v>0</v>
      </c>
      <c r="E2712">
        <v>5</v>
      </c>
      <c r="F2712" t="s">
        <v>191</v>
      </c>
    </row>
    <row r="2713" spans="1:6">
      <c r="A2713" t="str">
        <f t="shared" si="42"/>
        <v>GenericE&amp;DtemplateCIandGOA</v>
      </c>
      <c r="B2713">
        <v>35</v>
      </c>
      <c r="C2713">
        <v>8</v>
      </c>
      <c r="D2713" s="649">
        <f ca="1">IF(E2713=4,INDEX(crude_exp_dist,MATCH(B2713,'Crude Exp Dist'!$B$6:$B$78,0),MATCH(C2713,'Crude Exp Dist'!$AD$2:$BC$2,0))*INDEX(crude_exp_by_year,MATCH(B2713,'Data Export'!$B$6:$B$78,0),1),IF(E2713=5,INDEX(ref_exp_dist,MATCH(B2713,'Refined Petro Exp Dist'!$B$6:$B$78,0),MATCH(C2713,'Refined Petro Exp Dist'!$AD$2:$BC$2,0))*INDEX(ref_exp_by_year,MATCH(B2713,'Data Export'!$B$6:$B$78,0),1)))</f>
        <v>0</v>
      </c>
      <c r="E2713">
        <v>5</v>
      </c>
      <c r="F2713" t="s">
        <v>197</v>
      </c>
    </row>
    <row r="2714" spans="1:6">
      <c r="A2714" t="str">
        <f t="shared" si="42"/>
        <v>GenericE&amp;DtemplateCIandGOA</v>
      </c>
      <c r="B2714">
        <v>35</v>
      </c>
      <c r="C2714">
        <v>9</v>
      </c>
      <c r="D2714" s="649">
        <f ca="1">IF(E2714=4,INDEX(crude_exp_dist,MATCH(B2714,'Crude Exp Dist'!$B$6:$B$78,0),MATCH(C2714,'Crude Exp Dist'!$AD$2:$BC$2,0))*INDEX(crude_exp_by_year,MATCH(B2714,'Data Export'!$B$6:$B$78,0),1),IF(E2714=5,INDEX(ref_exp_dist,MATCH(B2714,'Refined Petro Exp Dist'!$B$6:$B$78,0),MATCH(C2714,'Refined Petro Exp Dist'!$AD$2:$BC$2,0))*INDEX(ref_exp_by_year,MATCH(B2714,'Data Export'!$B$6:$B$78,0),1)))</f>
        <v>0</v>
      </c>
      <c r="E2714">
        <v>5</v>
      </c>
      <c r="F2714" t="s">
        <v>199</v>
      </c>
    </row>
    <row r="2715" spans="1:6">
      <c r="A2715" t="str">
        <f t="shared" si="42"/>
        <v>GenericE&amp;DtemplateCIandGOA</v>
      </c>
      <c r="B2715">
        <v>35</v>
      </c>
      <c r="C2715">
        <v>10</v>
      </c>
      <c r="D2715" s="649">
        <f ca="1">IF(E2715=4,INDEX(crude_exp_dist,MATCH(B2715,'Crude Exp Dist'!$B$6:$B$78,0),MATCH(C2715,'Crude Exp Dist'!$AD$2:$BC$2,0))*INDEX(crude_exp_by_year,MATCH(B2715,'Data Export'!$B$6:$B$78,0),1),IF(E2715=5,INDEX(ref_exp_dist,MATCH(B2715,'Refined Petro Exp Dist'!$B$6:$B$78,0),MATCH(C2715,'Refined Petro Exp Dist'!$AD$2:$BC$2,0))*INDEX(ref_exp_by_year,MATCH(B2715,'Data Export'!$B$6:$B$78,0),1)))</f>
        <v>0</v>
      </c>
      <c r="E2715">
        <v>5</v>
      </c>
      <c r="F2715" t="s">
        <v>201</v>
      </c>
    </row>
    <row r="2716" spans="1:6">
      <c r="A2716" t="str">
        <f t="shared" si="42"/>
        <v>GenericE&amp;DtemplateCIandGOA</v>
      </c>
      <c r="B2716">
        <v>35</v>
      </c>
      <c r="C2716">
        <v>11</v>
      </c>
      <c r="D2716" s="649">
        <f ca="1">IF(E2716=4,INDEX(crude_exp_dist,MATCH(B2716,'Crude Exp Dist'!$B$6:$B$78,0),MATCH(C2716,'Crude Exp Dist'!$AD$2:$BC$2,0))*INDEX(crude_exp_by_year,MATCH(B2716,'Data Export'!$B$6:$B$78,0),1),IF(E2716=5,INDEX(ref_exp_dist,MATCH(B2716,'Refined Petro Exp Dist'!$B$6:$B$78,0),MATCH(C2716,'Refined Petro Exp Dist'!$AD$2:$BC$2,0))*INDEX(ref_exp_by_year,MATCH(B2716,'Data Export'!$B$6:$B$78,0),1)))</f>
        <v>0</v>
      </c>
      <c r="E2716">
        <v>5</v>
      </c>
      <c r="F2716" t="s">
        <v>921</v>
      </c>
    </row>
    <row r="2717" spans="1:6">
      <c r="A2717" t="str">
        <f t="shared" si="42"/>
        <v>GenericE&amp;DtemplateCIandGOA</v>
      </c>
      <c r="B2717">
        <v>35</v>
      </c>
      <c r="C2717">
        <v>12</v>
      </c>
      <c r="D2717" s="649">
        <f ca="1">IF(E2717=4,INDEX(crude_exp_dist,MATCH(B2717,'Crude Exp Dist'!$B$6:$B$78,0),MATCH(C2717,'Crude Exp Dist'!$AD$2:$BC$2,0))*INDEX(crude_exp_by_year,MATCH(B2717,'Data Export'!$B$6:$B$78,0),1),IF(E2717=5,INDEX(ref_exp_dist,MATCH(B2717,'Refined Petro Exp Dist'!$B$6:$B$78,0),MATCH(C2717,'Refined Petro Exp Dist'!$AD$2:$BC$2,0))*INDEX(ref_exp_by_year,MATCH(B2717,'Data Export'!$B$6:$B$78,0),1)))</f>
        <v>0</v>
      </c>
      <c r="E2717">
        <v>5</v>
      </c>
      <c r="F2717" t="s">
        <v>208</v>
      </c>
    </row>
    <row r="2718" spans="1:6">
      <c r="A2718" t="str">
        <f t="shared" si="42"/>
        <v>GenericE&amp;DtemplateCIandGOA</v>
      </c>
      <c r="B2718">
        <v>35</v>
      </c>
      <c r="C2718">
        <v>13</v>
      </c>
      <c r="D2718" s="649">
        <f ca="1">IF(E2718=4,INDEX(crude_exp_dist,MATCH(B2718,'Crude Exp Dist'!$B$6:$B$78,0),MATCH(C2718,'Crude Exp Dist'!$AD$2:$BC$2,0))*INDEX(crude_exp_by_year,MATCH(B2718,'Data Export'!$B$6:$B$78,0),1),IF(E2718=5,INDEX(ref_exp_dist,MATCH(B2718,'Refined Petro Exp Dist'!$B$6:$B$78,0),MATCH(C2718,'Refined Petro Exp Dist'!$AD$2:$BC$2,0))*INDEX(ref_exp_by_year,MATCH(B2718,'Data Export'!$B$6:$B$78,0),1)))</f>
        <v>0</v>
      </c>
      <c r="E2718">
        <v>5</v>
      </c>
      <c r="F2718" t="s">
        <v>211</v>
      </c>
    </row>
    <row r="2719" spans="1:6">
      <c r="A2719" t="str">
        <f t="shared" si="42"/>
        <v>GenericE&amp;DtemplateCIandGOA</v>
      </c>
      <c r="B2719">
        <v>35</v>
      </c>
      <c r="C2719">
        <v>14</v>
      </c>
      <c r="D2719" s="649">
        <f ca="1">IF(E2719=4,INDEX(crude_exp_dist,MATCH(B2719,'Crude Exp Dist'!$B$6:$B$78,0),MATCH(C2719,'Crude Exp Dist'!$AD$2:$BC$2,0))*INDEX(crude_exp_by_year,MATCH(B2719,'Data Export'!$B$6:$B$78,0),1),IF(E2719=5,INDEX(ref_exp_dist,MATCH(B2719,'Refined Petro Exp Dist'!$B$6:$B$78,0),MATCH(C2719,'Refined Petro Exp Dist'!$AD$2:$BC$2,0))*INDEX(ref_exp_by_year,MATCH(B2719,'Data Export'!$B$6:$B$78,0),1)))</f>
        <v>0</v>
      </c>
      <c r="E2719">
        <v>5</v>
      </c>
      <c r="F2719" t="s">
        <v>213</v>
      </c>
    </row>
    <row r="2720" spans="1:6">
      <c r="A2720" t="str">
        <f t="shared" si="42"/>
        <v>GenericE&amp;DtemplateCIandGOA</v>
      </c>
      <c r="B2720">
        <v>35</v>
      </c>
      <c r="C2720">
        <v>15</v>
      </c>
      <c r="D2720" s="649">
        <f ca="1">IF(E2720=4,INDEX(crude_exp_dist,MATCH(B2720,'Crude Exp Dist'!$B$6:$B$78,0),MATCH(C2720,'Crude Exp Dist'!$AD$2:$BC$2,0))*INDEX(crude_exp_by_year,MATCH(B2720,'Data Export'!$B$6:$B$78,0),1),IF(E2720=5,INDEX(ref_exp_dist,MATCH(B2720,'Refined Petro Exp Dist'!$B$6:$B$78,0),MATCH(C2720,'Refined Petro Exp Dist'!$AD$2:$BC$2,0))*INDEX(ref_exp_by_year,MATCH(B2720,'Data Export'!$B$6:$B$78,0),1)))</f>
        <v>0</v>
      </c>
      <c r="E2720">
        <v>5</v>
      </c>
      <c r="F2720" t="s">
        <v>215</v>
      </c>
    </row>
    <row r="2721" spans="1:6">
      <c r="A2721" t="str">
        <f t="shared" si="42"/>
        <v>GenericE&amp;DtemplateCIandGOA</v>
      </c>
      <c r="B2721">
        <v>35</v>
      </c>
      <c r="C2721">
        <v>16</v>
      </c>
      <c r="D2721" s="649">
        <f ca="1">IF(E2721=4,INDEX(crude_exp_dist,MATCH(B2721,'Crude Exp Dist'!$B$6:$B$78,0),MATCH(C2721,'Crude Exp Dist'!$AD$2:$BC$2,0))*INDEX(crude_exp_by_year,MATCH(B2721,'Data Export'!$B$6:$B$78,0),1),IF(E2721=5,INDEX(ref_exp_dist,MATCH(B2721,'Refined Petro Exp Dist'!$B$6:$B$78,0),MATCH(C2721,'Refined Petro Exp Dist'!$AD$2:$BC$2,0))*INDEX(ref_exp_by_year,MATCH(B2721,'Data Export'!$B$6:$B$78,0),1)))</f>
        <v>0</v>
      </c>
      <c r="E2721">
        <v>5</v>
      </c>
      <c r="F2721" t="s">
        <v>219</v>
      </c>
    </row>
    <row r="2722" spans="1:6">
      <c r="A2722" t="str">
        <f t="shared" si="42"/>
        <v>GenericE&amp;DtemplateCIandGOA</v>
      </c>
      <c r="B2722">
        <v>35</v>
      </c>
      <c r="C2722">
        <v>17</v>
      </c>
      <c r="D2722" s="649">
        <f ca="1">IF(E2722=4,INDEX(crude_exp_dist,MATCH(B2722,'Crude Exp Dist'!$B$6:$B$78,0),MATCH(C2722,'Crude Exp Dist'!$AD$2:$BC$2,0))*INDEX(crude_exp_by_year,MATCH(B2722,'Data Export'!$B$6:$B$78,0),1),IF(E2722=5,INDEX(ref_exp_dist,MATCH(B2722,'Refined Petro Exp Dist'!$B$6:$B$78,0),MATCH(C2722,'Refined Petro Exp Dist'!$AD$2:$BC$2,0))*INDEX(ref_exp_by_year,MATCH(B2722,'Data Export'!$B$6:$B$78,0),1)))</f>
        <v>0</v>
      </c>
      <c r="E2722">
        <v>5</v>
      </c>
      <c r="F2722" t="s">
        <v>222</v>
      </c>
    </row>
    <row r="2723" spans="1:6">
      <c r="A2723" t="str">
        <f t="shared" si="42"/>
        <v>GenericE&amp;DtemplateCIandGOA</v>
      </c>
      <c r="B2723">
        <v>35</v>
      </c>
      <c r="C2723">
        <v>18</v>
      </c>
      <c r="D2723" s="649">
        <f ca="1">IF(E2723=4,INDEX(crude_exp_dist,MATCH(B2723,'Crude Exp Dist'!$B$6:$B$78,0),MATCH(C2723,'Crude Exp Dist'!$AD$2:$BC$2,0))*INDEX(crude_exp_by_year,MATCH(B2723,'Data Export'!$B$6:$B$78,0),1),IF(E2723=5,INDEX(ref_exp_dist,MATCH(B2723,'Refined Petro Exp Dist'!$B$6:$B$78,0),MATCH(C2723,'Refined Petro Exp Dist'!$AD$2:$BC$2,0))*INDEX(ref_exp_by_year,MATCH(B2723,'Data Export'!$B$6:$B$78,0),1)))</f>
        <v>0</v>
      </c>
      <c r="E2723">
        <v>5</v>
      </c>
      <c r="F2723" t="s">
        <v>224</v>
      </c>
    </row>
    <row r="2724" spans="1:6">
      <c r="A2724" t="str">
        <f t="shared" si="42"/>
        <v>GenericE&amp;DtemplateCIandGOA</v>
      </c>
      <c r="B2724">
        <v>35</v>
      </c>
      <c r="C2724">
        <v>19</v>
      </c>
      <c r="D2724" s="649">
        <f ca="1">IF(E2724=4,INDEX(crude_exp_dist,MATCH(B2724,'Crude Exp Dist'!$B$6:$B$78,0),MATCH(C2724,'Crude Exp Dist'!$AD$2:$BC$2,0))*INDEX(crude_exp_by_year,MATCH(B2724,'Data Export'!$B$6:$B$78,0),1),IF(E2724=5,INDEX(ref_exp_dist,MATCH(B2724,'Refined Petro Exp Dist'!$B$6:$B$78,0),MATCH(C2724,'Refined Petro Exp Dist'!$AD$2:$BC$2,0))*INDEX(ref_exp_by_year,MATCH(B2724,'Data Export'!$B$6:$B$78,0),1)))</f>
        <v>0</v>
      </c>
      <c r="E2724">
        <v>5</v>
      </c>
      <c r="F2724" t="s">
        <v>228</v>
      </c>
    </row>
    <row r="2725" spans="1:6">
      <c r="A2725" t="str">
        <f t="shared" si="42"/>
        <v>GenericE&amp;DtemplateCIandGOA</v>
      </c>
      <c r="B2725">
        <v>35</v>
      </c>
      <c r="C2725">
        <v>20</v>
      </c>
      <c r="D2725" s="649">
        <f ca="1">IF(E2725=4,INDEX(crude_exp_dist,MATCH(B2725,'Crude Exp Dist'!$B$6:$B$78,0),MATCH(C2725,'Crude Exp Dist'!$AD$2:$BC$2,0))*INDEX(crude_exp_by_year,MATCH(B2725,'Data Export'!$B$6:$B$78,0),1),IF(E2725=5,INDEX(ref_exp_dist,MATCH(B2725,'Refined Petro Exp Dist'!$B$6:$B$78,0),MATCH(C2725,'Refined Petro Exp Dist'!$AD$2:$BC$2,0))*INDEX(ref_exp_by_year,MATCH(B2725,'Data Export'!$B$6:$B$78,0),1)))</f>
        <v>0</v>
      </c>
      <c r="E2725">
        <v>5</v>
      </c>
      <c r="F2725" t="s">
        <v>231</v>
      </c>
    </row>
    <row r="2726" spans="1:6">
      <c r="A2726" t="str">
        <f t="shared" si="42"/>
        <v>GenericE&amp;DtemplateCIandGOA</v>
      </c>
      <c r="B2726">
        <v>35</v>
      </c>
      <c r="C2726">
        <v>21</v>
      </c>
      <c r="D2726" s="649">
        <f ca="1">IF(E2726=4,INDEX(crude_exp_dist,MATCH(B2726,'Crude Exp Dist'!$B$6:$B$78,0),MATCH(C2726,'Crude Exp Dist'!$AD$2:$BC$2,0))*INDEX(crude_exp_by_year,MATCH(B2726,'Data Export'!$B$6:$B$78,0),1),IF(E2726=5,INDEX(ref_exp_dist,MATCH(B2726,'Refined Petro Exp Dist'!$B$6:$B$78,0),MATCH(C2726,'Refined Petro Exp Dist'!$AD$2:$BC$2,0))*INDEX(ref_exp_by_year,MATCH(B2726,'Data Export'!$B$6:$B$78,0),1)))</f>
        <v>0</v>
      </c>
      <c r="E2726">
        <v>5</v>
      </c>
      <c r="F2726" t="s">
        <v>232</v>
      </c>
    </row>
    <row r="2727" spans="1:6">
      <c r="A2727" t="str">
        <f t="shared" si="42"/>
        <v>GenericE&amp;DtemplateCIandGOA</v>
      </c>
      <c r="B2727">
        <v>35</v>
      </c>
      <c r="C2727">
        <v>22</v>
      </c>
      <c r="D2727" s="649">
        <f ca="1">IF(E2727=4,INDEX(crude_exp_dist,MATCH(B2727,'Crude Exp Dist'!$B$6:$B$78,0),MATCH(C2727,'Crude Exp Dist'!$AD$2:$BC$2,0))*INDEX(crude_exp_by_year,MATCH(B2727,'Data Export'!$B$6:$B$78,0),1),IF(E2727=5,INDEX(ref_exp_dist,MATCH(B2727,'Refined Petro Exp Dist'!$B$6:$B$78,0),MATCH(C2727,'Refined Petro Exp Dist'!$AD$2:$BC$2,0))*INDEX(ref_exp_by_year,MATCH(B2727,'Data Export'!$B$6:$B$78,0),1)))</f>
        <v>0</v>
      </c>
      <c r="E2727">
        <v>5</v>
      </c>
      <c r="F2727" t="s">
        <v>235</v>
      </c>
    </row>
    <row r="2728" spans="1:6">
      <c r="A2728" t="str">
        <f t="shared" si="42"/>
        <v>GenericE&amp;DtemplateCIandGOA</v>
      </c>
      <c r="B2728">
        <v>35</v>
      </c>
      <c r="C2728">
        <v>23</v>
      </c>
      <c r="D2728" s="649">
        <f ca="1">IF(E2728=4,INDEX(crude_exp_dist,MATCH(B2728,'Crude Exp Dist'!$B$6:$B$78,0),MATCH(C2728,'Crude Exp Dist'!$AD$2:$BC$2,0))*INDEX(crude_exp_by_year,MATCH(B2728,'Data Export'!$B$6:$B$78,0),1),IF(E2728=5,INDEX(ref_exp_dist,MATCH(B2728,'Refined Petro Exp Dist'!$B$6:$B$78,0),MATCH(C2728,'Refined Petro Exp Dist'!$AD$2:$BC$2,0))*INDEX(ref_exp_by_year,MATCH(B2728,'Data Export'!$B$6:$B$78,0),1)))</f>
        <v>0</v>
      </c>
      <c r="E2728">
        <v>5</v>
      </c>
      <c r="F2728" t="s">
        <v>237</v>
      </c>
    </row>
    <row r="2729" spans="1:6">
      <c r="A2729" t="str">
        <f t="shared" si="42"/>
        <v>GenericE&amp;DtemplateCIandGOA</v>
      </c>
      <c r="B2729">
        <v>35</v>
      </c>
      <c r="C2729">
        <v>24</v>
      </c>
      <c r="D2729" s="649">
        <f ca="1">IF(E2729=4,INDEX(crude_exp_dist,MATCH(B2729,'Crude Exp Dist'!$B$6:$B$78,0),MATCH(C2729,'Crude Exp Dist'!$AD$2:$BC$2,0))*INDEX(crude_exp_by_year,MATCH(B2729,'Data Export'!$B$6:$B$78,0),1),IF(E2729=5,INDEX(ref_exp_dist,MATCH(B2729,'Refined Petro Exp Dist'!$B$6:$B$78,0),MATCH(C2729,'Refined Petro Exp Dist'!$AD$2:$BC$2,0))*INDEX(ref_exp_by_year,MATCH(B2729,'Data Export'!$B$6:$B$78,0),1)))</f>
        <v>0</v>
      </c>
      <c r="E2729">
        <v>5</v>
      </c>
      <c r="F2729" t="s">
        <v>239</v>
      </c>
    </row>
    <row r="2730" spans="1:6">
      <c r="A2730" t="str">
        <f t="shared" si="42"/>
        <v>GenericE&amp;DtemplateCIandGOA</v>
      </c>
      <c r="B2730">
        <v>35</v>
      </c>
      <c r="C2730">
        <v>25</v>
      </c>
      <c r="D2730" s="649">
        <f ca="1">IF(E2730=4,INDEX(crude_exp_dist,MATCH(B2730,'Crude Exp Dist'!$B$6:$B$78,0),MATCH(C2730,'Crude Exp Dist'!$AD$2:$BC$2,0))*INDEX(crude_exp_by_year,MATCH(B2730,'Data Export'!$B$6:$B$78,0),1),IF(E2730=5,INDEX(ref_exp_dist,MATCH(B2730,'Refined Petro Exp Dist'!$B$6:$B$78,0),MATCH(C2730,'Refined Petro Exp Dist'!$AD$2:$BC$2,0))*INDEX(ref_exp_by_year,MATCH(B2730,'Data Export'!$B$6:$B$78,0),1)))</f>
        <v>0</v>
      </c>
      <c r="E2730">
        <v>5</v>
      </c>
      <c r="F2730" t="s">
        <v>242</v>
      </c>
    </row>
    <row r="2731" spans="1:6">
      <c r="A2731" t="str">
        <f t="shared" si="42"/>
        <v>GenericE&amp;DtemplateCIandGOA</v>
      </c>
      <c r="B2731">
        <v>35</v>
      </c>
      <c r="C2731">
        <v>26</v>
      </c>
      <c r="D2731" s="649">
        <f ca="1">IF(E2731=4,INDEX(crude_exp_dist,MATCH(B2731,'Crude Exp Dist'!$B$6:$B$78,0),MATCH(C2731,'Crude Exp Dist'!$AD$2:$BC$2,0))*INDEX(crude_exp_by_year,MATCH(B2731,'Data Export'!$B$6:$B$78,0),1),IF(E2731=5,INDEX(ref_exp_dist,MATCH(B2731,'Refined Petro Exp Dist'!$B$6:$B$78,0),MATCH(C2731,'Refined Petro Exp Dist'!$AD$2:$BC$2,0))*INDEX(ref_exp_by_year,MATCH(B2731,'Data Export'!$B$6:$B$78,0),1)))</f>
        <v>0</v>
      </c>
      <c r="E2731">
        <v>5</v>
      </c>
      <c r="F2731" t="s">
        <v>245</v>
      </c>
    </row>
    <row r="2732" spans="1:6">
      <c r="A2732" t="str">
        <f t="shared" si="42"/>
        <v>GenericE&amp;DtemplateCIandGOA</v>
      </c>
      <c r="B2732">
        <v>36</v>
      </c>
      <c r="C2732">
        <v>1</v>
      </c>
      <c r="D2732" s="649">
        <f ca="1">IF(E2732=4,INDEX(crude_exp_dist,MATCH(B2732,'Crude Exp Dist'!$B$6:$B$78,0),MATCH(C2732,'Crude Exp Dist'!$AD$2:$BC$2,0))*INDEX(crude_exp_by_year,MATCH(B2732,'Data Export'!$B$6:$B$78,0),1),IF(E2732=5,INDEX(ref_exp_dist,MATCH(B2732,'Refined Petro Exp Dist'!$B$6:$B$78,0),MATCH(C2732,'Refined Petro Exp Dist'!$AD$2:$BC$2,0))*INDEX(ref_exp_by_year,MATCH(B2732,'Data Export'!$B$6:$B$78,0),1)))</f>
        <v>0</v>
      </c>
      <c r="E2732">
        <v>5</v>
      </c>
      <c r="F2732" t="s">
        <v>158</v>
      </c>
    </row>
    <row r="2733" spans="1:6">
      <c r="A2733" t="str">
        <f t="shared" si="42"/>
        <v>GenericE&amp;DtemplateCIandGOA</v>
      </c>
      <c r="B2733">
        <v>36</v>
      </c>
      <c r="C2733">
        <v>2</v>
      </c>
      <c r="D2733" s="649">
        <f ca="1">IF(E2733=4,INDEX(crude_exp_dist,MATCH(B2733,'Crude Exp Dist'!$B$6:$B$78,0),MATCH(C2733,'Crude Exp Dist'!$AD$2:$BC$2,0))*INDEX(crude_exp_by_year,MATCH(B2733,'Data Export'!$B$6:$B$78,0),1),IF(E2733=5,INDEX(ref_exp_dist,MATCH(B2733,'Refined Petro Exp Dist'!$B$6:$B$78,0),MATCH(C2733,'Refined Petro Exp Dist'!$AD$2:$BC$2,0))*INDEX(ref_exp_by_year,MATCH(B2733,'Data Export'!$B$6:$B$78,0),1)))</f>
        <v>0</v>
      </c>
      <c r="E2733">
        <v>5</v>
      </c>
      <c r="F2733" t="s">
        <v>166</v>
      </c>
    </row>
    <row r="2734" spans="1:6">
      <c r="A2734" t="str">
        <f t="shared" si="42"/>
        <v>GenericE&amp;DtemplateCIandGOA</v>
      </c>
      <c r="B2734">
        <v>36</v>
      </c>
      <c r="C2734">
        <v>3</v>
      </c>
      <c r="D2734" s="649">
        <f ca="1">IF(E2734=4,INDEX(crude_exp_dist,MATCH(B2734,'Crude Exp Dist'!$B$6:$B$78,0),MATCH(C2734,'Crude Exp Dist'!$AD$2:$BC$2,0))*INDEX(crude_exp_by_year,MATCH(B2734,'Data Export'!$B$6:$B$78,0),1),IF(E2734=5,INDEX(ref_exp_dist,MATCH(B2734,'Refined Petro Exp Dist'!$B$6:$B$78,0),MATCH(C2734,'Refined Petro Exp Dist'!$AD$2:$BC$2,0))*INDEX(ref_exp_by_year,MATCH(B2734,'Data Export'!$B$6:$B$78,0),1)))</f>
        <v>0</v>
      </c>
      <c r="E2734">
        <v>5</v>
      </c>
      <c r="F2734" t="s">
        <v>171</v>
      </c>
    </row>
    <row r="2735" spans="1:6">
      <c r="A2735" t="str">
        <f t="shared" si="42"/>
        <v>GenericE&amp;DtemplateCIandGOA</v>
      </c>
      <c r="B2735">
        <v>36</v>
      </c>
      <c r="C2735">
        <v>4</v>
      </c>
      <c r="D2735" s="649">
        <f ca="1">IF(E2735=4,INDEX(crude_exp_dist,MATCH(B2735,'Crude Exp Dist'!$B$6:$B$78,0),MATCH(C2735,'Crude Exp Dist'!$AD$2:$BC$2,0))*INDEX(crude_exp_by_year,MATCH(B2735,'Data Export'!$B$6:$B$78,0),1),IF(E2735=5,INDEX(ref_exp_dist,MATCH(B2735,'Refined Petro Exp Dist'!$B$6:$B$78,0),MATCH(C2735,'Refined Petro Exp Dist'!$AD$2:$BC$2,0))*INDEX(ref_exp_by_year,MATCH(B2735,'Data Export'!$B$6:$B$78,0),1)))</f>
        <v>0</v>
      </c>
      <c r="E2735">
        <v>5</v>
      </c>
      <c r="F2735" t="s">
        <v>173</v>
      </c>
    </row>
    <row r="2736" spans="1:6">
      <c r="A2736" t="str">
        <f t="shared" si="42"/>
        <v>GenericE&amp;DtemplateCIandGOA</v>
      </c>
      <c r="B2736">
        <v>36</v>
      </c>
      <c r="C2736">
        <v>5</v>
      </c>
      <c r="D2736" s="649">
        <f ca="1">IF(E2736=4,INDEX(crude_exp_dist,MATCH(B2736,'Crude Exp Dist'!$B$6:$B$78,0),MATCH(C2736,'Crude Exp Dist'!$AD$2:$BC$2,0))*INDEX(crude_exp_by_year,MATCH(B2736,'Data Export'!$B$6:$B$78,0),1),IF(E2736=5,INDEX(ref_exp_dist,MATCH(B2736,'Refined Petro Exp Dist'!$B$6:$B$78,0),MATCH(C2736,'Refined Petro Exp Dist'!$AD$2:$BC$2,0))*INDEX(ref_exp_by_year,MATCH(B2736,'Data Export'!$B$6:$B$78,0),1)))</f>
        <v>0</v>
      </c>
      <c r="E2736">
        <v>5</v>
      </c>
      <c r="F2736" t="s">
        <v>180</v>
      </c>
    </row>
    <row r="2737" spans="1:6">
      <c r="A2737" t="str">
        <f t="shared" si="42"/>
        <v>GenericE&amp;DtemplateCIandGOA</v>
      </c>
      <c r="B2737">
        <v>36</v>
      </c>
      <c r="C2737">
        <v>6</v>
      </c>
      <c r="D2737" s="649">
        <f ca="1">IF(E2737=4,INDEX(crude_exp_dist,MATCH(B2737,'Crude Exp Dist'!$B$6:$B$78,0),MATCH(C2737,'Crude Exp Dist'!$AD$2:$BC$2,0))*INDEX(crude_exp_by_year,MATCH(B2737,'Data Export'!$B$6:$B$78,0),1),IF(E2737=5,INDEX(ref_exp_dist,MATCH(B2737,'Refined Petro Exp Dist'!$B$6:$B$78,0),MATCH(C2737,'Refined Petro Exp Dist'!$AD$2:$BC$2,0))*INDEX(ref_exp_by_year,MATCH(B2737,'Data Export'!$B$6:$B$78,0),1)))</f>
        <v>0</v>
      </c>
      <c r="E2737">
        <v>5</v>
      </c>
      <c r="F2737" t="s">
        <v>186</v>
      </c>
    </row>
    <row r="2738" spans="1:6">
      <c r="A2738" t="str">
        <f t="shared" si="42"/>
        <v>GenericE&amp;DtemplateCIandGOA</v>
      </c>
      <c r="B2738">
        <v>36</v>
      </c>
      <c r="C2738">
        <v>7</v>
      </c>
      <c r="D2738" s="649">
        <f ca="1">IF(E2738=4,INDEX(crude_exp_dist,MATCH(B2738,'Crude Exp Dist'!$B$6:$B$78,0),MATCH(C2738,'Crude Exp Dist'!$AD$2:$BC$2,0))*INDEX(crude_exp_by_year,MATCH(B2738,'Data Export'!$B$6:$B$78,0),1),IF(E2738=5,INDEX(ref_exp_dist,MATCH(B2738,'Refined Petro Exp Dist'!$B$6:$B$78,0),MATCH(C2738,'Refined Petro Exp Dist'!$AD$2:$BC$2,0))*INDEX(ref_exp_by_year,MATCH(B2738,'Data Export'!$B$6:$B$78,0),1)))</f>
        <v>0</v>
      </c>
      <c r="E2738">
        <v>5</v>
      </c>
      <c r="F2738" t="s">
        <v>191</v>
      </c>
    </row>
    <row r="2739" spans="1:6">
      <c r="A2739" t="str">
        <f t="shared" si="42"/>
        <v>GenericE&amp;DtemplateCIandGOA</v>
      </c>
      <c r="B2739">
        <v>36</v>
      </c>
      <c r="C2739">
        <v>8</v>
      </c>
      <c r="D2739" s="649">
        <f ca="1">IF(E2739=4,INDEX(crude_exp_dist,MATCH(B2739,'Crude Exp Dist'!$B$6:$B$78,0),MATCH(C2739,'Crude Exp Dist'!$AD$2:$BC$2,0))*INDEX(crude_exp_by_year,MATCH(B2739,'Data Export'!$B$6:$B$78,0),1),IF(E2739=5,INDEX(ref_exp_dist,MATCH(B2739,'Refined Petro Exp Dist'!$B$6:$B$78,0),MATCH(C2739,'Refined Petro Exp Dist'!$AD$2:$BC$2,0))*INDEX(ref_exp_by_year,MATCH(B2739,'Data Export'!$B$6:$B$78,0),1)))</f>
        <v>0</v>
      </c>
      <c r="E2739">
        <v>5</v>
      </c>
      <c r="F2739" t="s">
        <v>197</v>
      </c>
    </row>
    <row r="2740" spans="1:6">
      <c r="A2740" t="str">
        <f t="shared" si="42"/>
        <v>GenericE&amp;DtemplateCIandGOA</v>
      </c>
      <c r="B2740">
        <v>36</v>
      </c>
      <c r="C2740">
        <v>9</v>
      </c>
      <c r="D2740" s="649">
        <f ca="1">IF(E2740=4,INDEX(crude_exp_dist,MATCH(B2740,'Crude Exp Dist'!$B$6:$B$78,0),MATCH(C2740,'Crude Exp Dist'!$AD$2:$BC$2,0))*INDEX(crude_exp_by_year,MATCH(B2740,'Data Export'!$B$6:$B$78,0),1),IF(E2740=5,INDEX(ref_exp_dist,MATCH(B2740,'Refined Petro Exp Dist'!$B$6:$B$78,0),MATCH(C2740,'Refined Petro Exp Dist'!$AD$2:$BC$2,0))*INDEX(ref_exp_by_year,MATCH(B2740,'Data Export'!$B$6:$B$78,0),1)))</f>
        <v>0</v>
      </c>
      <c r="E2740">
        <v>5</v>
      </c>
      <c r="F2740" t="s">
        <v>199</v>
      </c>
    </row>
    <row r="2741" spans="1:6">
      <c r="A2741" t="str">
        <f t="shared" si="42"/>
        <v>GenericE&amp;DtemplateCIandGOA</v>
      </c>
      <c r="B2741">
        <v>36</v>
      </c>
      <c r="C2741">
        <v>10</v>
      </c>
      <c r="D2741" s="649">
        <f ca="1">IF(E2741=4,INDEX(crude_exp_dist,MATCH(B2741,'Crude Exp Dist'!$B$6:$B$78,0),MATCH(C2741,'Crude Exp Dist'!$AD$2:$BC$2,0))*INDEX(crude_exp_by_year,MATCH(B2741,'Data Export'!$B$6:$B$78,0),1),IF(E2741=5,INDEX(ref_exp_dist,MATCH(B2741,'Refined Petro Exp Dist'!$B$6:$B$78,0),MATCH(C2741,'Refined Petro Exp Dist'!$AD$2:$BC$2,0))*INDEX(ref_exp_by_year,MATCH(B2741,'Data Export'!$B$6:$B$78,0),1)))</f>
        <v>0</v>
      </c>
      <c r="E2741">
        <v>5</v>
      </c>
      <c r="F2741" t="s">
        <v>201</v>
      </c>
    </row>
    <row r="2742" spans="1:6">
      <c r="A2742" t="str">
        <f t="shared" si="42"/>
        <v>GenericE&amp;DtemplateCIandGOA</v>
      </c>
      <c r="B2742">
        <v>36</v>
      </c>
      <c r="C2742">
        <v>11</v>
      </c>
      <c r="D2742" s="649">
        <f ca="1">IF(E2742=4,INDEX(crude_exp_dist,MATCH(B2742,'Crude Exp Dist'!$B$6:$B$78,0),MATCH(C2742,'Crude Exp Dist'!$AD$2:$BC$2,0))*INDEX(crude_exp_by_year,MATCH(B2742,'Data Export'!$B$6:$B$78,0),1),IF(E2742=5,INDEX(ref_exp_dist,MATCH(B2742,'Refined Petro Exp Dist'!$B$6:$B$78,0),MATCH(C2742,'Refined Petro Exp Dist'!$AD$2:$BC$2,0))*INDEX(ref_exp_by_year,MATCH(B2742,'Data Export'!$B$6:$B$78,0),1)))</f>
        <v>0</v>
      </c>
      <c r="E2742">
        <v>5</v>
      </c>
      <c r="F2742" t="s">
        <v>921</v>
      </c>
    </row>
    <row r="2743" spans="1:6">
      <c r="A2743" t="str">
        <f t="shared" si="42"/>
        <v>GenericE&amp;DtemplateCIandGOA</v>
      </c>
      <c r="B2743">
        <v>36</v>
      </c>
      <c r="C2743">
        <v>12</v>
      </c>
      <c r="D2743" s="649">
        <f ca="1">IF(E2743=4,INDEX(crude_exp_dist,MATCH(B2743,'Crude Exp Dist'!$B$6:$B$78,0),MATCH(C2743,'Crude Exp Dist'!$AD$2:$BC$2,0))*INDEX(crude_exp_by_year,MATCH(B2743,'Data Export'!$B$6:$B$78,0),1),IF(E2743=5,INDEX(ref_exp_dist,MATCH(B2743,'Refined Petro Exp Dist'!$B$6:$B$78,0),MATCH(C2743,'Refined Petro Exp Dist'!$AD$2:$BC$2,0))*INDEX(ref_exp_by_year,MATCH(B2743,'Data Export'!$B$6:$B$78,0),1)))</f>
        <v>0</v>
      </c>
      <c r="E2743">
        <v>5</v>
      </c>
      <c r="F2743" t="s">
        <v>208</v>
      </c>
    </row>
    <row r="2744" spans="1:6">
      <c r="A2744" t="str">
        <f t="shared" si="42"/>
        <v>GenericE&amp;DtemplateCIandGOA</v>
      </c>
      <c r="B2744">
        <v>36</v>
      </c>
      <c r="C2744">
        <v>13</v>
      </c>
      <c r="D2744" s="649">
        <f ca="1">IF(E2744=4,INDEX(crude_exp_dist,MATCH(B2744,'Crude Exp Dist'!$B$6:$B$78,0),MATCH(C2744,'Crude Exp Dist'!$AD$2:$BC$2,0))*INDEX(crude_exp_by_year,MATCH(B2744,'Data Export'!$B$6:$B$78,0),1),IF(E2744=5,INDEX(ref_exp_dist,MATCH(B2744,'Refined Petro Exp Dist'!$B$6:$B$78,0),MATCH(C2744,'Refined Petro Exp Dist'!$AD$2:$BC$2,0))*INDEX(ref_exp_by_year,MATCH(B2744,'Data Export'!$B$6:$B$78,0),1)))</f>
        <v>0</v>
      </c>
      <c r="E2744">
        <v>5</v>
      </c>
      <c r="F2744" t="s">
        <v>211</v>
      </c>
    </row>
    <row r="2745" spans="1:6">
      <c r="A2745" t="str">
        <f t="shared" si="42"/>
        <v>GenericE&amp;DtemplateCIandGOA</v>
      </c>
      <c r="B2745">
        <v>36</v>
      </c>
      <c r="C2745">
        <v>14</v>
      </c>
      <c r="D2745" s="649">
        <f ca="1">IF(E2745=4,INDEX(crude_exp_dist,MATCH(B2745,'Crude Exp Dist'!$B$6:$B$78,0),MATCH(C2745,'Crude Exp Dist'!$AD$2:$BC$2,0))*INDEX(crude_exp_by_year,MATCH(B2745,'Data Export'!$B$6:$B$78,0),1),IF(E2745=5,INDEX(ref_exp_dist,MATCH(B2745,'Refined Petro Exp Dist'!$B$6:$B$78,0),MATCH(C2745,'Refined Petro Exp Dist'!$AD$2:$BC$2,0))*INDEX(ref_exp_by_year,MATCH(B2745,'Data Export'!$B$6:$B$78,0),1)))</f>
        <v>0</v>
      </c>
      <c r="E2745">
        <v>5</v>
      </c>
      <c r="F2745" t="s">
        <v>213</v>
      </c>
    </row>
    <row r="2746" spans="1:6">
      <c r="A2746" t="str">
        <f t="shared" si="42"/>
        <v>GenericE&amp;DtemplateCIandGOA</v>
      </c>
      <c r="B2746">
        <v>36</v>
      </c>
      <c r="C2746">
        <v>15</v>
      </c>
      <c r="D2746" s="649">
        <f ca="1">IF(E2746=4,INDEX(crude_exp_dist,MATCH(B2746,'Crude Exp Dist'!$B$6:$B$78,0),MATCH(C2746,'Crude Exp Dist'!$AD$2:$BC$2,0))*INDEX(crude_exp_by_year,MATCH(B2746,'Data Export'!$B$6:$B$78,0),1),IF(E2746=5,INDEX(ref_exp_dist,MATCH(B2746,'Refined Petro Exp Dist'!$B$6:$B$78,0),MATCH(C2746,'Refined Petro Exp Dist'!$AD$2:$BC$2,0))*INDEX(ref_exp_by_year,MATCH(B2746,'Data Export'!$B$6:$B$78,0),1)))</f>
        <v>0</v>
      </c>
      <c r="E2746">
        <v>5</v>
      </c>
      <c r="F2746" t="s">
        <v>215</v>
      </c>
    </row>
    <row r="2747" spans="1:6">
      <c r="A2747" t="str">
        <f t="shared" si="42"/>
        <v>GenericE&amp;DtemplateCIandGOA</v>
      </c>
      <c r="B2747">
        <v>36</v>
      </c>
      <c r="C2747">
        <v>16</v>
      </c>
      <c r="D2747" s="649">
        <f ca="1">IF(E2747=4,INDEX(crude_exp_dist,MATCH(B2747,'Crude Exp Dist'!$B$6:$B$78,0),MATCH(C2747,'Crude Exp Dist'!$AD$2:$BC$2,0))*INDEX(crude_exp_by_year,MATCH(B2747,'Data Export'!$B$6:$B$78,0),1),IF(E2747=5,INDEX(ref_exp_dist,MATCH(B2747,'Refined Petro Exp Dist'!$B$6:$B$78,0),MATCH(C2747,'Refined Petro Exp Dist'!$AD$2:$BC$2,0))*INDEX(ref_exp_by_year,MATCH(B2747,'Data Export'!$B$6:$B$78,0),1)))</f>
        <v>0</v>
      </c>
      <c r="E2747">
        <v>5</v>
      </c>
      <c r="F2747" t="s">
        <v>219</v>
      </c>
    </row>
    <row r="2748" spans="1:6">
      <c r="A2748" t="str">
        <f t="shared" si="42"/>
        <v>GenericE&amp;DtemplateCIandGOA</v>
      </c>
      <c r="B2748">
        <v>36</v>
      </c>
      <c r="C2748">
        <v>17</v>
      </c>
      <c r="D2748" s="649">
        <f ca="1">IF(E2748=4,INDEX(crude_exp_dist,MATCH(B2748,'Crude Exp Dist'!$B$6:$B$78,0),MATCH(C2748,'Crude Exp Dist'!$AD$2:$BC$2,0))*INDEX(crude_exp_by_year,MATCH(B2748,'Data Export'!$B$6:$B$78,0),1),IF(E2748=5,INDEX(ref_exp_dist,MATCH(B2748,'Refined Petro Exp Dist'!$B$6:$B$78,0),MATCH(C2748,'Refined Petro Exp Dist'!$AD$2:$BC$2,0))*INDEX(ref_exp_by_year,MATCH(B2748,'Data Export'!$B$6:$B$78,0),1)))</f>
        <v>0</v>
      </c>
      <c r="E2748">
        <v>5</v>
      </c>
      <c r="F2748" t="s">
        <v>222</v>
      </c>
    </row>
    <row r="2749" spans="1:6">
      <c r="A2749" t="str">
        <f t="shared" si="42"/>
        <v>GenericE&amp;DtemplateCIandGOA</v>
      </c>
      <c r="B2749">
        <v>36</v>
      </c>
      <c r="C2749">
        <v>18</v>
      </c>
      <c r="D2749" s="649">
        <f ca="1">IF(E2749=4,INDEX(crude_exp_dist,MATCH(B2749,'Crude Exp Dist'!$B$6:$B$78,0),MATCH(C2749,'Crude Exp Dist'!$AD$2:$BC$2,0))*INDEX(crude_exp_by_year,MATCH(B2749,'Data Export'!$B$6:$B$78,0),1),IF(E2749=5,INDEX(ref_exp_dist,MATCH(B2749,'Refined Petro Exp Dist'!$B$6:$B$78,0),MATCH(C2749,'Refined Petro Exp Dist'!$AD$2:$BC$2,0))*INDEX(ref_exp_by_year,MATCH(B2749,'Data Export'!$B$6:$B$78,0),1)))</f>
        <v>0</v>
      </c>
      <c r="E2749">
        <v>5</v>
      </c>
      <c r="F2749" t="s">
        <v>224</v>
      </c>
    </row>
    <row r="2750" spans="1:6">
      <c r="A2750" t="str">
        <f t="shared" si="42"/>
        <v>GenericE&amp;DtemplateCIandGOA</v>
      </c>
      <c r="B2750">
        <v>36</v>
      </c>
      <c r="C2750">
        <v>19</v>
      </c>
      <c r="D2750" s="649">
        <f ca="1">IF(E2750=4,INDEX(crude_exp_dist,MATCH(B2750,'Crude Exp Dist'!$B$6:$B$78,0),MATCH(C2750,'Crude Exp Dist'!$AD$2:$BC$2,0))*INDEX(crude_exp_by_year,MATCH(B2750,'Data Export'!$B$6:$B$78,0),1),IF(E2750=5,INDEX(ref_exp_dist,MATCH(B2750,'Refined Petro Exp Dist'!$B$6:$B$78,0),MATCH(C2750,'Refined Petro Exp Dist'!$AD$2:$BC$2,0))*INDEX(ref_exp_by_year,MATCH(B2750,'Data Export'!$B$6:$B$78,0),1)))</f>
        <v>0</v>
      </c>
      <c r="E2750">
        <v>5</v>
      </c>
      <c r="F2750" t="s">
        <v>228</v>
      </c>
    </row>
    <row r="2751" spans="1:6">
      <c r="A2751" t="str">
        <f t="shared" si="42"/>
        <v>GenericE&amp;DtemplateCIandGOA</v>
      </c>
      <c r="B2751">
        <v>36</v>
      </c>
      <c r="C2751">
        <v>20</v>
      </c>
      <c r="D2751" s="649">
        <f ca="1">IF(E2751=4,INDEX(crude_exp_dist,MATCH(B2751,'Crude Exp Dist'!$B$6:$B$78,0),MATCH(C2751,'Crude Exp Dist'!$AD$2:$BC$2,0))*INDEX(crude_exp_by_year,MATCH(B2751,'Data Export'!$B$6:$B$78,0),1),IF(E2751=5,INDEX(ref_exp_dist,MATCH(B2751,'Refined Petro Exp Dist'!$B$6:$B$78,0),MATCH(C2751,'Refined Petro Exp Dist'!$AD$2:$BC$2,0))*INDEX(ref_exp_by_year,MATCH(B2751,'Data Export'!$B$6:$B$78,0),1)))</f>
        <v>0</v>
      </c>
      <c r="E2751">
        <v>5</v>
      </c>
      <c r="F2751" t="s">
        <v>231</v>
      </c>
    </row>
    <row r="2752" spans="1:6">
      <c r="A2752" t="str">
        <f t="shared" si="42"/>
        <v>GenericE&amp;DtemplateCIandGOA</v>
      </c>
      <c r="B2752">
        <v>36</v>
      </c>
      <c r="C2752">
        <v>21</v>
      </c>
      <c r="D2752" s="649">
        <f ca="1">IF(E2752=4,INDEX(crude_exp_dist,MATCH(B2752,'Crude Exp Dist'!$B$6:$B$78,0),MATCH(C2752,'Crude Exp Dist'!$AD$2:$BC$2,0))*INDEX(crude_exp_by_year,MATCH(B2752,'Data Export'!$B$6:$B$78,0),1),IF(E2752=5,INDEX(ref_exp_dist,MATCH(B2752,'Refined Petro Exp Dist'!$B$6:$B$78,0),MATCH(C2752,'Refined Petro Exp Dist'!$AD$2:$BC$2,0))*INDEX(ref_exp_by_year,MATCH(B2752,'Data Export'!$B$6:$B$78,0),1)))</f>
        <v>0</v>
      </c>
      <c r="E2752">
        <v>5</v>
      </c>
      <c r="F2752" t="s">
        <v>232</v>
      </c>
    </row>
    <row r="2753" spans="1:6">
      <c r="A2753" t="str">
        <f t="shared" si="42"/>
        <v>GenericE&amp;DtemplateCIandGOA</v>
      </c>
      <c r="B2753">
        <v>36</v>
      </c>
      <c r="C2753">
        <v>22</v>
      </c>
      <c r="D2753" s="649">
        <f ca="1">IF(E2753=4,INDEX(crude_exp_dist,MATCH(B2753,'Crude Exp Dist'!$B$6:$B$78,0),MATCH(C2753,'Crude Exp Dist'!$AD$2:$BC$2,0))*INDEX(crude_exp_by_year,MATCH(B2753,'Data Export'!$B$6:$B$78,0),1),IF(E2753=5,INDEX(ref_exp_dist,MATCH(B2753,'Refined Petro Exp Dist'!$B$6:$B$78,0),MATCH(C2753,'Refined Petro Exp Dist'!$AD$2:$BC$2,0))*INDEX(ref_exp_by_year,MATCH(B2753,'Data Export'!$B$6:$B$78,0),1)))</f>
        <v>0</v>
      </c>
      <c r="E2753">
        <v>5</v>
      </c>
      <c r="F2753" t="s">
        <v>235</v>
      </c>
    </row>
    <row r="2754" spans="1:6">
      <c r="A2754" t="str">
        <f t="shared" ref="A2754:A2817" si="43">scenario_name</f>
        <v>GenericE&amp;DtemplateCIandGOA</v>
      </c>
      <c r="B2754">
        <v>36</v>
      </c>
      <c r="C2754">
        <v>23</v>
      </c>
      <c r="D2754" s="649">
        <f ca="1">IF(E2754=4,INDEX(crude_exp_dist,MATCH(B2754,'Crude Exp Dist'!$B$6:$B$78,0),MATCH(C2754,'Crude Exp Dist'!$AD$2:$BC$2,0))*INDEX(crude_exp_by_year,MATCH(B2754,'Data Export'!$B$6:$B$78,0),1),IF(E2754=5,INDEX(ref_exp_dist,MATCH(B2754,'Refined Petro Exp Dist'!$B$6:$B$78,0),MATCH(C2754,'Refined Petro Exp Dist'!$AD$2:$BC$2,0))*INDEX(ref_exp_by_year,MATCH(B2754,'Data Export'!$B$6:$B$78,0),1)))</f>
        <v>0</v>
      </c>
      <c r="E2754">
        <v>5</v>
      </c>
      <c r="F2754" t="s">
        <v>237</v>
      </c>
    </row>
    <row r="2755" spans="1:6">
      <c r="A2755" t="str">
        <f t="shared" si="43"/>
        <v>GenericE&amp;DtemplateCIandGOA</v>
      </c>
      <c r="B2755">
        <v>36</v>
      </c>
      <c r="C2755">
        <v>24</v>
      </c>
      <c r="D2755" s="649">
        <f ca="1">IF(E2755=4,INDEX(crude_exp_dist,MATCH(B2755,'Crude Exp Dist'!$B$6:$B$78,0),MATCH(C2755,'Crude Exp Dist'!$AD$2:$BC$2,0))*INDEX(crude_exp_by_year,MATCH(B2755,'Data Export'!$B$6:$B$78,0),1),IF(E2755=5,INDEX(ref_exp_dist,MATCH(B2755,'Refined Petro Exp Dist'!$B$6:$B$78,0),MATCH(C2755,'Refined Petro Exp Dist'!$AD$2:$BC$2,0))*INDEX(ref_exp_by_year,MATCH(B2755,'Data Export'!$B$6:$B$78,0),1)))</f>
        <v>0</v>
      </c>
      <c r="E2755">
        <v>5</v>
      </c>
      <c r="F2755" t="s">
        <v>239</v>
      </c>
    </row>
    <row r="2756" spans="1:6">
      <c r="A2756" t="str">
        <f t="shared" si="43"/>
        <v>GenericE&amp;DtemplateCIandGOA</v>
      </c>
      <c r="B2756">
        <v>36</v>
      </c>
      <c r="C2756">
        <v>25</v>
      </c>
      <c r="D2756" s="649">
        <f ca="1">IF(E2756=4,INDEX(crude_exp_dist,MATCH(B2756,'Crude Exp Dist'!$B$6:$B$78,0),MATCH(C2756,'Crude Exp Dist'!$AD$2:$BC$2,0))*INDEX(crude_exp_by_year,MATCH(B2756,'Data Export'!$B$6:$B$78,0),1),IF(E2756=5,INDEX(ref_exp_dist,MATCH(B2756,'Refined Petro Exp Dist'!$B$6:$B$78,0),MATCH(C2756,'Refined Petro Exp Dist'!$AD$2:$BC$2,0))*INDEX(ref_exp_by_year,MATCH(B2756,'Data Export'!$B$6:$B$78,0),1)))</f>
        <v>0</v>
      </c>
      <c r="E2756">
        <v>5</v>
      </c>
      <c r="F2756" t="s">
        <v>242</v>
      </c>
    </row>
    <row r="2757" spans="1:6">
      <c r="A2757" t="str">
        <f t="shared" si="43"/>
        <v>GenericE&amp;DtemplateCIandGOA</v>
      </c>
      <c r="B2757">
        <v>36</v>
      </c>
      <c r="C2757">
        <v>26</v>
      </c>
      <c r="D2757" s="649">
        <f ca="1">IF(E2757=4,INDEX(crude_exp_dist,MATCH(B2757,'Crude Exp Dist'!$B$6:$B$78,0),MATCH(C2757,'Crude Exp Dist'!$AD$2:$BC$2,0))*INDEX(crude_exp_by_year,MATCH(B2757,'Data Export'!$B$6:$B$78,0),1),IF(E2757=5,INDEX(ref_exp_dist,MATCH(B2757,'Refined Petro Exp Dist'!$B$6:$B$78,0),MATCH(C2757,'Refined Petro Exp Dist'!$AD$2:$BC$2,0))*INDEX(ref_exp_by_year,MATCH(B2757,'Data Export'!$B$6:$B$78,0),1)))</f>
        <v>0</v>
      </c>
      <c r="E2757">
        <v>5</v>
      </c>
      <c r="F2757" t="s">
        <v>245</v>
      </c>
    </row>
    <row r="2758" spans="1:6">
      <c r="A2758" t="str">
        <f t="shared" si="43"/>
        <v>GenericE&amp;DtemplateCIandGOA</v>
      </c>
      <c r="B2758">
        <v>37</v>
      </c>
      <c r="C2758">
        <v>1</v>
      </c>
      <c r="D2758" s="649">
        <f ca="1">IF(E2758=4,INDEX(crude_exp_dist,MATCH(B2758,'Crude Exp Dist'!$B$6:$B$78,0),MATCH(C2758,'Crude Exp Dist'!$AD$2:$BC$2,0))*INDEX(crude_exp_by_year,MATCH(B2758,'Data Export'!$B$6:$B$78,0),1),IF(E2758=5,INDEX(ref_exp_dist,MATCH(B2758,'Refined Petro Exp Dist'!$B$6:$B$78,0),MATCH(C2758,'Refined Petro Exp Dist'!$AD$2:$BC$2,0))*INDEX(ref_exp_by_year,MATCH(B2758,'Data Export'!$B$6:$B$78,0),1)))</f>
        <v>0</v>
      </c>
      <c r="E2758">
        <v>5</v>
      </c>
      <c r="F2758" t="s">
        <v>158</v>
      </c>
    </row>
    <row r="2759" spans="1:6">
      <c r="A2759" t="str">
        <f t="shared" si="43"/>
        <v>GenericE&amp;DtemplateCIandGOA</v>
      </c>
      <c r="B2759">
        <v>37</v>
      </c>
      <c r="C2759">
        <v>2</v>
      </c>
      <c r="D2759" s="649">
        <f ca="1">IF(E2759=4,INDEX(crude_exp_dist,MATCH(B2759,'Crude Exp Dist'!$B$6:$B$78,0),MATCH(C2759,'Crude Exp Dist'!$AD$2:$BC$2,0))*INDEX(crude_exp_by_year,MATCH(B2759,'Data Export'!$B$6:$B$78,0),1),IF(E2759=5,INDEX(ref_exp_dist,MATCH(B2759,'Refined Petro Exp Dist'!$B$6:$B$78,0),MATCH(C2759,'Refined Petro Exp Dist'!$AD$2:$BC$2,0))*INDEX(ref_exp_by_year,MATCH(B2759,'Data Export'!$B$6:$B$78,0),1)))</f>
        <v>0</v>
      </c>
      <c r="E2759">
        <v>5</v>
      </c>
      <c r="F2759" t="s">
        <v>166</v>
      </c>
    </row>
    <row r="2760" spans="1:6">
      <c r="A2760" t="str">
        <f t="shared" si="43"/>
        <v>GenericE&amp;DtemplateCIandGOA</v>
      </c>
      <c r="B2760">
        <v>37</v>
      </c>
      <c r="C2760">
        <v>3</v>
      </c>
      <c r="D2760" s="649">
        <f ca="1">IF(E2760=4,INDEX(crude_exp_dist,MATCH(B2760,'Crude Exp Dist'!$B$6:$B$78,0),MATCH(C2760,'Crude Exp Dist'!$AD$2:$BC$2,0))*INDEX(crude_exp_by_year,MATCH(B2760,'Data Export'!$B$6:$B$78,0),1),IF(E2760=5,INDEX(ref_exp_dist,MATCH(B2760,'Refined Petro Exp Dist'!$B$6:$B$78,0),MATCH(C2760,'Refined Petro Exp Dist'!$AD$2:$BC$2,0))*INDEX(ref_exp_by_year,MATCH(B2760,'Data Export'!$B$6:$B$78,0),1)))</f>
        <v>0</v>
      </c>
      <c r="E2760">
        <v>5</v>
      </c>
      <c r="F2760" t="s">
        <v>171</v>
      </c>
    </row>
    <row r="2761" spans="1:6">
      <c r="A2761" t="str">
        <f t="shared" si="43"/>
        <v>GenericE&amp;DtemplateCIandGOA</v>
      </c>
      <c r="B2761">
        <v>37</v>
      </c>
      <c r="C2761">
        <v>4</v>
      </c>
      <c r="D2761" s="649">
        <f ca="1">IF(E2761=4,INDEX(crude_exp_dist,MATCH(B2761,'Crude Exp Dist'!$B$6:$B$78,0),MATCH(C2761,'Crude Exp Dist'!$AD$2:$BC$2,0))*INDEX(crude_exp_by_year,MATCH(B2761,'Data Export'!$B$6:$B$78,0),1),IF(E2761=5,INDEX(ref_exp_dist,MATCH(B2761,'Refined Petro Exp Dist'!$B$6:$B$78,0),MATCH(C2761,'Refined Petro Exp Dist'!$AD$2:$BC$2,0))*INDEX(ref_exp_by_year,MATCH(B2761,'Data Export'!$B$6:$B$78,0),1)))</f>
        <v>0</v>
      </c>
      <c r="E2761">
        <v>5</v>
      </c>
      <c r="F2761" t="s">
        <v>173</v>
      </c>
    </row>
    <row r="2762" spans="1:6">
      <c r="A2762" t="str">
        <f t="shared" si="43"/>
        <v>GenericE&amp;DtemplateCIandGOA</v>
      </c>
      <c r="B2762">
        <v>37</v>
      </c>
      <c r="C2762">
        <v>5</v>
      </c>
      <c r="D2762" s="649">
        <f ca="1">IF(E2762=4,INDEX(crude_exp_dist,MATCH(B2762,'Crude Exp Dist'!$B$6:$B$78,0),MATCH(C2762,'Crude Exp Dist'!$AD$2:$BC$2,0))*INDEX(crude_exp_by_year,MATCH(B2762,'Data Export'!$B$6:$B$78,0),1),IF(E2762=5,INDEX(ref_exp_dist,MATCH(B2762,'Refined Petro Exp Dist'!$B$6:$B$78,0),MATCH(C2762,'Refined Petro Exp Dist'!$AD$2:$BC$2,0))*INDEX(ref_exp_by_year,MATCH(B2762,'Data Export'!$B$6:$B$78,0),1)))</f>
        <v>0</v>
      </c>
      <c r="E2762">
        <v>5</v>
      </c>
      <c r="F2762" t="s">
        <v>180</v>
      </c>
    </row>
    <row r="2763" spans="1:6">
      <c r="A2763" t="str">
        <f t="shared" si="43"/>
        <v>GenericE&amp;DtemplateCIandGOA</v>
      </c>
      <c r="B2763">
        <v>37</v>
      </c>
      <c r="C2763">
        <v>6</v>
      </c>
      <c r="D2763" s="649">
        <f ca="1">IF(E2763=4,INDEX(crude_exp_dist,MATCH(B2763,'Crude Exp Dist'!$B$6:$B$78,0),MATCH(C2763,'Crude Exp Dist'!$AD$2:$BC$2,0))*INDEX(crude_exp_by_year,MATCH(B2763,'Data Export'!$B$6:$B$78,0),1),IF(E2763=5,INDEX(ref_exp_dist,MATCH(B2763,'Refined Petro Exp Dist'!$B$6:$B$78,0),MATCH(C2763,'Refined Petro Exp Dist'!$AD$2:$BC$2,0))*INDEX(ref_exp_by_year,MATCH(B2763,'Data Export'!$B$6:$B$78,0),1)))</f>
        <v>0</v>
      </c>
      <c r="E2763">
        <v>5</v>
      </c>
      <c r="F2763" t="s">
        <v>186</v>
      </c>
    </row>
    <row r="2764" spans="1:6">
      <c r="A2764" t="str">
        <f t="shared" si="43"/>
        <v>GenericE&amp;DtemplateCIandGOA</v>
      </c>
      <c r="B2764">
        <v>37</v>
      </c>
      <c r="C2764">
        <v>7</v>
      </c>
      <c r="D2764" s="649">
        <f ca="1">IF(E2764=4,INDEX(crude_exp_dist,MATCH(B2764,'Crude Exp Dist'!$B$6:$B$78,0),MATCH(C2764,'Crude Exp Dist'!$AD$2:$BC$2,0))*INDEX(crude_exp_by_year,MATCH(B2764,'Data Export'!$B$6:$B$78,0),1),IF(E2764=5,INDEX(ref_exp_dist,MATCH(B2764,'Refined Petro Exp Dist'!$B$6:$B$78,0),MATCH(C2764,'Refined Petro Exp Dist'!$AD$2:$BC$2,0))*INDEX(ref_exp_by_year,MATCH(B2764,'Data Export'!$B$6:$B$78,0),1)))</f>
        <v>0</v>
      </c>
      <c r="E2764">
        <v>5</v>
      </c>
      <c r="F2764" t="s">
        <v>191</v>
      </c>
    </row>
    <row r="2765" spans="1:6">
      <c r="A2765" t="str">
        <f t="shared" si="43"/>
        <v>GenericE&amp;DtemplateCIandGOA</v>
      </c>
      <c r="B2765">
        <v>37</v>
      </c>
      <c r="C2765">
        <v>8</v>
      </c>
      <c r="D2765" s="649">
        <f ca="1">IF(E2765=4,INDEX(crude_exp_dist,MATCH(B2765,'Crude Exp Dist'!$B$6:$B$78,0),MATCH(C2765,'Crude Exp Dist'!$AD$2:$BC$2,0))*INDEX(crude_exp_by_year,MATCH(B2765,'Data Export'!$B$6:$B$78,0),1),IF(E2765=5,INDEX(ref_exp_dist,MATCH(B2765,'Refined Petro Exp Dist'!$B$6:$B$78,0),MATCH(C2765,'Refined Petro Exp Dist'!$AD$2:$BC$2,0))*INDEX(ref_exp_by_year,MATCH(B2765,'Data Export'!$B$6:$B$78,0),1)))</f>
        <v>0</v>
      </c>
      <c r="E2765">
        <v>5</v>
      </c>
      <c r="F2765" t="s">
        <v>197</v>
      </c>
    </row>
    <row r="2766" spans="1:6">
      <c r="A2766" t="str">
        <f t="shared" si="43"/>
        <v>GenericE&amp;DtemplateCIandGOA</v>
      </c>
      <c r="B2766">
        <v>37</v>
      </c>
      <c r="C2766">
        <v>9</v>
      </c>
      <c r="D2766" s="649">
        <f ca="1">IF(E2766=4,INDEX(crude_exp_dist,MATCH(B2766,'Crude Exp Dist'!$B$6:$B$78,0),MATCH(C2766,'Crude Exp Dist'!$AD$2:$BC$2,0))*INDEX(crude_exp_by_year,MATCH(B2766,'Data Export'!$B$6:$B$78,0),1),IF(E2766=5,INDEX(ref_exp_dist,MATCH(B2766,'Refined Petro Exp Dist'!$B$6:$B$78,0),MATCH(C2766,'Refined Petro Exp Dist'!$AD$2:$BC$2,0))*INDEX(ref_exp_by_year,MATCH(B2766,'Data Export'!$B$6:$B$78,0),1)))</f>
        <v>0</v>
      </c>
      <c r="E2766">
        <v>5</v>
      </c>
      <c r="F2766" t="s">
        <v>199</v>
      </c>
    </row>
    <row r="2767" spans="1:6">
      <c r="A2767" t="str">
        <f t="shared" si="43"/>
        <v>GenericE&amp;DtemplateCIandGOA</v>
      </c>
      <c r="B2767">
        <v>37</v>
      </c>
      <c r="C2767">
        <v>10</v>
      </c>
      <c r="D2767" s="649">
        <f ca="1">IF(E2767=4,INDEX(crude_exp_dist,MATCH(B2767,'Crude Exp Dist'!$B$6:$B$78,0),MATCH(C2767,'Crude Exp Dist'!$AD$2:$BC$2,0))*INDEX(crude_exp_by_year,MATCH(B2767,'Data Export'!$B$6:$B$78,0),1),IF(E2767=5,INDEX(ref_exp_dist,MATCH(B2767,'Refined Petro Exp Dist'!$B$6:$B$78,0),MATCH(C2767,'Refined Petro Exp Dist'!$AD$2:$BC$2,0))*INDEX(ref_exp_by_year,MATCH(B2767,'Data Export'!$B$6:$B$78,0),1)))</f>
        <v>0</v>
      </c>
      <c r="E2767">
        <v>5</v>
      </c>
      <c r="F2767" t="s">
        <v>201</v>
      </c>
    </row>
    <row r="2768" spans="1:6">
      <c r="A2768" t="str">
        <f t="shared" si="43"/>
        <v>GenericE&amp;DtemplateCIandGOA</v>
      </c>
      <c r="B2768">
        <v>37</v>
      </c>
      <c r="C2768">
        <v>11</v>
      </c>
      <c r="D2768" s="649">
        <f ca="1">IF(E2768=4,INDEX(crude_exp_dist,MATCH(B2768,'Crude Exp Dist'!$B$6:$B$78,0),MATCH(C2768,'Crude Exp Dist'!$AD$2:$BC$2,0))*INDEX(crude_exp_by_year,MATCH(B2768,'Data Export'!$B$6:$B$78,0),1),IF(E2768=5,INDEX(ref_exp_dist,MATCH(B2768,'Refined Petro Exp Dist'!$B$6:$B$78,0),MATCH(C2768,'Refined Petro Exp Dist'!$AD$2:$BC$2,0))*INDEX(ref_exp_by_year,MATCH(B2768,'Data Export'!$B$6:$B$78,0),1)))</f>
        <v>0</v>
      </c>
      <c r="E2768">
        <v>5</v>
      </c>
      <c r="F2768" t="s">
        <v>921</v>
      </c>
    </row>
    <row r="2769" spans="1:6">
      <c r="A2769" t="str">
        <f t="shared" si="43"/>
        <v>GenericE&amp;DtemplateCIandGOA</v>
      </c>
      <c r="B2769">
        <v>37</v>
      </c>
      <c r="C2769">
        <v>12</v>
      </c>
      <c r="D2769" s="649">
        <f ca="1">IF(E2769=4,INDEX(crude_exp_dist,MATCH(B2769,'Crude Exp Dist'!$B$6:$B$78,0),MATCH(C2769,'Crude Exp Dist'!$AD$2:$BC$2,0))*INDEX(crude_exp_by_year,MATCH(B2769,'Data Export'!$B$6:$B$78,0),1),IF(E2769=5,INDEX(ref_exp_dist,MATCH(B2769,'Refined Petro Exp Dist'!$B$6:$B$78,0),MATCH(C2769,'Refined Petro Exp Dist'!$AD$2:$BC$2,0))*INDEX(ref_exp_by_year,MATCH(B2769,'Data Export'!$B$6:$B$78,0),1)))</f>
        <v>0</v>
      </c>
      <c r="E2769">
        <v>5</v>
      </c>
      <c r="F2769" t="s">
        <v>208</v>
      </c>
    </row>
    <row r="2770" spans="1:6">
      <c r="A2770" t="str">
        <f t="shared" si="43"/>
        <v>GenericE&amp;DtemplateCIandGOA</v>
      </c>
      <c r="B2770">
        <v>37</v>
      </c>
      <c r="C2770">
        <v>13</v>
      </c>
      <c r="D2770" s="649">
        <f ca="1">IF(E2770=4,INDEX(crude_exp_dist,MATCH(B2770,'Crude Exp Dist'!$B$6:$B$78,0),MATCH(C2770,'Crude Exp Dist'!$AD$2:$BC$2,0))*INDEX(crude_exp_by_year,MATCH(B2770,'Data Export'!$B$6:$B$78,0),1),IF(E2770=5,INDEX(ref_exp_dist,MATCH(B2770,'Refined Petro Exp Dist'!$B$6:$B$78,0),MATCH(C2770,'Refined Petro Exp Dist'!$AD$2:$BC$2,0))*INDEX(ref_exp_by_year,MATCH(B2770,'Data Export'!$B$6:$B$78,0),1)))</f>
        <v>0</v>
      </c>
      <c r="E2770">
        <v>5</v>
      </c>
      <c r="F2770" t="s">
        <v>211</v>
      </c>
    </row>
    <row r="2771" spans="1:6">
      <c r="A2771" t="str">
        <f t="shared" si="43"/>
        <v>GenericE&amp;DtemplateCIandGOA</v>
      </c>
      <c r="B2771">
        <v>37</v>
      </c>
      <c r="C2771">
        <v>14</v>
      </c>
      <c r="D2771" s="649">
        <f ca="1">IF(E2771=4,INDEX(crude_exp_dist,MATCH(B2771,'Crude Exp Dist'!$B$6:$B$78,0),MATCH(C2771,'Crude Exp Dist'!$AD$2:$BC$2,0))*INDEX(crude_exp_by_year,MATCH(B2771,'Data Export'!$B$6:$B$78,0),1),IF(E2771=5,INDEX(ref_exp_dist,MATCH(B2771,'Refined Petro Exp Dist'!$B$6:$B$78,0),MATCH(C2771,'Refined Petro Exp Dist'!$AD$2:$BC$2,0))*INDEX(ref_exp_by_year,MATCH(B2771,'Data Export'!$B$6:$B$78,0),1)))</f>
        <v>0</v>
      </c>
      <c r="E2771">
        <v>5</v>
      </c>
      <c r="F2771" t="s">
        <v>213</v>
      </c>
    </row>
    <row r="2772" spans="1:6">
      <c r="A2772" t="str">
        <f t="shared" si="43"/>
        <v>GenericE&amp;DtemplateCIandGOA</v>
      </c>
      <c r="B2772">
        <v>37</v>
      </c>
      <c r="C2772">
        <v>15</v>
      </c>
      <c r="D2772" s="649">
        <f ca="1">IF(E2772=4,INDEX(crude_exp_dist,MATCH(B2772,'Crude Exp Dist'!$B$6:$B$78,0),MATCH(C2772,'Crude Exp Dist'!$AD$2:$BC$2,0))*INDEX(crude_exp_by_year,MATCH(B2772,'Data Export'!$B$6:$B$78,0),1),IF(E2772=5,INDEX(ref_exp_dist,MATCH(B2772,'Refined Petro Exp Dist'!$B$6:$B$78,0),MATCH(C2772,'Refined Petro Exp Dist'!$AD$2:$BC$2,0))*INDEX(ref_exp_by_year,MATCH(B2772,'Data Export'!$B$6:$B$78,0),1)))</f>
        <v>0</v>
      </c>
      <c r="E2772">
        <v>5</v>
      </c>
      <c r="F2772" t="s">
        <v>215</v>
      </c>
    </row>
    <row r="2773" spans="1:6">
      <c r="A2773" t="str">
        <f t="shared" si="43"/>
        <v>GenericE&amp;DtemplateCIandGOA</v>
      </c>
      <c r="B2773">
        <v>37</v>
      </c>
      <c r="C2773">
        <v>16</v>
      </c>
      <c r="D2773" s="649">
        <f ca="1">IF(E2773=4,INDEX(crude_exp_dist,MATCH(B2773,'Crude Exp Dist'!$B$6:$B$78,0),MATCH(C2773,'Crude Exp Dist'!$AD$2:$BC$2,0))*INDEX(crude_exp_by_year,MATCH(B2773,'Data Export'!$B$6:$B$78,0),1),IF(E2773=5,INDEX(ref_exp_dist,MATCH(B2773,'Refined Petro Exp Dist'!$B$6:$B$78,0),MATCH(C2773,'Refined Petro Exp Dist'!$AD$2:$BC$2,0))*INDEX(ref_exp_by_year,MATCH(B2773,'Data Export'!$B$6:$B$78,0),1)))</f>
        <v>0</v>
      </c>
      <c r="E2773">
        <v>5</v>
      </c>
      <c r="F2773" t="s">
        <v>219</v>
      </c>
    </row>
    <row r="2774" spans="1:6">
      <c r="A2774" t="str">
        <f t="shared" si="43"/>
        <v>GenericE&amp;DtemplateCIandGOA</v>
      </c>
      <c r="B2774">
        <v>37</v>
      </c>
      <c r="C2774">
        <v>17</v>
      </c>
      <c r="D2774" s="649">
        <f ca="1">IF(E2774=4,INDEX(crude_exp_dist,MATCH(B2774,'Crude Exp Dist'!$B$6:$B$78,0),MATCH(C2774,'Crude Exp Dist'!$AD$2:$BC$2,0))*INDEX(crude_exp_by_year,MATCH(B2774,'Data Export'!$B$6:$B$78,0),1),IF(E2774=5,INDEX(ref_exp_dist,MATCH(B2774,'Refined Petro Exp Dist'!$B$6:$B$78,0),MATCH(C2774,'Refined Petro Exp Dist'!$AD$2:$BC$2,0))*INDEX(ref_exp_by_year,MATCH(B2774,'Data Export'!$B$6:$B$78,0),1)))</f>
        <v>0</v>
      </c>
      <c r="E2774">
        <v>5</v>
      </c>
      <c r="F2774" t="s">
        <v>222</v>
      </c>
    </row>
    <row r="2775" spans="1:6">
      <c r="A2775" t="str">
        <f t="shared" si="43"/>
        <v>GenericE&amp;DtemplateCIandGOA</v>
      </c>
      <c r="B2775">
        <v>37</v>
      </c>
      <c r="C2775">
        <v>18</v>
      </c>
      <c r="D2775" s="649">
        <f ca="1">IF(E2775=4,INDEX(crude_exp_dist,MATCH(B2775,'Crude Exp Dist'!$B$6:$B$78,0),MATCH(C2775,'Crude Exp Dist'!$AD$2:$BC$2,0))*INDEX(crude_exp_by_year,MATCH(B2775,'Data Export'!$B$6:$B$78,0),1),IF(E2775=5,INDEX(ref_exp_dist,MATCH(B2775,'Refined Petro Exp Dist'!$B$6:$B$78,0),MATCH(C2775,'Refined Petro Exp Dist'!$AD$2:$BC$2,0))*INDEX(ref_exp_by_year,MATCH(B2775,'Data Export'!$B$6:$B$78,0),1)))</f>
        <v>0</v>
      </c>
      <c r="E2775">
        <v>5</v>
      </c>
      <c r="F2775" t="s">
        <v>224</v>
      </c>
    </row>
    <row r="2776" spans="1:6">
      <c r="A2776" t="str">
        <f t="shared" si="43"/>
        <v>GenericE&amp;DtemplateCIandGOA</v>
      </c>
      <c r="B2776">
        <v>37</v>
      </c>
      <c r="C2776">
        <v>19</v>
      </c>
      <c r="D2776" s="649">
        <f ca="1">IF(E2776=4,INDEX(crude_exp_dist,MATCH(B2776,'Crude Exp Dist'!$B$6:$B$78,0),MATCH(C2776,'Crude Exp Dist'!$AD$2:$BC$2,0))*INDEX(crude_exp_by_year,MATCH(B2776,'Data Export'!$B$6:$B$78,0),1),IF(E2776=5,INDEX(ref_exp_dist,MATCH(B2776,'Refined Petro Exp Dist'!$B$6:$B$78,0),MATCH(C2776,'Refined Petro Exp Dist'!$AD$2:$BC$2,0))*INDEX(ref_exp_by_year,MATCH(B2776,'Data Export'!$B$6:$B$78,0),1)))</f>
        <v>0</v>
      </c>
      <c r="E2776">
        <v>5</v>
      </c>
      <c r="F2776" t="s">
        <v>228</v>
      </c>
    </row>
    <row r="2777" spans="1:6">
      <c r="A2777" t="str">
        <f t="shared" si="43"/>
        <v>GenericE&amp;DtemplateCIandGOA</v>
      </c>
      <c r="B2777">
        <v>37</v>
      </c>
      <c r="C2777">
        <v>20</v>
      </c>
      <c r="D2777" s="649">
        <f ca="1">IF(E2777=4,INDEX(crude_exp_dist,MATCH(B2777,'Crude Exp Dist'!$B$6:$B$78,0),MATCH(C2777,'Crude Exp Dist'!$AD$2:$BC$2,0))*INDEX(crude_exp_by_year,MATCH(B2777,'Data Export'!$B$6:$B$78,0),1),IF(E2777=5,INDEX(ref_exp_dist,MATCH(B2777,'Refined Petro Exp Dist'!$B$6:$B$78,0),MATCH(C2777,'Refined Petro Exp Dist'!$AD$2:$BC$2,0))*INDEX(ref_exp_by_year,MATCH(B2777,'Data Export'!$B$6:$B$78,0),1)))</f>
        <v>0</v>
      </c>
      <c r="E2777">
        <v>5</v>
      </c>
      <c r="F2777" t="s">
        <v>231</v>
      </c>
    </row>
    <row r="2778" spans="1:6">
      <c r="A2778" t="str">
        <f t="shared" si="43"/>
        <v>GenericE&amp;DtemplateCIandGOA</v>
      </c>
      <c r="B2778">
        <v>37</v>
      </c>
      <c r="C2778">
        <v>21</v>
      </c>
      <c r="D2778" s="649">
        <f ca="1">IF(E2778=4,INDEX(crude_exp_dist,MATCH(B2778,'Crude Exp Dist'!$B$6:$B$78,0),MATCH(C2778,'Crude Exp Dist'!$AD$2:$BC$2,0))*INDEX(crude_exp_by_year,MATCH(B2778,'Data Export'!$B$6:$B$78,0),1),IF(E2778=5,INDEX(ref_exp_dist,MATCH(B2778,'Refined Petro Exp Dist'!$B$6:$B$78,0),MATCH(C2778,'Refined Petro Exp Dist'!$AD$2:$BC$2,0))*INDEX(ref_exp_by_year,MATCH(B2778,'Data Export'!$B$6:$B$78,0),1)))</f>
        <v>0</v>
      </c>
      <c r="E2778">
        <v>5</v>
      </c>
      <c r="F2778" t="s">
        <v>232</v>
      </c>
    </row>
    <row r="2779" spans="1:6">
      <c r="A2779" t="str">
        <f t="shared" si="43"/>
        <v>GenericE&amp;DtemplateCIandGOA</v>
      </c>
      <c r="B2779">
        <v>37</v>
      </c>
      <c r="C2779">
        <v>22</v>
      </c>
      <c r="D2779" s="649">
        <f ca="1">IF(E2779=4,INDEX(crude_exp_dist,MATCH(B2779,'Crude Exp Dist'!$B$6:$B$78,0),MATCH(C2779,'Crude Exp Dist'!$AD$2:$BC$2,0))*INDEX(crude_exp_by_year,MATCH(B2779,'Data Export'!$B$6:$B$78,0),1),IF(E2779=5,INDEX(ref_exp_dist,MATCH(B2779,'Refined Petro Exp Dist'!$B$6:$B$78,0),MATCH(C2779,'Refined Petro Exp Dist'!$AD$2:$BC$2,0))*INDEX(ref_exp_by_year,MATCH(B2779,'Data Export'!$B$6:$B$78,0),1)))</f>
        <v>0</v>
      </c>
      <c r="E2779">
        <v>5</v>
      </c>
      <c r="F2779" t="s">
        <v>235</v>
      </c>
    </row>
    <row r="2780" spans="1:6">
      <c r="A2780" t="str">
        <f t="shared" si="43"/>
        <v>GenericE&amp;DtemplateCIandGOA</v>
      </c>
      <c r="B2780">
        <v>37</v>
      </c>
      <c r="C2780">
        <v>23</v>
      </c>
      <c r="D2780" s="649">
        <f ca="1">IF(E2780=4,INDEX(crude_exp_dist,MATCH(B2780,'Crude Exp Dist'!$B$6:$B$78,0),MATCH(C2780,'Crude Exp Dist'!$AD$2:$BC$2,0))*INDEX(crude_exp_by_year,MATCH(B2780,'Data Export'!$B$6:$B$78,0),1),IF(E2780=5,INDEX(ref_exp_dist,MATCH(B2780,'Refined Petro Exp Dist'!$B$6:$B$78,0),MATCH(C2780,'Refined Petro Exp Dist'!$AD$2:$BC$2,0))*INDEX(ref_exp_by_year,MATCH(B2780,'Data Export'!$B$6:$B$78,0),1)))</f>
        <v>0</v>
      </c>
      <c r="E2780">
        <v>5</v>
      </c>
      <c r="F2780" t="s">
        <v>237</v>
      </c>
    </row>
    <row r="2781" spans="1:6">
      <c r="A2781" t="str">
        <f t="shared" si="43"/>
        <v>GenericE&amp;DtemplateCIandGOA</v>
      </c>
      <c r="B2781">
        <v>37</v>
      </c>
      <c r="C2781">
        <v>24</v>
      </c>
      <c r="D2781" s="649">
        <f ca="1">IF(E2781=4,INDEX(crude_exp_dist,MATCH(B2781,'Crude Exp Dist'!$B$6:$B$78,0),MATCH(C2781,'Crude Exp Dist'!$AD$2:$BC$2,0))*INDEX(crude_exp_by_year,MATCH(B2781,'Data Export'!$B$6:$B$78,0),1),IF(E2781=5,INDEX(ref_exp_dist,MATCH(B2781,'Refined Petro Exp Dist'!$B$6:$B$78,0),MATCH(C2781,'Refined Petro Exp Dist'!$AD$2:$BC$2,0))*INDEX(ref_exp_by_year,MATCH(B2781,'Data Export'!$B$6:$B$78,0),1)))</f>
        <v>0</v>
      </c>
      <c r="E2781">
        <v>5</v>
      </c>
      <c r="F2781" t="s">
        <v>239</v>
      </c>
    </row>
    <row r="2782" spans="1:6">
      <c r="A2782" t="str">
        <f t="shared" si="43"/>
        <v>GenericE&amp;DtemplateCIandGOA</v>
      </c>
      <c r="B2782">
        <v>37</v>
      </c>
      <c r="C2782">
        <v>25</v>
      </c>
      <c r="D2782" s="649">
        <f ca="1">IF(E2782=4,INDEX(crude_exp_dist,MATCH(B2782,'Crude Exp Dist'!$B$6:$B$78,0),MATCH(C2782,'Crude Exp Dist'!$AD$2:$BC$2,0))*INDEX(crude_exp_by_year,MATCH(B2782,'Data Export'!$B$6:$B$78,0),1),IF(E2782=5,INDEX(ref_exp_dist,MATCH(B2782,'Refined Petro Exp Dist'!$B$6:$B$78,0),MATCH(C2782,'Refined Petro Exp Dist'!$AD$2:$BC$2,0))*INDEX(ref_exp_by_year,MATCH(B2782,'Data Export'!$B$6:$B$78,0),1)))</f>
        <v>0</v>
      </c>
      <c r="E2782">
        <v>5</v>
      </c>
      <c r="F2782" t="s">
        <v>242</v>
      </c>
    </row>
    <row r="2783" spans="1:6">
      <c r="A2783" t="str">
        <f t="shared" si="43"/>
        <v>GenericE&amp;DtemplateCIandGOA</v>
      </c>
      <c r="B2783">
        <v>37</v>
      </c>
      <c r="C2783">
        <v>26</v>
      </c>
      <c r="D2783" s="649">
        <f ca="1">IF(E2783=4,INDEX(crude_exp_dist,MATCH(B2783,'Crude Exp Dist'!$B$6:$B$78,0),MATCH(C2783,'Crude Exp Dist'!$AD$2:$BC$2,0))*INDEX(crude_exp_by_year,MATCH(B2783,'Data Export'!$B$6:$B$78,0),1),IF(E2783=5,INDEX(ref_exp_dist,MATCH(B2783,'Refined Petro Exp Dist'!$B$6:$B$78,0),MATCH(C2783,'Refined Petro Exp Dist'!$AD$2:$BC$2,0))*INDEX(ref_exp_by_year,MATCH(B2783,'Data Export'!$B$6:$B$78,0),1)))</f>
        <v>0</v>
      </c>
      <c r="E2783">
        <v>5</v>
      </c>
      <c r="F2783" t="s">
        <v>245</v>
      </c>
    </row>
    <row r="2784" spans="1:6">
      <c r="A2784" t="str">
        <f t="shared" si="43"/>
        <v>GenericE&amp;DtemplateCIandGOA</v>
      </c>
      <c r="B2784">
        <v>38</v>
      </c>
      <c r="C2784">
        <v>1</v>
      </c>
      <c r="D2784" s="649">
        <f ca="1">IF(E2784=4,INDEX(crude_exp_dist,MATCH(B2784,'Crude Exp Dist'!$B$6:$B$78,0),MATCH(C2784,'Crude Exp Dist'!$AD$2:$BC$2,0))*INDEX(crude_exp_by_year,MATCH(B2784,'Data Export'!$B$6:$B$78,0),1),IF(E2784=5,INDEX(ref_exp_dist,MATCH(B2784,'Refined Petro Exp Dist'!$B$6:$B$78,0),MATCH(C2784,'Refined Petro Exp Dist'!$AD$2:$BC$2,0))*INDEX(ref_exp_by_year,MATCH(B2784,'Data Export'!$B$6:$B$78,0),1)))</f>
        <v>0</v>
      </c>
      <c r="E2784">
        <v>5</v>
      </c>
      <c r="F2784" t="s">
        <v>158</v>
      </c>
    </row>
    <row r="2785" spans="1:6">
      <c r="A2785" t="str">
        <f t="shared" si="43"/>
        <v>GenericE&amp;DtemplateCIandGOA</v>
      </c>
      <c r="B2785">
        <v>38</v>
      </c>
      <c r="C2785">
        <v>2</v>
      </c>
      <c r="D2785" s="649">
        <f ca="1">IF(E2785=4,INDEX(crude_exp_dist,MATCH(B2785,'Crude Exp Dist'!$B$6:$B$78,0),MATCH(C2785,'Crude Exp Dist'!$AD$2:$BC$2,0))*INDEX(crude_exp_by_year,MATCH(B2785,'Data Export'!$B$6:$B$78,0),1),IF(E2785=5,INDEX(ref_exp_dist,MATCH(B2785,'Refined Petro Exp Dist'!$B$6:$B$78,0),MATCH(C2785,'Refined Petro Exp Dist'!$AD$2:$BC$2,0))*INDEX(ref_exp_by_year,MATCH(B2785,'Data Export'!$B$6:$B$78,0),1)))</f>
        <v>0</v>
      </c>
      <c r="E2785">
        <v>5</v>
      </c>
      <c r="F2785" t="s">
        <v>166</v>
      </c>
    </row>
    <row r="2786" spans="1:6">
      <c r="A2786" t="str">
        <f t="shared" si="43"/>
        <v>GenericE&amp;DtemplateCIandGOA</v>
      </c>
      <c r="B2786">
        <v>38</v>
      </c>
      <c r="C2786">
        <v>3</v>
      </c>
      <c r="D2786" s="649">
        <f ca="1">IF(E2786=4,INDEX(crude_exp_dist,MATCH(B2786,'Crude Exp Dist'!$B$6:$B$78,0),MATCH(C2786,'Crude Exp Dist'!$AD$2:$BC$2,0))*INDEX(crude_exp_by_year,MATCH(B2786,'Data Export'!$B$6:$B$78,0),1),IF(E2786=5,INDEX(ref_exp_dist,MATCH(B2786,'Refined Petro Exp Dist'!$B$6:$B$78,0),MATCH(C2786,'Refined Petro Exp Dist'!$AD$2:$BC$2,0))*INDEX(ref_exp_by_year,MATCH(B2786,'Data Export'!$B$6:$B$78,0),1)))</f>
        <v>0</v>
      </c>
      <c r="E2786">
        <v>5</v>
      </c>
      <c r="F2786" t="s">
        <v>171</v>
      </c>
    </row>
    <row r="2787" spans="1:6">
      <c r="A2787" t="str">
        <f t="shared" si="43"/>
        <v>GenericE&amp;DtemplateCIandGOA</v>
      </c>
      <c r="B2787">
        <v>38</v>
      </c>
      <c r="C2787">
        <v>4</v>
      </c>
      <c r="D2787" s="649">
        <f ca="1">IF(E2787=4,INDEX(crude_exp_dist,MATCH(B2787,'Crude Exp Dist'!$B$6:$B$78,0),MATCH(C2787,'Crude Exp Dist'!$AD$2:$BC$2,0))*INDEX(crude_exp_by_year,MATCH(B2787,'Data Export'!$B$6:$B$78,0),1),IF(E2787=5,INDEX(ref_exp_dist,MATCH(B2787,'Refined Petro Exp Dist'!$B$6:$B$78,0),MATCH(C2787,'Refined Petro Exp Dist'!$AD$2:$BC$2,0))*INDEX(ref_exp_by_year,MATCH(B2787,'Data Export'!$B$6:$B$78,0),1)))</f>
        <v>0</v>
      </c>
      <c r="E2787">
        <v>5</v>
      </c>
      <c r="F2787" t="s">
        <v>173</v>
      </c>
    </row>
    <row r="2788" spans="1:6">
      <c r="A2788" t="str">
        <f t="shared" si="43"/>
        <v>GenericE&amp;DtemplateCIandGOA</v>
      </c>
      <c r="B2788">
        <v>38</v>
      </c>
      <c r="C2788">
        <v>5</v>
      </c>
      <c r="D2788" s="649">
        <f ca="1">IF(E2788=4,INDEX(crude_exp_dist,MATCH(B2788,'Crude Exp Dist'!$B$6:$B$78,0),MATCH(C2788,'Crude Exp Dist'!$AD$2:$BC$2,0))*INDEX(crude_exp_by_year,MATCH(B2788,'Data Export'!$B$6:$B$78,0),1),IF(E2788=5,INDEX(ref_exp_dist,MATCH(B2788,'Refined Petro Exp Dist'!$B$6:$B$78,0),MATCH(C2788,'Refined Petro Exp Dist'!$AD$2:$BC$2,0))*INDEX(ref_exp_by_year,MATCH(B2788,'Data Export'!$B$6:$B$78,0),1)))</f>
        <v>0</v>
      </c>
      <c r="E2788">
        <v>5</v>
      </c>
      <c r="F2788" t="s">
        <v>180</v>
      </c>
    </row>
    <row r="2789" spans="1:6">
      <c r="A2789" t="str">
        <f t="shared" si="43"/>
        <v>GenericE&amp;DtemplateCIandGOA</v>
      </c>
      <c r="B2789">
        <v>38</v>
      </c>
      <c r="C2789">
        <v>6</v>
      </c>
      <c r="D2789" s="649">
        <f ca="1">IF(E2789=4,INDEX(crude_exp_dist,MATCH(B2789,'Crude Exp Dist'!$B$6:$B$78,0),MATCH(C2789,'Crude Exp Dist'!$AD$2:$BC$2,0))*INDEX(crude_exp_by_year,MATCH(B2789,'Data Export'!$B$6:$B$78,0),1),IF(E2789=5,INDEX(ref_exp_dist,MATCH(B2789,'Refined Petro Exp Dist'!$B$6:$B$78,0),MATCH(C2789,'Refined Petro Exp Dist'!$AD$2:$BC$2,0))*INDEX(ref_exp_by_year,MATCH(B2789,'Data Export'!$B$6:$B$78,0),1)))</f>
        <v>0</v>
      </c>
      <c r="E2789">
        <v>5</v>
      </c>
      <c r="F2789" t="s">
        <v>186</v>
      </c>
    </row>
    <row r="2790" spans="1:6">
      <c r="A2790" t="str">
        <f t="shared" si="43"/>
        <v>GenericE&amp;DtemplateCIandGOA</v>
      </c>
      <c r="B2790">
        <v>38</v>
      </c>
      <c r="C2790">
        <v>7</v>
      </c>
      <c r="D2790" s="649">
        <f ca="1">IF(E2790=4,INDEX(crude_exp_dist,MATCH(B2790,'Crude Exp Dist'!$B$6:$B$78,0),MATCH(C2790,'Crude Exp Dist'!$AD$2:$BC$2,0))*INDEX(crude_exp_by_year,MATCH(B2790,'Data Export'!$B$6:$B$78,0),1),IF(E2790=5,INDEX(ref_exp_dist,MATCH(B2790,'Refined Petro Exp Dist'!$B$6:$B$78,0),MATCH(C2790,'Refined Petro Exp Dist'!$AD$2:$BC$2,0))*INDEX(ref_exp_by_year,MATCH(B2790,'Data Export'!$B$6:$B$78,0),1)))</f>
        <v>0</v>
      </c>
      <c r="E2790">
        <v>5</v>
      </c>
      <c r="F2790" t="s">
        <v>191</v>
      </c>
    </row>
    <row r="2791" spans="1:6">
      <c r="A2791" t="str">
        <f t="shared" si="43"/>
        <v>GenericE&amp;DtemplateCIandGOA</v>
      </c>
      <c r="B2791">
        <v>38</v>
      </c>
      <c r="C2791">
        <v>8</v>
      </c>
      <c r="D2791" s="649">
        <f ca="1">IF(E2791=4,INDEX(crude_exp_dist,MATCH(B2791,'Crude Exp Dist'!$B$6:$B$78,0),MATCH(C2791,'Crude Exp Dist'!$AD$2:$BC$2,0))*INDEX(crude_exp_by_year,MATCH(B2791,'Data Export'!$B$6:$B$78,0),1),IF(E2791=5,INDEX(ref_exp_dist,MATCH(B2791,'Refined Petro Exp Dist'!$B$6:$B$78,0),MATCH(C2791,'Refined Petro Exp Dist'!$AD$2:$BC$2,0))*INDEX(ref_exp_by_year,MATCH(B2791,'Data Export'!$B$6:$B$78,0),1)))</f>
        <v>0</v>
      </c>
      <c r="E2791">
        <v>5</v>
      </c>
      <c r="F2791" t="s">
        <v>197</v>
      </c>
    </row>
    <row r="2792" spans="1:6">
      <c r="A2792" t="str">
        <f t="shared" si="43"/>
        <v>GenericE&amp;DtemplateCIandGOA</v>
      </c>
      <c r="B2792">
        <v>38</v>
      </c>
      <c r="C2792">
        <v>9</v>
      </c>
      <c r="D2792" s="649">
        <f ca="1">IF(E2792=4,INDEX(crude_exp_dist,MATCH(B2792,'Crude Exp Dist'!$B$6:$B$78,0),MATCH(C2792,'Crude Exp Dist'!$AD$2:$BC$2,0))*INDEX(crude_exp_by_year,MATCH(B2792,'Data Export'!$B$6:$B$78,0),1),IF(E2792=5,INDEX(ref_exp_dist,MATCH(B2792,'Refined Petro Exp Dist'!$B$6:$B$78,0),MATCH(C2792,'Refined Petro Exp Dist'!$AD$2:$BC$2,0))*INDEX(ref_exp_by_year,MATCH(B2792,'Data Export'!$B$6:$B$78,0),1)))</f>
        <v>0</v>
      </c>
      <c r="E2792">
        <v>5</v>
      </c>
      <c r="F2792" t="s">
        <v>199</v>
      </c>
    </row>
    <row r="2793" spans="1:6">
      <c r="A2793" t="str">
        <f t="shared" si="43"/>
        <v>GenericE&amp;DtemplateCIandGOA</v>
      </c>
      <c r="B2793">
        <v>38</v>
      </c>
      <c r="C2793">
        <v>10</v>
      </c>
      <c r="D2793" s="649">
        <f ca="1">IF(E2793=4,INDEX(crude_exp_dist,MATCH(B2793,'Crude Exp Dist'!$B$6:$B$78,0),MATCH(C2793,'Crude Exp Dist'!$AD$2:$BC$2,0))*INDEX(crude_exp_by_year,MATCH(B2793,'Data Export'!$B$6:$B$78,0),1),IF(E2793=5,INDEX(ref_exp_dist,MATCH(B2793,'Refined Petro Exp Dist'!$B$6:$B$78,0),MATCH(C2793,'Refined Petro Exp Dist'!$AD$2:$BC$2,0))*INDEX(ref_exp_by_year,MATCH(B2793,'Data Export'!$B$6:$B$78,0),1)))</f>
        <v>0</v>
      </c>
      <c r="E2793">
        <v>5</v>
      </c>
      <c r="F2793" t="s">
        <v>201</v>
      </c>
    </row>
    <row r="2794" spans="1:6">
      <c r="A2794" t="str">
        <f t="shared" si="43"/>
        <v>GenericE&amp;DtemplateCIandGOA</v>
      </c>
      <c r="B2794">
        <v>38</v>
      </c>
      <c r="C2794">
        <v>11</v>
      </c>
      <c r="D2794" s="649">
        <f ca="1">IF(E2794=4,INDEX(crude_exp_dist,MATCH(B2794,'Crude Exp Dist'!$B$6:$B$78,0),MATCH(C2794,'Crude Exp Dist'!$AD$2:$BC$2,0))*INDEX(crude_exp_by_year,MATCH(B2794,'Data Export'!$B$6:$B$78,0),1),IF(E2794=5,INDEX(ref_exp_dist,MATCH(B2794,'Refined Petro Exp Dist'!$B$6:$B$78,0),MATCH(C2794,'Refined Petro Exp Dist'!$AD$2:$BC$2,0))*INDEX(ref_exp_by_year,MATCH(B2794,'Data Export'!$B$6:$B$78,0),1)))</f>
        <v>0</v>
      </c>
      <c r="E2794">
        <v>5</v>
      </c>
      <c r="F2794" t="s">
        <v>921</v>
      </c>
    </row>
    <row r="2795" spans="1:6">
      <c r="A2795" t="str">
        <f t="shared" si="43"/>
        <v>GenericE&amp;DtemplateCIandGOA</v>
      </c>
      <c r="B2795">
        <v>38</v>
      </c>
      <c r="C2795">
        <v>12</v>
      </c>
      <c r="D2795" s="649">
        <f ca="1">IF(E2795=4,INDEX(crude_exp_dist,MATCH(B2795,'Crude Exp Dist'!$B$6:$B$78,0),MATCH(C2795,'Crude Exp Dist'!$AD$2:$BC$2,0))*INDEX(crude_exp_by_year,MATCH(B2795,'Data Export'!$B$6:$B$78,0),1),IF(E2795=5,INDEX(ref_exp_dist,MATCH(B2795,'Refined Petro Exp Dist'!$B$6:$B$78,0),MATCH(C2795,'Refined Petro Exp Dist'!$AD$2:$BC$2,0))*INDEX(ref_exp_by_year,MATCH(B2795,'Data Export'!$B$6:$B$78,0),1)))</f>
        <v>0</v>
      </c>
      <c r="E2795">
        <v>5</v>
      </c>
      <c r="F2795" t="s">
        <v>208</v>
      </c>
    </row>
    <row r="2796" spans="1:6">
      <c r="A2796" t="str">
        <f t="shared" si="43"/>
        <v>GenericE&amp;DtemplateCIandGOA</v>
      </c>
      <c r="B2796">
        <v>38</v>
      </c>
      <c r="C2796">
        <v>13</v>
      </c>
      <c r="D2796" s="649">
        <f ca="1">IF(E2796=4,INDEX(crude_exp_dist,MATCH(B2796,'Crude Exp Dist'!$B$6:$B$78,0),MATCH(C2796,'Crude Exp Dist'!$AD$2:$BC$2,0))*INDEX(crude_exp_by_year,MATCH(B2796,'Data Export'!$B$6:$B$78,0),1),IF(E2796=5,INDEX(ref_exp_dist,MATCH(B2796,'Refined Petro Exp Dist'!$B$6:$B$78,0),MATCH(C2796,'Refined Petro Exp Dist'!$AD$2:$BC$2,0))*INDEX(ref_exp_by_year,MATCH(B2796,'Data Export'!$B$6:$B$78,0),1)))</f>
        <v>0</v>
      </c>
      <c r="E2796">
        <v>5</v>
      </c>
      <c r="F2796" t="s">
        <v>211</v>
      </c>
    </row>
    <row r="2797" spans="1:6">
      <c r="A2797" t="str">
        <f t="shared" si="43"/>
        <v>GenericE&amp;DtemplateCIandGOA</v>
      </c>
      <c r="B2797">
        <v>38</v>
      </c>
      <c r="C2797">
        <v>14</v>
      </c>
      <c r="D2797" s="649">
        <f ca="1">IF(E2797=4,INDEX(crude_exp_dist,MATCH(B2797,'Crude Exp Dist'!$B$6:$B$78,0),MATCH(C2797,'Crude Exp Dist'!$AD$2:$BC$2,0))*INDEX(crude_exp_by_year,MATCH(B2797,'Data Export'!$B$6:$B$78,0),1),IF(E2797=5,INDEX(ref_exp_dist,MATCH(B2797,'Refined Petro Exp Dist'!$B$6:$B$78,0),MATCH(C2797,'Refined Petro Exp Dist'!$AD$2:$BC$2,0))*INDEX(ref_exp_by_year,MATCH(B2797,'Data Export'!$B$6:$B$78,0),1)))</f>
        <v>0</v>
      </c>
      <c r="E2797">
        <v>5</v>
      </c>
      <c r="F2797" t="s">
        <v>213</v>
      </c>
    </row>
    <row r="2798" spans="1:6">
      <c r="A2798" t="str">
        <f t="shared" si="43"/>
        <v>GenericE&amp;DtemplateCIandGOA</v>
      </c>
      <c r="B2798">
        <v>38</v>
      </c>
      <c r="C2798">
        <v>15</v>
      </c>
      <c r="D2798" s="649">
        <f ca="1">IF(E2798=4,INDEX(crude_exp_dist,MATCH(B2798,'Crude Exp Dist'!$B$6:$B$78,0),MATCH(C2798,'Crude Exp Dist'!$AD$2:$BC$2,0))*INDEX(crude_exp_by_year,MATCH(B2798,'Data Export'!$B$6:$B$78,0),1),IF(E2798=5,INDEX(ref_exp_dist,MATCH(B2798,'Refined Petro Exp Dist'!$B$6:$B$78,0),MATCH(C2798,'Refined Petro Exp Dist'!$AD$2:$BC$2,0))*INDEX(ref_exp_by_year,MATCH(B2798,'Data Export'!$B$6:$B$78,0),1)))</f>
        <v>0</v>
      </c>
      <c r="E2798">
        <v>5</v>
      </c>
      <c r="F2798" t="s">
        <v>215</v>
      </c>
    </row>
    <row r="2799" spans="1:6">
      <c r="A2799" t="str">
        <f t="shared" si="43"/>
        <v>GenericE&amp;DtemplateCIandGOA</v>
      </c>
      <c r="B2799">
        <v>38</v>
      </c>
      <c r="C2799">
        <v>16</v>
      </c>
      <c r="D2799" s="649">
        <f ca="1">IF(E2799=4,INDEX(crude_exp_dist,MATCH(B2799,'Crude Exp Dist'!$B$6:$B$78,0),MATCH(C2799,'Crude Exp Dist'!$AD$2:$BC$2,0))*INDEX(crude_exp_by_year,MATCH(B2799,'Data Export'!$B$6:$B$78,0),1),IF(E2799=5,INDEX(ref_exp_dist,MATCH(B2799,'Refined Petro Exp Dist'!$B$6:$B$78,0),MATCH(C2799,'Refined Petro Exp Dist'!$AD$2:$BC$2,0))*INDEX(ref_exp_by_year,MATCH(B2799,'Data Export'!$B$6:$B$78,0),1)))</f>
        <v>0</v>
      </c>
      <c r="E2799">
        <v>5</v>
      </c>
      <c r="F2799" t="s">
        <v>219</v>
      </c>
    </row>
    <row r="2800" spans="1:6">
      <c r="A2800" t="str">
        <f t="shared" si="43"/>
        <v>GenericE&amp;DtemplateCIandGOA</v>
      </c>
      <c r="B2800">
        <v>38</v>
      </c>
      <c r="C2800">
        <v>17</v>
      </c>
      <c r="D2800" s="649">
        <f ca="1">IF(E2800=4,INDEX(crude_exp_dist,MATCH(B2800,'Crude Exp Dist'!$B$6:$B$78,0),MATCH(C2800,'Crude Exp Dist'!$AD$2:$BC$2,0))*INDEX(crude_exp_by_year,MATCH(B2800,'Data Export'!$B$6:$B$78,0),1),IF(E2800=5,INDEX(ref_exp_dist,MATCH(B2800,'Refined Petro Exp Dist'!$B$6:$B$78,0),MATCH(C2800,'Refined Petro Exp Dist'!$AD$2:$BC$2,0))*INDEX(ref_exp_by_year,MATCH(B2800,'Data Export'!$B$6:$B$78,0),1)))</f>
        <v>0</v>
      </c>
      <c r="E2800">
        <v>5</v>
      </c>
      <c r="F2800" t="s">
        <v>222</v>
      </c>
    </row>
    <row r="2801" spans="1:6">
      <c r="A2801" t="str">
        <f t="shared" si="43"/>
        <v>GenericE&amp;DtemplateCIandGOA</v>
      </c>
      <c r="B2801">
        <v>38</v>
      </c>
      <c r="C2801">
        <v>18</v>
      </c>
      <c r="D2801" s="649">
        <f ca="1">IF(E2801=4,INDEX(crude_exp_dist,MATCH(B2801,'Crude Exp Dist'!$B$6:$B$78,0),MATCH(C2801,'Crude Exp Dist'!$AD$2:$BC$2,0))*INDEX(crude_exp_by_year,MATCH(B2801,'Data Export'!$B$6:$B$78,0),1),IF(E2801=5,INDEX(ref_exp_dist,MATCH(B2801,'Refined Petro Exp Dist'!$B$6:$B$78,0),MATCH(C2801,'Refined Petro Exp Dist'!$AD$2:$BC$2,0))*INDEX(ref_exp_by_year,MATCH(B2801,'Data Export'!$B$6:$B$78,0),1)))</f>
        <v>0</v>
      </c>
      <c r="E2801">
        <v>5</v>
      </c>
      <c r="F2801" t="s">
        <v>224</v>
      </c>
    </row>
    <row r="2802" spans="1:6">
      <c r="A2802" t="str">
        <f t="shared" si="43"/>
        <v>GenericE&amp;DtemplateCIandGOA</v>
      </c>
      <c r="B2802">
        <v>38</v>
      </c>
      <c r="C2802">
        <v>19</v>
      </c>
      <c r="D2802" s="649">
        <f ca="1">IF(E2802=4,INDEX(crude_exp_dist,MATCH(B2802,'Crude Exp Dist'!$B$6:$B$78,0),MATCH(C2802,'Crude Exp Dist'!$AD$2:$BC$2,0))*INDEX(crude_exp_by_year,MATCH(B2802,'Data Export'!$B$6:$B$78,0),1),IF(E2802=5,INDEX(ref_exp_dist,MATCH(B2802,'Refined Petro Exp Dist'!$B$6:$B$78,0),MATCH(C2802,'Refined Petro Exp Dist'!$AD$2:$BC$2,0))*INDEX(ref_exp_by_year,MATCH(B2802,'Data Export'!$B$6:$B$78,0),1)))</f>
        <v>0</v>
      </c>
      <c r="E2802">
        <v>5</v>
      </c>
      <c r="F2802" t="s">
        <v>228</v>
      </c>
    </row>
    <row r="2803" spans="1:6">
      <c r="A2803" t="str">
        <f t="shared" si="43"/>
        <v>GenericE&amp;DtemplateCIandGOA</v>
      </c>
      <c r="B2803">
        <v>38</v>
      </c>
      <c r="C2803">
        <v>20</v>
      </c>
      <c r="D2803" s="649">
        <f ca="1">IF(E2803=4,INDEX(crude_exp_dist,MATCH(B2803,'Crude Exp Dist'!$B$6:$B$78,0),MATCH(C2803,'Crude Exp Dist'!$AD$2:$BC$2,0))*INDEX(crude_exp_by_year,MATCH(B2803,'Data Export'!$B$6:$B$78,0),1),IF(E2803=5,INDEX(ref_exp_dist,MATCH(B2803,'Refined Petro Exp Dist'!$B$6:$B$78,0),MATCH(C2803,'Refined Petro Exp Dist'!$AD$2:$BC$2,0))*INDEX(ref_exp_by_year,MATCH(B2803,'Data Export'!$B$6:$B$78,0),1)))</f>
        <v>0</v>
      </c>
      <c r="E2803">
        <v>5</v>
      </c>
      <c r="F2803" t="s">
        <v>231</v>
      </c>
    </row>
    <row r="2804" spans="1:6">
      <c r="A2804" t="str">
        <f t="shared" si="43"/>
        <v>GenericE&amp;DtemplateCIandGOA</v>
      </c>
      <c r="B2804">
        <v>38</v>
      </c>
      <c r="C2804">
        <v>21</v>
      </c>
      <c r="D2804" s="649">
        <f ca="1">IF(E2804=4,INDEX(crude_exp_dist,MATCH(B2804,'Crude Exp Dist'!$B$6:$B$78,0),MATCH(C2804,'Crude Exp Dist'!$AD$2:$BC$2,0))*INDEX(crude_exp_by_year,MATCH(B2804,'Data Export'!$B$6:$B$78,0),1),IF(E2804=5,INDEX(ref_exp_dist,MATCH(B2804,'Refined Petro Exp Dist'!$B$6:$B$78,0),MATCH(C2804,'Refined Petro Exp Dist'!$AD$2:$BC$2,0))*INDEX(ref_exp_by_year,MATCH(B2804,'Data Export'!$B$6:$B$78,0),1)))</f>
        <v>0</v>
      </c>
      <c r="E2804">
        <v>5</v>
      </c>
      <c r="F2804" t="s">
        <v>232</v>
      </c>
    </row>
    <row r="2805" spans="1:6">
      <c r="A2805" t="str">
        <f t="shared" si="43"/>
        <v>GenericE&amp;DtemplateCIandGOA</v>
      </c>
      <c r="B2805">
        <v>38</v>
      </c>
      <c r="C2805">
        <v>22</v>
      </c>
      <c r="D2805" s="649">
        <f ca="1">IF(E2805=4,INDEX(crude_exp_dist,MATCH(B2805,'Crude Exp Dist'!$B$6:$B$78,0),MATCH(C2805,'Crude Exp Dist'!$AD$2:$BC$2,0))*INDEX(crude_exp_by_year,MATCH(B2805,'Data Export'!$B$6:$B$78,0),1),IF(E2805=5,INDEX(ref_exp_dist,MATCH(B2805,'Refined Petro Exp Dist'!$B$6:$B$78,0),MATCH(C2805,'Refined Petro Exp Dist'!$AD$2:$BC$2,0))*INDEX(ref_exp_by_year,MATCH(B2805,'Data Export'!$B$6:$B$78,0),1)))</f>
        <v>0</v>
      </c>
      <c r="E2805">
        <v>5</v>
      </c>
      <c r="F2805" t="s">
        <v>235</v>
      </c>
    </row>
    <row r="2806" spans="1:6">
      <c r="A2806" t="str">
        <f t="shared" si="43"/>
        <v>GenericE&amp;DtemplateCIandGOA</v>
      </c>
      <c r="B2806">
        <v>38</v>
      </c>
      <c r="C2806">
        <v>23</v>
      </c>
      <c r="D2806" s="649">
        <f ca="1">IF(E2806=4,INDEX(crude_exp_dist,MATCH(B2806,'Crude Exp Dist'!$B$6:$B$78,0),MATCH(C2806,'Crude Exp Dist'!$AD$2:$BC$2,0))*INDEX(crude_exp_by_year,MATCH(B2806,'Data Export'!$B$6:$B$78,0),1),IF(E2806=5,INDEX(ref_exp_dist,MATCH(B2806,'Refined Petro Exp Dist'!$B$6:$B$78,0),MATCH(C2806,'Refined Petro Exp Dist'!$AD$2:$BC$2,0))*INDEX(ref_exp_by_year,MATCH(B2806,'Data Export'!$B$6:$B$78,0),1)))</f>
        <v>0</v>
      </c>
      <c r="E2806">
        <v>5</v>
      </c>
      <c r="F2806" t="s">
        <v>237</v>
      </c>
    </row>
    <row r="2807" spans="1:6">
      <c r="A2807" t="str">
        <f t="shared" si="43"/>
        <v>GenericE&amp;DtemplateCIandGOA</v>
      </c>
      <c r="B2807">
        <v>38</v>
      </c>
      <c r="C2807">
        <v>24</v>
      </c>
      <c r="D2807" s="649">
        <f ca="1">IF(E2807=4,INDEX(crude_exp_dist,MATCH(B2807,'Crude Exp Dist'!$B$6:$B$78,0),MATCH(C2807,'Crude Exp Dist'!$AD$2:$BC$2,0))*INDEX(crude_exp_by_year,MATCH(B2807,'Data Export'!$B$6:$B$78,0),1),IF(E2807=5,INDEX(ref_exp_dist,MATCH(B2807,'Refined Petro Exp Dist'!$B$6:$B$78,0),MATCH(C2807,'Refined Petro Exp Dist'!$AD$2:$BC$2,0))*INDEX(ref_exp_by_year,MATCH(B2807,'Data Export'!$B$6:$B$78,0),1)))</f>
        <v>0</v>
      </c>
      <c r="E2807">
        <v>5</v>
      </c>
      <c r="F2807" t="s">
        <v>239</v>
      </c>
    </row>
    <row r="2808" spans="1:6">
      <c r="A2808" t="str">
        <f t="shared" si="43"/>
        <v>GenericE&amp;DtemplateCIandGOA</v>
      </c>
      <c r="B2808">
        <v>38</v>
      </c>
      <c r="C2808">
        <v>25</v>
      </c>
      <c r="D2808" s="649">
        <f ca="1">IF(E2808=4,INDEX(crude_exp_dist,MATCH(B2808,'Crude Exp Dist'!$B$6:$B$78,0),MATCH(C2808,'Crude Exp Dist'!$AD$2:$BC$2,0))*INDEX(crude_exp_by_year,MATCH(B2808,'Data Export'!$B$6:$B$78,0),1),IF(E2808=5,INDEX(ref_exp_dist,MATCH(B2808,'Refined Petro Exp Dist'!$B$6:$B$78,0),MATCH(C2808,'Refined Petro Exp Dist'!$AD$2:$BC$2,0))*INDEX(ref_exp_by_year,MATCH(B2808,'Data Export'!$B$6:$B$78,0),1)))</f>
        <v>0</v>
      </c>
      <c r="E2808">
        <v>5</v>
      </c>
      <c r="F2808" t="s">
        <v>242</v>
      </c>
    </row>
    <row r="2809" spans="1:6">
      <c r="A2809" t="str">
        <f t="shared" si="43"/>
        <v>GenericE&amp;DtemplateCIandGOA</v>
      </c>
      <c r="B2809">
        <v>38</v>
      </c>
      <c r="C2809">
        <v>26</v>
      </c>
      <c r="D2809" s="649">
        <f ca="1">IF(E2809=4,INDEX(crude_exp_dist,MATCH(B2809,'Crude Exp Dist'!$B$6:$B$78,0),MATCH(C2809,'Crude Exp Dist'!$AD$2:$BC$2,0))*INDEX(crude_exp_by_year,MATCH(B2809,'Data Export'!$B$6:$B$78,0),1),IF(E2809=5,INDEX(ref_exp_dist,MATCH(B2809,'Refined Petro Exp Dist'!$B$6:$B$78,0),MATCH(C2809,'Refined Petro Exp Dist'!$AD$2:$BC$2,0))*INDEX(ref_exp_by_year,MATCH(B2809,'Data Export'!$B$6:$B$78,0),1)))</f>
        <v>0</v>
      </c>
      <c r="E2809">
        <v>5</v>
      </c>
      <c r="F2809" t="s">
        <v>245</v>
      </c>
    </row>
    <row r="2810" spans="1:6">
      <c r="A2810" t="str">
        <f t="shared" si="43"/>
        <v>GenericE&amp;DtemplateCIandGOA</v>
      </c>
      <c r="B2810">
        <v>39</v>
      </c>
      <c r="C2810">
        <v>1</v>
      </c>
      <c r="D2810" s="649">
        <f ca="1">IF(E2810=4,INDEX(crude_exp_dist,MATCH(B2810,'Crude Exp Dist'!$B$6:$B$78,0),MATCH(C2810,'Crude Exp Dist'!$AD$2:$BC$2,0))*INDEX(crude_exp_by_year,MATCH(B2810,'Data Export'!$B$6:$B$78,0),1),IF(E2810=5,INDEX(ref_exp_dist,MATCH(B2810,'Refined Petro Exp Dist'!$B$6:$B$78,0),MATCH(C2810,'Refined Petro Exp Dist'!$AD$2:$BC$2,0))*INDEX(ref_exp_by_year,MATCH(B2810,'Data Export'!$B$6:$B$78,0),1)))</f>
        <v>0</v>
      </c>
      <c r="E2810">
        <v>5</v>
      </c>
      <c r="F2810" t="s">
        <v>158</v>
      </c>
    </row>
    <row r="2811" spans="1:6">
      <c r="A2811" t="str">
        <f t="shared" si="43"/>
        <v>GenericE&amp;DtemplateCIandGOA</v>
      </c>
      <c r="B2811">
        <v>39</v>
      </c>
      <c r="C2811">
        <v>2</v>
      </c>
      <c r="D2811" s="649">
        <f ca="1">IF(E2811=4,INDEX(crude_exp_dist,MATCH(B2811,'Crude Exp Dist'!$B$6:$B$78,0),MATCH(C2811,'Crude Exp Dist'!$AD$2:$BC$2,0))*INDEX(crude_exp_by_year,MATCH(B2811,'Data Export'!$B$6:$B$78,0),1),IF(E2811=5,INDEX(ref_exp_dist,MATCH(B2811,'Refined Petro Exp Dist'!$B$6:$B$78,0),MATCH(C2811,'Refined Petro Exp Dist'!$AD$2:$BC$2,0))*INDEX(ref_exp_by_year,MATCH(B2811,'Data Export'!$B$6:$B$78,0),1)))</f>
        <v>0</v>
      </c>
      <c r="E2811">
        <v>5</v>
      </c>
      <c r="F2811" t="s">
        <v>166</v>
      </c>
    </row>
    <row r="2812" spans="1:6">
      <c r="A2812" t="str">
        <f t="shared" si="43"/>
        <v>GenericE&amp;DtemplateCIandGOA</v>
      </c>
      <c r="B2812">
        <v>39</v>
      </c>
      <c r="C2812">
        <v>3</v>
      </c>
      <c r="D2812" s="649">
        <f ca="1">IF(E2812=4,INDEX(crude_exp_dist,MATCH(B2812,'Crude Exp Dist'!$B$6:$B$78,0),MATCH(C2812,'Crude Exp Dist'!$AD$2:$BC$2,0))*INDEX(crude_exp_by_year,MATCH(B2812,'Data Export'!$B$6:$B$78,0),1),IF(E2812=5,INDEX(ref_exp_dist,MATCH(B2812,'Refined Petro Exp Dist'!$B$6:$B$78,0),MATCH(C2812,'Refined Petro Exp Dist'!$AD$2:$BC$2,0))*INDEX(ref_exp_by_year,MATCH(B2812,'Data Export'!$B$6:$B$78,0),1)))</f>
        <v>0</v>
      </c>
      <c r="E2812">
        <v>5</v>
      </c>
      <c r="F2812" t="s">
        <v>171</v>
      </c>
    </row>
    <row r="2813" spans="1:6">
      <c r="A2813" t="str">
        <f t="shared" si="43"/>
        <v>GenericE&amp;DtemplateCIandGOA</v>
      </c>
      <c r="B2813">
        <v>39</v>
      </c>
      <c r="C2813">
        <v>4</v>
      </c>
      <c r="D2813" s="649">
        <f ca="1">IF(E2813=4,INDEX(crude_exp_dist,MATCH(B2813,'Crude Exp Dist'!$B$6:$B$78,0),MATCH(C2813,'Crude Exp Dist'!$AD$2:$BC$2,0))*INDEX(crude_exp_by_year,MATCH(B2813,'Data Export'!$B$6:$B$78,0),1),IF(E2813=5,INDEX(ref_exp_dist,MATCH(B2813,'Refined Petro Exp Dist'!$B$6:$B$78,0),MATCH(C2813,'Refined Petro Exp Dist'!$AD$2:$BC$2,0))*INDEX(ref_exp_by_year,MATCH(B2813,'Data Export'!$B$6:$B$78,0),1)))</f>
        <v>0</v>
      </c>
      <c r="E2813">
        <v>5</v>
      </c>
      <c r="F2813" t="s">
        <v>173</v>
      </c>
    </row>
    <row r="2814" spans="1:6">
      <c r="A2814" t="str">
        <f t="shared" si="43"/>
        <v>GenericE&amp;DtemplateCIandGOA</v>
      </c>
      <c r="B2814">
        <v>39</v>
      </c>
      <c r="C2814">
        <v>5</v>
      </c>
      <c r="D2814" s="649">
        <f ca="1">IF(E2814=4,INDEX(crude_exp_dist,MATCH(B2814,'Crude Exp Dist'!$B$6:$B$78,0),MATCH(C2814,'Crude Exp Dist'!$AD$2:$BC$2,0))*INDEX(crude_exp_by_year,MATCH(B2814,'Data Export'!$B$6:$B$78,0),1),IF(E2814=5,INDEX(ref_exp_dist,MATCH(B2814,'Refined Petro Exp Dist'!$B$6:$B$78,0),MATCH(C2814,'Refined Petro Exp Dist'!$AD$2:$BC$2,0))*INDEX(ref_exp_by_year,MATCH(B2814,'Data Export'!$B$6:$B$78,0),1)))</f>
        <v>0</v>
      </c>
      <c r="E2814">
        <v>5</v>
      </c>
      <c r="F2814" t="s">
        <v>180</v>
      </c>
    </row>
    <row r="2815" spans="1:6">
      <c r="A2815" t="str">
        <f t="shared" si="43"/>
        <v>GenericE&amp;DtemplateCIandGOA</v>
      </c>
      <c r="B2815">
        <v>39</v>
      </c>
      <c r="C2815">
        <v>6</v>
      </c>
      <c r="D2815" s="649">
        <f ca="1">IF(E2815=4,INDEX(crude_exp_dist,MATCH(B2815,'Crude Exp Dist'!$B$6:$B$78,0),MATCH(C2815,'Crude Exp Dist'!$AD$2:$BC$2,0))*INDEX(crude_exp_by_year,MATCH(B2815,'Data Export'!$B$6:$B$78,0),1),IF(E2815=5,INDEX(ref_exp_dist,MATCH(B2815,'Refined Petro Exp Dist'!$B$6:$B$78,0),MATCH(C2815,'Refined Petro Exp Dist'!$AD$2:$BC$2,0))*INDEX(ref_exp_by_year,MATCH(B2815,'Data Export'!$B$6:$B$78,0),1)))</f>
        <v>0</v>
      </c>
      <c r="E2815">
        <v>5</v>
      </c>
      <c r="F2815" t="s">
        <v>186</v>
      </c>
    </row>
    <row r="2816" spans="1:6">
      <c r="A2816" t="str">
        <f t="shared" si="43"/>
        <v>GenericE&amp;DtemplateCIandGOA</v>
      </c>
      <c r="B2816">
        <v>39</v>
      </c>
      <c r="C2816">
        <v>7</v>
      </c>
      <c r="D2816" s="649">
        <f ca="1">IF(E2816=4,INDEX(crude_exp_dist,MATCH(B2816,'Crude Exp Dist'!$B$6:$B$78,0),MATCH(C2816,'Crude Exp Dist'!$AD$2:$BC$2,0))*INDEX(crude_exp_by_year,MATCH(B2816,'Data Export'!$B$6:$B$78,0),1),IF(E2816=5,INDEX(ref_exp_dist,MATCH(B2816,'Refined Petro Exp Dist'!$B$6:$B$78,0),MATCH(C2816,'Refined Petro Exp Dist'!$AD$2:$BC$2,0))*INDEX(ref_exp_by_year,MATCH(B2816,'Data Export'!$B$6:$B$78,0),1)))</f>
        <v>0</v>
      </c>
      <c r="E2816">
        <v>5</v>
      </c>
      <c r="F2816" t="s">
        <v>191</v>
      </c>
    </row>
    <row r="2817" spans="1:6">
      <c r="A2817" t="str">
        <f t="shared" si="43"/>
        <v>GenericE&amp;DtemplateCIandGOA</v>
      </c>
      <c r="B2817">
        <v>39</v>
      </c>
      <c r="C2817">
        <v>8</v>
      </c>
      <c r="D2817" s="649">
        <f ca="1">IF(E2817=4,INDEX(crude_exp_dist,MATCH(B2817,'Crude Exp Dist'!$B$6:$B$78,0),MATCH(C2817,'Crude Exp Dist'!$AD$2:$BC$2,0))*INDEX(crude_exp_by_year,MATCH(B2817,'Data Export'!$B$6:$B$78,0),1),IF(E2817=5,INDEX(ref_exp_dist,MATCH(B2817,'Refined Petro Exp Dist'!$B$6:$B$78,0),MATCH(C2817,'Refined Petro Exp Dist'!$AD$2:$BC$2,0))*INDEX(ref_exp_by_year,MATCH(B2817,'Data Export'!$B$6:$B$78,0),1)))</f>
        <v>0</v>
      </c>
      <c r="E2817">
        <v>5</v>
      </c>
      <c r="F2817" t="s">
        <v>197</v>
      </c>
    </row>
    <row r="2818" spans="1:6">
      <c r="A2818" t="str">
        <f t="shared" ref="A2818:A2881" si="44">scenario_name</f>
        <v>GenericE&amp;DtemplateCIandGOA</v>
      </c>
      <c r="B2818">
        <v>39</v>
      </c>
      <c r="C2818">
        <v>9</v>
      </c>
      <c r="D2818" s="649">
        <f ca="1">IF(E2818=4,INDEX(crude_exp_dist,MATCH(B2818,'Crude Exp Dist'!$B$6:$B$78,0),MATCH(C2818,'Crude Exp Dist'!$AD$2:$BC$2,0))*INDEX(crude_exp_by_year,MATCH(B2818,'Data Export'!$B$6:$B$78,0),1),IF(E2818=5,INDEX(ref_exp_dist,MATCH(B2818,'Refined Petro Exp Dist'!$B$6:$B$78,0),MATCH(C2818,'Refined Petro Exp Dist'!$AD$2:$BC$2,0))*INDEX(ref_exp_by_year,MATCH(B2818,'Data Export'!$B$6:$B$78,0),1)))</f>
        <v>0</v>
      </c>
      <c r="E2818">
        <v>5</v>
      </c>
      <c r="F2818" t="s">
        <v>199</v>
      </c>
    </row>
    <row r="2819" spans="1:6">
      <c r="A2819" t="str">
        <f t="shared" si="44"/>
        <v>GenericE&amp;DtemplateCIandGOA</v>
      </c>
      <c r="B2819">
        <v>39</v>
      </c>
      <c r="C2819">
        <v>10</v>
      </c>
      <c r="D2819" s="649">
        <f ca="1">IF(E2819=4,INDEX(crude_exp_dist,MATCH(B2819,'Crude Exp Dist'!$B$6:$B$78,0),MATCH(C2819,'Crude Exp Dist'!$AD$2:$BC$2,0))*INDEX(crude_exp_by_year,MATCH(B2819,'Data Export'!$B$6:$B$78,0),1),IF(E2819=5,INDEX(ref_exp_dist,MATCH(B2819,'Refined Petro Exp Dist'!$B$6:$B$78,0),MATCH(C2819,'Refined Petro Exp Dist'!$AD$2:$BC$2,0))*INDEX(ref_exp_by_year,MATCH(B2819,'Data Export'!$B$6:$B$78,0),1)))</f>
        <v>0</v>
      </c>
      <c r="E2819">
        <v>5</v>
      </c>
      <c r="F2819" t="s">
        <v>201</v>
      </c>
    </row>
    <row r="2820" spans="1:6">
      <c r="A2820" t="str">
        <f t="shared" si="44"/>
        <v>GenericE&amp;DtemplateCIandGOA</v>
      </c>
      <c r="B2820">
        <v>39</v>
      </c>
      <c r="C2820">
        <v>11</v>
      </c>
      <c r="D2820" s="649">
        <f ca="1">IF(E2820=4,INDEX(crude_exp_dist,MATCH(B2820,'Crude Exp Dist'!$B$6:$B$78,0),MATCH(C2820,'Crude Exp Dist'!$AD$2:$BC$2,0))*INDEX(crude_exp_by_year,MATCH(B2820,'Data Export'!$B$6:$B$78,0),1),IF(E2820=5,INDEX(ref_exp_dist,MATCH(B2820,'Refined Petro Exp Dist'!$B$6:$B$78,0),MATCH(C2820,'Refined Petro Exp Dist'!$AD$2:$BC$2,0))*INDEX(ref_exp_by_year,MATCH(B2820,'Data Export'!$B$6:$B$78,0),1)))</f>
        <v>0</v>
      </c>
      <c r="E2820">
        <v>5</v>
      </c>
      <c r="F2820" t="s">
        <v>921</v>
      </c>
    </row>
    <row r="2821" spans="1:6">
      <c r="A2821" t="str">
        <f t="shared" si="44"/>
        <v>GenericE&amp;DtemplateCIandGOA</v>
      </c>
      <c r="B2821">
        <v>39</v>
      </c>
      <c r="C2821">
        <v>12</v>
      </c>
      <c r="D2821" s="649">
        <f ca="1">IF(E2821=4,INDEX(crude_exp_dist,MATCH(B2821,'Crude Exp Dist'!$B$6:$B$78,0),MATCH(C2821,'Crude Exp Dist'!$AD$2:$BC$2,0))*INDEX(crude_exp_by_year,MATCH(B2821,'Data Export'!$B$6:$B$78,0),1),IF(E2821=5,INDEX(ref_exp_dist,MATCH(B2821,'Refined Petro Exp Dist'!$B$6:$B$78,0),MATCH(C2821,'Refined Petro Exp Dist'!$AD$2:$BC$2,0))*INDEX(ref_exp_by_year,MATCH(B2821,'Data Export'!$B$6:$B$78,0),1)))</f>
        <v>0</v>
      </c>
      <c r="E2821">
        <v>5</v>
      </c>
      <c r="F2821" t="s">
        <v>208</v>
      </c>
    </row>
    <row r="2822" spans="1:6">
      <c r="A2822" t="str">
        <f t="shared" si="44"/>
        <v>GenericE&amp;DtemplateCIandGOA</v>
      </c>
      <c r="B2822">
        <v>39</v>
      </c>
      <c r="C2822">
        <v>13</v>
      </c>
      <c r="D2822" s="649">
        <f ca="1">IF(E2822=4,INDEX(crude_exp_dist,MATCH(B2822,'Crude Exp Dist'!$B$6:$B$78,0),MATCH(C2822,'Crude Exp Dist'!$AD$2:$BC$2,0))*INDEX(crude_exp_by_year,MATCH(B2822,'Data Export'!$B$6:$B$78,0),1),IF(E2822=5,INDEX(ref_exp_dist,MATCH(B2822,'Refined Petro Exp Dist'!$B$6:$B$78,0),MATCH(C2822,'Refined Petro Exp Dist'!$AD$2:$BC$2,0))*INDEX(ref_exp_by_year,MATCH(B2822,'Data Export'!$B$6:$B$78,0),1)))</f>
        <v>0</v>
      </c>
      <c r="E2822">
        <v>5</v>
      </c>
      <c r="F2822" t="s">
        <v>211</v>
      </c>
    </row>
    <row r="2823" spans="1:6">
      <c r="A2823" t="str">
        <f t="shared" si="44"/>
        <v>GenericE&amp;DtemplateCIandGOA</v>
      </c>
      <c r="B2823">
        <v>39</v>
      </c>
      <c r="C2823">
        <v>14</v>
      </c>
      <c r="D2823" s="649">
        <f ca="1">IF(E2823=4,INDEX(crude_exp_dist,MATCH(B2823,'Crude Exp Dist'!$B$6:$B$78,0),MATCH(C2823,'Crude Exp Dist'!$AD$2:$BC$2,0))*INDEX(crude_exp_by_year,MATCH(B2823,'Data Export'!$B$6:$B$78,0),1),IF(E2823=5,INDEX(ref_exp_dist,MATCH(B2823,'Refined Petro Exp Dist'!$B$6:$B$78,0),MATCH(C2823,'Refined Petro Exp Dist'!$AD$2:$BC$2,0))*INDEX(ref_exp_by_year,MATCH(B2823,'Data Export'!$B$6:$B$78,0),1)))</f>
        <v>0</v>
      </c>
      <c r="E2823">
        <v>5</v>
      </c>
      <c r="F2823" t="s">
        <v>213</v>
      </c>
    </row>
    <row r="2824" spans="1:6">
      <c r="A2824" t="str">
        <f t="shared" si="44"/>
        <v>GenericE&amp;DtemplateCIandGOA</v>
      </c>
      <c r="B2824">
        <v>39</v>
      </c>
      <c r="C2824">
        <v>15</v>
      </c>
      <c r="D2824" s="649">
        <f ca="1">IF(E2824=4,INDEX(crude_exp_dist,MATCH(B2824,'Crude Exp Dist'!$B$6:$B$78,0),MATCH(C2824,'Crude Exp Dist'!$AD$2:$BC$2,0))*INDEX(crude_exp_by_year,MATCH(B2824,'Data Export'!$B$6:$B$78,0),1),IF(E2824=5,INDEX(ref_exp_dist,MATCH(B2824,'Refined Petro Exp Dist'!$B$6:$B$78,0),MATCH(C2824,'Refined Petro Exp Dist'!$AD$2:$BC$2,0))*INDEX(ref_exp_by_year,MATCH(B2824,'Data Export'!$B$6:$B$78,0),1)))</f>
        <v>0</v>
      </c>
      <c r="E2824">
        <v>5</v>
      </c>
      <c r="F2824" t="s">
        <v>215</v>
      </c>
    </row>
    <row r="2825" spans="1:6">
      <c r="A2825" t="str">
        <f t="shared" si="44"/>
        <v>GenericE&amp;DtemplateCIandGOA</v>
      </c>
      <c r="B2825">
        <v>39</v>
      </c>
      <c r="C2825">
        <v>16</v>
      </c>
      <c r="D2825" s="649">
        <f ca="1">IF(E2825=4,INDEX(crude_exp_dist,MATCH(B2825,'Crude Exp Dist'!$B$6:$B$78,0),MATCH(C2825,'Crude Exp Dist'!$AD$2:$BC$2,0))*INDEX(crude_exp_by_year,MATCH(B2825,'Data Export'!$B$6:$B$78,0),1),IF(E2825=5,INDEX(ref_exp_dist,MATCH(B2825,'Refined Petro Exp Dist'!$B$6:$B$78,0),MATCH(C2825,'Refined Petro Exp Dist'!$AD$2:$BC$2,0))*INDEX(ref_exp_by_year,MATCH(B2825,'Data Export'!$B$6:$B$78,0),1)))</f>
        <v>0</v>
      </c>
      <c r="E2825">
        <v>5</v>
      </c>
      <c r="F2825" t="s">
        <v>219</v>
      </c>
    </row>
    <row r="2826" spans="1:6">
      <c r="A2826" t="str">
        <f t="shared" si="44"/>
        <v>GenericE&amp;DtemplateCIandGOA</v>
      </c>
      <c r="B2826">
        <v>39</v>
      </c>
      <c r="C2826">
        <v>17</v>
      </c>
      <c r="D2826" s="649">
        <f ca="1">IF(E2826=4,INDEX(crude_exp_dist,MATCH(B2826,'Crude Exp Dist'!$B$6:$B$78,0),MATCH(C2826,'Crude Exp Dist'!$AD$2:$BC$2,0))*INDEX(crude_exp_by_year,MATCH(B2826,'Data Export'!$B$6:$B$78,0),1),IF(E2826=5,INDEX(ref_exp_dist,MATCH(B2826,'Refined Petro Exp Dist'!$B$6:$B$78,0),MATCH(C2826,'Refined Petro Exp Dist'!$AD$2:$BC$2,0))*INDEX(ref_exp_by_year,MATCH(B2826,'Data Export'!$B$6:$B$78,0),1)))</f>
        <v>0</v>
      </c>
      <c r="E2826">
        <v>5</v>
      </c>
      <c r="F2826" t="s">
        <v>222</v>
      </c>
    </row>
    <row r="2827" spans="1:6">
      <c r="A2827" t="str">
        <f t="shared" si="44"/>
        <v>GenericE&amp;DtemplateCIandGOA</v>
      </c>
      <c r="B2827">
        <v>39</v>
      </c>
      <c r="C2827">
        <v>18</v>
      </c>
      <c r="D2827" s="649">
        <f ca="1">IF(E2827=4,INDEX(crude_exp_dist,MATCH(B2827,'Crude Exp Dist'!$B$6:$B$78,0),MATCH(C2827,'Crude Exp Dist'!$AD$2:$BC$2,0))*INDEX(crude_exp_by_year,MATCH(B2827,'Data Export'!$B$6:$B$78,0),1),IF(E2827=5,INDEX(ref_exp_dist,MATCH(B2827,'Refined Petro Exp Dist'!$B$6:$B$78,0),MATCH(C2827,'Refined Petro Exp Dist'!$AD$2:$BC$2,0))*INDEX(ref_exp_by_year,MATCH(B2827,'Data Export'!$B$6:$B$78,0),1)))</f>
        <v>0</v>
      </c>
      <c r="E2827">
        <v>5</v>
      </c>
      <c r="F2827" t="s">
        <v>224</v>
      </c>
    </row>
    <row r="2828" spans="1:6">
      <c r="A2828" t="str">
        <f t="shared" si="44"/>
        <v>GenericE&amp;DtemplateCIandGOA</v>
      </c>
      <c r="B2828">
        <v>39</v>
      </c>
      <c r="C2828">
        <v>19</v>
      </c>
      <c r="D2828" s="649">
        <f ca="1">IF(E2828=4,INDEX(crude_exp_dist,MATCH(B2828,'Crude Exp Dist'!$B$6:$B$78,0),MATCH(C2828,'Crude Exp Dist'!$AD$2:$BC$2,0))*INDEX(crude_exp_by_year,MATCH(B2828,'Data Export'!$B$6:$B$78,0),1),IF(E2828=5,INDEX(ref_exp_dist,MATCH(B2828,'Refined Petro Exp Dist'!$B$6:$B$78,0),MATCH(C2828,'Refined Petro Exp Dist'!$AD$2:$BC$2,0))*INDEX(ref_exp_by_year,MATCH(B2828,'Data Export'!$B$6:$B$78,0),1)))</f>
        <v>0</v>
      </c>
      <c r="E2828">
        <v>5</v>
      </c>
      <c r="F2828" t="s">
        <v>228</v>
      </c>
    </row>
    <row r="2829" spans="1:6">
      <c r="A2829" t="str">
        <f t="shared" si="44"/>
        <v>GenericE&amp;DtemplateCIandGOA</v>
      </c>
      <c r="B2829">
        <v>39</v>
      </c>
      <c r="C2829">
        <v>20</v>
      </c>
      <c r="D2829" s="649">
        <f ca="1">IF(E2829=4,INDEX(crude_exp_dist,MATCH(B2829,'Crude Exp Dist'!$B$6:$B$78,0),MATCH(C2829,'Crude Exp Dist'!$AD$2:$BC$2,0))*INDEX(crude_exp_by_year,MATCH(B2829,'Data Export'!$B$6:$B$78,0),1),IF(E2829=5,INDEX(ref_exp_dist,MATCH(B2829,'Refined Petro Exp Dist'!$B$6:$B$78,0),MATCH(C2829,'Refined Petro Exp Dist'!$AD$2:$BC$2,0))*INDEX(ref_exp_by_year,MATCH(B2829,'Data Export'!$B$6:$B$78,0),1)))</f>
        <v>0</v>
      </c>
      <c r="E2829">
        <v>5</v>
      </c>
      <c r="F2829" t="s">
        <v>231</v>
      </c>
    </row>
    <row r="2830" spans="1:6">
      <c r="A2830" t="str">
        <f t="shared" si="44"/>
        <v>GenericE&amp;DtemplateCIandGOA</v>
      </c>
      <c r="B2830">
        <v>39</v>
      </c>
      <c r="C2830">
        <v>21</v>
      </c>
      <c r="D2830" s="649">
        <f ca="1">IF(E2830=4,INDEX(crude_exp_dist,MATCH(B2830,'Crude Exp Dist'!$B$6:$B$78,0),MATCH(C2830,'Crude Exp Dist'!$AD$2:$BC$2,0))*INDEX(crude_exp_by_year,MATCH(B2830,'Data Export'!$B$6:$B$78,0),1),IF(E2830=5,INDEX(ref_exp_dist,MATCH(B2830,'Refined Petro Exp Dist'!$B$6:$B$78,0),MATCH(C2830,'Refined Petro Exp Dist'!$AD$2:$BC$2,0))*INDEX(ref_exp_by_year,MATCH(B2830,'Data Export'!$B$6:$B$78,0),1)))</f>
        <v>0</v>
      </c>
      <c r="E2830">
        <v>5</v>
      </c>
      <c r="F2830" t="s">
        <v>232</v>
      </c>
    </row>
    <row r="2831" spans="1:6">
      <c r="A2831" t="str">
        <f t="shared" si="44"/>
        <v>GenericE&amp;DtemplateCIandGOA</v>
      </c>
      <c r="B2831">
        <v>39</v>
      </c>
      <c r="C2831">
        <v>22</v>
      </c>
      <c r="D2831" s="649">
        <f ca="1">IF(E2831=4,INDEX(crude_exp_dist,MATCH(B2831,'Crude Exp Dist'!$B$6:$B$78,0),MATCH(C2831,'Crude Exp Dist'!$AD$2:$BC$2,0))*INDEX(crude_exp_by_year,MATCH(B2831,'Data Export'!$B$6:$B$78,0),1),IF(E2831=5,INDEX(ref_exp_dist,MATCH(B2831,'Refined Petro Exp Dist'!$B$6:$B$78,0),MATCH(C2831,'Refined Petro Exp Dist'!$AD$2:$BC$2,0))*INDEX(ref_exp_by_year,MATCH(B2831,'Data Export'!$B$6:$B$78,0),1)))</f>
        <v>0</v>
      </c>
      <c r="E2831">
        <v>5</v>
      </c>
      <c r="F2831" t="s">
        <v>235</v>
      </c>
    </row>
    <row r="2832" spans="1:6">
      <c r="A2832" t="str">
        <f t="shared" si="44"/>
        <v>GenericE&amp;DtemplateCIandGOA</v>
      </c>
      <c r="B2832">
        <v>39</v>
      </c>
      <c r="C2832">
        <v>23</v>
      </c>
      <c r="D2832" s="649">
        <f ca="1">IF(E2832=4,INDEX(crude_exp_dist,MATCH(B2832,'Crude Exp Dist'!$B$6:$B$78,0),MATCH(C2832,'Crude Exp Dist'!$AD$2:$BC$2,0))*INDEX(crude_exp_by_year,MATCH(B2832,'Data Export'!$B$6:$B$78,0),1),IF(E2832=5,INDEX(ref_exp_dist,MATCH(B2832,'Refined Petro Exp Dist'!$B$6:$B$78,0),MATCH(C2832,'Refined Petro Exp Dist'!$AD$2:$BC$2,0))*INDEX(ref_exp_by_year,MATCH(B2832,'Data Export'!$B$6:$B$78,0),1)))</f>
        <v>0</v>
      </c>
      <c r="E2832">
        <v>5</v>
      </c>
      <c r="F2832" t="s">
        <v>237</v>
      </c>
    </row>
    <row r="2833" spans="1:6">
      <c r="A2833" t="str">
        <f t="shared" si="44"/>
        <v>GenericE&amp;DtemplateCIandGOA</v>
      </c>
      <c r="B2833">
        <v>39</v>
      </c>
      <c r="C2833">
        <v>24</v>
      </c>
      <c r="D2833" s="649">
        <f ca="1">IF(E2833=4,INDEX(crude_exp_dist,MATCH(B2833,'Crude Exp Dist'!$B$6:$B$78,0),MATCH(C2833,'Crude Exp Dist'!$AD$2:$BC$2,0))*INDEX(crude_exp_by_year,MATCH(B2833,'Data Export'!$B$6:$B$78,0),1),IF(E2833=5,INDEX(ref_exp_dist,MATCH(B2833,'Refined Petro Exp Dist'!$B$6:$B$78,0),MATCH(C2833,'Refined Petro Exp Dist'!$AD$2:$BC$2,0))*INDEX(ref_exp_by_year,MATCH(B2833,'Data Export'!$B$6:$B$78,0),1)))</f>
        <v>0</v>
      </c>
      <c r="E2833">
        <v>5</v>
      </c>
      <c r="F2833" t="s">
        <v>239</v>
      </c>
    </row>
    <row r="2834" spans="1:6">
      <c r="A2834" t="str">
        <f t="shared" si="44"/>
        <v>GenericE&amp;DtemplateCIandGOA</v>
      </c>
      <c r="B2834">
        <v>39</v>
      </c>
      <c r="C2834">
        <v>25</v>
      </c>
      <c r="D2834" s="649">
        <f ca="1">IF(E2834=4,INDEX(crude_exp_dist,MATCH(B2834,'Crude Exp Dist'!$B$6:$B$78,0),MATCH(C2834,'Crude Exp Dist'!$AD$2:$BC$2,0))*INDEX(crude_exp_by_year,MATCH(B2834,'Data Export'!$B$6:$B$78,0),1),IF(E2834=5,INDEX(ref_exp_dist,MATCH(B2834,'Refined Petro Exp Dist'!$B$6:$B$78,0),MATCH(C2834,'Refined Petro Exp Dist'!$AD$2:$BC$2,0))*INDEX(ref_exp_by_year,MATCH(B2834,'Data Export'!$B$6:$B$78,0),1)))</f>
        <v>0</v>
      </c>
      <c r="E2834">
        <v>5</v>
      </c>
      <c r="F2834" t="s">
        <v>242</v>
      </c>
    </row>
    <row r="2835" spans="1:6">
      <c r="A2835" t="str">
        <f t="shared" si="44"/>
        <v>GenericE&amp;DtemplateCIandGOA</v>
      </c>
      <c r="B2835">
        <v>39</v>
      </c>
      <c r="C2835">
        <v>26</v>
      </c>
      <c r="D2835" s="649">
        <f ca="1">IF(E2835=4,INDEX(crude_exp_dist,MATCH(B2835,'Crude Exp Dist'!$B$6:$B$78,0),MATCH(C2835,'Crude Exp Dist'!$AD$2:$BC$2,0))*INDEX(crude_exp_by_year,MATCH(B2835,'Data Export'!$B$6:$B$78,0),1),IF(E2835=5,INDEX(ref_exp_dist,MATCH(B2835,'Refined Petro Exp Dist'!$B$6:$B$78,0),MATCH(C2835,'Refined Petro Exp Dist'!$AD$2:$BC$2,0))*INDEX(ref_exp_by_year,MATCH(B2835,'Data Export'!$B$6:$B$78,0),1)))</f>
        <v>0</v>
      </c>
      <c r="E2835">
        <v>5</v>
      </c>
      <c r="F2835" t="s">
        <v>245</v>
      </c>
    </row>
    <row r="2836" spans="1:6">
      <c r="A2836" t="str">
        <f t="shared" si="44"/>
        <v>GenericE&amp;DtemplateCIandGOA</v>
      </c>
      <c r="B2836">
        <v>40</v>
      </c>
      <c r="C2836">
        <v>1</v>
      </c>
      <c r="D2836" s="649">
        <f ca="1">IF(E2836=4,INDEX(crude_exp_dist,MATCH(B2836,'Crude Exp Dist'!$B$6:$B$78,0),MATCH(C2836,'Crude Exp Dist'!$AD$2:$BC$2,0))*INDEX(crude_exp_by_year,MATCH(B2836,'Data Export'!$B$6:$B$78,0),1),IF(E2836=5,INDEX(ref_exp_dist,MATCH(B2836,'Refined Petro Exp Dist'!$B$6:$B$78,0),MATCH(C2836,'Refined Petro Exp Dist'!$AD$2:$BC$2,0))*INDEX(ref_exp_by_year,MATCH(B2836,'Data Export'!$B$6:$B$78,0),1)))</f>
        <v>0</v>
      </c>
      <c r="E2836">
        <v>5</v>
      </c>
      <c r="F2836" t="s">
        <v>158</v>
      </c>
    </row>
    <row r="2837" spans="1:6">
      <c r="A2837" t="str">
        <f t="shared" si="44"/>
        <v>GenericE&amp;DtemplateCIandGOA</v>
      </c>
      <c r="B2837">
        <v>40</v>
      </c>
      <c r="C2837">
        <v>2</v>
      </c>
      <c r="D2837" s="649">
        <f ca="1">IF(E2837=4,INDEX(crude_exp_dist,MATCH(B2837,'Crude Exp Dist'!$B$6:$B$78,0),MATCH(C2837,'Crude Exp Dist'!$AD$2:$BC$2,0))*INDEX(crude_exp_by_year,MATCH(B2837,'Data Export'!$B$6:$B$78,0),1),IF(E2837=5,INDEX(ref_exp_dist,MATCH(B2837,'Refined Petro Exp Dist'!$B$6:$B$78,0),MATCH(C2837,'Refined Petro Exp Dist'!$AD$2:$BC$2,0))*INDEX(ref_exp_by_year,MATCH(B2837,'Data Export'!$B$6:$B$78,0),1)))</f>
        <v>0</v>
      </c>
      <c r="E2837">
        <v>5</v>
      </c>
      <c r="F2837" t="s">
        <v>166</v>
      </c>
    </row>
    <row r="2838" spans="1:6">
      <c r="A2838" t="str">
        <f t="shared" si="44"/>
        <v>GenericE&amp;DtemplateCIandGOA</v>
      </c>
      <c r="B2838">
        <v>40</v>
      </c>
      <c r="C2838">
        <v>3</v>
      </c>
      <c r="D2838" s="649">
        <f ca="1">IF(E2838=4,INDEX(crude_exp_dist,MATCH(B2838,'Crude Exp Dist'!$B$6:$B$78,0),MATCH(C2838,'Crude Exp Dist'!$AD$2:$BC$2,0))*INDEX(crude_exp_by_year,MATCH(B2838,'Data Export'!$B$6:$B$78,0),1),IF(E2838=5,INDEX(ref_exp_dist,MATCH(B2838,'Refined Petro Exp Dist'!$B$6:$B$78,0),MATCH(C2838,'Refined Petro Exp Dist'!$AD$2:$BC$2,0))*INDEX(ref_exp_by_year,MATCH(B2838,'Data Export'!$B$6:$B$78,0),1)))</f>
        <v>0</v>
      </c>
      <c r="E2838">
        <v>5</v>
      </c>
      <c r="F2838" t="s">
        <v>171</v>
      </c>
    </row>
    <row r="2839" spans="1:6">
      <c r="A2839" t="str">
        <f t="shared" si="44"/>
        <v>GenericE&amp;DtemplateCIandGOA</v>
      </c>
      <c r="B2839">
        <v>40</v>
      </c>
      <c r="C2839">
        <v>4</v>
      </c>
      <c r="D2839" s="649">
        <f ca="1">IF(E2839=4,INDEX(crude_exp_dist,MATCH(B2839,'Crude Exp Dist'!$B$6:$B$78,0),MATCH(C2839,'Crude Exp Dist'!$AD$2:$BC$2,0))*INDEX(crude_exp_by_year,MATCH(B2839,'Data Export'!$B$6:$B$78,0),1),IF(E2839=5,INDEX(ref_exp_dist,MATCH(B2839,'Refined Petro Exp Dist'!$B$6:$B$78,0),MATCH(C2839,'Refined Petro Exp Dist'!$AD$2:$BC$2,0))*INDEX(ref_exp_by_year,MATCH(B2839,'Data Export'!$B$6:$B$78,0),1)))</f>
        <v>0</v>
      </c>
      <c r="E2839">
        <v>5</v>
      </c>
      <c r="F2839" t="s">
        <v>173</v>
      </c>
    </row>
    <row r="2840" spans="1:6">
      <c r="A2840" t="str">
        <f t="shared" si="44"/>
        <v>GenericE&amp;DtemplateCIandGOA</v>
      </c>
      <c r="B2840">
        <v>40</v>
      </c>
      <c r="C2840">
        <v>5</v>
      </c>
      <c r="D2840" s="649">
        <f ca="1">IF(E2840=4,INDEX(crude_exp_dist,MATCH(B2840,'Crude Exp Dist'!$B$6:$B$78,0),MATCH(C2840,'Crude Exp Dist'!$AD$2:$BC$2,0))*INDEX(crude_exp_by_year,MATCH(B2840,'Data Export'!$B$6:$B$78,0),1),IF(E2840=5,INDEX(ref_exp_dist,MATCH(B2840,'Refined Petro Exp Dist'!$B$6:$B$78,0),MATCH(C2840,'Refined Petro Exp Dist'!$AD$2:$BC$2,0))*INDEX(ref_exp_by_year,MATCH(B2840,'Data Export'!$B$6:$B$78,0),1)))</f>
        <v>0</v>
      </c>
      <c r="E2840">
        <v>5</v>
      </c>
      <c r="F2840" t="s">
        <v>180</v>
      </c>
    </row>
    <row r="2841" spans="1:6">
      <c r="A2841" t="str">
        <f t="shared" si="44"/>
        <v>GenericE&amp;DtemplateCIandGOA</v>
      </c>
      <c r="B2841">
        <v>40</v>
      </c>
      <c r="C2841">
        <v>6</v>
      </c>
      <c r="D2841" s="649">
        <f ca="1">IF(E2841=4,INDEX(crude_exp_dist,MATCH(B2841,'Crude Exp Dist'!$B$6:$B$78,0),MATCH(C2841,'Crude Exp Dist'!$AD$2:$BC$2,0))*INDEX(crude_exp_by_year,MATCH(B2841,'Data Export'!$B$6:$B$78,0),1),IF(E2841=5,INDEX(ref_exp_dist,MATCH(B2841,'Refined Petro Exp Dist'!$B$6:$B$78,0),MATCH(C2841,'Refined Petro Exp Dist'!$AD$2:$BC$2,0))*INDEX(ref_exp_by_year,MATCH(B2841,'Data Export'!$B$6:$B$78,0),1)))</f>
        <v>0</v>
      </c>
      <c r="E2841">
        <v>5</v>
      </c>
      <c r="F2841" t="s">
        <v>186</v>
      </c>
    </row>
    <row r="2842" spans="1:6">
      <c r="A2842" t="str">
        <f t="shared" si="44"/>
        <v>GenericE&amp;DtemplateCIandGOA</v>
      </c>
      <c r="B2842">
        <v>40</v>
      </c>
      <c r="C2842">
        <v>7</v>
      </c>
      <c r="D2842" s="649">
        <f ca="1">IF(E2842=4,INDEX(crude_exp_dist,MATCH(B2842,'Crude Exp Dist'!$B$6:$B$78,0),MATCH(C2842,'Crude Exp Dist'!$AD$2:$BC$2,0))*INDEX(crude_exp_by_year,MATCH(B2842,'Data Export'!$B$6:$B$78,0),1),IF(E2842=5,INDEX(ref_exp_dist,MATCH(B2842,'Refined Petro Exp Dist'!$B$6:$B$78,0),MATCH(C2842,'Refined Petro Exp Dist'!$AD$2:$BC$2,0))*INDEX(ref_exp_by_year,MATCH(B2842,'Data Export'!$B$6:$B$78,0),1)))</f>
        <v>0</v>
      </c>
      <c r="E2842">
        <v>5</v>
      </c>
      <c r="F2842" t="s">
        <v>191</v>
      </c>
    </row>
    <row r="2843" spans="1:6">
      <c r="A2843" t="str">
        <f t="shared" si="44"/>
        <v>GenericE&amp;DtemplateCIandGOA</v>
      </c>
      <c r="B2843">
        <v>40</v>
      </c>
      <c r="C2843">
        <v>8</v>
      </c>
      <c r="D2843" s="649">
        <f ca="1">IF(E2843=4,INDEX(crude_exp_dist,MATCH(B2843,'Crude Exp Dist'!$B$6:$B$78,0),MATCH(C2843,'Crude Exp Dist'!$AD$2:$BC$2,0))*INDEX(crude_exp_by_year,MATCH(B2843,'Data Export'!$B$6:$B$78,0),1),IF(E2843=5,INDEX(ref_exp_dist,MATCH(B2843,'Refined Petro Exp Dist'!$B$6:$B$78,0),MATCH(C2843,'Refined Petro Exp Dist'!$AD$2:$BC$2,0))*INDEX(ref_exp_by_year,MATCH(B2843,'Data Export'!$B$6:$B$78,0),1)))</f>
        <v>0</v>
      </c>
      <c r="E2843">
        <v>5</v>
      </c>
      <c r="F2843" t="s">
        <v>197</v>
      </c>
    </row>
    <row r="2844" spans="1:6">
      <c r="A2844" t="str">
        <f t="shared" si="44"/>
        <v>GenericE&amp;DtemplateCIandGOA</v>
      </c>
      <c r="B2844">
        <v>40</v>
      </c>
      <c r="C2844">
        <v>9</v>
      </c>
      <c r="D2844" s="649">
        <f ca="1">IF(E2844=4,INDEX(crude_exp_dist,MATCH(B2844,'Crude Exp Dist'!$B$6:$B$78,0),MATCH(C2844,'Crude Exp Dist'!$AD$2:$BC$2,0))*INDEX(crude_exp_by_year,MATCH(B2844,'Data Export'!$B$6:$B$78,0),1),IF(E2844=5,INDEX(ref_exp_dist,MATCH(B2844,'Refined Petro Exp Dist'!$B$6:$B$78,0),MATCH(C2844,'Refined Petro Exp Dist'!$AD$2:$BC$2,0))*INDEX(ref_exp_by_year,MATCH(B2844,'Data Export'!$B$6:$B$78,0),1)))</f>
        <v>0</v>
      </c>
      <c r="E2844">
        <v>5</v>
      </c>
      <c r="F2844" t="s">
        <v>199</v>
      </c>
    </row>
    <row r="2845" spans="1:6">
      <c r="A2845" t="str">
        <f t="shared" si="44"/>
        <v>GenericE&amp;DtemplateCIandGOA</v>
      </c>
      <c r="B2845">
        <v>40</v>
      </c>
      <c r="C2845">
        <v>10</v>
      </c>
      <c r="D2845" s="649">
        <f ca="1">IF(E2845=4,INDEX(crude_exp_dist,MATCH(B2845,'Crude Exp Dist'!$B$6:$B$78,0),MATCH(C2845,'Crude Exp Dist'!$AD$2:$BC$2,0))*INDEX(crude_exp_by_year,MATCH(B2845,'Data Export'!$B$6:$B$78,0),1),IF(E2845=5,INDEX(ref_exp_dist,MATCH(B2845,'Refined Petro Exp Dist'!$B$6:$B$78,0),MATCH(C2845,'Refined Petro Exp Dist'!$AD$2:$BC$2,0))*INDEX(ref_exp_by_year,MATCH(B2845,'Data Export'!$B$6:$B$78,0),1)))</f>
        <v>0</v>
      </c>
      <c r="E2845">
        <v>5</v>
      </c>
      <c r="F2845" t="s">
        <v>201</v>
      </c>
    </row>
    <row r="2846" spans="1:6">
      <c r="A2846" t="str">
        <f t="shared" si="44"/>
        <v>GenericE&amp;DtemplateCIandGOA</v>
      </c>
      <c r="B2846">
        <v>40</v>
      </c>
      <c r="C2846">
        <v>11</v>
      </c>
      <c r="D2846" s="649">
        <f ca="1">IF(E2846=4,INDEX(crude_exp_dist,MATCH(B2846,'Crude Exp Dist'!$B$6:$B$78,0),MATCH(C2846,'Crude Exp Dist'!$AD$2:$BC$2,0))*INDEX(crude_exp_by_year,MATCH(B2846,'Data Export'!$B$6:$B$78,0),1),IF(E2846=5,INDEX(ref_exp_dist,MATCH(B2846,'Refined Petro Exp Dist'!$B$6:$B$78,0),MATCH(C2846,'Refined Petro Exp Dist'!$AD$2:$BC$2,0))*INDEX(ref_exp_by_year,MATCH(B2846,'Data Export'!$B$6:$B$78,0),1)))</f>
        <v>0</v>
      </c>
      <c r="E2846">
        <v>5</v>
      </c>
      <c r="F2846" t="s">
        <v>921</v>
      </c>
    </row>
    <row r="2847" spans="1:6">
      <c r="A2847" t="str">
        <f t="shared" si="44"/>
        <v>GenericE&amp;DtemplateCIandGOA</v>
      </c>
      <c r="B2847">
        <v>40</v>
      </c>
      <c r="C2847">
        <v>12</v>
      </c>
      <c r="D2847" s="649">
        <f ca="1">IF(E2847=4,INDEX(crude_exp_dist,MATCH(B2847,'Crude Exp Dist'!$B$6:$B$78,0),MATCH(C2847,'Crude Exp Dist'!$AD$2:$BC$2,0))*INDEX(crude_exp_by_year,MATCH(B2847,'Data Export'!$B$6:$B$78,0),1),IF(E2847=5,INDEX(ref_exp_dist,MATCH(B2847,'Refined Petro Exp Dist'!$B$6:$B$78,0),MATCH(C2847,'Refined Petro Exp Dist'!$AD$2:$BC$2,0))*INDEX(ref_exp_by_year,MATCH(B2847,'Data Export'!$B$6:$B$78,0),1)))</f>
        <v>0</v>
      </c>
      <c r="E2847">
        <v>5</v>
      </c>
      <c r="F2847" t="s">
        <v>208</v>
      </c>
    </row>
    <row r="2848" spans="1:6">
      <c r="A2848" t="str">
        <f t="shared" si="44"/>
        <v>GenericE&amp;DtemplateCIandGOA</v>
      </c>
      <c r="B2848">
        <v>40</v>
      </c>
      <c r="C2848">
        <v>13</v>
      </c>
      <c r="D2848" s="649">
        <f ca="1">IF(E2848=4,INDEX(crude_exp_dist,MATCH(B2848,'Crude Exp Dist'!$B$6:$B$78,0),MATCH(C2848,'Crude Exp Dist'!$AD$2:$BC$2,0))*INDEX(crude_exp_by_year,MATCH(B2848,'Data Export'!$B$6:$B$78,0),1),IF(E2848=5,INDEX(ref_exp_dist,MATCH(B2848,'Refined Petro Exp Dist'!$B$6:$B$78,0),MATCH(C2848,'Refined Petro Exp Dist'!$AD$2:$BC$2,0))*INDEX(ref_exp_by_year,MATCH(B2848,'Data Export'!$B$6:$B$78,0),1)))</f>
        <v>0</v>
      </c>
      <c r="E2848">
        <v>5</v>
      </c>
      <c r="F2848" t="s">
        <v>211</v>
      </c>
    </row>
    <row r="2849" spans="1:6">
      <c r="A2849" t="str">
        <f t="shared" si="44"/>
        <v>GenericE&amp;DtemplateCIandGOA</v>
      </c>
      <c r="B2849">
        <v>40</v>
      </c>
      <c r="C2849">
        <v>14</v>
      </c>
      <c r="D2849" s="649">
        <f ca="1">IF(E2849=4,INDEX(crude_exp_dist,MATCH(B2849,'Crude Exp Dist'!$B$6:$B$78,0),MATCH(C2849,'Crude Exp Dist'!$AD$2:$BC$2,0))*INDEX(crude_exp_by_year,MATCH(B2849,'Data Export'!$B$6:$B$78,0),1),IF(E2849=5,INDEX(ref_exp_dist,MATCH(B2849,'Refined Petro Exp Dist'!$B$6:$B$78,0),MATCH(C2849,'Refined Petro Exp Dist'!$AD$2:$BC$2,0))*INDEX(ref_exp_by_year,MATCH(B2849,'Data Export'!$B$6:$B$78,0),1)))</f>
        <v>0</v>
      </c>
      <c r="E2849">
        <v>5</v>
      </c>
      <c r="F2849" t="s">
        <v>213</v>
      </c>
    </row>
    <row r="2850" spans="1:6">
      <c r="A2850" t="str">
        <f t="shared" si="44"/>
        <v>GenericE&amp;DtemplateCIandGOA</v>
      </c>
      <c r="B2850">
        <v>40</v>
      </c>
      <c r="C2850">
        <v>15</v>
      </c>
      <c r="D2850" s="649">
        <f ca="1">IF(E2850=4,INDEX(crude_exp_dist,MATCH(B2850,'Crude Exp Dist'!$B$6:$B$78,0),MATCH(C2850,'Crude Exp Dist'!$AD$2:$BC$2,0))*INDEX(crude_exp_by_year,MATCH(B2850,'Data Export'!$B$6:$B$78,0),1),IF(E2850=5,INDEX(ref_exp_dist,MATCH(B2850,'Refined Petro Exp Dist'!$B$6:$B$78,0),MATCH(C2850,'Refined Petro Exp Dist'!$AD$2:$BC$2,0))*INDEX(ref_exp_by_year,MATCH(B2850,'Data Export'!$B$6:$B$78,0),1)))</f>
        <v>0</v>
      </c>
      <c r="E2850">
        <v>5</v>
      </c>
      <c r="F2850" t="s">
        <v>215</v>
      </c>
    </row>
    <row r="2851" spans="1:6">
      <c r="A2851" t="str">
        <f t="shared" si="44"/>
        <v>GenericE&amp;DtemplateCIandGOA</v>
      </c>
      <c r="B2851">
        <v>40</v>
      </c>
      <c r="C2851">
        <v>16</v>
      </c>
      <c r="D2851" s="649">
        <f ca="1">IF(E2851=4,INDEX(crude_exp_dist,MATCH(B2851,'Crude Exp Dist'!$B$6:$B$78,0),MATCH(C2851,'Crude Exp Dist'!$AD$2:$BC$2,0))*INDEX(crude_exp_by_year,MATCH(B2851,'Data Export'!$B$6:$B$78,0),1),IF(E2851=5,INDEX(ref_exp_dist,MATCH(B2851,'Refined Petro Exp Dist'!$B$6:$B$78,0),MATCH(C2851,'Refined Petro Exp Dist'!$AD$2:$BC$2,0))*INDEX(ref_exp_by_year,MATCH(B2851,'Data Export'!$B$6:$B$78,0),1)))</f>
        <v>0</v>
      </c>
      <c r="E2851">
        <v>5</v>
      </c>
      <c r="F2851" t="s">
        <v>219</v>
      </c>
    </row>
    <row r="2852" spans="1:6">
      <c r="A2852" t="str">
        <f t="shared" si="44"/>
        <v>GenericE&amp;DtemplateCIandGOA</v>
      </c>
      <c r="B2852">
        <v>40</v>
      </c>
      <c r="C2852">
        <v>17</v>
      </c>
      <c r="D2852" s="649">
        <f ca="1">IF(E2852=4,INDEX(crude_exp_dist,MATCH(B2852,'Crude Exp Dist'!$B$6:$B$78,0),MATCH(C2852,'Crude Exp Dist'!$AD$2:$BC$2,0))*INDEX(crude_exp_by_year,MATCH(B2852,'Data Export'!$B$6:$B$78,0),1),IF(E2852=5,INDEX(ref_exp_dist,MATCH(B2852,'Refined Petro Exp Dist'!$B$6:$B$78,0),MATCH(C2852,'Refined Petro Exp Dist'!$AD$2:$BC$2,0))*INDEX(ref_exp_by_year,MATCH(B2852,'Data Export'!$B$6:$B$78,0),1)))</f>
        <v>0</v>
      </c>
      <c r="E2852">
        <v>5</v>
      </c>
      <c r="F2852" t="s">
        <v>222</v>
      </c>
    </row>
    <row r="2853" spans="1:6">
      <c r="A2853" t="str">
        <f t="shared" si="44"/>
        <v>GenericE&amp;DtemplateCIandGOA</v>
      </c>
      <c r="B2853">
        <v>40</v>
      </c>
      <c r="C2853">
        <v>18</v>
      </c>
      <c r="D2853" s="649">
        <f ca="1">IF(E2853=4,INDEX(crude_exp_dist,MATCH(B2853,'Crude Exp Dist'!$B$6:$B$78,0),MATCH(C2853,'Crude Exp Dist'!$AD$2:$BC$2,0))*INDEX(crude_exp_by_year,MATCH(B2853,'Data Export'!$B$6:$B$78,0),1),IF(E2853=5,INDEX(ref_exp_dist,MATCH(B2853,'Refined Petro Exp Dist'!$B$6:$B$78,0),MATCH(C2853,'Refined Petro Exp Dist'!$AD$2:$BC$2,0))*INDEX(ref_exp_by_year,MATCH(B2853,'Data Export'!$B$6:$B$78,0),1)))</f>
        <v>0</v>
      </c>
      <c r="E2853">
        <v>5</v>
      </c>
      <c r="F2853" t="s">
        <v>224</v>
      </c>
    </row>
    <row r="2854" spans="1:6">
      <c r="A2854" t="str">
        <f t="shared" si="44"/>
        <v>GenericE&amp;DtemplateCIandGOA</v>
      </c>
      <c r="B2854">
        <v>40</v>
      </c>
      <c r="C2854">
        <v>19</v>
      </c>
      <c r="D2854" s="649">
        <f ca="1">IF(E2854=4,INDEX(crude_exp_dist,MATCH(B2854,'Crude Exp Dist'!$B$6:$B$78,0),MATCH(C2854,'Crude Exp Dist'!$AD$2:$BC$2,0))*INDEX(crude_exp_by_year,MATCH(B2854,'Data Export'!$B$6:$B$78,0),1),IF(E2854=5,INDEX(ref_exp_dist,MATCH(B2854,'Refined Petro Exp Dist'!$B$6:$B$78,0),MATCH(C2854,'Refined Petro Exp Dist'!$AD$2:$BC$2,0))*INDEX(ref_exp_by_year,MATCH(B2854,'Data Export'!$B$6:$B$78,0),1)))</f>
        <v>0</v>
      </c>
      <c r="E2854">
        <v>5</v>
      </c>
      <c r="F2854" t="s">
        <v>228</v>
      </c>
    </row>
    <row r="2855" spans="1:6">
      <c r="A2855" t="str">
        <f t="shared" si="44"/>
        <v>GenericE&amp;DtemplateCIandGOA</v>
      </c>
      <c r="B2855">
        <v>40</v>
      </c>
      <c r="C2855">
        <v>20</v>
      </c>
      <c r="D2855" s="649">
        <f ca="1">IF(E2855=4,INDEX(crude_exp_dist,MATCH(B2855,'Crude Exp Dist'!$B$6:$B$78,0),MATCH(C2855,'Crude Exp Dist'!$AD$2:$BC$2,0))*INDEX(crude_exp_by_year,MATCH(B2855,'Data Export'!$B$6:$B$78,0),1),IF(E2855=5,INDEX(ref_exp_dist,MATCH(B2855,'Refined Petro Exp Dist'!$B$6:$B$78,0),MATCH(C2855,'Refined Petro Exp Dist'!$AD$2:$BC$2,0))*INDEX(ref_exp_by_year,MATCH(B2855,'Data Export'!$B$6:$B$78,0),1)))</f>
        <v>0</v>
      </c>
      <c r="E2855">
        <v>5</v>
      </c>
      <c r="F2855" t="s">
        <v>231</v>
      </c>
    </row>
    <row r="2856" spans="1:6">
      <c r="A2856" t="str">
        <f t="shared" si="44"/>
        <v>GenericE&amp;DtemplateCIandGOA</v>
      </c>
      <c r="B2856">
        <v>40</v>
      </c>
      <c r="C2856">
        <v>21</v>
      </c>
      <c r="D2856" s="649">
        <f ca="1">IF(E2856=4,INDEX(crude_exp_dist,MATCH(B2856,'Crude Exp Dist'!$B$6:$B$78,0),MATCH(C2856,'Crude Exp Dist'!$AD$2:$BC$2,0))*INDEX(crude_exp_by_year,MATCH(B2856,'Data Export'!$B$6:$B$78,0),1),IF(E2856=5,INDEX(ref_exp_dist,MATCH(B2856,'Refined Petro Exp Dist'!$B$6:$B$78,0),MATCH(C2856,'Refined Petro Exp Dist'!$AD$2:$BC$2,0))*INDEX(ref_exp_by_year,MATCH(B2856,'Data Export'!$B$6:$B$78,0),1)))</f>
        <v>0</v>
      </c>
      <c r="E2856">
        <v>5</v>
      </c>
      <c r="F2856" t="s">
        <v>232</v>
      </c>
    </row>
    <row r="2857" spans="1:6">
      <c r="A2857" t="str">
        <f t="shared" si="44"/>
        <v>GenericE&amp;DtemplateCIandGOA</v>
      </c>
      <c r="B2857">
        <v>40</v>
      </c>
      <c r="C2857">
        <v>22</v>
      </c>
      <c r="D2857" s="649">
        <f ca="1">IF(E2857=4,INDEX(crude_exp_dist,MATCH(B2857,'Crude Exp Dist'!$B$6:$B$78,0),MATCH(C2857,'Crude Exp Dist'!$AD$2:$BC$2,0))*INDEX(crude_exp_by_year,MATCH(B2857,'Data Export'!$B$6:$B$78,0),1),IF(E2857=5,INDEX(ref_exp_dist,MATCH(B2857,'Refined Petro Exp Dist'!$B$6:$B$78,0),MATCH(C2857,'Refined Petro Exp Dist'!$AD$2:$BC$2,0))*INDEX(ref_exp_by_year,MATCH(B2857,'Data Export'!$B$6:$B$78,0),1)))</f>
        <v>0</v>
      </c>
      <c r="E2857">
        <v>5</v>
      </c>
      <c r="F2857" t="s">
        <v>235</v>
      </c>
    </row>
    <row r="2858" spans="1:6">
      <c r="A2858" t="str">
        <f t="shared" si="44"/>
        <v>GenericE&amp;DtemplateCIandGOA</v>
      </c>
      <c r="B2858">
        <v>40</v>
      </c>
      <c r="C2858">
        <v>23</v>
      </c>
      <c r="D2858" s="649">
        <f ca="1">IF(E2858=4,INDEX(crude_exp_dist,MATCH(B2858,'Crude Exp Dist'!$B$6:$B$78,0),MATCH(C2858,'Crude Exp Dist'!$AD$2:$BC$2,0))*INDEX(crude_exp_by_year,MATCH(B2858,'Data Export'!$B$6:$B$78,0),1),IF(E2858=5,INDEX(ref_exp_dist,MATCH(B2858,'Refined Petro Exp Dist'!$B$6:$B$78,0),MATCH(C2858,'Refined Petro Exp Dist'!$AD$2:$BC$2,0))*INDEX(ref_exp_by_year,MATCH(B2858,'Data Export'!$B$6:$B$78,0),1)))</f>
        <v>0</v>
      </c>
      <c r="E2858">
        <v>5</v>
      </c>
      <c r="F2858" t="s">
        <v>237</v>
      </c>
    </row>
    <row r="2859" spans="1:6">
      <c r="A2859" t="str">
        <f t="shared" si="44"/>
        <v>GenericE&amp;DtemplateCIandGOA</v>
      </c>
      <c r="B2859">
        <v>40</v>
      </c>
      <c r="C2859">
        <v>24</v>
      </c>
      <c r="D2859" s="649">
        <f ca="1">IF(E2859=4,INDEX(crude_exp_dist,MATCH(B2859,'Crude Exp Dist'!$B$6:$B$78,0),MATCH(C2859,'Crude Exp Dist'!$AD$2:$BC$2,0))*INDEX(crude_exp_by_year,MATCH(B2859,'Data Export'!$B$6:$B$78,0),1),IF(E2859=5,INDEX(ref_exp_dist,MATCH(B2859,'Refined Petro Exp Dist'!$B$6:$B$78,0),MATCH(C2859,'Refined Petro Exp Dist'!$AD$2:$BC$2,0))*INDEX(ref_exp_by_year,MATCH(B2859,'Data Export'!$B$6:$B$78,0),1)))</f>
        <v>0</v>
      </c>
      <c r="E2859">
        <v>5</v>
      </c>
      <c r="F2859" t="s">
        <v>239</v>
      </c>
    </row>
    <row r="2860" spans="1:6">
      <c r="A2860" t="str">
        <f t="shared" si="44"/>
        <v>GenericE&amp;DtemplateCIandGOA</v>
      </c>
      <c r="B2860">
        <v>40</v>
      </c>
      <c r="C2860">
        <v>25</v>
      </c>
      <c r="D2860" s="649">
        <f ca="1">IF(E2860=4,INDEX(crude_exp_dist,MATCH(B2860,'Crude Exp Dist'!$B$6:$B$78,0),MATCH(C2860,'Crude Exp Dist'!$AD$2:$BC$2,0))*INDEX(crude_exp_by_year,MATCH(B2860,'Data Export'!$B$6:$B$78,0),1),IF(E2860=5,INDEX(ref_exp_dist,MATCH(B2860,'Refined Petro Exp Dist'!$B$6:$B$78,0),MATCH(C2860,'Refined Petro Exp Dist'!$AD$2:$BC$2,0))*INDEX(ref_exp_by_year,MATCH(B2860,'Data Export'!$B$6:$B$78,0),1)))</f>
        <v>0</v>
      </c>
      <c r="E2860">
        <v>5</v>
      </c>
      <c r="F2860" t="s">
        <v>242</v>
      </c>
    </row>
    <row r="2861" spans="1:6">
      <c r="A2861" t="str">
        <f t="shared" si="44"/>
        <v>GenericE&amp;DtemplateCIandGOA</v>
      </c>
      <c r="B2861">
        <v>40</v>
      </c>
      <c r="C2861">
        <v>26</v>
      </c>
      <c r="D2861" s="649">
        <f ca="1">IF(E2861=4,INDEX(crude_exp_dist,MATCH(B2861,'Crude Exp Dist'!$B$6:$B$78,0),MATCH(C2861,'Crude Exp Dist'!$AD$2:$BC$2,0))*INDEX(crude_exp_by_year,MATCH(B2861,'Data Export'!$B$6:$B$78,0),1),IF(E2861=5,INDEX(ref_exp_dist,MATCH(B2861,'Refined Petro Exp Dist'!$B$6:$B$78,0),MATCH(C2861,'Refined Petro Exp Dist'!$AD$2:$BC$2,0))*INDEX(ref_exp_by_year,MATCH(B2861,'Data Export'!$B$6:$B$78,0),1)))</f>
        <v>0</v>
      </c>
      <c r="E2861">
        <v>5</v>
      </c>
      <c r="F2861" t="s">
        <v>245</v>
      </c>
    </row>
    <row r="2862" spans="1:6">
      <c r="A2862" t="str">
        <f t="shared" si="44"/>
        <v>GenericE&amp;DtemplateCIandGOA</v>
      </c>
      <c r="B2862">
        <v>41</v>
      </c>
      <c r="C2862">
        <v>1</v>
      </c>
      <c r="D2862" s="649">
        <f ca="1">IF(E2862=4,INDEX(crude_exp_dist,MATCH(B2862,'Crude Exp Dist'!$B$6:$B$78,0),MATCH(C2862,'Crude Exp Dist'!$AD$2:$BC$2,0))*INDEX(crude_exp_by_year,MATCH(B2862,'Data Export'!$B$6:$B$78,0),1),IF(E2862=5,INDEX(ref_exp_dist,MATCH(B2862,'Refined Petro Exp Dist'!$B$6:$B$78,0),MATCH(C2862,'Refined Petro Exp Dist'!$AD$2:$BC$2,0))*INDEX(ref_exp_by_year,MATCH(B2862,'Data Export'!$B$6:$B$78,0),1)))</f>
        <v>0</v>
      </c>
      <c r="E2862">
        <v>5</v>
      </c>
      <c r="F2862" t="s">
        <v>158</v>
      </c>
    </row>
    <row r="2863" spans="1:6">
      <c r="A2863" t="str">
        <f t="shared" si="44"/>
        <v>GenericE&amp;DtemplateCIandGOA</v>
      </c>
      <c r="B2863">
        <v>41</v>
      </c>
      <c r="C2863">
        <v>2</v>
      </c>
      <c r="D2863" s="649">
        <f ca="1">IF(E2863=4,INDEX(crude_exp_dist,MATCH(B2863,'Crude Exp Dist'!$B$6:$B$78,0),MATCH(C2863,'Crude Exp Dist'!$AD$2:$BC$2,0))*INDEX(crude_exp_by_year,MATCH(B2863,'Data Export'!$B$6:$B$78,0),1),IF(E2863=5,INDEX(ref_exp_dist,MATCH(B2863,'Refined Petro Exp Dist'!$B$6:$B$78,0),MATCH(C2863,'Refined Petro Exp Dist'!$AD$2:$BC$2,0))*INDEX(ref_exp_by_year,MATCH(B2863,'Data Export'!$B$6:$B$78,0),1)))</f>
        <v>0</v>
      </c>
      <c r="E2863">
        <v>5</v>
      </c>
      <c r="F2863" t="s">
        <v>166</v>
      </c>
    </row>
    <row r="2864" spans="1:6">
      <c r="A2864" t="str">
        <f t="shared" si="44"/>
        <v>GenericE&amp;DtemplateCIandGOA</v>
      </c>
      <c r="B2864">
        <v>41</v>
      </c>
      <c r="C2864">
        <v>3</v>
      </c>
      <c r="D2864" s="649">
        <f ca="1">IF(E2864=4,INDEX(crude_exp_dist,MATCH(B2864,'Crude Exp Dist'!$B$6:$B$78,0),MATCH(C2864,'Crude Exp Dist'!$AD$2:$BC$2,0))*INDEX(crude_exp_by_year,MATCH(B2864,'Data Export'!$B$6:$B$78,0),1),IF(E2864=5,INDEX(ref_exp_dist,MATCH(B2864,'Refined Petro Exp Dist'!$B$6:$B$78,0),MATCH(C2864,'Refined Petro Exp Dist'!$AD$2:$BC$2,0))*INDEX(ref_exp_by_year,MATCH(B2864,'Data Export'!$B$6:$B$78,0),1)))</f>
        <v>0</v>
      </c>
      <c r="E2864">
        <v>5</v>
      </c>
      <c r="F2864" t="s">
        <v>171</v>
      </c>
    </row>
    <row r="2865" spans="1:6">
      <c r="A2865" t="str">
        <f t="shared" si="44"/>
        <v>GenericE&amp;DtemplateCIandGOA</v>
      </c>
      <c r="B2865">
        <v>41</v>
      </c>
      <c r="C2865">
        <v>4</v>
      </c>
      <c r="D2865" s="649">
        <f ca="1">IF(E2865=4,INDEX(crude_exp_dist,MATCH(B2865,'Crude Exp Dist'!$B$6:$B$78,0),MATCH(C2865,'Crude Exp Dist'!$AD$2:$BC$2,0))*INDEX(crude_exp_by_year,MATCH(B2865,'Data Export'!$B$6:$B$78,0),1),IF(E2865=5,INDEX(ref_exp_dist,MATCH(B2865,'Refined Petro Exp Dist'!$B$6:$B$78,0),MATCH(C2865,'Refined Petro Exp Dist'!$AD$2:$BC$2,0))*INDEX(ref_exp_by_year,MATCH(B2865,'Data Export'!$B$6:$B$78,0),1)))</f>
        <v>0</v>
      </c>
      <c r="E2865">
        <v>5</v>
      </c>
      <c r="F2865" t="s">
        <v>173</v>
      </c>
    </row>
    <row r="2866" spans="1:6">
      <c r="A2866" t="str">
        <f t="shared" si="44"/>
        <v>GenericE&amp;DtemplateCIandGOA</v>
      </c>
      <c r="B2866">
        <v>41</v>
      </c>
      <c r="C2866">
        <v>5</v>
      </c>
      <c r="D2866" s="649">
        <f ca="1">IF(E2866=4,INDEX(crude_exp_dist,MATCH(B2866,'Crude Exp Dist'!$B$6:$B$78,0),MATCH(C2866,'Crude Exp Dist'!$AD$2:$BC$2,0))*INDEX(crude_exp_by_year,MATCH(B2866,'Data Export'!$B$6:$B$78,0),1),IF(E2866=5,INDEX(ref_exp_dist,MATCH(B2866,'Refined Petro Exp Dist'!$B$6:$B$78,0),MATCH(C2866,'Refined Petro Exp Dist'!$AD$2:$BC$2,0))*INDEX(ref_exp_by_year,MATCH(B2866,'Data Export'!$B$6:$B$78,0),1)))</f>
        <v>0</v>
      </c>
      <c r="E2866">
        <v>5</v>
      </c>
      <c r="F2866" t="s">
        <v>180</v>
      </c>
    </row>
    <row r="2867" spans="1:6">
      <c r="A2867" t="str">
        <f t="shared" si="44"/>
        <v>GenericE&amp;DtemplateCIandGOA</v>
      </c>
      <c r="B2867">
        <v>41</v>
      </c>
      <c r="C2867">
        <v>6</v>
      </c>
      <c r="D2867" s="649">
        <f ca="1">IF(E2867=4,INDEX(crude_exp_dist,MATCH(B2867,'Crude Exp Dist'!$B$6:$B$78,0),MATCH(C2867,'Crude Exp Dist'!$AD$2:$BC$2,0))*INDEX(crude_exp_by_year,MATCH(B2867,'Data Export'!$B$6:$B$78,0),1),IF(E2867=5,INDEX(ref_exp_dist,MATCH(B2867,'Refined Petro Exp Dist'!$B$6:$B$78,0),MATCH(C2867,'Refined Petro Exp Dist'!$AD$2:$BC$2,0))*INDEX(ref_exp_by_year,MATCH(B2867,'Data Export'!$B$6:$B$78,0),1)))</f>
        <v>0</v>
      </c>
      <c r="E2867">
        <v>5</v>
      </c>
      <c r="F2867" t="s">
        <v>186</v>
      </c>
    </row>
    <row r="2868" spans="1:6">
      <c r="A2868" t="str">
        <f t="shared" si="44"/>
        <v>GenericE&amp;DtemplateCIandGOA</v>
      </c>
      <c r="B2868">
        <v>41</v>
      </c>
      <c r="C2868">
        <v>7</v>
      </c>
      <c r="D2868" s="649">
        <f ca="1">IF(E2868=4,INDEX(crude_exp_dist,MATCH(B2868,'Crude Exp Dist'!$B$6:$B$78,0),MATCH(C2868,'Crude Exp Dist'!$AD$2:$BC$2,0))*INDEX(crude_exp_by_year,MATCH(B2868,'Data Export'!$B$6:$B$78,0),1),IF(E2868=5,INDEX(ref_exp_dist,MATCH(B2868,'Refined Petro Exp Dist'!$B$6:$B$78,0),MATCH(C2868,'Refined Petro Exp Dist'!$AD$2:$BC$2,0))*INDEX(ref_exp_by_year,MATCH(B2868,'Data Export'!$B$6:$B$78,0),1)))</f>
        <v>0</v>
      </c>
      <c r="E2868">
        <v>5</v>
      </c>
      <c r="F2868" t="s">
        <v>191</v>
      </c>
    </row>
    <row r="2869" spans="1:6">
      <c r="A2869" t="str">
        <f t="shared" si="44"/>
        <v>GenericE&amp;DtemplateCIandGOA</v>
      </c>
      <c r="B2869">
        <v>41</v>
      </c>
      <c r="C2869">
        <v>8</v>
      </c>
      <c r="D2869" s="649">
        <f ca="1">IF(E2869=4,INDEX(crude_exp_dist,MATCH(B2869,'Crude Exp Dist'!$B$6:$B$78,0),MATCH(C2869,'Crude Exp Dist'!$AD$2:$BC$2,0))*INDEX(crude_exp_by_year,MATCH(B2869,'Data Export'!$B$6:$B$78,0),1),IF(E2869=5,INDEX(ref_exp_dist,MATCH(B2869,'Refined Petro Exp Dist'!$B$6:$B$78,0),MATCH(C2869,'Refined Petro Exp Dist'!$AD$2:$BC$2,0))*INDEX(ref_exp_by_year,MATCH(B2869,'Data Export'!$B$6:$B$78,0),1)))</f>
        <v>0</v>
      </c>
      <c r="E2869">
        <v>5</v>
      </c>
      <c r="F2869" t="s">
        <v>197</v>
      </c>
    </row>
    <row r="2870" spans="1:6">
      <c r="A2870" t="str">
        <f t="shared" si="44"/>
        <v>GenericE&amp;DtemplateCIandGOA</v>
      </c>
      <c r="B2870">
        <v>41</v>
      </c>
      <c r="C2870">
        <v>9</v>
      </c>
      <c r="D2870" s="649">
        <f ca="1">IF(E2870=4,INDEX(crude_exp_dist,MATCH(B2870,'Crude Exp Dist'!$B$6:$B$78,0),MATCH(C2870,'Crude Exp Dist'!$AD$2:$BC$2,0))*INDEX(crude_exp_by_year,MATCH(B2870,'Data Export'!$B$6:$B$78,0),1),IF(E2870=5,INDEX(ref_exp_dist,MATCH(B2870,'Refined Petro Exp Dist'!$B$6:$B$78,0),MATCH(C2870,'Refined Petro Exp Dist'!$AD$2:$BC$2,0))*INDEX(ref_exp_by_year,MATCH(B2870,'Data Export'!$B$6:$B$78,0),1)))</f>
        <v>0</v>
      </c>
      <c r="E2870">
        <v>5</v>
      </c>
      <c r="F2870" t="s">
        <v>199</v>
      </c>
    </row>
    <row r="2871" spans="1:6">
      <c r="A2871" t="str">
        <f t="shared" si="44"/>
        <v>GenericE&amp;DtemplateCIandGOA</v>
      </c>
      <c r="B2871">
        <v>41</v>
      </c>
      <c r="C2871">
        <v>10</v>
      </c>
      <c r="D2871" s="649">
        <f ca="1">IF(E2871=4,INDEX(crude_exp_dist,MATCH(B2871,'Crude Exp Dist'!$B$6:$B$78,0),MATCH(C2871,'Crude Exp Dist'!$AD$2:$BC$2,0))*INDEX(crude_exp_by_year,MATCH(B2871,'Data Export'!$B$6:$B$78,0),1),IF(E2871=5,INDEX(ref_exp_dist,MATCH(B2871,'Refined Petro Exp Dist'!$B$6:$B$78,0),MATCH(C2871,'Refined Petro Exp Dist'!$AD$2:$BC$2,0))*INDEX(ref_exp_by_year,MATCH(B2871,'Data Export'!$B$6:$B$78,0),1)))</f>
        <v>0</v>
      </c>
      <c r="E2871">
        <v>5</v>
      </c>
      <c r="F2871" t="s">
        <v>201</v>
      </c>
    </row>
    <row r="2872" spans="1:6">
      <c r="A2872" t="str">
        <f t="shared" si="44"/>
        <v>GenericE&amp;DtemplateCIandGOA</v>
      </c>
      <c r="B2872">
        <v>41</v>
      </c>
      <c r="C2872">
        <v>11</v>
      </c>
      <c r="D2872" s="649">
        <f ca="1">IF(E2872=4,INDEX(crude_exp_dist,MATCH(B2872,'Crude Exp Dist'!$B$6:$B$78,0),MATCH(C2872,'Crude Exp Dist'!$AD$2:$BC$2,0))*INDEX(crude_exp_by_year,MATCH(B2872,'Data Export'!$B$6:$B$78,0),1),IF(E2872=5,INDEX(ref_exp_dist,MATCH(B2872,'Refined Petro Exp Dist'!$B$6:$B$78,0),MATCH(C2872,'Refined Petro Exp Dist'!$AD$2:$BC$2,0))*INDEX(ref_exp_by_year,MATCH(B2872,'Data Export'!$B$6:$B$78,0),1)))</f>
        <v>0</v>
      </c>
      <c r="E2872">
        <v>5</v>
      </c>
      <c r="F2872" t="s">
        <v>921</v>
      </c>
    </row>
    <row r="2873" spans="1:6">
      <c r="A2873" t="str">
        <f t="shared" si="44"/>
        <v>GenericE&amp;DtemplateCIandGOA</v>
      </c>
      <c r="B2873">
        <v>41</v>
      </c>
      <c r="C2873">
        <v>12</v>
      </c>
      <c r="D2873" s="649">
        <f ca="1">IF(E2873=4,INDEX(crude_exp_dist,MATCH(B2873,'Crude Exp Dist'!$B$6:$B$78,0),MATCH(C2873,'Crude Exp Dist'!$AD$2:$BC$2,0))*INDEX(crude_exp_by_year,MATCH(B2873,'Data Export'!$B$6:$B$78,0),1),IF(E2873=5,INDEX(ref_exp_dist,MATCH(B2873,'Refined Petro Exp Dist'!$B$6:$B$78,0),MATCH(C2873,'Refined Petro Exp Dist'!$AD$2:$BC$2,0))*INDEX(ref_exp_by_year,MATCH(B2873,'Data Export'!$B$6:$B$78,0),1)))</f>
        <v>0</v>
      </c>
      <c r="E2873">
        <v>5</v>
      </c>
      <c r="F2873" t="s">
        <v>208</v>
      </c>
    </row>
    <row r="2874" spans="1:6">
      <c r="A2874" t="str">
        <f t="shared" si="44"/>
        <v>GenericE&amp;DtemplateCIandGOA</v>
      </c>
      <c r="B2874">
        <v>41</v>
      </c>
      <c r="C2874">
        <v>13</v>
      </c>
      <c r="D2874" s="649">
        <f ca="1">IF(E2874=4,INDEX(crude_exp_dist,MATCH(B2874,'Crude Exp Dist'!$B$6:$B$78,0),MATCH(C2874,'Crude Exp Dist'!$AD$2:$BC$2,0))*INDEX(crude_exp_by_year,MATCH(B2874,'Data Export'!$B$6:$B$78,0),1),IF(E2874=5,INDEX(ref_exp_dist,MATCH(B2874,'Refined Petro Exp Dist'!$B$6:$B$78,0),MATCH(C2874,'Refined Petro Exp Dist'!$AD$2:$BC$2,0))*INDEX(ref_exp_by_year,MATCH(B2874,'Data Export'!$B$6:$B$78,0),1)))</f>
        <v>0</v>
      </c>
      <c r="E2874">
        <v>5</v>
      </c>
      <c r="F2874" t="s">
        <v>211</v>
      </c>
    </row>
    <row r="2875" spans="1:6">
      <c r="A2875" t="str">
        <f t="shared" si="44"/>
        <v>GenericE&amp;DtemplateCIandGOA</v>
      </c>
      <c r="B2875">
        <v>41</v>
      </c>
      <c r="C2875">
        <v>14</v>
      </c>
      <c r="D2875" s="649">
        <f ca="1">IF(E2875=4,INDEX(crude_exp_dist,MATCH(B2875,'Crude Exp Dist'!$B$6:$B$78,0),MATCH(C2875,'Crude Exp Dist'!$AD$2:$BC$2,0))*INDEX(crude_exp_by_year,MATCH(B2875,'Data Export'!$B$6:$B$78,0),1),IF(E2875=5,INDEX(ref_exp_dist,MATCH(B2875,'Refined Petro Exp Dist'!$B$6:$B$78,0),MATCH(C2875,'Refined Petro Exp Dist'!$AD$2:$BC$2,0))*INDEX(ref_exp_by_year,MATCH(B2875,'Data Export'!$B$6:$B$78,0),1)))</f>
        <v>0</v>
      </c>
      <c r="E2875">
        <v>5</v>
      </c>
      <c r="F2875" t="s">
        <v>213</v>
      </c>
    </row>
    <row r="2876" spans="1:6">
      <c r="A2876" t="str">
        <f t="shared" si="44"/>
        <v>GenericE&amp;DtemplateCIandGOA</v>
      </c>
      <c r="B2876">
        <v>41</v>
      </c>
      <c r="C2876">
        <v>15</v>
      </c>
      <c r="D2876" s="649">
        <f ca="1">IF(E2876=4,INDEX(crude_exp_dist,MATCH(B2876,'Crude Exp Dist'!$B$6:$B$78,0),MATCH(C2876,'Crude Exp Dist'!$AD$2:$BC$2,0))*INDEX(crude_exp_by_year,MATCH(B2876,'Data Export'!$B$6:$B$78,0),1),IF(E2876=5,INDEX(ref_exp_dist,MATCH(B2876,'Refined Petro Exp Dist'!$B$6:$B$78,0),MATCH(C2876,'Refined Petro Exp Dist'!$AD$2:$BC$2,0))*INDEX(ref_exp_by_year,MATCH(B2876,'Data Export'!$B$6:$B$78,0),1)))</f>
        <v>0</v>
      </c>
      <c r="E2876">
        <v>5</v>
      </c>
      <c r="F2876" t="s">
        <v>215</v>
      </c>
    </row>
    <row r="2877" spans="1:6">
      <c r="A2877" t="str">
        <f t="shared" si="44"/>
        <v>GenericE&amp;DtemplateCIandGOA</v>
      </c>
      <c r="B2877">
        <v>41</v>
      </c>
      <c r="C2877">
        <v>16</v>
      </c>
      <c r="D2877" s="649">
        <f ca="1">IF(E2877=4,INDEX(crude_exp_dist,MATCH(B2877,'Crude Exp Dist'!$B$6:$B$78,0),MATCH(C2877,'Crude Exp Dist'!$AD$2:$BC$2,0))*INDEX(crude_exp_by_year,MATCH(B2877,'Data Export'!$B$6:$B$78,0),1),IF(E2877=5,INDEX(ref_exp_dist,MATCH(B2877,'Refined Petro Exp Dist'!$B$6:$B$78,0),MATCH(C2877,'Refined Petro Exp Dist'!$AD$2:$BC$2,0))*INDEX(ref_exp_by_year,MATCH(B2877,'Data Export'!$B$6:$B$78,0),1)))</f>
        <v>0</v>
      </c>
      <c r="E2877">
        <v>5</v>
      </c>
      <c r="F2877" t="s">
        <v>219</v>
      </c>
    </row>
    <row r="2878" spans="1:6">
      <c r="A2878" t="str">
        <f t="shared" si="44"/>
        <v>GenericE&amp;DtemplateCIandGOA</v>
      </c>
      <c r="B2878">
        <v>41</v>
      </c>
      <c r="C2878">
        <v>17</v>
      </c>
      <c r="D2878" s="649">
        <f ca="1">IF(E2878=4,INDEX(crude_exp_dist,MATCH(B2878,'Crude Exp Dist'!$B$6:$B$78,0),MATCH(C2878,'Crude Exp Dist'!$AD$2:$BC$2,0))*INDEX(crude_exp_by_year,MATCH(B2878,'Data Export'!$B$6:$B$78,0),1),IF(E2878=5,INDEX(ref_exp_dist,MATCH(B2878,'Refined Petro Exp Dist'!$B$6:$B$78,0),MATCH(C2878,'Refined Petro Exp Dist'!$AD$2:$BC$2,0))*INDEX(ref_exp_by_year,MATCH(B2878,'Data Export'!$B$6:$B$78,0),1)))</f>
        <v>0</v>
      </c>
      <c r="E2878">
        <v>5</v>
      </c>
      <c r="F2878" t="s">
        <v>222</v>
      </c>
    </row>
    <row r="2879" spans="1:6">
      <c r="A2879" t="str">
        <f t="shared" si="44"/>
        <v>GenericE&amp;DtemplateCIandGOA</v>
      </c>
      <c r="B2879">
        <v>41</v>
      </c>
      <c r="C2879">
        <v>18</v>
      </c>
      <c r="D2879" s="649">
        <f ca="1">IF(E2879=4,INDEX(crude_exp_dist,MATCH(B2879,'Crude Exp Dist'!$B$6:$B$78,0),MATCH(C2879,'Crude Exp Dist'!$AD$2:$BC$2,0))*INDEX(crude_exp_by_year,MATCH(B2879,'Data Export'!$B$6:$B$78,0),1),IF(E2879=5,INDEX(ref_exp_dist,MATCH(B2879,'Refined Petro Exp Dist'!$B$6:$B$78,0),MATCH(C2879,'Refined Petro Exp Dist'!$AD$2:$BC$2,0))*INDEX(ref_exp_by_year,MATCH(B2879,'Data Export'!$B$6:$B$78,0),1)))</f>
        <v>0</v>
      </c>
      <c r="E2879">
        <v>5</v>
      </c>
      <c r="F2879" t="s">
        <v>224</v>
      </c>
    </row>
    <row r="2880" spans="1:6">
      <c r="A2880" t="str">
        <f t="shared" si="44"/>
        <v>GenericE&amp;DtemplateCIandGOA</v>
      </c>
      <c r="B2880">
        <v>41</v>
      </c>
      <c r="C2880">
        <v>19</v>
      </c>
      <c r="D2880" s="649">
        <f ca="1">IF(E2880=4,INDEX(crude_exp_dist,MATCH(B2880,'Crude Exp Dist'!$B$6:$B$78,0),MATCH(C2880,'Crude Exp Dist'!$AD$2:$BC$2,0))*INDEX(crude_exp_by_year,MATCH(B2880,'Data Export'!$B$6:$B$78,0),1),IF(E2880=5,INDEX(ref_exp_dist,MATCH(B2880,'Refined Petro Exp Dist'!$B$6:$B$78,0),MATCH(C2880,'Refined Petro Exp Dist'!$AD$2:$BC$2,0))*INDEX(ref_exp_by_year,MATCH(B2880,'Data Export'!$B$6:$B$78,0),1)))</f>
        <v>0</v>
      </c>
      <c r="E2880">
        <v>5</v>
      </c>
      <c r="F2880" t="s">
        <v>228</v>
      </c>
    </row>
    <row r="2881" spans="1:6">
      <c r="A2881" t="str">
        <f t="shared" si="44"/>
        <v>GenericE&amp;DtemplateCIandGOA</v>
      </c>
      <c r="B2881">
        <v>41</v>
      </c>
      <c r="C2881">
        <v>20</v>
      </c>
      <c r="D2881" s="649">
        <f ca="1">IF(E2881=4,INDEX(crude_exp_dist,MATCH(B2881,'Crude Exp Dist'!$B$6:$B$78,0),MATCH(C2881,'Crude Exp Dist'!$AD$2:$BC$2,0))*INDEX(crude_exp_by_year,MATCH(B2881,'Data Export'!$B$6:$B$78,0),1),IF(E2881=5,INDEX(ref_exp_dist,MATCH(B2881,'Refined Petro Exp Dist'!$B$6:$B$78,0),MATCH(C2881,'Refined Petro Exp Dist'!$AD$2:$BC$2,0))*INDEX(ref_exp_by_year,MATCH(B2881,'Data Export'!$B$6:$B$78,0),1)))</f>
        <v>0</v>
      </c>
      <c r="E2881">
        <v>5</v>
      </c>
      <c r="F2881" t="s">
        <v>231</v>
      </c>
    </row>
    <row r="2882" spans="1:6">
      <c r="A2882" t="str">
        <f t="shared" ref="A2882:A2945" si="45">scenario_name</f>
        <v>GenericE&amp;DtemplateCIandGOA</v>
      </c>
      <c r="B2882">
        <v>41</v>
      </c>
      <c r="C2882">
        <v>21</v>
      </c>
      <c r="D2882" s="649">
        <f ca="1">IF(E2882=4,INDEX(crude_exp_dist,MATCH(B2882,'Crude Exp Dist'!$B$6:$B$78,0),MATCH(C2882,'Crude Exp Dist'!$AD$2:$BC$2,0))*INDEX(crude_exp_by_year,MATCH(B2882,'Data Export'!$B$6:$B$78,0),1),IF(E2882=5,INDEX(ref_exp_dist,MATCH(B2882,'Refined Petro Exp Dist'!$B$6:$B$78,0),MATCH(C2882,'Refined Petro Exp Dist'!$AD$2:$BC$2,0))*INDEX(ref_exp_by_year,MATCH(B2882,'Data Export'!$B$6:$B$78,0),1)))</f>
        <v>0</v>
      </c>
      <c r="E2882">
        <v>5</v>
      </c>
      <c r="F2882" t="s">
        <v>232</v>
      </c>
    </row>
    <row r="2883" spans="1:6">
      <c r="A2883" t="str">
        <f t="shared" si="45"/>
        <v>GenericE&amp;DtemplateCIandGOA</v>
      </c>
      <c r="B2883">
        <v>41</v>
      </c>
      <c r="C2883">
        <v>22</v>
      </c>
      <c r="D2883" s="649">
        <f ca="1">IF(E2883=4,INDEX(crude_exp_dist,MATCH(B2883,'Crude Exp Dist'!$B$6:$B$78,0),MATCH(C2883,'Crude Exp Dist'!$AD$2:$BC$2,0))*INDEX(crude_exp_by_year,MATCH(B2883,'Data Export'!$B$6:$B$78,0),1),IF(E2883=5,INDEX(ref_exp_dist,MATCH(B2883,'Refined Petro Exp Dist'!$B$6:$B$78,0),MATCH(C2883,'Refined Petro Exp Dist'!$AD$2:$BC$2,0))*INDEX(ref_exp_by_year,MATCH(B2883,'Data Export'!$B$6:$B$78,0),1)))</f>
        <v>0</v>
      </c>
      <c r="E2883">
        <v>5</v>
      </c>
      <c r="F2883" t="s">
        <v>235</v>
      </c>
    </row>
    <row r="2884" spans="1:6">
      <c r="A2884" t="str">
        <f t="shared" si="45"/>
        <v>GenericE&amp;DtemplateCIandGOA</v>
      </c>
      <c r="B2884">
        <v>41</v>
      </c>
      <c r="C2884">
        <v>23</v>
      </c>
      <c r="D2884" s="649">
        <f ca="1">IF(E2884=4,INDEX(crude_exp_dist,MATCH(B2884,'Crude Exp Dist'!$B$6:$B$78,0),MATCH(C2884,'Crude Exp Dist'!$AD$2:$BC$2,0))*INDEX(crude_exp_by_year,MATCH(B2884,'Data Export'!$B$6:$B$78,0),1),IF(E2884=5,INDEX(ref_exp_dist,MATCH(B2884,'Refined Petro Exp Dist'!$B$6:$B$78,0),MATCH(C2884,'Refined Petro Exp Dist'!$AD$2:$BC$2,0))*INDEX(ref_exp_by_year,MATCH(B2884,'Data Export'!$B$6:$B$78,0),1)))</f>
        <v>0</v>
      </c>
      <c r="E2884">
        <v>5</v>
      </c>
      <c r="F2884" t="s">
        <v>237</v>
      </c>
    </row>
    <row r="2885" spans="1:6">
      <c r="A2885" t="str">
        <f t="shared" si="45"/>
        <v>GenericE&amp;DtemplateCIandGOA</v>
      </c>
      <c r="B2885">
        <v>41</v>
      </c>
      <c r="C2885">
        <v>24</v>
      </c>
      <c r="D2885" s="649">
        <f ca="1">IF(E2885=4,INDEX(crude_exp_dist,MATCH(B2885,'Crude Exp Dist'!$B$6:$B$78,0),MATCH(C2885,'Crude Exp Dist'!$AD$2:$BC$2,0))*INDEX(crude_exp_by_year,MATCH(B2885,'Data Export'!$B$6:$B$78,0),1),IF(E2885=5,INDEX(ref_exp_dist,MATCH(B2885,'Refined Petro Exp Dist'!$B$6:$B$78,0),MATCH(C2885,'Refined Petro Exp Dist'!$AD$2:$BC$2,0))*INDEX(ref_exp_by_year,MATCH(B2885,'Data Export'!$B$6:$B$78,0),1)))</f>
        <v>0</v>
      </c>
      <c r="E2885">
        <v>5</v>
      </c>
      <c r="F2885" t="s">
        <v>239</v>
      </c>
    </row>
    <row r="2886" spans="1:6">
      <c r="A2886" t="str">
        <f t="shared" si="45"/>
        <v>GenericE&amp;DtemplateCIandGOA</v>
      </c>
      <c r="B2886">
        <v>41</v>
      </c>
      <c r="C2886">
        <v>25</v>
      </c>
      <c r="D2886" s="649">
        <f ca="1">IF(E2886=4,INDEX(crude_exp_dist,MATCH(B2886,'Crude Exp Dist'!$B$6:$B$78,0),MATCH(C2886,'Crude Exp Dist'!$AD$2:$BC$2,0))*INDEX(crude_exp_by_year,MATCH(B2886,'Data Export'!$B$6:$B$78,0),1),IF(E2886=5,INDEX(ref_exp_dist,MATCH(B2886,'Refined Petro Exp Dist'!$B$6:$B$78,0),MATCH(C2886,'Refined Petro Exp Dist'!$AD$2:$BC$2,0))*INDEX(ref_exp_by_year,MATCH(B2886,'Data Export'!$B$6:$B$78,0),1)))</f>
        <v>0</v>
      </c>
      <c r="E2886">
        <v>5</v>
      </c>
      <c r="F2886" t="s">
        <v>242</v>
      </c>
    </row>
    <row r="2887" spans="1:6">
      <c r="A2887" t="str">
        <f t="shared" si="45"/>
        <v>GenericE&amp;DtemplateCIandGOA</v>
      </c>
      <c r="B2887">
        <v>41</v>
      </c>
      <c r="C2887">
        <v>26</v>
      </c>
      <c r="D2887" s="649">
        <f ca="1">IF(E2887=4,INDEX(crude_exp_dist,MATCH(B2887,'Crude Exp Dist'!$B$6:$B$78,0),MATCH(C2887,'Crude Exp Dist'!$AD$2:$BC$2,0))*INDEX(crude_exp_by_year,MATCH(B2887,'Data Export'!$B$6:$B$78,0),1),IF(E2887=5,INDEX(ref_exp_dist,MATCH(B2887,'Refined Petro Exp Dist'!$B$6:$B$78,0),MATCH(C2887,'Refined Petro Exp Dist'!$AD$2:$BC$2,0))*INDEX(ref_exp_by_year,MATCH(B2887,'Data Export'!$B$6:$B$78,0),1)))</f>
        <v>0</v>
      </c>
      <c r="E2887">
        <v>5</v>
      </c>
      <c r="F2887" t="s">
        <v>245</v>
      </c>
    </row>
    <row r="2888" spans="1:6">
      <c r="A2888" t="str">
        <f t="shared" si="45"/>
        <v>GenericE&amp;DtemplateCIandGOA</v>
      </c>
      <c r="B2888">
        <v>42</v>
      </c>
      <c r="C2888">
        <v>1</v>
      </c>
      <c r="D2888" s="649">
        <f ca="1">IF(E2888=4,INDEX(crude_exp_dist,MATCH(B2888,'Crude Exp Dist'!$B$6:$B$78,0),MATCH(C2888,'Crude Exp Dist'!$AD$2:$BC$2,0))*INDEX(crude_exp_by_year,MATCH(B2888,'Data Export'!$B$6:$B$78,0),1),IF(E2888=5,INDEX(ref_exp_dist,MATCH(B2888,'Refined Petro Exp Dist'!$B$6:$B$78,0),MATCH(C2888,'Refined Petro Exp Dist'!$AD$2:$BC$2,0))*INDEX(ref_exp_by_year,MATCH(B2888,'Data Export'!$B$6:$B$78,0),1)))</f>
        <v>0</v>
      </c>
      <c r="E2888">
        <v>5</v>
      </c>
      <c r="F2888" t="s">
        <v>158</v>
      </c>
    </row>
    <row r="2889" spans="1:6">
      <c r="A2889" t="str">
        <f t="shared" si="45"/>
        <v>GenericE&amp;DtemplateCIandGOA</v>
      </c>
      <c r="B2889">
        <v>42</v>
      </c>
      <c r="C2889">
        <v>2</v>
      </c>
      <c r="D2889" s="649">
        <f ca="1">IF(E2889=4,INDEX(crude_exp_dist,MATCH(B2889,'Crude Exp Dist'!$B$6:$B$78,0),MATCH(C2889,'Crude Exp Dist'!$AD$2:$BC$2,0))*INDEX(crude_exp_by_year,MATCH(B2889,'Data Export'!$B$6:$B$78,0),1),IF(E2889=5,INDEX(ref_exp_dist,MATCH(B2889,'Refined Petro Exp Dist'!$B$6:$B$78,0),MATCH(C2889,'Refined Petro Exp Dist'!$AD$2:$BC$2,0))*INDEX(ref_exp_by_year,MATCH(B2889,'Data Export'!$B$6:$B$78,0),1)))</f>
        <v>0</v>
      </c>
      <c r="E2889">
        <v>5</v>
      </c>
      <c r="F2889" t="s">
        <v>166</v>
      </c>
    </row>
    <row r="2890" spans="1:6">
      <c r="A2890" t="str">
        <f t="shared" si="45"/>
        <v>GenericE&amp;DtemplateCIandGOA</v>
      </c>
      <c r="B2890">
        <v>42</v>
      </c>
      <c r="C2890">
        <v>3</v>
      </c>
      <c r="D2890" s="649">
        <f ca="1">IF(E2890=4,INDEX(crude_exp_dist,MATCH(B2890,'Crude Exp Dist'!$B$6:$B$78,0),MATCH(C2890,'Crude Exp Dist'!$AD$2:$BC$2,0))*INDEX(crude_exp_by_year,MATCH(B2890,'Data Export'!$B$6:$B$78,0),1),IF(E2890=5,INDEX(ref_exp_dist,MATCH(B2890,'Refined Petro Exp Dist'!$B$6:$B$78,0),MATCH(C2890,'Refined Petro Exp Dist'!$AD$2:$BC$2,0))*INDEX(ref_exp_by_year,MATCH(B2890,'Data Export'!$B$6:$B$78,0),1)))</f>
        <v>0</v>
      </c>
      <c r="E2890">
        <v>5</v>
      </c>
      <c r="F2890" t="s">
        <v>171</v>
      </c>
    </row>
    <row r="2891" spans="1:6">
      <c r="A2891" t="str">
        <f t="shared" si="45"/>
        <v>GenericE&amp;DtemplateCIandGOA</v>
      </c>
      <c r="B2891">
        <v>42</v>
      </c>
      <c r="C2891">
        <v>4</v>
      </c>
      <c r="D2891" s="649">
        <f ca="1">IF(E2891=4,INDEX(crude_exp_dist,MATCH(B2891,'Crude Exp Dist'!$B$6:$B$78,0),MATCH(C2891,'Crude Exp Dist'!$AD$2:$BC$2,0))*INDEX(crude_exp_by_year,MATCH(B2891,'Data Export'!$B$6:$B$78,0),1),IF(E2891=5,INDEX(ref_exp_dist,MATCH(B2891,'Refined Petro Exp Dist'!$B$6:$B$78,0),MATCH(C2891,'Refined Petro Exp Dist'!$AD$2:$BC$2,0))*INDEX(ref_exp_by_year,MATCH(B2891,'Data Export'!$B$6:$B$78,0),1)))</f>
        <v>0</v>
      </c>
      <c r="E2891">
        <v>5</v>
      </c>
      <c r="F2891" t="s">
        <v>173</v>
      </c>
    </row>
    <row r="2892" spans="1:6">
      <c r="A2892" t="str">
        <f t="shared" si="45"/>
        <v>GenericE&amp;DtemplateCIandGOA</v>
      </c>
      <c r="B2892">
        <v>42</v>
      </c>
      <c r="C2892">
        <v>5</v>
      </c>
      <c r="D2892" s="649">
        <f ca="1">IF(E2892=4,INDEX(crude_exp_dist,MATCH(B2892,'Crude Exp Dist'!$B$6:$B$78,0),MATCH(C2892,'Crude Exp Dist'!$AD$2:$BC$2,0))*INDEX(crude_exp_by_year,MATCH(B2892,'Data Export'!$B$6:$B$78,0),1),IF(E2892=5,INDEX(ref_exp_dist,MATCH(B2892,'Refined Petro Exp Dist'!$B$6:$B$78,0),MATCH(C2892,'Refined Petro Exp Dist'!$AD$2:$BC$2,0))*INDEX(ref_exp_by_year,MATCH(B2892,'Data Export'!$B$6:$B$78,0),1)))</f>
        <v>0</v>
      </c>
      <c r="E2892">
        <v>5</v>
      </c>
      <c r="F2892" t="s">
        <v>180</v>
      </c>
    </row>
    <row r="2893" spans="1:6">
      <c r="A2893" t="str">
        <f t="shared" si="45"/>
        <v>GenericE&amp;DtemplateCIandGOA</v>
      </c>
      <c r="B2893">
        <v>42</v>
      </c>
      <c r="C2893">
        <v>6</v>
      </c>
      <c r="D2893" s="649">
        <f ca="1">IF(E2893=4,INDEX(crude_exp_dist,MATCH(B2893,'Crude Exp Dist'!$B$6:$B$78,0),MATCH(C2893,'Crude Exp Dist'!$AD$2:$BC$2,0))*INDEX(crude_exp_by_year,MATCH(B2893,'Data Export'!$B$6:$B$78,0),1),IF(E2893=5,INDEX(ref_exp_dist,MATCH(B2893,'Refined Petro Exp Dist'!$B$6:$B$78,0),MATCH(C2893,'Refined Petro Exp Dist'!$AD$2:$BC$2,0))*INDEX(ref_exp_by_year,MATCH(B2893,'Data Export'!$B$6:$B$78,0),1)))</f>
        <v>0</v>
      </c>
      <c r="E2893">
        <v>5</v>
      </c>
      <c r="F2893" t="s">
        <v>186</v>
      </c>
    </row>
    <row r="2894" spans="1:6">
      <c r="A2894" t="str">
        <f t="shared" si="45"/>
        <v>GenericE&amp;DtemplateCIandGOA</v>
      </c>
      <c r="B2894">
        <v>42</v>
      </c>
      <c r="C2894">
        <v>7</v>
      </c>
      <c r="D2894" s="649">
        <f ca="1">IF(E2894=4,INDEX(crude_exp_dist,MATCH(B2894,'Crude Exp Dist'!$B$6:$B$78,0),MATCH(C2894,'Crude Exp Dist'!$AD$2:$BC$2,0))*INDEX(crude_exp_by_year,MATCH(B2894,'Data Export'!$B$6:$B$78,0),1),IF(E2894=5,INDEX(ref_exp_dist,MATCH(B2894,'Refined Petro Exp Dist'!$B$6:$B$78,0),MATCH(C2894,'Refined Petro Exp Dist'!$AD$2:$BC$2,0))*INDEX(ref_exp_by_year,MATCH(B2894,'Data Export'!$B$6:$B$78,0),1)))</f>
        <v>0</v>
      </c>
      <c r="E2894">
        <v>5</v>
      </c>
      <c r="F2894" t="s">
        <v>191</v>
      </c>
    </row>
    <row r="2895" spans="1:6">
      <c r="A2895" t="str">
        <f t="shared" si="45"/>
        <v>GenericE&amp;DtemplateCIandGOA</v>
      </c>
      <c r="B2895">
        <v>42</v>
      </c>
      <c r="C2895">
        <v>8</v>
      </c>
      <c r="D2895" s="649">
        <f ca="1">IF(E2895=4,INDEX(crude_exp_dist,MATCH(B2895,'Crude Exp Dist'!$B$6:$B$78,0),MATCH(C2895,'Crude Exp Dist'!$AD$2:$BC$2,0))*INDEX(crude_exp_by_year,MATCH(B2895,'Data Export'!$B$6:$B$78,0),1),IF(E2895=5,INDEX(ref_exp_dist,MATCH(B2895,'Refined Petro Exp Dist'!$B$6:$B$78,0),MATCH(C2895,'Refined Petro Exp Dist'!$AD$2:$BC$2,0))*INDEX(ref_exp_by_year,MATCH(B2895,'Data Export'!$B$6:$B$78,0),1)))</f>
        <v>0</v>
      </c>
      <c r="E2895">
        <v>5</v>
      </c>
      <c r="F2895" t="s">
        <v>197</v>
      </c>
    </row>
    <row r="2896" spans="1:6">
      <c r="A2896" t="str">
        <f t="shared" si="45"/>
        <v>GenericE&amp;DtemplateCIandGOA</v>
      </c>
      <c r="B2896">
        <v>42</v>
      </c>
      <c r="C2896">
        <v>9</v>
      </c>
      <c r="D2896" s="649">
        <f ca="1">IF(E2896=4,INDEX(crude_exp_dist,MATCH(B2896,'Crude Exp Dist'!$B$6:$B$78,0),MATCH(C2896,'Crude Exp Dist'!$AD$2:$BC$2,0))*INDEX(crude_exp_by_year,MATCH(B2896,'Data Export'!$B$6:$B$78,0),1),IF(E2896=5,INDEX(ref_exp_dist,MATCH(B2896,'Refined Petro Exp Dist'!$B$6:$B$78,0),MATCH(C2896,'Refined Petro Exp Dist'!$AD$2:$BC$2,0))*INDEX(ref_exp_by_year,MATCH(B2896,'Data Export'!$B$6:$B$78,0),1)))</f>
        <v>0</v>
      </c>
      <c r="E2896">
        <v>5</v>
      </c>
      <c r="F2896" t="s">
        <v>199</v>
      </c>
    </row>
    <row r="2897" spans="1:6">
      <c r="A2897" t="str">
        <f t="shared" si="45"/>
        <v>GenericE&amp;DtemplateCIandGOA</v>
      </c>
      <c r="B2897">
        <v>42</v>
      </c>
      <c r="C2897">
        <v>10</v>
      </c>
      <c r="D2897" s="649">
        <f ca="1">IF(E2897=4,INDEX(crude_exp_dist,MATCH(B2897,'Crude Exp Dist'!$B$6:$B$78,0),MATCH(C2897,'Crude Exp Dist'!$AD$2:$BC$2,0))*INDEX(crude_exp_by_year,MATCH(B2897,'Data Export'!$B$6:$B$78,0),1),IF(E2897=5,INDEX(ref_exp_dist,MATCH(B2897,'Refined Petro Exp Dist'!$B$6:$B$78,0),MATCH(C2897,'Refined Petro Exp Dist'!$AD$2:$BC$2,0))*INDEX(ref_exp_by_year,MATCH(B2897,'Data Export'!$B$6:$B$78,0),1)))</f>
        <v>0</v>
      </c>
      <c r="E2897">
        <v>5</v>
      </c>
      <c r="F2897" t="s">
        <v>201</v>
      </c>
    </row>
    <row r="2898" spans="1:6">
      <c r="A2898" t="str">
        <f t="shared" si="45"/>
        <v>GenericE&amp;DtemplateCIandGOA</v>
      </c>
      <c r="B2898">
        <v>42</v>
      </c>
      <c r="C2898">
        <v>11</v>
      </c>
      <c r="D2898" s="649">
        <f ca="1">IF(E2898=4,INDEX(crude_exp_dist,MATCH(B2898,'Crude Exp Dist'!$B$6:$B$78,0),MATCH(C2898,'Crude Exp Dist'!$AD$2:$BC$2,0))*INDEX(crude_exp_by_year,MATCH(B2898,'Data Export'!$B$6:$B$78,0),1),IF(E2898=5,INDEX(ref_exp_dist,MATCH(B2898,'Refined Petro Exp Dist'!$B$6:$B$78,0),MATCH(C2898,'Refined Petro Exp Dist'!$AD$2:$BC$2,0))*INDEX(ref_exp_by_year,MATCH(B2898,'Data Export'!$B$6:$B$78,0),1)))</f>
        <v>0</v>
      </c>
      <c r="E2898">
        <v>5</v>
      </c>
      <c r="F2898" t="s">
        <v>921</v>
      </c>
    </row>
    <row r="2899" spans="1:6">
      <c r="A2899" t="str">
        <f t="shared" si="45"/>
        <v>GenericE&amp;DtemplateCIandGOA</v>
      </c>
      <c r="B2899">
        <v>42</v>
      </c>
      <c r="C2899">
        <v>12</v>
      </c>
      <c r="D2899" s="649">
        <f ca="1">IF(E2899=4,INDEX(crude_exp_dist,MATCH(B2899,'Crude Exp Dist'!$B$6:$B$78,0),MATCH(C2899,'Crude Exp Dist'!$AD$2:$BC$2,0))*INDEX(crude_exp_by_year,MATCH(B2899,'Data Export'!$B$6:$B$78,0),1),IF(E2899=5,INDEX(ref_exp_dist,MATCH(B2899,'Refined Petro Exp Dist'!$B$6:$B$78,0),MATCH(C2899,'Refined Petro Exp Dist'!$AD$2:$BC$2,0))*INDEX(ref_exp_by_year,MATCH(B2899,'Data Export'!$B$6:$B$78,0),1)))</f>
        <v>0</v>
      </c>
      <c r="E2899">
        <v>5</v>
      </c>
      <c r="F2899" t="s">
        <v>208</v>
      </c>
    </row>
    <row r="2900" spans="1:6">
      <c r="A2900" t="str">
        <f t="shared" si="45"/>
        <v>GenericE&amp;DtemplateCIandGOA</v>
      </c>
      <c r="B2900">
        <v>42</v>
      </c>
      <c r="C2900">
        <v>13</v>
      </c>
      <c r="D2900" s="649">
        <f ca="1">IF(E2900=4,INDEX(crude_exp_dist,MATCH(B2900,'Crude Exp Dist'!$B$6:$B$78,0),MATCH(C2900,'Crude Exp Dist'!$AD$2:$BC$2,0))*INDEX(crude_exp_by_year,MATCH(B2900,'Data Export'!$B$6:$B$78,0),1),IF(E2900=5,INDEX(ref_exp_dist,MATCH(B2900,'Refined Petro Exp Dist'!$B$6:$B$78,0),MATCH(C2900,'Refined Petro Exp Dist'!$AD$2:$BC$2,0))*INDEX(ref_exp_by_year,MATCH(B2900,'Data Export'!$B$6:$B$78,0),1)))</f>
        <v>0</v>
      </c>
      <c r="E2900">
        <v>5</v>
      </c>
      <c r="F2900" t="s">
        <v>211</v>
      </c>
    </row>
    <row r="2901" spans="1:6">
      <c r="A2901" t="str">
        <f t="shared" si="45"/>
        <v>GenericE&amp;DtemplateCIandGOA</v>
      </c>
      <c r="B2901">
        <v>42</v>
      </c>
      <c r="C2901">
        <v>14</v>
      </c>
      <c r="D2901" s="649">
        <f ca="1">IF(E2901=4,INDEX(crude_exp_dist,MATCH(B2901,'Crude Exp Dist'!$B$6:$B$78,0),MATCH(C2901,'Crude Exp Dist'!$AD$2:$BC$2,0))*INDEX(crude_exp_by_year,MATCH(B2901,'Data Export'!$B$6:$B$78,0),1),IF(E2901=5,INDEX(ref_exp_dist,MATCH(B2901,'Refined Petro Exp Dist'!$B$6:$B$78,0),MATCH(C2901,'Refined Petro Exp Dist'!$AD$2:$BC$2,0))*INDEX(ref_exp_by_year,MATCH(B2901,'Data Export'!$B$6:$B$78,0),1)))</f>
        <v>0</v>
      </c>
      <c r="E2901">
        <v>5</v>
      </c>
      <c r="F2901" t="s">
        <v>213</v>
      </c>
    </row>
    <row r="2902" spans="1:6">
      <c r="A2902" t="str">
        <f t="shared" si="45"/>
        <v>GenericE&amp;DtemplateCIandGOA</v>
      </c>
      <c r="B2902">
        <v>42</v>
      </c>
      <c r="C2902">
        <v>15</v>
      </c>
      <c r="D2902" s="649">
        <f ca="1">IF(E2902=4,INDEX(crude_exp_dist,MATCH(B2902,'Crude Exp Dist'!$B$6:$B$78,0),MATCH(C2902,'Crude Exp Dist'!$AD$2:$BC$2,0))*INDEX(crude_exp_by_year,MATCH(B2902,'Data Export'!$B$6:$B$78,0),1),IF(E2902=5,INDEX(ref_exp_dist,MATCH(B2902,'Refined Petro Exp Dist'!$B$6:$B$78,0),MATCH(C2902,'Refined Petro Exp Dist'!$AD$2:$BC$2,0))*INDEX(ref_exp_by_year,MATCH(B2902,'Data Export'!$B$6:$B$78,0),1)))</f>
        <v>0</v>
      </c>
      <c r="E2902">
        <v>5</v>
      </c>
      <c r="F2902" t="s">
        <v>215</v>
      </c>
    </row>
    <row r="2903" spans="1:6">
      <c r="A2903" t="str">
        <f t="shared" si="45"/>
        <v>GenericE&amp;DtemplateCIandGOA</v>
      </c>
      <c r="B2903">
        <v>42</v>
      </c>
      <c r="C2903">
        <v>16</v>
      </c>
      <c r="D2903" s="649">
        <f ca="1">IF(E2903=4,INDEX(crude_exp_dist,MATCH(B2903,'Crude Exp Dist'!$B$6:$B$78,0),MATCH(C2903,'Crude Exp Dist'!$AD$2:$BC$2,0))*INDEX(crude_exp_by_year,MATCH(B2903,'Data Export'!$B$6:$B$78,0),1),IF(E2903=5,INDEX(ref_exp_dist,MATCH(B2903,'Refined Petro Exp Dist'!$B$6:$B$78,0),MATCH(C2903,'Refined Petro Exp Dist'!$AD$2:$BC$2,0))*INDEX(ref_exp_by_year,MATCH(B2903,'Data Export'!$B$6:$B$78,0),1)))</f>
        <v>0</v>
      </c>
      <c r="E2903">
        <v>5</v>
      </c>
      <c r="F2903" t="s">
        <v>219</v>
      </c>
    </row>
    <row r="2904" spans="1:6">
      <c r="A2904" t="str">
        <f t="shared" si="45"/>
        <v>GenericE&amp;DtemplateCIandGOA</v>
      </c>
      <c r="B2904">
        <v>42</v>
      </c>
      <c r="C2904">
        <v>17</v>
      </c>
      <c r="D2904" s="649">
        <f ca="1">IF(E2904=4,INDEX(crude_exp_dist,MATCH(B2904,'Crude Exp Dist'!$B$6:$B$78,0),MATCH(C2904,'Crude Exp Dist'!$AD$2:$BC$2,0))*INDEX(crude_exp_by_year,MATCH(B2904,'Data Export'!$B$6:$B$78,0),1),IF(E2904=5,INDEX(ref_exp_dist,MATCH(B2904,'Refined Petro Exp Dist'!$B$6:$B$78,0),MATCH(C2904,'Refined Petro Exp Dist'!$AD$2:$BC$2,0))*INDEX(ref_exp_by_year,MATCH(B2904,'Data Export'!$B$6:$B$78,0),1)))</f>
        <v>0</v>
      </c>
      <c r="E2904">
        <v>5</v>
      </c>
      <c r="F2904" t="s">
        <v>222</v>
      </c>
    </row>
    <row r="2905" spans="1:6">
      <c r="A2905" t="str">
        <f t="shared" si="45"/>
        <v>GenericE&amp;DtemplateCIandGOA</v>
      </c>
      <c r="B2905">
        <v>42</v>
      </c>
      <c r="C2905">
        <v>18</v>
      </c>
      <c r="D2905" s="649">
        <f ca="1">IF(E2905=4,INDEX(crude_exp_dist,MATCH(B2905,'Crude Exp Dist'!$B$6:$B$78,0),MATCH(C2905,'Crude Exp Dist'!$AD$2:$BC$2,0))*INDEX(crude_exp_by_year,MATCH(B2905,'Data Export'!$B$6:$B$78,0),1),IF(E2905=5,INDEX(ref_exp_dist,MATCH(B2905,'Refined Petro Exp Dist'!$B$6:$B$78,0),MATCH(C2905,'Refined Petro Exp Dist'!$AD$2:$BC$2,0))*INDEX(ref_exp_by_year,MATCH(B2905,'Data Export'!$B$6:$B$78,0),1)))</f>
        <v>0</v>
      </c>
      <c r="E2905">
        <v>5</v>
      </c>
      <c r="F2905" t="s">
        <v>224</v>
      </c>
    </row>
    <row r="2906" spans="1:6">
      <c r="A2906" t="str">
        <f t="shared" si="45"/>
        <v>GenericE&amp;DtemplateCIandGOA</v>
      </c>
      <c r="B2906">
        <v>42</v>
      </c>
      <c r="C2906">
        <v>19</v>
      </c>
      <c r="D2906" s="649">
        <f ca="1">IF(E2906=4,INDEX(crude_exp_dist,MATCH(B2906,'Crude Exp Dist'!$B$6:$B$78,0),MATCH(C2906,'Crude Exp Dist'!$AD$2:$BC$2,0))*INDEX(crude_exp_by_year,MATCH(B2906,'Data Export'!$B$6:$B$78,0),1),IF(E2906=5,INDEX(ref_exp_dist,MATCH(B2906,'Refined Petro Exp Dist'!$B$6:$B$78,0),MATCH(C2906,'Refined Petro Exp Dist'!$AD$2:$BC$2,0))*INDEX(ref_exp_by_year,MATCH(B2906,'Data Export'!$B$6:$B$78,0),1)))</f>
        <v>0</v>
      </c>
      <c r="E2906">
        <v>5</v>
      </c>
      <c r="F2906" t="s">
        <v>228</v>
      </c>
    </row>
    <row r="2907" spans="1:6">
      <c r="A2907" t="str">
        <f t="shared" si="45"/>
        <v>GenericE&amp;DtemplateCIandGOA</v>
      </c>
      <c r="B2907">
        <v>42</v>
      </c>
      <c r="C2907">
        <v>20</v>
      </c>
      <c r="D2907" s="649">
        <f ca="1">IF(E2907=4,INDEX(crude_exp_dist,MATCH(B2907,'Crude Exp Dist'!$B$6:$B$78,0),MATCH(C2907,'Crude Exp Dist'!$AD$2:$BC$2,0))*INDEX(crude_exp_by_year,MATCH(B2907,'Data Export'!$B$6:$B$78,0),1),IF(E2907=5,INDEX(ref_exp_dist,MATCH(B2907,'Refined Petro Exp Dist'!$B$6:$B$78,0),MATCH(C2907,'Refined Petro Exp Dist'!$AD$2:$BC$2,0))*INDEX(ref_exp_by_year,MATCH(B2907,'Data Export'!$B$6:$B$78,0),1)))</f>
        <v>0</v>
      </c>
      <c r="E2907">
        <v>5</v>
      </c>
      <c r="F2907" t="s">
        <v>231</v>
      </c>
    </row>
    <row r="2908" spans="1:6">
      <c r="A2908" t="str">
        <f t="shared" si="45"/>
        <v>GenericE&amp;DtemplateCIandGOA</v>
      </c>
      <c r="B2908">
        <v>42</v>
      </c>
      <c r="C2908">
        <v>21</v>
      </c>
      <c r="D2908" s="649">
        <f ca="1">IF(E2908=4,INDEX(crude_exp_dist,MATCH(B2908,'Crude Exp Dist'!$B$6:$B$78,0),MATCH(C2908,'Crude Exp Dist'!$AD$2:$BC$2,0))*INDEX(crude_exp_by_year,MATCH(B2908,'Data Export'!$B$6:$B$78,0),1),IF(E2908=5,INDEX(ref_exp_dist,MATCH(B2908,'Refined Petro Exp Dist'!$B$6:$B$78,0),MATCH(C2908,'Refined Petro Exp Dist'!$AD$2:$BC$2,0))*INDEX(ref_exp_by_year,MATCH(B2908,'Data Export'!$B$6:$B$78,0),1)))</f>
        <v>0</v>
      </c>
      <c r="E2908">
        <v>5</v>
      </c>
      <c r="F2908" t="s">
        <v>232</v>
      </c>
    </row>
    <row r="2909" spans="1:6">
      <c r="A2909" t="str">
        <f t="shared" si="45"/>
        <v>GenericE&amp;DtemplateCIandGOA</v>
      </c>
      <c r="B2909">
        <v>42</v>
      </c>
      <c r="C2909">
        <v>22</v>
      </c>
      <c r="D2909" s="649">
        <f ca="1">IF(E2909=4,INDEX(crude_exp_dist,MATCH(B2909,'Crude Exp Dist'!$B$6:$B$78,0),MATCH(C2909,'Crude Exp Dist'!$AD$2:$BC$2,0))*INDEX(crude_exp_by_year,MATCH(B2909,'Data Export'!$B$6:$B$78,0),1),IF(E2909=5,INDEX(ref_exp_dist,MATCH(B2909,'Refined Petro Exp Dist'!$B$6:$B$78,0),MATCH(C2909,'Refined Petro Exp Dist'!$AD$2:$BC$2,0))*INDEX(ref_exp_by_year,MATCH(B2909,'Data Export'!$B$6:$B$78,0),1)))</f>
        <v>0</v>
      </c>
      <c r="E2909">
        <v>5</v>
      </c>
      <c r="F2909" t="s">
        <v>235</v>
      </c>
    </row>
    <row r="2910" spans="1:6">
      <c r="A2910" t="str">
        <f t="shared" si="45"/>
        <v>GenericE&amp;DtemplateCIandGOA</v>
      </c>
      <c r="B2910">
        <v>42</v>
      </c>
      <c r="C2910">
        <v>23</v>
      </c>
      <c r="D2910" s="649">
        <f ca="1">IF(E2910=4,INDEX(crude_exp_dist,MATCH(B2910,'Crude Exp Dist'!$B$6:$B$78,0),MATCH(C2910,'Crude Exp Dist'!$AD$2:$BC$2,0))*INDEX(crude_exp_by_year,MATCH(B2910,'Data Export'!$B$6:$B$78,0),1),IF(E2910=5,INDEX(ref_exp_dist,MATCH(B2910,'Refined Petro Exp Dist'!$B$6:$B$78,0),MATCH(C2910,'Refined Petro Exp Dist'!$AD$2:$BC$2,0))*INDEX(ref_exp_by_year,MATCH(B2910,'Data Export'!$B$6:$B$78,0),1)))</f>
        <v>0</v>
      </c>
      <c r="E2910">
        <v>5</v>
      </c>
      <c r="F2910" t="s">
        <v>237</v>
      </c>
    </row>
    <row r="2911" spans="1:6">
      <c r="A2911" t="str">
        <f t="shared" si="45"/>
        <v>GenericE&amp;DtemplateCIandGOA</v>
      </c>
      <c r="B2911">
        <v>42</v>
      </c>
      <c r="C2911">
        <v>24</v>
      </c>
      <c r="D2911" s="649">
        <f ca="1">IF(E2911=4,INDEX(crude_exp_dist,MATCH(B2911,'Crude Exp Dist'!$B$6:$B$78,0),MATCH(C2911,'Crude Exp Dist'!$AD$2:$BC$2,0))*INDEX(crude_exp_by_year,MATCH(B2911,'Data Export'!$B$6:$B$78,0),1),IF(E2911=5,INDEX(ref_exp_dist,MATCH(B2911,'Refined Petro Exp Dist'!$B$6:$B$78,0),MATCH(C2911,'Refined Petro Exp Dist'!$AD$2:$BC$2,0))*INDEX(ref_exp_by_year,MATCH(B2911,'Data Export'!$B$6:$B$78,0),1)))</f>
        <v>0</v>
      </c>
      <c r="E2911">
        <v>5</v>
      </c>
      <c r="F2911" t="s">
        <v>239</v>
      </c>
    </row>
    <row r="2912" spans="1:6">
      <c r="A2912" t="str">
        <f t="shared" si="45"/>
        <v>GenericE&amp;DtemplateCIandGOA</v>
      </c>
      <c r="B2912">
        <v>42</v>
      </c>
      <c r="C2912">
        <v>25</v>
      </c>
      <c r="D2912" s="649">
        <f ca="1">IF(E2912=4,INDEX(crude_exp_dist,MATCH(B2912,'Crude Exp Dist'!$B$6:$B$78,0),MATCH(C2912,'Crude Exp Dist'!$AD$2:$BC$2,0))*INDEX(crude_exp_by_year,MATCH(B2912,'Data Export'!$B$6:$B$78,0),1),IF(E2912=5,INDEX(ref_exp_dist,MATCH(B2912,'Refined Petro Exp Dist'!$B$6:$B$78,0),MATCH(C2912,'Refined Petro Exp Dist'!$AD$2:$BC$2,0))*INDEX(ref_exp_by_year,MATCH(B2912,'Data Export'!$B$6:$B$78,0),1)))</f>
        <v>0</v>
      </c>
      <c r="E2912">
        <v>5</v>
      </c>
      <c r="F2912" t="s">
        <v>242</v>
      </c>
    </row>
    <row r="2913" spans="1:6">
      <c r="A2913" t="str">
        <f t="shared" si="45"/>
        <v>GenericE&amp;DtemplateCIandGOA</v>
      </c>
      <c r="B2913">
        <v>42</v>
      </c>
      <c r="C2913">
        <v>26</v>
      </c>
      <c r="D2913" s="649">
        <f ca="1">IF(E2913=4,INDEX(crude_exp_dist,MATCH(B2913,'Crude Exp Dist'!$B$6:$B$78,0),MATCH(C2913,'Crude Exp Dist'!$AD$2:$BC$2,0))*INDEX(crude_exp_by_year,MATCH(B2913,'Data Export'!$B$6:$B$78,0),1),IF(E2913=5,INDEX(ref_exp_dist,MATCH(B2913,'Refined Petro Exp Dist'!$B$6:$B$78,0),MATCH(C2913,'Refined Petro Exp Dist'!$AD$2:$BC$2,0))*INDEX(ref_exp_by_year,MATCH(B2913,'Data Export'!$B$6:$B$78,0),1)))</f>
        <v>0</v>
      </c>
      <c r="E2913">
        <v>5</v>
      </c>
      <c r="F2913" t="s">
        <v>245</v>
      </c>
    </row>
    <row r="2914" spans="1:6">
      <c r="A2914" t="str">
        <f t="shared" si="45"/>
        <v>GenericE&amp;DtemplateCIandGOA</v>
      </c>
      <c r="B2914">
        <v>43</v>
      </c>
      <c r="C2914">
        <v>1</v>
      </c>
      <c r="D2914" s="649">
        <f ca="1">IF(E2914=4,INDEX(crude_exp_dist,MATCH(B2914,'Crude Exp Dist'!$B$6:$B$78,0),MATCH(C2914,'Crude Exp Dist'!$AD$2:$BC$2,0))*INDEX(crude_exp_by_year,MATCH(B2914,'Data Export'!$B$6:$B$78,0),1),IF(E2914=5,INDEX(ref_exp_dist,MATCH(B2914,'Refined Petro Exp Dist'!$B$6:$B$78,0),MATCH(C2914,'Refined Petro Exp Dist'!$AD$2:$BC$2,0))*INDEX(ref_exp_by_year,MATCH(B2914,'Data Export'!$B$6:$B$78,0),1)))</f>
        <v>0</v>
      </c>
      <c r="E2914">
        <v>5</v>
      </c>
      <c r="F2914" t="s">
        <v>158</v>
      </c>
    </row>
    <row r="2915" spans="1:6">
      <c r="A2915" t="str">
        <f t="shared" si="45"/>
        <v>GenericE&amp;DtemplateCIandGOA</v>
      </c>
      <c r="B2915">
        <v>43</v>
      </c>
      <c r="C2915">
        <v>2</v>
      </c>
      <c r="D2915" s="649">
        <f ca="1">IF(E2915=4,INDEX(crude_exp_dist,MATCH(B2915,'Crude Exp Dist'!$B$6:$B$78,0),MATCH(C2915,'Crude Exp Dist'!$AD$2:$BC$2,0))*INDEX(crude_exp_by_year,MATCH(B2915,'Data Export'!$B$6:$B$78,0),1),IF(E2915=5,INDEX(ref_exp_dist,MATCH(B2915,'Refined Petro Exp Dist'!$B$6:$B$78,0),MATCH(C2915,'Refined Petro Exp Dist'!$AD$2:$BC$2,0))*INDEX(ref_exp_by_year,MATCH(B2915,'Data Export'!$B$6:$B$78,0),1)))</f>
        <v>0</v>
      </c>
      <c r="E2915">
        <v>5</v>
      </c>
      <c r="F2915" t="s">
        <v>166</v>
      </c>
    </row>
    <row r="2916" spans="1:6">
      <c r="A2916" t="str">
        <f t="shared" si="45"/>
        <v>GenericE&amp;DtemplateCIandGOA</v>
      </c>
      <c r="B2916">
        <v>43</v>
      </c>
      <c r="C2916">
        <v>3</v>
      </c>
      <c r="D2916" s="649">
        <f ca="1">IF(E2916=4,INDEX(crude_exp_dist,MATCH(B2916,'Crude Exp Dist'!$B$6:$B$78,0),MATCH(C2916,'Crude Exp Dist'!$AD$2:$BC$2,0))*INDEX(crude_exp_by_year,MATCH(B2916,'Data Export'!$B$6:$B$78,0),1),IF(E2916=5,INDEX(ref_exp_dist,MATCH(B2916,'Refined Petro Exp Dist'!$B$6:$B$78,0),MATCH(C2916,'Refined Petro Exp Dist'!$AD$2:$BC$2,0))*INDEX(ref_exp_by_year,MATCH(B2916,'Data Export'!$B$6:$B$78,0),1)))</f>
        <v>0</v>
      </c>
      <c r="E2916">
        <v>5</v>
      </c>
      <c r="F2916" t="s">
        <v>171</v>
      </c>
    </row>
    <row r="2917" spans="1:6">
      <c r="A2917" t="str">
        <f t="shared" si="45"/>
        <v>GenericE&amp;DtemplateCIandGOA</v>
      </c>
      <c r="B2917">
        <v>43</v>
      </c>
      <c r="C2917">
        <v>4</v>
      </c>
      <c r="D2917" s="649">
        <f ca="1">IF(E2917=4,INDEX(crude_exp_dist,MATCH(B2917,'Crude Exp Dist'!$B$6:$B$78,0),MATCH(C2917,'Crude Exp Dist'!$AD$2:$BC$2,0))*INDEX(crude_exp_by_year,MATCH(B2917,'Data Export'!$B$6:$B$78,0),1),IF(E2917=5,INDEX(ref_exp_dist,MATCH(B2917,'Refined Petro Exp Dist'!$B$6:$B$78,0),MATCH(C2917,'Refined Petro Exp Dist'!$AD$2:$BC$2,0))*INDEX(ref_exp_by_year,MATCH(B2917,'Data Export'!$B$6:$B$78,0),1)))</f>
        <v>0</v>
      </c>
      <c r="E2917">
        <v>5</v>
      </c>
      <c r="F2917" t="s">
        <v>173</v>
      </c>
    </row>
    <row r="2918" spans="1:6">
      <c r="A2918" t="str">
        <f t="shared" si="45"/>
        <v>GenericE&amp;DtemplateCIandGOA</v>
      </c>
      <c r="B2918">
        <v>43</v>
      </c>
      <c r="C2918">
        <v>5</v>
      </c>
      <c r="D2918" s="649">
        <f ca="1">IF(E2918=4,INDEX(crude_exp_dist,MATCH(B2918,'Crude Exp Dist'!$B$6:$B$78,0),MATCH(C2918,'Crude Exp Dist'!$AD$2:$BC$2,0))*INDEX(crude_exp_by_year,MATCH(B2918,'Data Export'!$B$6:$B$78,0),1),IF(E2918=5,INDEX(ref_exp_dist,MATCH(B2918,'Refined Petro Exp Dist'!$B$6:$B$78,0),MATCH(C2918,'Refined Petro Exp Dist'!$AD$2:$BC$2,0))*INDEX(ref_exp_by_year,MATCH(B2918,'Data Export'!$B$6:$B$78,0),1)))</f>
        <v>0</v>
      </c>
      <c r="E2918">
        <v>5</v>
      </c>
      <c r="F2918" t="s">
        <v>180</v>
      </c>
    </row>
    <row r="2919" spans="1:6">
      <c r="A2919" t="str">
        <f t="shared" si="45"/>
        <v>GenericE&amp;DtemplateCIandGOA</v>
      </c>
      <c r="B2919">
        <v>43</v>
      </c>
      <c r="C2919">
        <v>6</v>
      </c>
      <c r="D2919" s="649">
        <f ca="1">IF(E2919=4,INDEX(crude_exp_dist,MATCH(B2919,'Crude Exp Dist'!$B$6:$B$78,0),MATCH(C2919,'Crude Exp Dist'!$AD$2:$BC$2,0))*INDEX(crude_exp_by_year,MATCH(B2919,'Data Export'!$B$6:$B$78,0),1),IF(E2919=5,INDEX(ref_exp_dist,MATCH(B2919,'Refined Petro Exp Dist'!$B$6:$B$78,0),MATCH(C2919,'Refined Petro Exp Dist'!$AD$2:$BC$2,0))*INDEX(ref_exp_by_year,MATCH(B2919,'Data Export'!$B$6:$B$78,0),1)))</f>
        <v>0</v>
      </c>
      <c r="E2919">
        <v>5</v>
      </c>
      <c r="F2919" t="s">
        <v>186</v>
      </c>
    </row>
    <row r="2920" spans="1:6">
      <c r="A2920" t="str">
        <f t="shared" si="45"/>
        <v>GenericE&amp;DtemplateCIandGOA</v>
      </c>
      <c r="B2920">
        <v>43</v>
      </c>
      <c r="C2920">
        <v>7</v>
      </c>
      <c r="D2920" s="649">
        <f ca="1">IF(E2920=4,INDEX(crude_exp_dist,MATCH(B2920,'Crude Exp Dist'!$B$6:$B$78,0),MATCH(C2920,'Crude Exp Dist'!$AD$2:$BC$2,0))*INDEX(crude_exp_by_year,MATCH(B2920,'Data Export'!$B$6:$B$78,0),1),IF(E2920=5,INDEX(ref_exp_dist,MATCH(B2920,'Refined Petro Exp Dist'!$B$6:$B$78,0),MATCH(C2920,'Refined Petro Exp Dist'!$AD$2:$BC$2,0))*INDEX(ref_exp_by_year,MATCH(B2920,'Data Export'!$B$6:$B$78,0),1)))</f>
        <v>0</v>
      </c>
      <c r="E2920">
        <v>5</v>
      </c>
      <c r="F2920" t="s">
        <v>191</v>
      </c>
    </row>
    <row r="2921" spans="1:6">
      <c r="A2921" t="str">
        <f t="shared" si="45"/>
        <v>GenericE&amp;DtemplateCIandGOA</v>
      </c>
      <c r="B2921">
        <v>43</v>
      </c>
      <c r="C2921">
        <v>8</v>
      </c>
      <c r="D2921" s="649">
        <f ca="1">IF(E2921=4,INDEX(crude_exp_dist,MATCH(B2921,'Crude Exp Dist'!$B$6:$B$78,0),MATCH(C2921,'Crude Exp Dist'!$AD$2:$BC$2,0))*INDEX(crude_exp_by_year,MATCH(B2921,'Data Export'!$B$6:$B$78,0),1),IF(E2921=5,INDEX(ref_exp_dist,MATCH(B2921,'Refined Petro Exp Dist'!$B$6:$B$78,0),MATCH(C2921,'Refined Petro Exp Dist'!$AD$2:$BC$2,0))*INDEX(ref_exp_by_year,MATCH(B2921,'Data Export'!$B$6:$B$78,0),1)))</f>
        <v>0</v>
      </c>
      <c r="E2921">
        <v>5</v>
      </c>
      <c r="F2921" t="s">
        <v>197</v>
      </c>
    </row>
    <row r="2922" spans="1:6">
      <c r="A2922" t="str">
        <f t="shared" si="45"/>
        <v>GenericE&amp;DtemplateCIandGOA</v>
      </c>
      <c r="B2922">
        <v>43</v>
      </c>
      <c r="C2922">
        <v>9</v>
      </c>
      <c r="D2922" s="649">
        <f ca="1">IF(E2922=4,INDEX(crude_exp_dist,MATCH(B2922,'Crude Exp Dist'!$B$6:$B$78,0),MATCH(C2922,'Crude Exp Dist'!$AD$2:$BC$2,0))*INDEX(crude_exp_by_year,MATCH(B2922,'Data Export'!$B$6:$B$78,0),1),IF(E2922=5,INDEX(ref_exp_dist,MATCH(B2922,'Refined Petro Exp Dist'!$B$6:$B$78,0),MATCH(C2922,'Refined Petro Exp Dist'!$AD$2:$BC$2,0))*INDEX(ref_exp_by_year,MATCH(B2922,'Data Export'!$B$6:$B$78,0),1)))</f>
        <v>0</v>
      </c>
      <c r="E2922">
        <v>5</v>
      </c>
      <c r="F2922" t="s">
        <v>199</v>
      </c>
    </row>
    <row r="2923" spans="1:6">
      <c r="A2923" t="str">
        <f t="shared" si="45"/>
        <v>GenericE&amp;DtemplateCIandGOA</v>
      </c>
      <c r="B2923">
        <v>43</v>
      </c>
      <c r="C2923">
        <v>10</v>
      </c>
      <c r="D2923" s="649">
        <f ca="1">IF(E2923=4,INDEX(crude_exp_dist,MATCH(B2923,'Crude Exp Dist'!$B$6:$B$78,0),MATCH(C2923,'Crude Exp Dist'!$AD$2:$BC$2,0))*INDEX(crude_exp_by_year,MATCH(B2923,'Data Export'!$B$6:$B$78,0),1),IF(E2923=5,INDEX(ref_exp_dist,MATCH(B2923,'Refined Petro Exp Dist'!$B$6:$B$78,0),MATCH(C2923,'Refined Petro Exp Dist'!$AD$2:$BC$2,0))*INDEX(ref_exp_by_year,MATCH(B2923,'Data Export'!$B$6:$B$78,0),1)))</f>
        <v>0</v>
      </c>
      <c r="E2923">
        <v>5</v>
      </c>
      <c r="F2923" t="s">
        <v>201</v>
      </c>
    </row>
    <row r="2924" spans="1:6">
      <c r="A2924" t="str">
        <f t="shared" si="45"/>
        <v>GenericE&amp;DtemplateCIandGOA</v>
      </c>
      <c r="B2924">
        <v>43</v>
      </c>
      <c r="C2924">
        <v>11</v>
      </c>
      <c r="D2924" s="649">
        <f ca="1">IF(E2924=4,INDEX(crude_exp_dist,MATCH(B2924,'Crude Exp Dist'!$B$6:$B$78,0),MATCH(C2924,'Crude Exp Dist'!$AD$2:$BC$2,0))*INDEX(crude_exp_by_year,MATCH(B2924,'Data Export'!$B$6:$B$78,0),1),IF(E2924=5,INDEX(ref_exp_dist,MATCH(B2924,'Refined Petro Exp Dist'!$B$6:$B$78,0),MATCH(C2924,'Refined Petro Exp Dist'!$AD$2:$BC$2,0))*INDEX(ref_exp_by_year,MATCH(B2924,'Data Export'!$B$6:$B$78,0),1)))</f>
        <v>0</v>
      </c>
      <c r="E2924">
        <v>5</v>
      </c>
      <c r="F2924" t="s">
        <v>921</v>
      </c>
    </row>
    <row r="2925" spans="1:6">
      <c r="A2925" t="str">
        <f t="shared" si="45"/>
        <v>GenericE&amp;DtemplateCIandGOA</v>
      </c>
      <c r="B2925">
        <v>43</v>
      </c>
      <c r="C2925">
        <v>12</v>
      </c>
      <c r="D2925" s="649">
        <f ca="1">IF(E2925=4,INDEX(crude_exp_dist,MATCH(B2925,'Crude Exp Dist'!$B$6:$B$78,0),MATCH(C2925,'Crude Exp Dist'!$AD$2:$BC$2,0))*INDEX(crude_exp_by_year,MATCH(B2925,'Data Export'!$B$6:$B$78,0),1),IF(E2925=5,INDEX(ref_exp_dist,MATCH(B2925,'Refined Petro Exp Dist'!$B$6:$B$78,0),MATCH(C2925,'Refined Petro Exp Dist'!$AD$2:$BC$2,0))*INDEX(ref_exp_by_year,MATCH(B2925,'Data Export'!$B$6:$B$78,0),1)))</f>
        <v>0</v>
      </c>
      <c r="E2925">
        <v>5</v>
      </c>
      <c r="F2925" t="s">
        <v>208</v>
      </c>
    </row>
    <row r="2926" spans="1:6">
      <c r="A2926" t="str">
        <f t="shared" si="45"/>
        <v>GenericE&amp;DtemplateCIandGOA</v>
      </c>
      <c r="B2926">
        <v>43</v>
      </c>
      <c r="C2926">
        <v>13</v>
      </c>
      <c r="D2926" s="649">
        <f ca="1">IF(E2926=4,INDEX(crude_exp_dist,MATCH(B2926,'Crude Exp Dist'!$B$6:$B$78,0),MATCH(C2926,'Crude Exp Dist'!$AD$2:$BC$2,0))*INDEX(crude_exp_by_year,MATCH(B2926,'Data Export'!$B$6:$B$78,0),1),IF(E2926=5,INDEX(ref_exp_dist,MATCH(B2926,'Refined Petro Exp Dist'!$B$6:$B$78,0),MATCH(C2926,'Refined Petro Exp Dist'!$AD$2:$BC$2,0))*INDEX(ref_exp_by_year,MATCH(B2926,'Data Export'!$B$6:$B$78,0),1)))</f>
        <v>0</v>
      </c>
      <c r="E2926">
        <v>5</v>
      </c>
      <c r="F2926" t="s">
        <v>211</v>
      </c>
    </row>
    <row r="2927" spans="1:6">
      <c r="A2927" t="str">
        <f t="shared" si="45"/>
        <v>GenericE&amp;DtemplateCIandGOA</v>
      </c>
      <c r="B2927">
        <v>43</v>
      </c>
      <c r="C2927">
        <v>14</v>
      </c>
      <c r="D2927" s="649">
        <f ca="1">IF(E2927=4,INDEX(crude_exp_dist,MATCH(B2927,'Crude Exp Dist'!$B$6:$B$78,0),MATCH(C2927,'Crude Exp Dist'!$AD$2:$BC$2,0))*INDEX(crude_exp_by_year,MATCH(B2927,'Data Export'!$B$6:$B$78,0),1),IF(E2927=5,INDEX(ref_exp_dist,MATCH(B2927,'Refined Petro Exp Dist'!$B$6:$B$78,0),MATCH(C2927,'Refined Petro Exp Dist'!$AD$2:$BC$2,0))*INDEX(ref_exp_by_year,MATCH(B2927,'Data Export'!$B$6:$B$78,0),1)))</f>
        <v>0</v>
      </c>
      <c r="E2927">
        <v>5</v>
      </c>
      <c r="F2927" t="s">
        <v>213</v>
      </c>
    </row>
    <row r="2928" spans="1:6">
      <c r="A2928" t="str">
        <f t="shared" si="45"/>
        <v>GenericE&amp;DtemplateCIandGOA</v>
      </c>
      <c r="B2928">
        <v>43</v>
      </c>
      <c r="C2928">
        <v>15</v>
      </c>
      <c r="D2928" s="649">
        <f ca="1">IF(E2928=4,INDEX(crude_exp_dist,MATCH(B2928,'Crude Exp Dist'!$B$6:$B$78,0),MATCH(C2928,'Crude Exp Dist'!$AD$2:$BC$2,0))*INDEX(crude_exp_by_year,MATCH(B2928,'Data Export'!$B$6:$B$78,0),1),IF(E2928=5,INDEX(ref_exp_dist,MATCH(B2928,'Refined Petro Exp Dist'!$B$6:$B$78,0),MATCH(C2928,'Refined Petro Exp Dist'!$AD$2:$BC$2,0))*INDEX(ref_exp_by_year,MATCH(B2928,'Data Export'!$B$6:$B$78,0),1)))</f>
        <v>0</v>
      </c>
      <c r="E2928">
        <v>5</v>
      </c>
      <c r="F2928" t="s">
        <v>215</v>
      </c>
    </row>
    <row r="2929" spans="1:6">
      <c r="A2929" t="str">
        <f t="shared" si="45"/>
        <v>GenericE&amp;DtemplateCIandGOA</v>
      </c>
      <c r="B2929">
        <v>43</v>
      </c>
      <c r="C2929">
        <v>16</v>
      </c>
      <c r="D2929" s="649">
        <f ca="1">IF(E2929=4,INDEX(crude_exp_dist,MATCH(B2929,'Crude Exp Dist'!$B$6:$B$78,0),MATCH(C2929,'Crude Exp Dist'!$AD$2:$BC$2,0))*INDEX(crude_exp_by_year,MATCH(B2929,'Data Export'!$B$6:$B$78,0),1),IF(E2929=5,INDEX(ref_exp_dist,MATCH(B2929,'Refined Petro Exp Dist'!$B$6:$B$78,0),MATCH(C2929,'Refined Petro Exp Dist'!$AD$2:$BC$2,0))*INDEX(ref_exp_by_year,MATCH(B2929,'Data Export'!$B$6:$B$78,0),1)))</f>
        <v>0</v>
      </c>
      <c r="E2929">
        <v>5</v>
      </c>
      <c r="F2929" t="s">
        <v>219</v>
      </c>
    </row>
    <row r="2930" spans="1:6">
      <c r="A2930" t="str">
        <f t="shared" si="45"/>
        <v>GenericE&amp;DtemplateCIandGOA</v>
      </c>
      <c r="B2930">
        <v>43</v>
      </c>
      <c r="C2930">
        <v>17</v>
      </c>
      <c r="D2930" s="649">
        <f ca="1">IF(E2930=4,INDEX(crude_exp_dist,MATCH(B2930,'Crude Exp Dist'!$B$6:$B$78,0),MATCH(C2930,'Crude Exp Dist'!$AD$2:$BC$2,0))*INDEX(crude_exp_by_year,MATCH(B2930,'Data Export'!$B$6:$B$78,0),1),IF(E2930=5,INDEX(ref_exp_dist,MATCH(B2930,'Refined Petro Exp Dist'!$B$6:$B$78,0),MATCH(C2930,'Refined Petro Exp Dist'!$AD$2:$BC$2,0))*INDEX(ref_exp_by_year,MATCH(B2930,'Data Export'!$B$6:$B$78,0),1)))</f>
        <v>0</v>
      </c>
      <c r="E2930">
        <v>5</v>
      </c>
      <c r="F2930" t="s">
        <v>222</v>
      </c>
    </row>
    <row r="2931" spans="1:6">
      <c r="A2931" t="str">
        <f t="shared" si="45"/>
        <v>GenericE&amp;DtemplateCIandGOA</v>
      </c>
      <c r="B2931">
        <v>43</v>
      </c>
      <c r="C2931">
        <v>18</v>
      </c>
      <c r="D2931" s="649">
        <f ca="1">IF(E2931=4,INDEX(crude_exp_dist,MATCH(B2931,'Crude Exp Dist'!$B$6:$B$78,0),MATCH(C2931,'Crude Exp Dist'!$AD$2:$BC$2,0))*INDEX(crude_exp_by_year,MATCH(B2931,'Data Export'!$B$6:$B$78,0),1),IF(E2931=5,INDEX(ref_exp_dist,MATCH(B2931,'Refined Petro Exp Dist'!$B$6:$B$78,0),MATCH(C2931,'Refined Petro Exp Dist'!$AD$2:$BC$2,0))*INDEX(ref_exp_by_year,MATCH(B2931,'Data Export'!$B$6:$B$78,0),1)))</f>
        <v>0</v>
      </c>
      <c r="E2931">
        <v>5</v>
      </c>
      <c r="F2931" t="s">
        <v>224</v>
      </c>
    </row>
    <row r="2932" spans="1:6">
      <c r="A2932" t="str">
        <f t="shared" si="45"/>
        <v>GenericE&amp;DtemplateCIandGOA</v>
      </c>
      <c r="B2932">
        <v>43</v>
      </c>
      <c r="C2932">
        <v>19</v>
      </c>
      <c r="D2932" s="649">
        <f ca="1">IF(E2932=4,INDEX(crude_exp_dist,MATCH(B2932,'Crude Exp Dist'!$B$6:$B$78,0),MATCH(C2932,'Crude Exp Dist'!$AD$2:$BC$2,0))*INDEX(crude_exp_by_year,MATCH(B2932,'Data Export'!$B$6:$B$78,0),1),IF(E2932=5,INDEX(ref_exp_dist,MATCH(B2932,'Refined Petro Exp Dist'!$B$6:$B$78,0),MATCH(C2932,'Refined Petro Exp Dist'!$AD$2:$BC$2,0))*INDEX(ref_exp_by_year,MATCH(B2932,'Data Export'!$B$6:$B$78,0),1)))</f>
        <v>0</v>
      </c>
      <c r="E2932">
        <v>5</v>
      </c>
      <c r="F2932" t="s">
        <v>228</v>
      </c>
    </row>
    <row r="2933" spans="1:6">
      <c r="A2933" t="str">
        <f t="shared" si="45"/>
        <v>GenericE&amp;DtemplateCIandGOA</v>
      </c>
      <c r="B2933">
        <v>43</v>
      </c>
      <c r="C2933">
        <v>20</v>
      </c>
      <c r="D2933" s="649">
        <f ca="1">IF(E2933=4,INDEX(crude_exp_dist,MATCH(B2933,'Crude Exp Dist'!$B$6:$B$78,0),MATCH(C2933,'Crude Exp Dist'!$AD$2:$BC$2,0))*INDEX(crude_exp_by_year,MATCH(B2933,'Data Export'!$B$6:$B$78,0),1),IF(E2933=5,INDEX(ref_exp_dist,MATCH(B2933,'Refined Petro Exp Dist'!$B$6:$B$78,0),MATCH(C2933,'Refined Petro Exp Dist'!$AD$2:$BC$2,0))*INDEX(ref_exp_by_year,MATCH(B2933,'Data Export'!$B$6:$B$78,0),1)))</f>
        <v>0</v>
      </c>
      <c r="E2933">
        <v>5</v>
      </c>
      <c r="F2933" t="s">
        <v>231</v>
      </c>
    </row>
    <row r="2934" spans="1:6">
      <c r="A2934" t="str">
        <f t="shared" si="45"/>
        <v>GenericE&amp;DtemplateCIandGOA</v>
      </c>
      <c r="B2934">
        <v>43</v>
      </c>
      <c r="C2934">
        <v>21</v>
      </c>
      <c r="D2934" s="649">
        <f ca="1">IF(E2934=4,INDEX(crude_exp_dist,MATCH(B2934,'Crude Exp Dist'!$B$6:$B$78,0),MATCH(C2934,'Crude Exp Dist'!$AD$2:$BC$2,0))*INDEX(crude_exp_by_year,MATCH(B2934,'Data Export'!$B$6:$B$78,0),1),IF(E2934=5,INDEX(ref_exp_dist,MATCH(B2934,'Refined Petro Exp Dist'!$B$6:$B$78,0),MATCH(C2934,'Refined Petro Exp Dist'!$AD$2:$BC$2,0))*INDEX(ref_exp_by_year,MATCH(B2934,'Data Export'!$B$6:$B$78,0),1)))</f>
        <v>0</v>
      </c>
      <c r="E2934">
        <v>5</v>
      </c>
      <c r="F2934" t="s">
        <v>232</v>
      </c>
    </row>
    <row r="2935" spans="1:6">
      <c r="A2935" t="str">
        <f t="shared" si="45"/>
        <v>GenericE&amp;DtemplateCIandGOA</v>
      </c>
      <c r="B2935">
        <v>43</v>
      </c>
      <c r="C2935">
        <v>22</v>
      </c>
      <c r="D2935" s="649">
        <f ca="1">IF(E2935=4,INDEX(crude_exp_dist,MATCH(B2935,'Crude Exp Dist'!$B$6:$B$78,0),MATCH(C2935,'Crude Exp Dist'!$AD$2:$BC$2,0))*INDEX(crude_exp_by_year,MATCH(B2935,'Data Export'!$B$6:$B$78,0),1),IF(E2935=5,INDEX(ref_exp_dist,MATCH(B2935,'Refined Petro Exp Dist'!$B$6:$B$78,0),MATCH(C2935,'Refined Petro Exp Dist'!$AD$2:$BC$2,0))*INDEX(ref_exp_by_year,MATCH(B2935,'Data Export'!$B$6:$B$78,0),1)))</f>
        <v>0</v>
      </c>
      <c r="E2935">
        <v>5</v>
      </c>
      <c r="F2935" t="s">
        <v>235</v>
      </c>
    </row>
    <row r="2936" spans="1:6">
      <c r="A2936" t="str">
        <f t="shared" si="45"/>
        <v>GenericE&amp;DtemplateCIandGOA</v>
      </c>
      <c r="B2936">
        <v>43</v>
      </c>
      <c r="C2936">
        <v>23</v>
      </c>
      <c r="D2936" s="649">
        <f ca="1">IF(E2936=4,INDEX(crude_exp_dist,MATCH(B2936,'Crude Exp Dist'!$B$6:$B$78,0),MATCH(C2936,'Crude Exp Dist'!$AD$2:$BC$2,0))*INDEX(crude_exp_by_year,MATCH(B2936,'Data Export'!$B$6:$B$78,0),1),IF(E2936=5,INDEX(ref_exp_dist,MATCH(B2936,'Refined Petro Exp Dist'!$B$6:$B$78,0),MATCH(C2936,'Refined Petro Exp Dist'!$AD$2:$BC$2,0))*INDEX(ref_exp_by_year,MATCH(B2936,'Data Export'!$B$6:$B$78,0),1)))</f>
        <v>0</v>
      </c>
      <c r="E2936">
        <v>5</v>
      </c>
      <c r="F2936" t="s">
        <v>237</v>
      </c>
    </row>
    <row r="2937" spans="1:6">
      <c r="A2937" t="str">
        <f t="shared" si="45"/>
        <v>GenericE&amp;DtemplateCIandGOA</v>
      </c>
      <c r="B2937">
        <v>43</v>
      </c>
      <c r="C2937">
        <v>24</v>
      </c>
      <c r="D2937" s="649">
        <f ca="1">IF(E2937=4,INDEX(crude_exp_dist,MATCH(B2937,'Crude Exp Dist'!$B$6:$B$78,0),MATCH(C2937,'Crude Exp Dist'!$AD$2:$BC$2,0))*INDEX(crude_exp_by_year,MATCH(B2937,'Data Export'!$B$6:$B$78,0),1),IF(E2937=5,INDEX(ref_exp_dist,MATCH(B2937,'Refined Petro Exp Dist'!$B$6:$B$78,0),MATCH(C2937,'Refined Petro Exp Dist'!$AD$2:$BC$2,0))*INDEX(ref_exp_by_year,MATCH(B2937,'Data Export'!$B$6:$B$78,0),1)))</f>
        <v>0</v>
      </c>
      <c r="E2937">
        <v>5</v>
      </c>
      <c r="F2937" t="s">
        <v>239</v>
      </c>
    </row>
    <row r="2938" spans="1:6">
      <c r="A2938" t="str">
        <f t="shared" si="45"/>
        <v>GenericE&amp;DtemplateCIandGOA</v>
      </c>
      <c r="B2938">
        <v>43</v>
      </c>
      <c r="C2938">
        <v>25</v>
      </c>
      <c r="D2938" s="649">
        <f ca="1">IF(E2938=4,INDEX(crude_exp_dist,MATCH(B2938,'Crude Exp Dist'!$B$6:$B$78,0),MATCH(C2938,'Crude Exp Dist'!$AD$2:$BC$2,0))*INDEX(crude_exp_by_year,MATCH(B2938,'Data Export'!$B$6:$B$78,0),1),IF(E2938=5,INDEX(ref_exp_dist,MATCH(B2938,'Refined Petro Exp Dist'!$B$6:$B$78,0),MATCH(C2938,'Refined Petro Exp Dist'!$AD$2:$BC$2,0))*INDEX(ref_exp_by_year,MATCH(B2938,'Data Export'!$B$6:$B$78,0),1)))</f>
        <v>0</v>
      </c>
      <c r="E2938">
        <v>5</v>
      </c>
      <c r="F2938" t="s">
        <v>242</v>
      </c>
    </row>
    <row r="2939" spans="1:6">
      <c r="A2939" t="str">
        <f t="shared" si="45"/>
        <v>GenericE&amp;DtemplateCIandGOA</v>
      </c>
      <c r="B2939">
        <v>43</v>
      </c>
      <c r="C2939">
        <v>26</v>
      </c>
      <c r="D2939" s="649">
        <f ca="1">IF(E2939=4,INDEX(crude_exp_dist,MATCH(B2939,'Crude Exp Dist'!$B$6:$B$78,0),MATCH(C2939,'Crude Exp Dist'!$AD$2:$BC$2,0))*INDEX(crude_exp_by_year,MATCH(B2939,'Data Export'!$B$6:$B$78,0),1),IF(E2939=5,INDEX(ref_exp_dist,MATCH(B2939,'Refined Petro Exp Dist'!$B$6:$B$78,0),MATCH(C2939,'Refined Petro Exp Dist'!$AD$2:$BC$2,0))*INDEX(ref_exp_by_year,MATCH(B2939,'Data Export'!$B$6:$B$78,0),1)))</f>
        <v>0</v>
      </c>
      <c r="E2939">
        <v>5</v>
      </c>
      <c r="F2939" t="s">
        <v>245</v>
      </c>
    </row>
    <row r="2940" spans="1:6">
      <c r="A2940" t="str">
        <f t="shared" si="45"/>
        <v>GenericE&amp;DtemplateCIandGOA</v>
      </c>
      <c r="B2940">
        <v>44</v>
      </c>
      <c r="C2940">
        <v>1</v>
      </c>
      <c r="D2940" s="649">
        <f ca="1">IF(E2940=4,INDEX(crude_exp_dist,MATCH(B2940,'Crude Exp Dist'!$B$6:$B$78,0),MATCH(C2940,'Crude Exp Dist'!$AD$2:$BC$2,0))*INDEX(crude_exp_by_year,MATCH(B2940,'Data Export'!$B$6:$B$78,0),1),IF(E2940=5,INDEX(ref_exp_dist,MATCH(B2940,'Refined Petro Exp Dist'!$B$6:$B$78,0),MATCH(C2940,'Refined Petro Exp Dist'!$AD$2:$BC$2,0))*INDEX(ref_exp_by_year,MATCH(B2940,'Data Export'!$B$6:$B$78,0),1)))</f>
        <v>0</v>
      </c>
      <c r="E2940">
        <v>5</v>
      </c>
      <c r="F2940" t="s">
        <v>158</v>
      </c>
    </row>
    <row r="2941" spans="1:6">
      <c r="A2941" t="str">
        <f t="shared" si="45"/>
        <v>GenericE&amp;DtemplateCIandGOA</v>
      </c>
      <c r="B2941">
        <v>44</v>
      </c>
      <c r="C2941">
        <v>2</v>
      </c>
      <c r="D2941" s="649">
        <f ca="1">IF(E2941=4,INDEX(crude_exp_dist,MATCH(B2941,'Crude Exp Dist'!$B$6:$B$78,0),MATCH(C2941,'Crude Exp Dist'!$AD$2:$BC$2,0))*INDEX(crude_exp_by_year,MATCH(B2941,'Data Export'!$B$6:$B$78,0),1),IF(E2941=5,INDEX(ref_exp_dist,MATCH(B2941,'Refined Petro Exp Dist'!$B$6:$B$78,0),MATCH(C2941,'Refined Petro Exp Dist'!$AD$2:$BC$2,0))*INDEX(ref_exp_by_year,MATCH(B2941,'Data Export'!$B$6:$B$78,0),1)))</f>
        <v>0</v>
      </c>
      <c r="E2941">
        <v>5</v>
      </c>
      <c r="F2941" t="s">
        <v>166</v>
      </c>
    </row>
    <row r="2942" spans="1:6">
      <c r="A2942" t="str">
        <f t="shared" si="45"/>
        <v>GenericE&amp;DtemplateCIandGOA</v>
      </c>
      <c r="B2942">
        <v>44</v>
      </c>
      <c r="C2942">
        <v>3</v>
      </c>
      <c r="D2942" s="649">
        <f ca="1">IF(E2942=4,INDEX(crude_exp_dist,MATCH(B2942,'Crude Exp Dist'!$B$6:$B$78,0),MATCH(C2942,'Crude Exp Dist'!$AD$2:$BC$2,0))*INDEX(crude_exp_by_year,MATCH(B2942,'Data Export'!$B$6:$B$78,0),1),IF(E2942=5,INDEX(ref_exp_dist,MATCH(B2942,'Refined Petro Exp Dist'!$B$6:$B$78,0),MATCH(C2942,'Refined Petro Exp Dist'!$AD$2:$BC$2,0))*INDEX(ref_exp_by_year,MATCH(B2942,'Data Export'!$B$6:$B$78,0),1)))</f>
        <v>0</v>
      </c>
      <c r="E2942">
        <v>5</v>
      </c>
      <c r="F2942" t="s">
        <v>171</v>
      </c>
    </row>
    <row r="2943" spans="1:6">
      <c r="A2943" t="str">
        <f t="shared" si="45"/>
        <v>GenericE&amp;DtemplateCIandGOA</v>
      </c>
      <c r="B2943">
        <v>44</v>
      </c>
      <c r="C2943">
        <v>4</v>
      </c>
      <c r="D2943" s="649">
        <f ca="1">IF(E2943=4,INDEX(crude_exp_dist,MATCH(B2943,'Crude Exp Dist'!$B$6:$B$78,0),MATCH(C2943,'Crude Exp Dist'!$AD$2:$BC$2,0))*INDEX(crude_exp_by_year,MATCH(B2943,'Data Export'!$B$6:$B$78,0),1),IF(E2943=5,INDEX(ref_exp_dist,MATCH(B2943,'Refined Petro Exp Dist'!$B$6:$B$78,0),MATCH(C2943,'Refined Petro Exp Dist'!$AD$2:$BC$2,0))*INDEX(ref_exp_by_year,MATCH(B2943,'Data Export'!$B$6:$B$78,0),1)))</f>
        <v>0</v>
      </c>
      <c r="E2943">
        <v>5</v>
      </c>
      <c r="F2943" t="s">
        <v>173</v>
      </c>
    </row>
    <row r="2944" spans="1:6">
      <c r="A2944" t="str">
        <f t="shared" si="45"/>
        <v>GenericE&amp;DtemplateCIandGOA</v>
      </c>
      <c r="B2944">
        <v>44</v>
      </c>
      <c r="C2944">
        <v>5</v>
      </c>
      <c r="D2944" s="649">
        <f ca="1">IF(E2944=4,INDEX(crude_exp_dist,MATCH(B2944,'Crude Exp Dist'!$B$6:$B$78,0),MATCH(C2944,'Crude Exp Dist'!$AD$2:$BC$2,0))*INDEX(crude_exp_by_year,MATCH(B2944,'Data Export'!$B$6:$B$78,0),1),IF(E2944=5,INDEX(ref_exp_dist,MATCH(B2944,'Refined Petro Exp Dist'!$B$6:$B$78,0),MATCH(C2944,'Refined Petro Exp Dist'!$AD$2:$BC$2,0))*INDEX(ref_exp_by_year,MATCH(B2944,'Data Export'!$B$6:$B$78,0),1)))</f>
        <v>0</v>
      </c>
      <c r="E2944">
        <v>5</v>
      </c>
      <c r="F2944" t="s">
        <v>180</v>
      </c>
    </row>
    <row r="2945" spans="1:6">
      <c r="A2945" t="str">
        <f t="shared" si="45"/>
        <v>GenericE&amp;DtemplateCIandGOA</v>
      </c>
      <c r="B2945">
        <v>44</v>
      </c>
      <c r="C2945">
        <v>6</v>
      </c>
      <c r="D2945" s="649">
        <f ca="1">IF(E2945=4,INDEX(crude_exp_dist,MATCH(B2945,'Crude Exp Dist'!$B$6:$B$78,0),MATCH(C2945,'Crude Exp Dist'!$AD$2:$BC$2,0))*INDEX(crude_exp_by_year,MATCH(B2945,'Data Export'!$B$6:$B$78,0),1),IF(E2945=5,INDEX(ref_exp_dist,MATCH(B2945,'Refined Petro Exp Dist'!$B$6:$B$78,0),MATCH(C2945,'Refined Petro Exp Dist'!$AD$2:$BC$2,0))*INDEX(ref_exp_by_year,MATCH(B2945,'Data Export'!$B$6:$B$78,0),1)))</f>
        <v>0</v>
      </c>
      <c r="E2945">
        <v>5</v>
      </c>
      <c r="F2945" t="s">
        <v>186</v>
      </c>
    </row>
    <row r="2946" spans="1:6">
      <c r="A2946" t="str">
        <f t="shared" ref="A2946:A3009" si="46">scenario_name</f>
        <v>GenericE&amp;DtemplateCIandGOA</v>
      </c>
      <c r="B2946">
        <v>44</v>
      </c>
      <c r="C2946">
        <v>7</v>
      </c>
      <c r="D2946" s="649">
        <f ca="1">IF(E2946=4,INDEX(crude_exp_dist,MATCH(B2946,'Crude Exp Dist'!$B$6:$B$78,0),MATCH(C2946,'Crude Exp Dist'!$AD$2:$BC$2,0))*INDEX(crude_exp_by_year,MATCH(B2946,'Data Export'!$B$6:$B$78,0),1),IF(E2946=5,INDEX(ref_exp_dist,MATCH(B2946,'Refined Petro Exp Dist'!$B$6:$B$78,0),MATCH(C2946,'Refined Petro Exp Dist'!$AD$2:$BC$2,0))*INDEX(ref_exp_by_year,MATCH(B2946,'Data Export'!$B$6:$B$78,0),1)))</f>
        <v>0</v>
      </c>
      <c r="E2946">
        <v>5</v>
      </c>
      <c r="F2946" t="s">
        <v>191</v>
      </c>
    </row>
    <row r="2947" spans="1:6">
      <c r="A2947" t="str">
        <f t="shared" si="46"/>
        <v>GenericE&amp;DtemplateCIandGOA</v>
      </c>
      <c r="B2947">
        <v>44</v>
      </c>
      <c r="C2947">
        <v>8</v>
      </c>
      <c r="D2947" s="649">
        <f ca="1">IF(E2947=4,INDEX(crude_exp_dist,MATCH(B2947,'Crude Exp Dist'!$B$6:$B$78,0),MATCH(C2947,'Crude Exp Dist'!$AD$2:$BC$2,0))*INDEX(crude_exp_by_year,MATCH(B2947,'Data Export'!$B$6:$B$78,0),1),IF(E2947=5,INDEX(ref_exp_dist,MATCH(B2947,'Refined Petro Exp Dist'!$B$6:$B$78,0),MATCH(C2947,'Refined Petro Exp Dist'!$AD$2:$BC$2,0))*INDEX(ref_exp_by_year,MATCH(B2947,'Data Export'!$B$6:$B$78,0),1)))</f>
        <v>0</v>
      </c>
      <c r="E2947">
        <v>5</v>
      </c>
      <c r="F2947" t="s">
        <v>197</v>
      </c>
    </row>
    <row r="2948" spans="1:6">
      <c r="A2948" t="str">
        <f t="shared" si="46"/>
        <v>GenericE&amp;DtemplateCIandGOA</v>
      </c>
      <c r="B2948">
        <v>44</v>
      </c>
      <c r="C2948">
        <v>9</v>
      </c>
      <c r="D2948" s="649">
        <f ca="1">IF(E2948=4,INDEX(crude_exp_dist,MATCH(B2948,'Crude Exp Dist'!$B$6:$B$78,0),MATCH(C2948,'Crude Exp Dist'!$AD$2:$BC$2,0))*INDEX(crude_exp_by_year,MATCH(B2948,'Data Export'!$B$6:$B$78,0),1),IF(E2948=5,INDEX(ref_exp_dist,MATCH(B2948,'Refined Petro Exp Dist'!$B$6:$B$78,0),MATCH(C2948,'Refined Petro Exp Dist'!$AD$2:$BC$2,0))*INDEX(ref_exp_by_year,MATCH(B2948,'Data Export'!$B$6:$B$78,0),1)))</f>
        <v>0</v>
      </c>
      <c r="E2948">
        <v>5</v>
      </c>
      <c r="F2948" t="s">
        <v>199</v>
      </c>
    </row>
    <row r="2949" spans="1:6">
      <c r="A2949" t="str">
        <f t="shared" si="46"/>
        <v>GenericE&amp;DtemplateCIandGOA</v>
      </c>
      <c r="B2949">
        <v>44</v>
      </c>
      <c r="C2949">
        <v>10</v>
      </c>
      <c r="D2949" s="649">
        <f ca="1">IF(E2949=4,INDEX(crude_exp_dist,MATCH(B2949,'Crude Exp Dist'!$B$6:$B$78,0),MATCH(C2949,'Crude Exp Dist'!$AD$2:$BC$2,0))*INDEX(crude_exp_by_year,MATCH(B2949,'Data Export'!$B$6:$B$78,0),1),IF(E2949=5,INDEX(ref_exp_dist,MATCH(B2949,'Refined Petro Exp Dist'!$B$6:$B$78,0),MATCH(C2949,'Refined Petro Exp Dist'!$AD$2:$BC$2,0))*INDEX(ref_exp_by_year,MATCH(B2949,'Data Export'!$B$6:$B$78,0),1)))</f>
        <v>0</v>
      </c>
      <c r="E2949">
        <v>5</v>
      </c>
      <c r="F2949" t="s">
        <v>201</v>
      </c>
    </row>
    <row r="2950" spans="1:6">
      <c r="A2950" t="str">
        <f t="shared" si="46"/>
        <v>GenericE&amp;DtemplateCIandGOA</v>
      </c>
      <c r="B2950">
        <v>44</v>
      </c>
      <c r="C2950">
        <v>11</v>
      </c>
      <c r="D2950" s="649">
        <f ca="1">IF(E2950=4,INDEX(crude_exp_dist,MATCH(B2950,'Crude Exp Dist'!$B$6:$B$78,0),MATCH(C2950,'Crude Exp Dist'!$AD$2:$BC$2,0))*INDEX(crude_exp_by_year,MATCH(B2950,'Data Export'!$B$6:$B$78,0),1),IF(E2950=5,INDEX(ref_exp_dist,MATCH(B2950,'Refined Petro Exp Dist'!$B$6:$B$78,0),MATCH(C2950,'Refined Petro Exp Dist'!$AD$2:$BC$2,0))*INDEX(ref_exp_by_year,MATCH(B2950,'Data Export'!$B$6:$B$78,0),1)))</f>
        <v>0</v>
      </c>
      <c r="E2950">
        <v>5</v>
      </c>
      <c r="F2950" t="s">
        <v>921</v>
      </c>
    </row>
    <row r="2951" spans="1:6">
      <c r="A2951" t="str">
        <f t="shared" si="46"/>
        <v>GenericE&amp;DtemplateCIandGOA</v>
      </c>
      <c r="B2951">
        <v>44</v>
      </c>
      <c r="C2951">
        <v>12</v>
      </c>
      <c r="D2951" s="649">
        <f ca="1">IF(E2951=4,INDEX(crude_exp_dist,MATCH(B2951,'Crude Exp Dist'!$B$6:$B$78,0),MATCH(C2951,'Crude Exp Dist'!$AD$2:$BC$2,0))*INDEX(crude_exp_by_year,MATCH(B2951,'Data Export'!$B$6:$B$78,0),1),IF(E2951=5,INDEX(ref_exp_dist,MATCH(B2951,'Refined Petro Exp Dist'!$B$6:$B$78,0),MATCH(C2951,'Refined Petro Exp Dist'!$AD$2:$BC$2,0))*INDEX(ref_exp_by_year,MATCH(B2951,'Data Export'!$B$6:$B$78,0),1)))</f>
        <v>0</v>
      </c>
      <c r="E2951">
        <v>5</v>
      </c>
      <c r="F2951" t="s">
        <v>208</v>
      </c>
    </row>
    <row r="2952" spans="1:6">
      <c r="A2952" t="str">
        <f t="shared" si="46"/>
        <v>GenericE&amp;DtemplateCIandGOA</v>
      </c>
      <c r="B2952">
        <v>44</v>
      </c>
      <c r="C2952">
        <v>13</v>
      </c>
      <c r="D2952" s="649">
        <f ca="1">IF(E2952=4,INDEX(crude_exp_dist,MATCH(B2952,'Crude Exp Dist'!$B$6:$B$78,0),MATCH(C2952,'Crude Exp Dist'!$AD$2:$BC$2,0))*INDEX(crude_exp_by_year,MATCH(B2952,'Data Export'!$B$6:$B$78,0),1),IF(E2952=5,INDEX(ref_exp_dist,MATCH(B2952,'Refined Petro Exp Dist'!$B$6:$B$78,0),MATCH(C2952,'Refined Petro Exp Dist'!$AD$2:$BC$2,0))*INDEX(ref_exp_by_year,MATCH(B2952,'Data Export'!$B$6:$B$78,0),1)))</f>
        <v>0</v>
      </c>
      <c r="E2952">
        <v>5</v>
      </c>
      <c r="F2952" t="s">
        <v>211</v>
      </c>
    </row>
    <row r="2953" spans="1:6">
      <c r="A2953" t="str">
        <f t="shared" si="46"/>
        <v>GenericE&amp;DtemplateCIandGOA</v>
      </c>
      <c r="B2953">
        <v>44</v>
      </c>
      <c r="C2953">
        <v>14</v>
      </c>
      <c r="D2953" s="649">
        <f ca="1">IF(E2953=4,INDEX(crude_exp_dist,MATCH(B2953,'Crude Exp Dist'!$B$6:$B$78,0),MATCH(C2953,'Crude Exp Dist'!$AD$2:$BC$2,0))*INDEX(crude_exp_by_year,MATCH(B2953,'Data Export'!$B$6:$B$78,0),1),IF(E2953=5,INDEX(ref_exp_dist,MATCH(B2953,'Refined Petro Exp Dist'!$B$6:$B$78,0),MATCH(C2953,'Refined Petro Exp Dist'!$AD$2:$BC$2,0))*INDEX(ref_exp_by_year,MATCH(B2953,'Data Export'!$B$6:$B$78,0),1)))</f>
        <v>0</v>
      </c>
      <c r="E2953">
        <v>5</v>
      </c>
      <c r="F2953" t="s">
        <v>213</v>
      </c>
    </row>
    <row r="2954" spans="1:6">
      <c r="A2954" t="str">
        <f t="shared" si="46"/>
        <v>GenericE&amp;DtemplateCIandGOA</v>
      </c>
      <c r="B2954">
        <v>44</v>
      </c>
      <c r="C2954">
        <v>15</v>
      </c>
      <c r="D2954" s="649">
        <f ca="1">IF(E2954=4,INDEX(crude_exp_dist,MATCH(B2954,'Crude Exp Dist'!$B$6:$B$78,0),MATCH(C2954,'Crude Exp Dist'!$AD$2:$BC$2,0))*INDEX(crude_exp_by_year,MATCH(B2954,'Data Export'!$B$6:$B$78,0),1),IF(E2954=5,INDEX(ref_exp_dist,MATCH(B2954,'Refined Petro Exp Dist'!$B$6:$B$78,0),MATCH(C2954,'Refined Petro Exp Dist'!$AD$2:$BC$2,0))*INDEX(ref_exp_by_year,MATCH(B2954,'Data Export'!$B$6:$B$78,0),1)))</f>
        <v>0</v>
      </c>
      <c r="E2954">
        <v>5</v>
      </c>
      <c r="F2954" t="s">
        <v>215</v>
      </c>
    </row>
    <row r="2955" spans="1:6">
      <c r="A2955" t="str">
        <f t="shared" si="46"/>
        <v>GenericE&amp;DtemplateCIandGOA</v>
      </c>
      <c r="B2955">
        <v>44</v>
      </c>
      <c r="C2955">
        <v>16</v>
      </c>
      <c r="D2955" s="649">
        <f ca="1">IF(E2955=4,INDEX(crude_exp_dist,MATCH(B2955,'Crude Exp Dist'!$B$6:$B$78,0),MATCH(C2955,'Crude Exp Dist'!$AD$2:$BC$2,0))*INDEX(crude_exp_by_year,MATCH(B2955,'Data Export'!$B$6:$B$78,0),1),IF(E2955=5,INDEX(ref_exp_dist,MATCH(B2955,'Refined Petro Exp Dist'!$B$6:$B$78,0),MATCH(C2955,'Refined Petro Exp Dist'!$AD$2:$BC$2,0))*INDEX(ref_exp_by_year,MATCH(B2955,'Data Export'!$B$6:$B$78,0),1)))</f>
        <v>0</v>
      </c>
      <c r="E2955">
        <v>5</v>
      </c>
      <c r="F2955" t="s">
        <v>219</v>
      </c>
    </row>
    <row r="2956" spans="1:6">
      <c r="A2956" t="str">
        <f t="shared" si="46"/>
        <v>GenericE&amp;DtemplateCIandGOA</v>
      </c>
      <c r="B2956">
        <v>44</v>
      </c>
      <c r="C2956">
        <v>17</v>
      </c>
      <c r="D2956" s="649">
        <f ca="1">IF(E2956=4,INDEX(crude_exp_dist,MATCH(B2956,'Crude Exp Dist'!$B$6:$B$78,0),MATCH(C2956,'Crude Exp Dist'!$AD$2:$BC$2,0))*INDEX(crude_exp_by_year,MATCH(B2956,'Data Export'!$B$6:$B$78,0),1),IF(E2956=5,INDEX(ref_exp_dist,MATCH(B2956,'Refined Petro Exp Dist'!$B$6:$B$78,0),MATCH(C2956,'Refined Petro Exp Dist'!$AD$2:$BC$2,0))*INDEX(ref_exp_by_year,MATCH(B2956,'Data Export'!$B$6:$B$78,0),1)))</f>
        <v>0</v>
      </c>
      <c r="E2956">
        <v>5</v>
      </c>
      <c r="F2956" t="s">
        <v>222</v>
      </c>
    </row>
    <row r="2957" spans="1:6">
      <c r="A2957" t="str">
        <f t="shared" si="46"/>
        <v>GenericE&amp;DtemplateCIandGOA</v>
      </c>
      <c r="B2957">
        <v>44</v>
      </c>
      <c r="C2957">
        <v>18</v>
      </c>
      <c r="D2957" s="649">
        <f ca="1">IF(E2957=4,INDEX(crude_exp_dist,MATCH(B2957,'Crude Exp Dist'!$B$6:$B$78,0),MATCH(C2957,'Crude Exp Dist'!$AD$2:$BC$2,0))*INDEX(crude_exp_by_year,MATCH(B2957,'Data Export'!$B$6:$B$78,0),1),IF(E2957=5,INDEX(ref_exp_dist,MATCH(B2957,'Refined Petro Exp Dist'!$B$6:$B$78,0),MATCH(C2957,'Refined Petro Exp Dist'!$AD$2:$BC$2,0))*INDEX(ref_exp_by_year,MATCH(B2957,'Data Export'!$B$6:$B$78,0),1)))</f>
        <v>0</v>
      </c>
      <c r="E2957">
        <v>5</v>
      </c>
      <c r="F2957" t="s">
        <v>224</v>
      </c>
    </row>
    <row r="2958" spans="1:6">
      <c r="A2958" t="str">
        <f t="shared" si="46"/>
        <v>GenericE&amp;DtemplateCIandGOA</v>
      </c>
      <c r="B2958">
        <v>44</v>
      </c>
      <c r="C2958">
        <v>19</v>
      </c>
      <c r="D2958" s="649">
        <f ca="1">IF(E2958=4,INDEX(crude_exp_dist,MATCH(B2958,'Crude Exp Dist'!$B$6:$B$78,0),MATCH(C2958,'Crude Exp Dist'!$AD$2:$BC$2,0))*INDEX(crude_exp_by_year,MATCH(B2958,'Data Export'!$B$6:$B$78,0),1),IF(E2958=5,INDEX(ref_exp_dist,MATCH(B2958,'Refined Petro Exp Dist'!$B$6:$B$78,0),MATCH(C2958,'Refined Petro Exp Dist'!$AD$2:$BC$2,0))*INDEX(ref_exp_by_year,MATCH(B2958,'Data Export'!$B$6:$B$78,0),1)))</f>
        <v>0</v>
      </c>
      <c r="E2958">
        <v>5</v>
      </c>
      <c r="F2958" t="s">
        <v>228</v>
      </c>
    </row>
    <row r="2959" spans="1:6">
      <c r="A2959" t="str">
        <f t="shared" si="46"/>
        <v>GenericE&amp;DtemplateCIandGOA</v>
      </c>
      <c r="B2959">
        <v>44</v>
      </c>
      <c r="C2959">
        <v>20</v>
      </c>
      <c r="D2959" s="649">
        <f ca="1">IF(E2959=4,INDEX(crude_exp_dist,MATCH(B2959,'Crude Exp Dist'!$B$6:$B$78,0),MATCH(C2959,'Crude Exp Dist'!$AD$2:$BC$2,0))*INDEX(crude_exp_by_year,MATCH(B2959,'Data Export'!$B$6:$B$78,0),1),IF(E2959=5,INDEX(ref_exp_dist,MATCH(B2959,'Refined Petro Exp Dist'!$B$6:$B$78,0),MATCH(C2959,'Refined Petro Exp Dist'!$AD$2:$BC$2,0))*INDEX(ref_exp_by_year,MATCH(B2959,'Data Export'!$B$6:$B$78,0),1)))</f>
        <v>0</v>
      </c>
      <c r="E2959">
        <v>5</v>
      </c>
      <c r="F2959" t="s">
        <v>231</v>
      </c>
    </row>
    <row r="2960" spans="1:6">
      <c r="A2960" t="str">
        <f t="shared" si="46"/>
        <v>GenericE&amp;DtemplateCIandGOA</v>
      </c>
      <c r="B2960">
        <v>44</v>
      </c>
      <c r="C2960">
        <v>21</v>
      </c>
      <c r="D2960" s="649">
        <f ca="1">IF(E2960=4,INDEX(crude_exp_dist,MATCH(B2960,'Crude Exp Dist'!$B$6:$B$78,0),MATCH(C2960,'Crude Exp Dist'!$AD$2:$BC$2,0))*INDEX(crude_exp_by_year,MATCH(B2960,'Data Export'!$B$6:$B$78,0),1),IF(E2960=5,INDEX(ref_exp_dist,MATCH(B2960,'Refined Petro Exp Dist'!$B$6:$B$78,0),MATCH(C2960,'Refined Petro Exp Dist'!$AD$2:$BC$2,0))*INDEX(ref_exp_by_year,MATCH(B2960,'Data Export'!$B$6:$B$78,0),1)))</f>
        <v>0</v>
      </c>
      <c r="E2960">
        <v>5</v>
      </c>
      <c r="F2960" t="s">
        <v>232</v>
      </c>
    </row>
    <row r="2961" spans="1:6">
      <c r="A2961" t="str">
        <f t="shared" si="46"/>
        <v>GenericE&amp;DtemplateCIandGOA</v>
      </c>
      <c r="B2961">
        <v>44</v>
      </c>
      <c r="C2961">
        <v>22</v>
      </c>
      <c r="D2961" s="649">
        <f ca="1">IF(E2961=4,INDEX(crude_exp_dist,MATCH(B2961,'Crude Exp Dist'!$B$6:$B$78,0),MATCH(C2961,'Crude Exp Dist'!$AD$2:$BC$2,0))*INDEX(crude_exp_by_year,MATCH(B2961,'Data Export'!$B$6:$B$78,0),1),IF(E2961=5,INDEX(ref_exp_dist,MATCH(B2961,'Refined Petro Exp Dist'!$B$6:$B$78,0),MATCH(C2961,'Refined Petro Exp Dist'!$AD$2:$BC$2,0))*INDEX(ref_exp_by_year,MATCH(B2961,'Data Export'!$B$6:$B$78,0),1)))</f>
        <v>0</v>
      </c>
      <c r="E2961">
        <v>5</v>
      </c>
      <c r="F2961" t="s">
        <v>235</v>
      </c>
    </row>
    <row r="2962" spans="1:6">
      <c r="A2962" t="str">
        <f t="shared" si="46"/>
        <v>GenericE&amp;DtemplateCIandGOA</v>
      </c>
      <c r="B2962">
        <v>44</v>
      </c>
      <c r="C2962">
        <v>23</v>
      </c>
      <c r="D2962" s="649">
        <f ca="1">IF(E2962=4,INDEX(crude_exp_dist,MATCH(B2962,'Crude Exp Dist'!$B$6:$B$78,0),MATCH(C2962,'Crude Exp Dist'!$AD$2:$BC$2,0))*INDEX(crude_exp_by_year,MATCH(B2962,'Data Export'!$B$6:$B$78,0),1),IF(E2962=5,INDEX(ref_exp_dist,MATCH(B2962,'Refined Petro Exp Dist'!$B$6:$B$78,0),MATCH(C2962,'Refined Petro Exp Dist'!$AD$2:$BC$2,0))*INDEX(ref_exp_by_year,MATCH(B2962,'Data Export'!$B$6:$B$78,0),1)))</f>
        <v>0</v>
      </c>
      <c r="E2962">
        <v>5</v>
      </c>
      <c r="F2962" t="s">
        <v>237</v>
      </c>
    </row>
    <row r="2963" spans="1:6">
      <c r="A2963" t="str">
        <f t="shared" si="46"/>
        <v>GenericE&amp;DtemplateCIandGOA</v>
      </c>
      <c r="B2963">
        <v>44</v>
      </c>
      <c r="C2963">
        <v>24</v>
      </c>
      <c r="D2963" s="649">
        <f ca="1">IF(E2963=4,INDEX(crude_exp_dist,MATCH(B2963,'Crude Exp Dist'!$B$6:$B$78,0),MATCH(C2963,'Crude Exp Dist'!$AD$2:$BC$2,0))*INDEX(crude_exp_by_year,MATCH(B2963,'Data Export'!$B$6:$B$78,0),1),IF(E2963=5,INDEX(ref_exp_dist,MATCH(B2963,'Refined Petro Exp Dist'!$B$6:$B$78,0),MATCH(C2963,'Refined Petro Exp Dist'!$AD$2:$BC$2,0))*INDEX(ref_exp_by_year,MATCH(B2963,'Data Export'!$B$6:$B$78,0),1)))</f>
        <v>0</v>
      </c>
      <c r="E2963">
        <v>5</v>
      </c>
      <c r="F2963" t="s">
        <v>239</v>
      </c>
    </row>
    <row r="2964" spans="1:6">
      <c r="A2964" t="str">
        <f t="shared" si="46"/>
        <v>GenericE&amp;DtemplateCIandGOA</v>
      </c>
      <c r="B2964">
        <v>44</v>
      </c>
      <c r="C2964">
        <v>25</v>
      </c>
      <c r="D2964" s="649">
        <f ca="1">IF(E2964=4,INDEX(crude_exp_dist,MATCH(B2964,'Crude Exp Dist'!$B$6:$B$78,0),MATCH(C2964,'Crude Exp Dist'!$AD$2:$BC$2,0))*INDEX(crude_exp_by_year,MATCH(B2964,'Data Export'!$B$6:$B$78,0),1),IF(E2964=5,INDEX(ref_exp_dist,MATCH(B2964,'Refined Petro Exp Dist'!$B$6:$B$78,0),MATCH(C2964,'Refined Petro Exp Dist'!$AD$2:$BC$2,0))*INDEX(ref_exp_by_year,MATCH(B2964,'Data Export'!$B$6:$B$78,0),1)))</f>
        <v>0</v>
      </c>
      <c r="E2964">
        <v>5</v>
      </c>
      <c r="F2964" t="s">
        <v>242</v>
      </c>
    </row>
    <row r="2965" spans="1:6">
      <c r="A2965" t="str">
        <f t="shared" si="46"/>
        <v>GenericE&amp;DtemplateCIandGOA</v>
      </c>
      <c r="B2965">
        <v>44</v>
      </c>
      <c r="C2965">
        <v>26</v>
      </c>
      <c r="D2965" s="649">
        <f ca="1">IF(E2965=4,INDEX(crude_exp_dist,MATCH(B2965,'Crude Exp Dist'!$B$6:$B$78,0),MATCH(C2965,'Crude Exp Dist'!$AD$2:$BC$2,0))*INDEX(crude_exp_by_year,MATCH(B2965,'Data Export'!$B$6:$B$78,0),1),IF(E2965=5,INDEX(ref_exp_dist,MATCH(B2965,'Refined Petro Exp Dist'!$B$6:$B$78,0),MATCH(C2965,'Refined Petro Exp Dist'!$AD$2:$BC$2,0))*INDEX(ref_exp_by_year,MATCH(B2965,'Data Export'!$B$6:$B$78,0),1)))</f>
        <v>0</v>
      </c>
      <c r="E2965">
        <v>5</v>
      </c>
      <c r="F2965" t="s">
        <v>245</v>
      </c>
    </row>
    <row r="2966" spans="1:6">
      <c r="A2966" t="str">
        <f t="shared" si="46"/>
        <v>GenericE&amp;DtemplateCIandGOA</v>
      </c>
      <c r="B2966">
        <v>45</v>
      </c>
      <c r="C2966">
        <v>1</v>
      </c>
      <c r="D2966" s="649">
        <f ca="1">IF(E2966=4,INDEX(crude_exp_dist,MATCH(B2966,'Crude Exp Dist'!$B$6:$B$78,0),MATCH(C2966,'Crude Exp Dist'!$AD$2:$BC$2,0))*INDEX(crude_exp_by_year,MATCH(B2966,'Data Export'!$B$6:$B$78,0),1),IF(E2966=5,INDEX(ref_exp_dist,MATCH(B2966,'Refined Petro Exp Dist'!$B$6:$B$78,0),MATCH(C2966,'Refined Petro Exp Dist'!$AD$2:$BC$2,0))*INDEX(ref_exp_by_year,MATCH(B2966,'Data Export'!$B$6:$B$78,0),1)))</f>
        <v>0</v>
      </c>
      <c r="E2966">
        <v>5</v>
      </c>
      <c r="F2966" t="s">
        <v>158</v>
      </c>
    </row>
    <row r="2967" spans="1:6">
      <c r="A2967" t="str">
        <f t="shared" si="46"/>
        <v>GenericE&amp;DtemplateCIandGOA</v>
      </c>
      <c r="B2967">
        <v>45</v>
      </c>
      <c r="C2967">
        <v>2</v>
      </c>
      <c r="D2967" s="649">
        <f ca="1">IF(E2967=4,INDEX(crude_exp_dist,MATCH(B2967,'Crude Exp Dist'!$B$6:$B$78,0),MATCH(C2967,'Crude Exp Dist'!$AD$2:$BC$2,0))*INDEX(crude_exp_by_year,MATCH(B2967,'Data Export'!$B$6:$B$78,0),1),IF(E2967=5,INDEX(ref_exp_dist,MATCH(B2967,'Refined Petro Exp Dist'!$B$6:$B$78,0),MATCH(C2967,'Refined Petro Exp Dist'!$AD$2:$BC$2,0))*INDEX(ref_exp_by_year,MATCH(B2967,'Data Export'!$B$6:$B$78,0),1)))</f>
        <v>0</v>
      </c>
      <c r="E2967">
        <v>5</v>
      </c>
      <c r="F2967" t="s">
        <v>166</v>
      </c>
    </row>
    <row r="2968" spans="1:6">
      <c r="A2968" t="str">
        <f t="shared" si="46"/>
        <v>GenericE&amp;DtemplateCIandGOA</v>
      </c>
      <c r="B2968">
        <v>45</v>
      </c>
      <c r="C2968">
        <v>3</v>
      </c>
      <c r="D2968" s="649">
        <f ca="1">IF(E2968=4,INDEX(crude_exp_dist,MATCH(B2968,'Crude Exp Dist'!$B$6:$B$78,0),MATCH(C2968,'Crude Exp Dist'!$AD$2:$BC$2,0))*INDEX(crude_exp_by_year,MATCH(B2968,'Data Export'!$B$6:$B$78,0),1),IF(E2968=5,INDEX(ref_exp_dist,MATCH(B2968,'Refined Petro Exp Dist'!$B$6:$B$78,0),MATCH(C2968,'Refined Petro Exp Dist'!$AD$2:$BC$2,0))*INDEX(ref_exp_by_year,MATCH(B2968,'Data Export'!$B$6:$B$78,0),1)))</f>
        <v>0</v>
      </c>
      <c r="E2968">
        <v>5</v>
      </c>
      <c r="F2968" t="s">
        <v>171</v>
      </c>
    </row>
    <row r="2969" spans="1:6">
      <c r="A2969" t="str">
        <f t="shared" si="46"/>
        <v>GenericE&amp;DtemplateCIandGOA</v>
      </c>
      <c r="B2969">
        <v>45</v>
      </c>
      <c r="C2969">
        <v>4</v>
      </c>
      <c r="D2969" s="649">
        <f ca="1">IF(E2969=4,INDEX(crude_exp_dist,MATCH(B2969,'Crude Exp Dist'!$B$6:$B$78,0),MATCH(C2969,'Crude Exp Dist'!$AD$2:$BC$2,0))*INDEX(crude_exp_by_year,MATCH(B2969,'Data Export'!$B$6:$B$78,0),1),IF(E2969=5,INDEX(ref_exp_dist,MATCH(B2969,'Refined Petro Exp Dist'!$B$6:$B$78,0),MATCH(C2969,'Refined Petro Exp Dist'!$AD$2:$BC$2,0))*INDEX(ref_exp_by_year,MATCH(B2969,'Data Export'!$B$6:$B$78,0),1)))</f>
        <v>0</v>
      </c>
      <c r="E2969">
        <v>5</v>
      </c>
      <c r="F2969" t="s">
        <v>173</v>
      </c>
    </row>
    <row r="2970" spans="1:6">
      <c r="A2970" t="str">
        <f t="shared" si="46"/>
        <v>GenericE&amp;DtemplateCIandGOA</v>
      </c>
      <c r="B2970">
        <v>45</v>
      </c>
      <c r="C2970">
        <v>5</v>
      </c>
      <c r="D2970" s="649">
        <f ca="1">IF(E2970=4,INDEX(crude_exp_dist,MATCH(B2970,'Crude Exp Dist'!$B$6:$B$78,0),MATCH(C2970,'Crude Exp Dist'!$AD$2:$BC$2,0))*INDEX(crude_exp_by_year,MATCH(B2970,'Data Export'!$B$6:$B$78,0),1),IF(E2970=5,INDEX(ref_exp_dist,MATCH(B2970,'Refined Petro Exp Dist'!$B$6:$B$78,0),MATCH(C2970,'Refined Petro Exp Dist'!$AD$2:$BC$2,0))*INDEX(ref_exp_by_year,MATCH(B2970,'Data Export'!$B$6:$B$78,0),1)))</f>
        <v>0</v>
      </c>
      <c r="E2970">
        <v>5</v>
      </c>
      <c r="F2970" t="s">
        <v>180</v>
      </c>
    </row>
    <row r="2971" spans="1:6">
      <c r="A2971" t="str">
        <f t="shared" si="46"/>
        <v>GenericE&amp;DtemplateCIandGOA</v>
      </c>
      <c r="B2971">
        <v>45</v>
      </c>
      <c r="C2971">
        <v>6</v>
      </c>
      <c r="D2971" s="649">
        <f ca="1">IF(E2971=4,INDEX(crude_exp_dist,MATCH(B2971,'Crude Exp Dist'!$B$6:$B$78,0),MATCH(C2971,'Crude Exp Dist'!$AD$2:$BC$2,0))*INDEX(crude_exp_by_year,MATCH(B2971,'Data Export'!$B$6:$B$78,0),1),IF(E2971=5,INDEX(ref_exp_dist,MATCH(B2971,'Refined Petro Exp Dist'!$B$6:$B$78,0),MATCH(C2971,'Refined Petro Exp Dist'!$AD$2:$BC$2,0))*INDEX(ref_exp_by_year,MATCH(B2971,'Data Export'!$B$6:$B$78,0),1)))</f>
        <v>0</v>
      </c>
      <c r="E2971">
        <v>5</v>
      </c>
      <c r="F2971" t="s">
        <v>186</v>
      </c>
    </row>
    <row r="2972" spans="1:6">
      <c r="A2972" t="str">
        <f t="shared" si="46"/>
        <v>GenericE&amp;DtemplateCIandGOA</v>
      </c>
      <c r="B2972">
        <v>45</v>
      </c>
      <c r="C2972">
        <v>7</v>
      </c>
      <c r="D2972" s="649">
        <f ca="1">IF(E2972=4,INDEX(crude_exp_dist,MATCH(B2972,'Crude Exp Dist'!$B$6:$B$78,0),MATCH(C2972,'Crude Exp Dist'!$AD$2:$BC$2,0))*INDEX(crude_exp_by_year,MATCH(B2972,'Data Export'!$B$6:$B$78,0),1),IF(E2972=5,INDEX(ref_exp_dist,MATCH(B2972,'Refined Petro Exp Dist'!$B$6:$B$78,0),MATCH(C2972,'Refined Petro Exp Dist'!$AD$2:$BC$2,0))*INDEX(ref_exp_by_year,MATCH(B2972,'Data Export'!$B$6:$B$78,0),1)))</f>
        <v>0</v>
      </c>
      <c r="E2972">
        <v>5</v>
      </c>
      <c r="F2972" t="s">
        <v>191</v>
      </c>
    </row>
    <row r="2973" spans="1:6">
      <c r="A2973" t="str">
        <f t="shared" si="46"/>
        <v>GenericE&amp;DtemplateCIandGOA</v>
      </c>
      <c r="B2973">
        <v>45</v>
      </c>
      <c r="C2973">
        <v>8</v>
      </c>
      <c r="D2973" s="649">
        <f ca="1">IF(E2973=4,INDEX(crude_exp_dist,MATCH(B2973,'Crude Exp Dist'!$B$6:$B$78,0),MATCH(C2973,'Crude Exp Dist'!$AD$2:$BC$2,0))*INDEX(crude_exp_by_year,MATCH(B2973,'Data Export'!$B$6:$B$78,0),1),IF(E2973=5,INDEX(ref_exp_dist,MATCH(B2973,'Refined Petro Exp Dist'!$B$6:$B$78,0),MATCH(C2973,'Refined Petro Exp Dist'!$AD$2:$BC$2,0))*INDEX(ref_exp_by_year,MATCH(B2973,'Data Export'!$B$6:$B$78,0),1)))</f>
        <v>0</v>
      </c>
      <c r="E2973">
        <v>5</v>
      </c>
      <c r="F2973" t="s">
        <v>197</v>
      </c>
    </row>
    <row r="2974" spans="1:6">
      <c r="A2974" t="str">
        <f t="shared" si="46"/>
        <v>GenericE&amp;DtemplateCIandGOA</v>
      </c>
      <c r="B2974">
        <v>45</v>
      </c>
      <c r="C2974">
        <v>9</v>
      </c>
      <c r="D2974" s="649">
        <f ca="1">IF(E2974=4,INDEX(crude_exp_dist,MATCH(B2974,'Crude Exp Dist'!$B$6:$B$78,0),MATCH(C2974,'Crude Exp Dist'!$AD$2:$BC$2,0))*INDEX(crude_exp_by_year,MATCH(B2974,'Data Export'!$B$6:$B$78,0),1),IF(E2974=5,INDEX(ref_exp_dist,MATCH(B2974,'Refined Petro Exp Dist'!$B$6:$B$78,0),MATCH(C2974,'Refined Petro Exp Dist'!$AD$2:$BC$2,0))*INDEX(ref_exp_by_year,MATCH(B2974,'Data Export'!$B$6:$B$78,0),1)))</f>
        <v>0</v>
      </c>
      <c r="E2974">
        <v>5</v>
      </c>
      <c r="F2974" t="s">
        <v>199</v>
      </c>
    </row>
    <row r="2975" spans="1:6">
      <c r="A2975" t="str">
        <f t="shared" si="46"/>
        <v>GenericE&amp;DtemplateCIandGOA</v>
      </c>
      <c r="B2975">
        <v>45</v>
      </c>
      <c r="C2975">
        <v>10</v>
      </c>
      <c r="D2975" s="649">
        <f ca="1">IF(E2975=4,INDEX(crude_exp_dist,MATCH(B2975,'Crude Exp Dist'!$B$6:$B$78,0),MATCH(C2975,'Crude Exp Dist'!$AD$2:$BC$2,0))*INDEX(crude_exp_by_year,MATCH(B2975,'Data Export'!$B$6:$B$78,0),1),IF(E2975=5,INDEX(ref_exp_dist,MATCH(B2975,'Refined Petro Exp Dist'!$B$6:$B$78,0),MATCH(C2975,'Refined Petro Exp Dist'!$AD$2:$BC$2,0))*INDEX(ref_exp_by_year,MATCH(B2975,'Data Export'!$B$6:$B$78,0),1)))</f>
        <v>0</v>
      </c>
      <c r="E2975">
        <v>5</v>
      </c>
      <c r="F2975" t="s">
        <v>201</v>
      </c>
    </row>
    <row r="2976" spans="1:6">
      <c r="A2976" t="str">
        <f t="shared" si="46"/>
        <v>GenericE&amp;DtemplateCIandGOA</v>
      </c>
      <c r="B2976">
        <v>45</v>
      </c>
      <c r="C2976">
        <v>11</v>
      </c>
      <c r="D2976" s="649">
        <f ca="1">IF(E2976=4,INDEX(crude_exp_dist,MATCH(B2976,'Crude Exp Dist'!$B$6:$B$78,0),MATCH(C2976,'Crude Exp Dist'!$AD$2:$BC$2,0))*INDEX(crude_exp_by_year,MATCH(B2976,'Data Export'!$B$6:$B$78,0),1),IF(E2976=5,INDEX(ref_exp_dist,MATCH(B2976,'Refined Petro Exp Dist'!$B$6:$B$78,0),MATCH(C2976,'Refined Petro Exp Dist'!$AD$2:$BC$2,0))*INDEX(ref_exp_by_year,MATCH(B2976,'Data Export'!$B$6:$B$78,0),1)))</f>
        <v>0</v>
      </c>
      <c r="E2976">
        <v>5</v>
      </c>
      <c r="F2976" t="s">
        <v>921</v>
      </c>
    </row>
    <row r="2977" spans="1:6">
      <c r="A2977" t="str">
        <f t="shared" si="46"/>
        <v>GenericE&amp;DtemplateCIandGOA</v>
      </c>
      <c r="B2977">
        <v>45</v>
      </c>
      <c r="C2977">
        <v>12</v>
      </c>
      <c r="D2977" s="649">
        <f ca="1">IF(E2977=4,INDEX(crude_exp_dist,MATCH(B2977,'Crude Exp Dist'!$B$6:$B$78,0),MATCH(C2977,'Crude Exp Dist'!$AD$2:$BC$2,0))*INDEX(crude_exp_by_year,MATCH(B2977,'Data Export'!$B$6:$B$78,0),1),IF(E2977=5,INDEX(ref_exp_dist,MATCH(B2977,'Refined Petro Exp Dist'!$B$6:$B$78,0),MATCH(C2977,'Refined Petro Exp Dist'!$AD$2:$BC$2,0))*INDEX(ref_exp_by_year,MATCH(B2977,'Data Export'!$B$6:$B$78,0),1)))</f>
        <v>0</v>
      </c>
      <c r="E2977">
        <v>5</v>
      </c>
      <c r="F2977" t="s">
        <v>208</v>
      </c>
    </row>
    <row r="2978" spans="1:6">
      <c r="A2978" t="str">
        <f t="shared" si="46"/>
        <v>GenericE&amp;DtemplateCIandGOA</v>
      </c>
      <c r="B2978">
        <v>45</v>
      </c>
      <c r="C2978">
        <v>13</v>
      </c>
      <c r="D2978" s="649">
        <f ca="1">IF(E2978=4,INDEX(crude_exp_dist,MATCH(B2978,'Crude Exp Dist'!$B$6:$B$78,0),MATCH(C2978,'Crude Exp Dist'!$AD$2:$BC$2,0))*INDEX(crude_exp_by_year,MATCH(B2978,'Data Export'!$B$6:$B$78,0),1),IF(E2978=5,INDEX(ref_exp_dist,MATCH(B2978,'Refined Petro Exp Dist'!$B$6:$B$78,0),MATCH(C2978,'Refined Petro Exp Dist'!$AD$2:$BC$2,0))*INDEX(ref_exp_by_year,MATCH(B2978,'Data Export'!$B$6:$B$78,0),1)))</f>
        <v>0</v>
      </c>
      <c r="E2978">
        <v>5</v>
      </c>
      <c r="F2978" t="s">
        <v>211</v>
      </c>
    </row>
    <row r="2979" spans="1:6">
      <c r="A2979" t="str">
        <f t="shared" si="46"/>
        <v>GenericE&amp;DtemplateCIandGOA</v>
      </c>
      <c r="B2979">
        <v>45</v>
      </c>
      <c r="C2979">
        <v>14</v>
      </c>
      <c r="D2979" s="649">
        <f ca="1">IF(E2979=4,INDEX(crude_exp_dist,MATCH(B2979,'Crude Exp Dist'!$B$6:$B$78,0),MATCH(C2979,'Crude Exp Dist'!$AD$2:$BC$2,0))*INDEX(crude_exp_by_year,MATCH(B2979,'Data Export'!$B$6:$B$78,0),1),IF(E2979=5,INDEX(ref_exp_dist,MATCH(B2979,'Refined Petro Exp Dist'!$B$6:$B$78,0),MATCH(C2979,'Refined Petro Exp Dist'!$AD$2:$BC$2,0))*INDEX(ref_exp_by_year,MATCH(B2979,'Data Export'!$B$6:$B$78,0),1)))</f>
        <v>0</v>
      </c>
      <c r="E2979">
        <v>5</v>
      </c>
      <c r="F2979" t="s">
        <v>213</v>
      </c>
    </row>
    <row r="2980" spans="1:6">
      <c r="A2980" t="str">
        <f t="shared" si="46"/>
        <v>GenericE&amp;DtemplateCIandGOA</v>
      </c>
      <c r="B2980">
        <v>45</v>
      </c>
      <c r="C2980">
        <v>15</v>
      </c>
      <c r="D2980" s="649">
        <f ca="1">IF(E2980=4,INDEX(crude_exp_dist,MATCH(B2980,'Crude Exp Dist'!$B$6:$B$78,0),MATCH(C2980,'Crude Exp Dist'!$AD$2:$BC$2,0))*INDEX(crude_exp_by_year,MATCH(B2980,'Data Export'!$B$6:$B$78,0),1),IF(E2980=5,INDEX(ref_exp_dist,MATCH(B2980,'Refined Petro Exp Dist'!$B$6:$B$78,0),MATCH(C2980,'Refined Petro Exp Dist'!$AD$2:$BC$2,0))*INDEX(ref_exp_by_year,MATCH(B2980,'Data Export'!$B$6:$B$78,0),1)))</f>
        <v>0</v>
      </c>
      <c r="E2980">
        <v>5</v>
      </c>
      <c r="F2980" t="s">
        <v>215</v>
      </c>
    </row>
    <row r="2981" spans="1:6">
      <c r="A2981" t="str">
        <f t="shared" si="46"/>
        <v>GenericE&amp;DtemplateCIandGOA</v>
      </c>
      <c r="B2981">
        <v>45</v>
      </c>
      <c r="C2981">
        <v>16</v>
      </c>
      <c r="D2981" s="649">
        <f ca="1">IF(E2981=4,INDEX(crude_exp_dist,MATCH(B2981,'Crude Exp Dist'!$B$6:$B$78,0),MATCH(C2981,'Crude Exp Dist'!$AD$2:$BC$2,0))*INDEX(crude_exp_by_year,MATCH(B2981,'Data Export'!$B$6:$B$78,0),1),IF(E2981=5,INDEX(ref_exp_dist,MATCH(B2981,'Refined Petro Exp Dist'!$B$6:$B$78,0),MATCH(C2981,'Refined Petro Exp Dist'!$AD$2:$BC$2,0))*INDEX(ref_exp_by_year,MATCH(B2981,'Data Export'!$B$6:$B$78,0),1)))</f>
        <v>0</v>
      </c>
      <c r="E2981">
        <v>5</v>
      </c>
      <c r="F2981" t="s">
        <v>219</v>
      </c>
    </row>
    <row r="2982" spans="1:6">
      <c r="A2982" t="str">
        <f t="shared" si="46"/>
        <v>GenericE&amp;DtemplateCIandGOA</v>
      </c>
      <c r="B2982">
        <v>45</v>
      </c>
      <c r="C2982">
        <v>17</v>
      </c>
      <c r="D2982" s="649">
        <f ca="1">IF(E2982=4,INDEX(crude_exp_dist,MATCH(B2982,'Crude Exp Dist'!$B$6:$B$78,0),MATCH(C2982,'Crude Exp Dist'!$AD$2:$BC$2,0))*INDEX(crude_exp_by_year,MATCH(B2982,'Data Export'!$B$6:$B$78,0),1),IF(E2982=5,INDEX(ref_exp_dist,MATCH(B2982,'Refined Petro Exp Dist'!$B$6:$B$78,0),MATCH(C2982,'Refined Petro Exp Dist'!$AD$2:$BC$2,0))*INDEX(ref_exp_by_year,MATCH(B2982,'Data Export'!$B$6:$B$78,0),1)))</f>
        <v>0</v>
      </c>
      <c r="E2982">
        <v>5</v>
      </c>
      <c r="F2982" t="s">
        <v>222</v>
      </c>
    </row>
    <row r="2983" spans="1:6">
      <c r="A2983" t="str">
        <f t="shared" si="46"/>
        <v>GenericE&amp;DtemplateCIandGOA</v>
      </c>
      <c r="B2983">
        <v>45</v>
      </c>
      <c r="C2983">
        <v>18</v>
      </c>
      <c r="D2983" s="649">
        <f ca="1">IF(E2983=4,INDEX(crude_exp_dist,MATCH(B2983,'Crude Exp Dist'!$B$6:$B$78,0),MATCH(C2983,'Crude Exp Dist'!$AD$2:$BC$2,0))*INDEX(crude_exp_by_year,MATCH(B2983,'Data Export'!$B$6:$B$78,0),1),IF(E2983=5,INDEX(ref_exp_dist,MATCH(B2983,'Refined Petro Exp Dist'!$B$6:$B$78,0),MATCH(C2983,'Refined Petro Exp Dist'!$AD$2:$BC$2,0))*INDEX(ref_exp_by_year,MATCH(B2983,'Data Export'!$B$6:$B$78,0),1)))</f>
        <v>0</v>
      </c>
      <c r="E2983">
        <v>5</v>
      </c>
      <c r="F2983" t="s">
        <v>224</v>
      </c>
    </row>
    <row r="2984" spans="1:6">
      <c r="A2984" t="str">
        <f t="shared" si="46"/>
        <v>GenericE&amp;DtemplateCIandGOA</v>
      </c>
      <c r="B2984">
        <v>45</v>
      </c>
      <c r="C2984">
        <v>19</v>
      </c>
      <c r="D2984" s="649">
        <f ca="1">IF(E2984=4,INDEX(crude_exp_dist,MATCH(B2984,'Crude Exp Dist'!$B$6:$B$78,0),MATCH(C2984,'Crude Exp Dist'!$AD$2:$BC$2,0))*INDEX(crude_exp_by_year,MATCH(B2984,'Data Export'!$B$6:$B$78,0),1),IF(E2984=5,INDEX(ref_exp_dist,MATCH(B2984,'Refined Petro Exp Dist'!$B$6:$B$78,0),MATCH(C2984,'Refined Petro Exp Dist'!$AD$2:$BC$2,0))*INDEX(ref_exp_by_year,MATCH(B2984,'Data Export'!$B$6:$B$78,0),1)))</f>
        <v>0</v>
      </c>
      <c r="E2984">
        <v>5</v>
      </c>
      <c r="F2984" t="s">
        <v>228</v>
      </c>
    </row>
    <row r="2985" spans="1:6">
      <c r="A2985" t="str">
        <f t="shared" si="46"/>
        <v>GenericE&amp;DtemplateCIandGOA</v>
      </c>
      <c r="B2985">
        <v>45</v>
      </c>
      <c r="C2985">
        <v>20</v>
      </c>
      <c r="D2985" s="649">
        <f ca="1">IF(E2985=4,INDEX(crude_exp_dist,MATCH(B2985,'Crude Exp Dist'!$B$6:$B$78,0),MATCH(C2985,'Crude Exp Dist'!$AD$2:$BC$2,0))*INDEX(crude_exp_by_year,MATCH(B2985,'Data Export'!$B$6:$B$78,0),1),IF(E2985=5,INDEX(ref_exp_dist,MATCH(B2985,'Refined Petro Exp Dist'!$B$6:$B$78,0),MATCH(C2985,'Refined Petro Exp Dist'!$AD$2:$BC$2,0))*INDEX(ref_exp_by_year,MATCH(B2985,'Data Export'!$B$6:$B$78,0),1)))</f>
        <v>0</v>
      </c>
      <c r="E2985">
        <v>5</v>
      </c>
      <c r="F2985" t="s">
        <v>231</v>
      </c>
    </row>
    <row r="2986" spans="1:6">
      <c r="A2986" t="str">
        <f t="shared" si="46"/>
        <v>GenericE&amp;DtemplateCIandGOA</v>
      </c>
      <c r="B2986">
        <v>45</v>
      </c>
      <c r="C2986">
        <v>21</v>
      </c>
      <c r="D2986" s="649">
        <f ca="1">IF(E2986=4,INDEX(crude_exp_dist,MATCH(B2986,'Crude Exp Dist'!$B$6:$B$78,0),MATCH(C2986,'Crude Exp Dist'!$AD$2:$BC$2,0))*INDEX(crude_exp_by_year,MATCH(B2986,'Data Export'!$B$6:$B$78,0),1),IF(E2986=5,INDEX(ref_exp_dist,MATCH(B2986,'Refined Petro Exp Dist'!$B$6:$B$78,0),MATCH(C2986,'Refined Petro Exp Dist'!$AD$2:$BC$2,0))*INDEX(ref_exp_by_year,MATCH(B2986,'Data Export'!$B$6:$B$78,0),1)))</f>
        <v>0</v>
      </c>
      <c r="E2986">
        <v>5</v>
      </c>
      <c r="F2986" t="s">
        <v>232</v>
      </c>
    </row>
    <row r="2987" spans="1:6">
      <c r="A2987" t="str">
        <f t="shared" si="46"/>
        <v>GenericE&amp;DtemplateCIandGOA</v>
      </c>
      <c r="B2987">
        <v>45</v>
      </c>
      <c r="C2987">
        <v>22</v>
      </c>
      <c r="D2987" s="649">
        <f ca="1">IF(E2987=4,INDEX(crude_exp_dist,MATCH(B2987,'Crude Exp Dist'!$B$6:$B$78,0),MATCH(C2987,'Crude Exp Dist'!$AD$2:$BC$2,0))*INDEX(crude_exp_by_year,MATCH(B2987,'Data Export'!$B$6:$B$78,0),1),IF(E2987=5,INDEX(ref_exp_dist,MATCH(B2987,'Refined Petro Exp Dist'!$B$6:$B$78,0),MATCH(C2987,'Refined Petro Exp Dist'!$AD$2:$BC$2,0))*INDEX(ref_exp_by_year,MATCH(B2987,'Data Export'!$B$6:$B$78,0),1)))</f>
        <v>0</v>
      </c>
      <c r="E2987">
        <v>5</v>
      </c>
      <c r="F2987" t="s">
        <v>235</v>
      </c>
    </row>
    <row r="2988" spans="1:6">
      <c r="A2988" t="str">
        <f t="shared" si="46"/>
        <v>GenericE&amp;DtemplateCIandGOA</v>
      </c>
      <c r="B2988">
        <v>45</v>
      </c>
      <c r="C2988">
        <v>23</v>
      </c>
      <c r="D2988" s="649">
        <f ca="1">IF(E2988=4,INDEX(crude_exp_dist,MATCH(B2988,'Crude Exp Dist'!$B$6:$B$78,0),MATCH(C2988,'Crude Exp Dist'!$AD$2:$BC$2,0))*INDEX(crude_exp_by_year,MATCH(B2988,'Data Export'!$B$6:$B$78,0),1),IF(E2988=5,INDEX(ref_exp_dist,MATCH(B2988,'Refined Petro Exp Dist'!$B$6:$B$78,0),MATCH(C2988,'Refined Petro Exp Dist'!$AD$2:$BC$2,0))*INDEX(ref_exp_by_year,MATCH(B2988,'Data Export'!$B$6:$B$78,0),1)))</f>
        <v>0</v>
      </c>
      <c r="E2988">
        <v>5</v>
      </c>
      <c r="F2988" t="s">
        <v>237</v>
      </c>
    </row>
    <row r="2989" spans="1:6">
      <c r="A2989" t="str">
        <f t="shared" si="46"/>
        <v>GenericE&amp;DtemplateCIandGOA</v>
      </c>
      <c r="B2989">
        <v>45</v>
      </c>
      <c r="C2989">
        <v>24</v>
      </c>
      <c r="D2989" s="649">
        <f ca="1">IF(E2989=4,INDEX(crude_exp_dist,MATCH(B2989,'Crude Exp Dist'!$B$6:$B$78,0),MATCH(C2989,'Crude Exp Dist'!$AD$2:$BC$2,0))*INDEX(crude_exp_by_year,MATCH(B2989,'Data Export'!$B$6:$B$78,0),1),IF(E2989=5,INDEX(ref_exp_dist,MATCH(B2989,'Refined Petro Exp Dist'!$B$6:$B$78,0),MATCH(C2989,'Refined Petro Exp Dist'!$AD$2:$BC$2,0))*INDEX(ref_exp_by_year,MATCH(B2989,'Data Export'!$B$6:$B$78,0),1)))</f>
        <v>0</v>
      </c>
      <c r="E2989">
        <v>5</v>
      </c>
      <c r="F2989" t="s">
        <v>239</v>
      </c>
    </row>
    <row r="2990" spans="1:6">
      <c r="A2990" t="str">
        <f t="shared" si="46"/>
        <v>GenericE&amp;DtemplateCIandGOA</v>
      </c>
      <c r="B2990">
        <v>45</v>
      </c>
      <c r="C2990">
        <v>25</v>
      </c>
      <c r="D2990" s="649">
        <f ca="1">IF(E2990=4,INDEX(crude_exp_dist,MATCH(B2990,'Crude Exp Dist'!$B$6:$B$78,0),MATCH(C2990,'Crude Exp Dist'!$AD$2:$BC$2,0))*INDEX(crude_exp_by_year,MATCH(B2990,'Data Export'!$B$6:$B$78,0),1),IF(E2990=5,INDEX(ref_exp_dist,MATCH(B2990,'Refined Petro Exp Dist'!$B$6:$B$78,0),MATCH(C2990,'Refined Petro Exp Dist'!$AD$2:$BC$2,0))*INDEX(ref_exp_by_year,MATCH(B2990,'Data Export'!$B$6:$B$78,0),1)))</f>
        <v>0</v>
      </c>
      <c r="E2990">
        <v>5</v>
      </c>
      <c r="F2990" t="s">
        <v>242</v>
      </c>
    </row>
    <row r="2991" spans="1:6">
      <c r="A2991" t="str">
        <f t="shared" si="46"/>
        <v>GenericE&amp;DtemplateCIandGOA</v>
      </c>
      <c r="B2991">
        <v>45</v>
      </c>
      <c r="C2991">
        <v>26</v>
      </c>
      <c r="D2991" s="649">
        <f ca="1">IF(E2991=4,INDEX(crude_exp_dist,MATCH(B2991,'Crude Exp Dist'!$B$6:$B$78,0),MATCH(C2991,'Crude Exp Dist'!$AD$2:$BC$2,0))*INDEX(crude_exp_by_year,MATCH(B2991,'Data Export'!$B$6:$B$78,0),1),IF(E2991=5,INDEX(ref_exp_dist,MATCH(B2991,'Refined Petro Exp Dist'!$B$6:$B$78,0),MATCH(C2991,'Refined Petro Exp Dist'!$AD$2:$BC$2,0))*INDEX(ref_exp_by_year,MATCH(B2991,'Data Export'!$B$6:$B$78,0),1)))</f>
        <v>0</v>
      </c>
      <c r="E2991">
        <v>5</v>
      </c>
      <c r="F2991" t="s">
        <v>245</v>
      </c>
    </row>
    <row r="2992" spans="1:6">
      <c r="A2992" t="str">
        <f t="shared" si="46"/>
        <v>GenericE&amp;DtemplateCIandGOA</v>
      </c>
      <c r="B2992">
        <v>46</v>
      </c>
      <c r="C2992">
        <v>1</v>
      </c>
      <c r="D2992" s="649">
        <f ca="1">IF(E2992=4,INDEX(crude_exp_dist,MATCH(B2992,'Crude Exp Dist'!$B$6:$B$78,0),MATCH(C2992,'Crude Exp Dist'!$AD$2:$BC$2,0))*INDEX(crude_exp_by_year,MATCH(B2992,'Data Export'!$B$6:$B$78,0),1),IF(E2992=5,INDEX(ref_exp_dist,MATCH(B2992,'Refined Petro Exp Dist'!$B$6:$B$78,0),MATCH(C2992,'Refined Petro Exp Dist'!$AD$2:$BC$2,0))*INDEX(ref_exp_by_year,MATCH(B2992,'Data Export'!$B$6:$B$78,0),1)))</f>
        <v>0</v>
      </c>
      <c r="E2992">
        <v>5</v>
      </c>
      <c r="F2992" t="s">
        <v>158</v>
      </c>
    </row>
    <row r="2993" spans="1:6">
      <c r="A2993" t="str">
        <f t="shared" si="46"/>
        <v>GenericE&amp;DtemplateCIandGOA</v>
      </c>
      <c r="B2993">
        <v>46</v>
      </c>
      <c r="C2993">
        <v>2</v>
      </c>
      <c r="D2993" s="649">
        <f ca="1">IF(E2993=4,INDEX(crude_exp_dist,MATCH(B2993,'Crude Exp Dist'!$B$6:$B$78,0),MATCH(C2993,'Crude Exp Dist'!$AD$2:$BC$2,0))*INDEX(crude_exp_by_year,MATCH(B2993,'Data Export'!$B$6:$B$78,0),1),IF(E2993=5,INDEX(ref_exp_dist,MATCH(B2993,'Refined Petro Exp Dist'!$B$6:$B$78,0),MATCH(C2993,'Refined Petro Exp Dist'!$AD$2:$BC$2,0))*INDEX(ref_exp_by_year,MATCH(B2993,'Data Export'!$B$6:$B$78,0),1)))</f>
        <v>0</v>
      </c>
      <c r="E2993">
        <v>5</v>
      </c>
      <c r="F2993" t="s">
        <v>166</v>
      </c>
    </row>
    <row r="2994" spans="1:6">
      <c r="A2994" t="str">
        <f t="shared" si="46"/>
        <v>GenericE&amp;DtemplateCIandGOA</v>
      </c>
      <c r="B2994">
        <v>46</v>
      </c>
      <c r="C2994">
        <v>3</v>
      </c>
      <c r="D2994" s="649">
        <f ca="1">IF(E2994=4,INDEX(crude_exp_dist,MATCH(B2994,'Crude Exp Dist'!$B$6:$B$78,0),MATCH(C2994,'Crude Exp Dist'!$AD$2:$BC$2,0))*INDEX(crude_exp_by_year,MATCH(B2994,'Data Export'!$B$6:$B$78,0),1),IF(E2994=5,INDEX(ref_exp_dist,MATCH(B2994,'Refined Petro Exp Dist'!$B$6:$B$78,0),MATCH(C2994,'Refined Petro Exp Dist'!$AD$2:$BC$2,0))*INDEX(ref_exp_by_year,MATCH(B2994,'Data Export'!$B$6:$B$78,0),1)))</f>
        <v>0</v>
      </c>
      <c r="E2994">
        <v>5</v>
      </c>
      <c r="F2994" t="s">
        <v>171</v>
      </c>
    </row>
    <row r="2995" spans="1:6">
      <c r="A2995" t="str">
        <f t="shared" si="46"/>
        <v>GenericE&amp;DtemplateCIandGOA</v>
      </c>
      <c r="B2995">
        <v>46</v>
      </c>
      <c r="C2995">
        <v>4</v>
      </c>
      <c r="D2995" s="649">
        <f ca="1">IF(E2995=4,INDEX(crude_exp_dist,MATCH(B2995,'Crude Exp Dist'!$B$6:$B$78,0),MATCH(C2995,'Crude Exp Dist'!$AD$2:$BC$2,0))*INDEX(crude_exp_by_year,MATCH(B2995,'Data Export'!$B$6:$B$78,0),1),IF(E2995=5,INDEX(ref_exp_dist,MATCH(B2995,'Refined Petro Exp Dist'!$B$6:$B$78,0),MATCH(C2995,'Refined Petro Exp Dist'!$AD$2:$BC$2,0))*INDEX(ref_exp_by_year,MATCH(B2995,'Data Export'!$B$6:$B$78,0),1)))</f>
        <v>0</v>
      </c>
      <c r="E2995">
        <v>5</v>
      </c>
      <c r="F2995" t="s">
        <v>173</v>
      </c>
    </row>
    <row r="2996" spans="1:6">
      <c r="A2996" t="str">
        <f t="shared" si="46"/>
        <v>GenericE&amp;DtemplateCIandGOA</v>
      </c>
      <c r="B2996">
        <v>46</v>
      </c>
      <c r="C2996">
        <v>5</v>
      </c>
      <c r="D2996" s="649">
        <f ca="1">IF(E2996=4,INDEX(crude_exp_dist,MATCH(B2996,'Crude Exp Dist'!$B$6:$B$78,0),MATCH(C2996,'Crude Exp Dist'!$AD$2:$BC$2,0))*INDEX(crude_exp_by_year,MATCH(B2996,'Data Export'!$B$6:$B$78,0),1),IF(E2996=5,INDEX(ref_exp_dist,MATCH(B2996,'Refined Petro Exp Dist'!$B$6:$B$78,0),MATCH(C2996,'Refined Petro Exp Dist'!$AD$2:$BC$2,0))*INDEX(ref_exp_by_year,MATCH(B2996,'Data Export'!$B$6:$B$78,0),1)))</f>
        <v>0</v>
      </c>
      <c r="E2996">
        <v>5</v>
      </c>
      <c r="F2996" t="s">
        <v>180</v>
      </c>
    </row>
    <row r="2997" spans="1:6">
      <c r="A2997" t="str">
        <f t="shared" si="46"/>
        <v>GenericE&amp;DtemplateCIandGOA</v>
      </c>
      <c r="B2997">
        <v>46</v>
      </c>
      <c r="C2997">
        <v>6</v>
      </c>
      <c r="D2997" s="649">
        <f ca="1">IF(E2997=4,INDEX(crude_exp_dist,MATCH(B2997,'Crude Exp Dist'!$B$6:$B$78,0),MATCH(C2997,'Crude Exp Dist'!$AD$2:$BC$2,0))*INDEX(crude_exp_by_year,MATCH(B2997,'Data Export'!$B$6:$B$78,0),1),IF(E2997=5,INDEX(ref_exp_dist,MATCH(B2997,'Refined Petro Exp Dist'!$B$6:$B$78,0),MATCH(C2997,'Refined Petro Exp Dist'!$AD$2:$BC$2,0))*INDEX(ref_exp_by_year,MATCH(B2997,'Data Export'!$B$6:$B$78,0),1)))</f>
        <v>0</v>
      </c>
      <c r="E2997">
        <v>5</v>
      </c>
      <c r="F2997" t="s">
        <v>186</v>
      </c>
    </row>
    <row r="2998" spans="1:6">
      <c r="A2998" t="str">
        <f t="shared" si="46"/>
        <v>GenericE&amp;DtemplateCIandGOA</v>
      </c>
      <c r="B2998">
        <v>46</v>
      </c>
      <c r="C2998">
        <v>7</v>
      </c>
      <c r="D2998" s="649">
        <f ca="1">IF(E2998=4,INDEX(crude_exp_dist,MATCH(B2998,'Crude Exp Dist'!$B$6:$B$78,0),MATCH(C2998,'Crude Exp Dist'!$AD$2:$BC$2,0))*INDEX(crude_exp_by_year,MATCH(B2998,'Data Export'!$B$6:$B$78,0),1),IF(E2998=5,INDEX(ref_exp_dist,MATCH(B2998,'Refined Petro Exp Dist'!$B$6:$B$78,0),MATCH(C2998,'Refined Petro Exp Dist'!$AD$2:$BC$2,0))*INDEX(ref_exp_by_year,MATCH(B2998,'Data Export'!$B$6:$B$78,0),1)))</f>
        <v>0</v>
      </c>
      <c r="E2998">
        <v>5</v>
      </c>
      <c r="F2998" t="s">
        <v>191</v>
      </c>
    </row>
    <row r="2999" spans="1:6">
      <c r="A2999" t="str">
        <f t="shared" si="46"/>
        <v>GenericE&amp;DtemplateCIandGOA</v>
      </c>
      <c r="B2999">
        <v>46</v>
      </c>
      <c r="C2999">
        <v>8</v>
      </c>
      <c r="D2999" s="649">
        <f ca="1">IF(E2999=4,INDEX(crude_exp_dist,MATCH(B2999,'Crude Exp Dist'!$B$6:$B$78,0),MATCH(C2999,'Crude Exp Dist'!$AD$2:$BC$2,0))*INDEX(crude_exp_by_year,MATCH(B2999,'Data Export'!$B$6:$B$78,0),1),IF(E2999=5,INDEX(ref_exp_dist,MATCH(B2999,'Refined Petro Exp Dist'!$B$6:$B$78,0),MATCH(C2999,'Refined Petro Exp Dist'!$AD$2:$BC$2,0))*INDEX(ref_exp_by_year,MATCH(B2999,'Data Export'!$B$6:$B$78,0),1)))</f>
        <v>0</v>
      </c>
      <c r="E2999">
        <v>5</v>
      </c>
      <c r="F2999" t="s">
        <v>197</v>
      </c>
    </row>
    <row r="3000" spans="1:6">
      <c r="A3000" t="str">
        <f t="shared" si="46"/>
        <v>GenericE&amp;DtemplateCIandGOA</v>
      </c>
      <c r="B3000">
        <v>46</v>
      </c>
      <c r="C3000">
        <v>9</v>
      </c>
      <c r="D3000" s="649">
        <f ca="1">IF(E3000=4,INDEX(crude_exp_dist,MATCH(B3000,'Crude Exp Dist'!$B$6:$B$78,0),MATCH(C3000,'Crude Exp Dist'!$AD$2:$BC$2,0))*INDEX(crude_exp_by_year,MATCH(B3000,'Data Export'!$B$6:$B$78,0),1),IF(E3000=5,INDEX(ref_exp_dist,MATCH(B3000,'Refined Petro Exp Dist'!$B$6:$B$78,0),MATCH(C3000,'Refined Petro Exp Dist'!$AD$2:$BC$2,0))*INDEX(ref_exp_by_year,MATCH(B3000,'Data Export'!$B$6:$B$78,0),1)))</f>
        <v>0</v>
      </c>
      <c r="E3000">
        <v>5</v>
      </c>
      <c r="F3000" t="s">
        <v>199</v>
      </c>
    </row>
    <row r="3001" spans="1:6">
      <c r="A3001" t="str">
        <f t="shared" si="46"/>
        <v>GenericE&amp;DtemplateCIandGOA</v>
      </c>
      <c r="B3001">
        <v>46</v>
      </c>
      <c r="C3001">
        <v>10</v>
      </c>
      <c r="D3001" s="649">
        <f ca="1">IF(E3001=4,INDEX(crude_exp_dist,MATCH(B3001,'Crude Exp Dist'!$B$6:$B$78,0),MATCH(C3001,'Crude Exp Dist'!$AD$2:$BC$2,0))*INDEX(crude_exp_by_year,MATCH(B3001,'Data Export'!$B$6:$B$78,0),1),IF(E3001=5,INDEX(ref_exp_dist,MATCH(B3001,'Refined Petro Exp Dist'!$B$6:$B$78,0),MATCH(C3001,'Refined Petro Exp Dist'!$AD$2:$BC$2,0))*INDEX(ref_exp_by_year,MATCH(B3001,'Data Export'!$B$6:$B$78,0),1)))</f>
        <v>0</v>
      </c>
      <c r="E3001">
        <v>5</v>
      </c>
      <c r="F3001" t="s">
        <v>201</v>
      </c>
    </row>
    <row r="3002" spans="1:6">
      <c r="A3002" t="str">
        <f t="shared" si="46"/>
        <v>GenericE&amp;DtemplateCIandGOA</v>
      </c>
      <c r="B3002">
        <v>46</v>
      </c>
      <c r="C3002">
        <v>11</v>
      </c>
      <c r="D3002" s="649">
        <f ca="1">IF(E3002=4,INDEX(crude_exp_dist,MATCH(B3002,'Crude Exp Dist'!$B$6:$B$78,0),MATCH(C3002,'Crude Exp Dist'!$AD$2:$BC$2,0))*INDEX(crude_exp_by_year,MATCH(B3002,'Data Export'!$B$6:$B$78,0),1),IF(E3002=5,INDEX(ref_exp_dist,MATCH(B3002,'Refined Petro Exp Dist'!$B$6:$B$78,0),MATCH(C3002,'Refined Petro Exp Dist'!$AD$2:$BC$2,0))*INDEX(ref_exp_by_year,MATCH(B3002,'Data Export'!$B$6:$B$78,0),1)))</f>
        <v>0</v>
      </c>
      <c r="E3002">
        <v>5</v>
      </c>
      <c r="F3002" t="s">
        <v>921</v>
      </c>
    </row>
    <row r="3003" spans="1:6">
      <c r="A3003" t="str">
        <f t="shared" si="46"/>
        <v>GenericE&amp;DtemplateCIandGOA</v>
      </c>
      <c r="B3003">
        <v>46</v>
      </c>
      <c r="C3003">
        <v>12</v>
      </c>
      <c r="D3003" s="649">
        <f ca="1">IF(E3003=4,INDEX(crude_exp_dist,MATCH(B3003,'Crude Exp Dist'!$B$6:$B$78,0),MATCH(C3003,'Crude Exp Dist'!$AD$2:$BC$2,0))*INDEX(crude_exp_by_year,MATCH(B3003,'Data Export'!$B$6:$B$78,0),1),IF(E3003=5,INDEX(ref_exp_dist,MATCH(B3003,'Refined Petro Exp Dist'!$B$6:$B$78,0),MATCH(C3003,'Refined Petro Exp Dist'!$AD$2:$BC$2,0))*INDEX(ref_exp_by_year,MATCH(B3003,'Data Export'!$B$6:$B$78,0),1)))</f>
        <v>0</v>
      </c>
      <c r="E3003">
        <v>5</v>
      </c>
      <c r="F3003" t="s">
        <v>208</v>
      </c>
    </row>
    <row r="3004" spans="1:6">
      <c r="A3004" t="str">
        <f t="shared" si="46"/>
        <v>GenericE&amp;DtemplateCIandGOA</v>
      </c>
      <c r="B3004">
        <v>46</v>
      </c>
      <c r="C3004">
        <v>13</v>
      </c>
      <c r="D3004" s="649">
        <f ca="1">IF(E3004=4,INDEX(crude_exp_dist,MATCH(B3004,'Crude Exp Dist'!$B$6:$B$78,0),MATCH(C3004,'Crude Exp Dist'!$AD$2:$BC$2,0))*INDEX(crude_exp_by_year,MATCH(B3004,'Data Export'!$B$6:$B$78,0),1),IF(E3004=5,INDEX(ref_exp_dist,MATCH(B3004,'Refined Petro Exp Dist'!$B$6:$B$78,0),MATCH(C3004,'Refined Petro Exp Dist'!$AD$2:$BC$2,0))*INDEX(ref_exp_by_year,MATCH(B3004,'Data Export'!$B$6:$B$78,0),1)))</f>
        <v>0</v>
      </c>
      <c r="E3004">
        <v>5</v>
      </c>
      <c r="F3004" t="s">
        <v>211</v>
      </c>
    </row>
    <row r="3005" spans="1:6">
      <c r="A3005" t="str">
        <f t="shared" si="46"/>
        <v>GenericE&amp;DtemplateCIandGOA</v>
      </c>
      <c r="B3005">
        <v>46</v>
      </c>
      <c r="C3005">
        <v>14</v>
      </c>
      <c r="D3005" s="649">
        <f ca="1">IF(E3005=4,INDEX(crude_exp_dist,MATCH(B3005,'Crude Exp Dist'!$B$6:$B$78,0),MATCH(C3005,'Crude Exp Dist'!$AD$2:$BC$2,0))*INDEX(crude_exp_by_year,MATCH(B3005,'Data Export'!$B$6:$B$78,0),1),IF(E3005=5,INDEX(ref_exp_dist,MATCH(B3005,'Refined Petro Exp Dist'!$B$6:$B$78,0),MATCH(C3005,'Refined Petro Exp Dist'!$AD$2:$BC$2,0))*INDEX(ref_exp_by_year,MATCH(B3005,'Data Export'!$B$6:$B$78,0),1)))</f>
        <v>0</v>
      </c>
      <c r="E3005">
        <v>5</v>
      </c>
      <c r="F3005" t="s">
        <v>213</v>
      </c>
    </row>
    <row r="3006" spans="1:6">
      <c r="A3006" t="str">
        <f t="shared" si="46"/>
        <v>GenericE&amp;DtemplateCIandGOA</v>
      </c>
      <c r="B3006">
        <v>46</v>
      </c>
      <c r="C3006">
        <v>15</v>
      </c>
      <c r="D3006" s="649">
        <f ca="1">IF(E3006=4,INDEX(crude_exp_dist,MATCH(B3006,'Crude Exp Dist'!$B$6:$B$78,0),MATCH(C3006,'Crude Exp Dist'!$AD$2:$BC$2,0))*INDEX(crude_exp_by_year,MATCH(B3006,'Data Export'!$B$6:$B$78,0),1),IF(E3006=5,INDEX(ref_exp_dist,MATCH(B3006,'Refined Petro Exp Dist'!$B$6:$B$78,0),MATCH(C3006,'Refined Petro Exp Dist'!$AD$2:$BC$2,0))*INDEX(ref_exp_by_year,MATCH(B3006,'Data Export'!$B$6:$B$78,0),1)))</f>
        <v>0</v>
      </c>
      <c r="E3006">
        <v>5</v>
      </c>
      <c r="F3006" t="s">
        <v>215</v>
      </c>
    </row>
    <row r="3007" spans="1:6">
      <c r="A3007" t="str">
        <f t="shared" si="46"/>
        <v>GenericE&amp;DtemplateCIandGOA</v>
      </c>
      <c r="B3007">
        <v>46</v>
      </c>
      <c r="C3007">
        <v>16</v>
      </c>
      <c r="D3007" s="649">
        <f ca="1">IF(E3007=4,INDEX(crude_exp_dist,MATCH(B3007,'Crude Exp Dist'!$B$6:$B$78,0),MATCH(C3007,'Crude Exp Dist'!$AD$2:$BC$2,0))*INDEX(crude_exp_by_year,MATCH(B3007,'Data Export'!$B$6:$B$78,0),1),IF(E3007=5,INDEX(ref_exp_dist,MATCH(B3007,'Refined Petro Exp Dist'!$B$6:$B$78,0),MATCH(C3007,'Refined Petro Exp Dist'!$AD$2:$BC$2,0))*INDEX(ref_exp_by_year,MATCH(B3007,'Data Export'!$B$6:$B$78,0),1)))</f>
        <v>0</v>
      </c>
      <c r="E3007">
        <v>5</v>
      </c>
      <c r="F3007" t="s">
        <v>219</v>
      </c>
    </row>
    <row r="3008" spans="1:6">
      <c r="A3008" t="str">
        <f t="shared" si="46"/>
        <v>GenericE&amp;DtemplateCIandGOA</v>
      </c>
      <c r="B3008">
        <v>46</v>
      </c>
      <c r="C3008">
        <v>17</v>
      </c>
      <c r="D3008" s="649">
        <f ca="1">IF(E3008=4,INDEX(crude_exp_dist,MATCH(B3008,'Crude Exp Dist'!$B$6:$B$78,0),MATCH(C3008,'Crude Exp Dist'!$AD$2:$BC$2,0))*INDEX(crude_exp_by_year,MATCH(B3008,'Data Export'!$B$6:$B$78,0),1),IF(E3008=5,INDEX(ref_exp_dist,MATCH(B3008,'Refined Petro Exp Dist'!$B$6:$B$78,0),MATCH(C3008,'Refined Petro Exp Dist'!$AD$2:$BC$2,0))*INDEX(ref_exp_by_year,MATCH(B3008,'Data Export'!$B$6:$B$78,0),1)))</f>
        <v>0</v>
      </c>
      <c r="E3008">
        <v>5</v>
      </c>
      <c r="F3008" t="s">
        <v>222</v>
      </c>
    </row>
    <row r="3009" spans="1:6">
      <c r="A3009" t="str">
        <f t="shared" si="46"/>
        <v>GenericE&amp;DtemplateCIandGOA</v>
      </c>
      <c r="B3009">
        <v>46</v>
      </c>
      <c r="C3009">
        <v>18</v>
      </c>
      <c r="D3009" s="649">
        <f ca="1">IF(E3009=4,INDEX(crude_exp_dist,MATCH(B3009,'Crude Exp Dist'!$B$6:$B$78,0),MATCH(C3009,'Crude Exp Dist'!$AD$2:$BC$2,0))*INDEX(crude_exp_by_year,MATCH(B3009,'Data Export'!$B$6:$B$78,0),1),IF(E3009=5,INDEX(ref_exp_dist,MATCH(B3009,'Refined Petro Exp Dist'!$B$6:$B$78,0),MATCH(C3009,'Refined Petro Exp Dist'!$AD$2:$BC$2,0))*INDEX(ref_exp_by_year,MATCH(B3009,'Data Export'!$B$6:$B$78,0),1)))</f>
        <v>0</v>
      </c>
      <c r="E3009">
        <v>5</v>
      </c>
      <c r="F3009" t="s">
        <v>224</v>
      </c>
    </row>
    <row r="3010" spans="1:6">
      <c r="A3010" t="str">
        <f t="shared" ref="A3010:A3073" si="47">scenario_name</f>
        <v>GenericE&amp;DtemplateCIandGOA</v>
      </c>
      <c r="B3010">
        <v>46</v>
      </c>
      <c r="C3010">
        <v>19</v>
      </c>
      <c r="D3010" s="649">
        <f ca="1">IF(E3010=4,INDEX(crude_exp_dist,MATCH(B3010,'Crude Exp Dist'!$B$6:$B$78,0),MATCH(C3010,'Crude Exp Dist'!$AD$2:$BC$2,0))*INDEX(crude_exp_by_year,MATCH(B3010,'Data Export'!$B$6:$B$78,0),1),IF(E3010=5,INDEX(ref_exp_dist,MATCH(B3010,'Refined Petro Exp Dist'!$B$6:$B$78,0),MATCH(C3010,'Refined Petro Exp Dist'!$AD$2:$BC$2,0))*INDEX(ref_exp_by_year,MATCH(B3010,'Data Export'!$B$6:$B$78,0),1)))</f>
        <v>0</v>
      </c>
      <c r="E3010">
        <v>5</v>
      </c>
      <c r="F3010" t="s">
        <v>228</v>
      </c>
    </row>
    <row r="3011" spans="1:6">
      <c r="A3011" t="str">
        <f t="shared" si="47"/>
        <v>GenericE&amp;DtemplateCIandGOA</v>
      </c>
      <c r="B3011">
        <v>46</v>
      </c>
      <c r="C3011">
        <v>20</v>
      </c>
      <c r="D3011" s="649">
        <f ca="1">IF(E3011=4,INDEX(crude_exp_dist,MATCH(B3011,'Crude Exp Dist'!$B$6:$B$78,0),MATCH(C3011,'Crude Exp Dist'!$AD$2:$BC$2,0))*INDEX(crude_exp_by_year,MATCH(B3011,'Data Export'!$B$6:$B$78,0),1),IF(E3011=5,INDEX(ref_exp_dist,MATCH(B3011,'Refined Petro Exp Dist'!$B$6:$B$78,0),MATCH(C3011,'Refined Petro Exp Dist'!$AD$2:$BC$2,0))*INDEX(ref_exp_by_year,MATCH(B3011,'Data Export'!$B$6:$B$78,0),1)))</f>
        <v>0</v>
      </c>
      <c r="E3011">
        <v>5</v>
      </c>
      <c r="F3011" t="s">
        <v>231</v>
      </c>
    </row>
    <row r="3012" spans="1:6">
      <c r="A3012" t="str">
        <f t="shared" si="47"/>
        <v>GenericE&amp;DtemplateCIandGOA</v>
      </c>
      <c r="B3012">
        <v>46</v>
      </c>
      <c r="C3012">
        <v>21</v>
      </c>
      <c r="D3012" s="649">
        <f ca="1">IF(E3012=4,INDEX(crude_exp_dist,MATCH(B3012,'Crude Exp Dist'!$B$6:$B$78,0),MATCH(C3012,'Crude Exp Dist'!$AD$2:$BC$2,0))*INDEX(crude_exp_by_year,MATCH(B3012,'Data Export'!$B$6:$B$78,0),1),IF(E3012=5,INDEX(ref_exp_dist,MATCH(B3012,'Refined Petro Exp Dist'!$B$6:$B$78,0),MATCH(C3012,'Refined Petro Exp Dist'!$AD$2:$BC$2,0))*INDEX(ref_exp_by_year,MATCH(B3012,'Data Export'!$B$6:$B$78,0),1)))</f>
        <v>0</v>
      </c>
      <c r="E3012">
        <v>5</v>
      </c>
      <c r="F3012" t="s">
        <v>232</v>
      </c>
    </row>
    <row r="3013" spans="1:6">
      <c r="A3013" t="str">
        <f t="shared" si="47"/>
        <v>GenericE&amp;DtemplateCIandGOA</v>
      </c>
      <c r="B3013">
        <v>46</v>
      </c>
      <c r="C3013">
        <v>22</v>
      </c>
      <c r="D3013" s="649">
        <f ca="1">IF(E3013=4,INDEX(crude_exp_dist,MATCH(B3013,'Crude Exp Dist'!$B$6:$B$78,0),MATCH(C3013,'Crude Exp Dist'!$AD$2:$BC$2,0))*INDEX(crude_exp_by_year,MATCH(B3013,'Data Export'!$B$6:$B$78,0),1),IF(E3013=5,INDEX(ref_exp_dist,MATCH(B3013,'Refined Petro Exp Dist'!$B$6:$B$78,0),MATCH(C3013,'Refined Petro Exp Dist'!$AD$2:$BC$2,0))*INDEX(ref_exp_by_year,MATCH(B3013,'Data Export'!$B$6:$B$78,0),1)))</f>
        <v>0</v>
      </c>
      <c r="E3013">
        <v>5</v>
      </c>
      <c r="F3013" t="s">
        <v>235</v>
      </c>
    </row>
    <row r="3014" spans="1:6">
      <c r="A3014" t="str">
        <f t="shared" si="47"/>
        <v>GenericE&amp;DtemplateCIandGOA</v>
      </c>
      <c r="B3014">
        <v>46</v>
      </c>
      <c r="C3014">
        <v>23</v>
      </c>
      <c r="D3014" s="649">
        <f ca="1">IF(E3014=4,INDEX(crude_exp_dist,MATCH(B3014,'Crude Exp Dist'!$B$6:$B$78,0),MATCH(C3014,'Crude Exp Dist'!$AD$2:$BC$2,0))*INDEX(crude_exp_by_year,MATCH(B3014,'Data Export'!$B$6:$B$78,0),1),IF(E3014=5,INDEX(ref_exp_dist,MATCH(B3014,'Refined Petro Exp Dist'!$B$6:$B$78,0),MATCH(C3014,'Refined Petro Exp Dist'!$AD$2:$BC$2,0))*INDEX(ref_exp_by_year,MATCH(B3014,'Data Export'!$B$6:$B$78,0),1)))</f>
        <v>0</v>
      </c>
      <c r="E3014">
        <v>5</v>
      </c>
      <c r="F3014" t="s">
        <v>237</v>
      </c>
    </row>
    <row r="3015" spans="1:6">
      <c r="A3015" t="str">
        <f t="shared" si="47"/>
        <v>GenericE&amp;DtemplateCIandGOA</v>
      </c>
      <c r="B3015">
        <v>46</v>
      </c>
      <c r="C3015">
        <v>24</v>
      </c>
      <c r="D3015" s="649">
        <f ca="1">IF(E3015=4,INDEX(crude_exp_dist,MATCH(B3015,'Crude Exp Dist'!$B$6:$B$78,0),MATCH(C3015,'Crude Exp Dist'!$AD$2:$BC$2,0))*INDEX(crude_exp_by_year,MATCH(B3015,'Data Export'!$B$6:$B$78,0),1),IF(E3015=5,INDEX(ref_exp_dist,MATCH(B3015,'Refined Petro Exp Dist'!$B$6:$B$78,0),MATCH(C3015,'Refined Petro Exp Dist'!$AD$2:$BC$2,0))*INDEX(ref_exp_by_year,MATCH(B3015,'Data Export'!$B$6:$B$78,0),1)))</f>
        <v>0</v>
      </c>
      <c r="E3015">
        <v>5</v>
      </c>
      <c r="F3015" t="s">
        <v>239</v>
      </c>
    </row>
    <row r="3016" spans="1:6">
      <c r="A3016" t="str">
        <f t="shared" si="47"/>
        <v>GenericE&amp;DtemplateCIandGOA</v>
      </c>
      <c r="B3016">
        <v>46</v>
      </c>
      <c r="C3016">
        <v>25</v>
      </c>
      <c r="D3016" s="649">
        <f ca="1">IF(E3016=4,INDEX(crude_exp_dist,MATCH(B3016,'Crude Exp Dist'!$B$6:$B$78,0),MATCH(C3016,'Crude Exp Dist'!$AD$2:$BC$2,0))*INDEX(crude_exp_by_year,MATCH(B3016,'Data Export'!$B$6:$B$78,0),1),IF(E3016=5,INDEX(ref_exp_dist,MATCH(B3016,'Refined Petro Exp Dist'!$B$6:$B$78,0),MATCH(C3016,'Refined Petro Exp Dist'!$AD$2:$BC$2,0))*INDEX(ref_exp_by_year,MATCH(B3016,'Data Export'!$B$6:$B$78,0),1)))</f>
        <v>0</v>
      </c>
      <c r="E3016">
        <v>5</v>
      </c>
      <c r="F3016" t="s">
        <v>242</v>
      </c>
    </row>
    <row r="3017" spans="1:6">
      <c r="A3017" t="str">
        <f t="shared" si="47"/>
        <v>GenericE&amp;DtemplateCIandGOA</v>
      </c>
      <c r="B3017">
        <v>46</v>
      </c>
      <c r="C3017">
        <v>26</v>
      </c>
      <c r="D3017" s="649">
        <f ca="1">IF(E3017=4,INDEX(crude_exp_dist,MATCH(B3017,'Crude Exp Dist'!$B$6:$B$78,0),MATCH(C3017,'Crude Exp Dist'!$AD$2:$BC$2,0))*INDEX(crude_exp_by_year,MATCH(B3017,'Data Export'!$B$6:$B$78,0),1),IF(E3017=5,INDEX(ref_exp_dist,MATCH(B3017,'Refined Petro Exp Dist'!$B$6:$B$78,0),MATCH(C3017,'Refined Petro Exp Dist'!$AD$2:$BC$2,0))*INDEX(ref_exp_by_year,MATCH(B3017,'Data Export'!$B$6:$B$78,0),1)))</f>
        <v>0</v>
      </c>
      <c r="E3017">
        <v>5</v>
      </c>
      <c r="F3017" t="s">
        <v>245</v>
      </c>
    </row>
    <row r="3018" spans="1:6">
      <c r="A3018" t="str">
        <f t="shared" si="47"/>
        <v>GenericE&amp;DtemplateCIandGOA</v>
      </c>
      <c r="B3018">
        <v>47</v>
      </c>
      <c r="C3018">
        <v>1</v>
      </c>
      <c r="D3018" s="649">
        <f ca="1">IF(E3018=4,INDEX(crude_exp_dist,MATCH(B3018,'Crude Exp Dist'!$B$6:$B$78,0),MATCH(C3018,'Crude Exp Dist'!$AD$2:$BC$2,0))*INDEX(crude_exp_by_year,MATCH(B3018,'Data Export'!$B$6:$B$78,0),1),IF(E3018=5,INDEX(ref_exp_dist,MATCH(B3018,'Refined Petro Exp Dist'!$B$6:$B$78,0),MATCH(C3018,'Refined Petro Exp Dist'!$AD$2:$BC$2,0))*INDEX(ref_exp_by_year,MATCH(B3018,'Data Export'!$B$6:$B$78,0),1)))</f>
        <v>0</v>
      </c>
      <c r="E3018">
        <v>5</v>
      </c>
      <c r="F3018" t="s">
        <v>158</v>
      </c>
    </row>
    <row r="3019" spans="1:6">
      <c r="A3019" t="str">
        <f t="shared" si="47"/>
        <v>GenericE&amp;DtemplateCIandGOA</v>
      </c>
      <c r="B3019">
        <v>47</v>
      </c>
      <c r="C3019">
        <v>2</v>
      </c>
      <c r="D3019" s="649">
        <f ca="1">IF(E3019=4,INDEX(crude_exp_dist,MATCH(B3019,'Crude Exp Dist'!$B$6:$B$78,0),MATCH(C3019,'Crude Exp Dist'!$AD$2:$BC$2,0))*INDEX(crude_exp_by_year,MATCH(B3019,'Data Export'!$B$6:$B$78,0),1),IF(E3019=5,INDEX(ref_exp_dist,MATCH(B3019,'Refined Petro Exp Dist'!$B$6:$B$78,0),MATCH(C3019,'Refined Petro Exp Dist'!$AD$2:$BC$2,0))*INDEX(ref_exp_by_year,MATCH(B3019,'Data Export'!$B$6:$B$78,0),1)))</f>
        <v>0</v>
      </c>
      <c r="E3019">
        <v>5</v>
      </c>
      <c r="F3019" t="s">
        <v>166</v>
      </c>
    </row>
    <row r="3020" spans="1:6">
      <c r="A3020" t="str">
        <f t="shared" si="47"/>
        <v>GenericE&amp;DtemplateCIandGOA</v>
      </c>
      <c r="B3020">
        <v>47</v>
      </c>
      <c r="C3020">
        <v>3</v>
      </c>
      <c r="D3020" s="649">
        <f ca="1">IF(E3020=4,INDEX(crude_exp_dist,MATCH(B3020,'Crude Exp Dist'!$B$6:$B$78,0),MATCH(C3020,'Crude Exp Dist'!$AD$2:$BC$2,0))*INDEX(crude_exp_by_year,MATCH(B3020,'Data Export'!$B$6:$B$78,0),1),IF(E3020=5,INDEX(ref_exp_dist,MATCH(B3020,'Refined Petro Exp Dist'!$B$6:$B$78,0),MATCH(C3020,'Refined Petro Exp Dist'!$AD$2:$BC$2,0))*INDEX(ref_exp_by_year,MATCH(B3020,'Data Export'!$B$6:$B$78,0),1)))</f>
        <v>0</v>
      </c>
      <c r="E3020">
        <v>5</v>
      </c>
      <c r="F3020" t="s">
        <v>171</v>
      </c>
    </row>
    <row r="3021" spans="1:6">
      <c r="A3021" t="str">
        <f t="shared" si="47"/>
        <v>GenericE&amp;DtemplateCIandGOA</v>
      </c>
      <c r="B3021">
        <v>47</v>
      </c>
      <c r="C3021">
        <v>4</v>
      </c>
      <c r="D3021" s="649">
        <f ca="1">IF(E3021=4,INDEX(crude_exp_dist,MATCH(B3021,'Crude Exp Dist'!$B$6:$B$78,0),MATCH(C3021,'Crude Exp Dist'!$AD$2:$BC$2,0))*INDEX(crude_exp_by_year,MATCH(B3021,'Data Export'!$B$6:$B$78,0),1),IF(E3021=5,INDEX(ref_exp_dist,MATCH(B3021,'Refined Petro Exp Dist'!$B$6:$B$78,0),MATCH(C3021,'Refined Petro Exp Dist'!$AD$2:$BC$2,0))*INDEX(ref_exp_by_year,MATCH(B3021,'Data Export'!$B$6:$B$78,0),1)))</f>
        <v>0</v>
      </c>
      <c r="E3021">
        <v>5</v>
      </c>
      <c r="F3021" t="s">
        <v>173</v>
      </c>
    </row>
    <row r="3022" spans="1:6">
      <c r="A3022" t="str">
        <f t="shared" si="47"/>
        <v>GenericE&amp;DtemplateCIandGOA</v>
      </c>
      <c r="B3022">
        <v>47</v>
      </c>
      <c r="C3022">
        <v>5</v>
      </c>
      <c r="D3022" s="649">
        <f ca="1">IF(E3022=4,INDEX(crude_exp_dist,MATCH(B3022,'Crude Exp Dist'!$B$6:$B$78,0),MATCH(C3022,'Crude Exp Dist'!$AD$2:$BC$2,0))*INDEX(crude_exp_by_year,MATCH(B3022,'Data Export'!$B$6:$B$78,0),1),IF(E3022=5,INDEX(ref_exp_dist,MATCH(B3022,'Refined Petro Exp Dist'!$B$6:$B$78,0),MATCH(C3022,'Refined Petro Exp Dist'!$AD$2:$BC$2,0))*INDEX(ref_exp_by_year,MATCH(B3022,'Data Export'!$B$6:$B$78,0),1)))</f>
        <v>0</v>
      </c>
      <c r="E3022">
        <v>5</v>
      </c>
      <c r="F3022" t="s">
        <v>180</v>
      </c>
    </row>
    <row r="3023" spans="1:6">
      <c r="A3023" t="str">
        <f t="shared" si="47"/>
        <v>GenericE&amp;DtemplateCIandGOA</v>
      </c>
      <c r="B3023">
        <v>47</v>
      </c>
      <c r="C3023">
        <v>6</v>
      </c>
      <c r="D3023" s="649">
        <f ca="1">IF(E3023=4,INDEX(crude_exp_dist,MATCH(B3023,'Crude Exp Dist'!$B$6:$B$78,0),MATCH(C3023,'Crude Exp Dist'!$AD$2:$BC$2,0))*INDEX(crude_exp_by_year,MATCH(B3023,'Data Export'!$B$6:$B$78,0),1),IF(E3023=5,INDEX(ref_exp_dist,MATCH(B3023,'Refined Petro Exp Dist'!$B$6:$B$78,0),MATCH(C3023,'Refined Petro Exp Dist'!$AD$2:$BC$2,0))*INDEX(ref_exp_by_year,MATCH(B3023,'Data Export'!$B$6:$B$78,0),1)))</f>
        <v>0</v>
      </c>
      <c r="E3023">
        <v>5</v>
      </c>
      <c r="F3023" t="s">
        <v>186</v>
      </c>
    </row>
    <row r="3024" spans="1:6">
      <c r="A3024" t="str">
        <f t="shared" si="47"/>
        <v>GenericE&amp;DtemplateCIandGOA</v>
      </c>
      <c r="B3024">
        <v>47</v>
      </c>
      <c r="C3024">
        <v>7</v>
      </c>
      <c r="D3024" s="649">
        <f ca="1">IF(E3024=4,INDEX(crude_exp_dist,MATCH(B3024,'Crude Exp Dist'!$B$6:$B$78,0),MATCH(C3024,'Crude Exp Dist'!$AD$2:$BC$2,0))*INDEX(crude_exp_by_year,MATCH(B3024,'Data Export'!$B$6:$B$78,0),1),IF(E3024=5,INDEX(ref_exp_dist,MATCH(B3024,'Refined Petro Exp Dist'!$B$6:$B$78,0),MATCH(C3024,'Refined Petro Exp Dist'!$AD$2:$BC$2,0))*INDEX(ref_exp_by_year,MATCH(B3024,'Data Export'!$B$6:$B$78,0),1)))</f>
        <v>0</v>
      </c>
      <c r="E3024">
        <v>5</v>
      </c>
      <c r="F3024" t="s">
        <v>191</v>
      </c>
    </row>
    <row r="3025" spans="1:6">
      <c r="A3025" t="str">
        <f t="shared" si="47"/>
        <v>GenericE&amp;DtemplateCIandGOA</v>
      </c>
      <c r="B3025">
        <v>47</v>
      </c>
      <c r="C3025">
        <v>8</v>
      </c>
      <c r="D3025" s="649">
        <f ca="1">IF(E3025=4,INDEX(crude_exp_dist,MATCH(B3025,'Crude Exp Dist'!$B$6:$B$78,0),MATCH(C3025,'Crude Exp Dist'!$AD$2:$BC$2,0))*INDEX(crude_exp_by_year,MATCH(B3025,'Data Export'!$B$6:$B$78,0),1),IF(E3025=5,INDEX(ref_exp_dist,MATCH(B3025,'Refined Petro Exp Dist'!$B$6:$B$78,0),MATCH(C3025,'Refined Petro Exp Dist'!$AD$2:$BC$2,0))*INDEX(ref_exp_by_year,MATCH(B3025,'Data Export'!$B$6:$B$78,0),1)))</f>
        <v>0</v>
      </c>
      <c r="E3025">
        <v>5</v>
      </c>
      <c r="F3025" t="s">
        <v>197</v>
      </c>
    </row>
    <row r="3026" spans="1:6">
      <c r="A3026" t="str">
        <f t="shared" si="47"/>
        <v>GenericE&amp;DtemplateCIandGOA</v>
      </c>
      <c r="B3026">
        <v>47</v>
      </c>
      <c r="C3026">
        <v>9</v>
      </c>
      <c r="D3026" s="649">
        <f ca="1">IF(E3026=4,INDEX(crude_exp_dist,MATCH(B3026,'Crude Exp Dist'!$B$6:$B$78,0),MATCH(C3026,'Crude Exp Dist'!$AD$2:$BC$2,0))*INDEX(crude_exp_by_year,MATCH(B3026,'Data Export'!$B$6:$B$78,0),1),IF(E3026=5,INDEX(ref_exp_dist,MATCH(B3026,'Refined Petro Exp Dist'!$B$6:$B$78,0),MATCH(C3026,'Refined Petro Exp Dist'!$AD$2:$BC$2,0))*INDEX(ref_exp_by_year,MATCH(B3026,'Data Export'!$B$6:$B$78,0),1)))</f>
        <v>0</v>
      </c>
      <c r="E3026">
        <v>5</v>
      </c>
      <c r="F3026" t="s">
        <v>199</v>
      </c>
    </row>
    <row r="3027" spans="1:6">
      <c r="A3027" t="str">
        <f t="shared" si="47"/>
        <v>GenericE&amp;DtemplateCIandGOA</v>
      </c>
      <c r="B3027">
        <v>47</v>
      </c>
      <c r="C3027">
        <v>10</v>
      </c>
      <c r="D3027" s="649">
        <f ca="1">IF(E3027=4,INDEX(crude_exp_dist,MATCH(B3027,'Crude Exp Dist'!$B$6:$B$78,0),MATCH(C3027,'Crude Exp Dist'!$AD$2:$BC$2,0))*INDEX(crude_exp_by_year,MATCH(B3027,'Data Export'!$B$6:$B$78,0),1),IF(E3027=5,INDEX(ref_exp_dist,MATCH(B3027,'Refined Petro Exp Dist'!$B$6:$B$78,0),MATCH(C3027,'Refined Petro Exp Dist'!$AD$2:$BC$2,0))*INDEX(ref_exp_by_year,MATCH(B3027,'Data Export'!$B$6:$B$78,0),1)))</f>
        <v>0</v>
      </c>
      <c r="E3027">
        <v>5</v>
      </c>
      <c r="F3027" t="s">
        <v>201</v>
      </c>
    </row>
    <row r="3028" spans="1:6">
      <c r="A3028" t="str">
        <f t="shared" si="47"/>
        <v>GenericE&amp;DtemplateCIandGOA</v>
      </c>
      <c r="B3028">
        <v>47</v>
      </c>
      <c r="C3028">
        <v>11</v>
      </c>
      <c r="D3028" s="649">
        <f ca="1">IF(E3028=4,INDEX(crude_exp_dist,MATCH(B3028,'Crude Exp Dist'!$B$6:$B$78,0),MATCH(C3028,'Crude Exp Dist'!$AD$2:$BC$2,0))*INDEX(crude_exp_by_year,MATCH(B3028,'Data Export'!$B$6:$B$78,0),1),IF(E3028=5,INDEX(ref_exp_dist,MATCH(B3028,'Refined Petro Exp Dist'!$B$6:$B$78,0),MATCH(C3028,'Refined Petro Exp Dist'!$AD$2:$BC$2,0))*INDEX(ref_exp_by_year,MATCH(B3028,'Data Export'!$B$6:$B$78,0),1)))</f>
        <v>0</v>
      </c>
      <c r="E3028">
        <v>5</v>
      </c>
      <c r="F3028" t="s">
        <v>921</v>
      </c>
    </row>
    <row r="3029" spans="1:6">
      <c r="A3029" t="str">
        <f t="shared" si="47"/>
        <v>GenericE&amp;DtemplateCIandGOA</v>
      </c>
      <c r="B3029">
        <v>47</v>
      </c>
      <c r="C3029">
        <v>12</v>
      </c>
      <c r="D3029" s="649">
        <f ca="1">IF(E3029=4,INDEX(crude_exp_dist,MATCH(B3029,'Crude Exp Dist'!$B$6:$B$78,0),MATCH(C3029,'Crude Exp Dist'!$AD$2:$BC$2,0))*INDEX(crude_exp_by_year,MATCH(B3029,'Data Export'!$B$6:$B$78,0),1),IF(E3029=5,INDEX(ref_exp_dist,MATCH(B3029,'Refined Petro Exp Dist'!$B$6:$B$78,0),MATCH(C3029,'Refined Petro Exp Dist'!$AD$2:$BC$2,0))*INDEX(ref_exp_by_year,MATCH(B3029,'Data Export'!$B$6:$B$78,0),1)))</f>
        <v>0</v>
      </c>
      <c r="E3029">
        <v>5</v>
      </c>
      <c r="F3029" t="s">
        <v>208</v>
      </c>
    </row>
    <row r="3030" spans="1:6">
      <c r="A3030" t="str">
        <f t="shared" si="47"/>
        <v>GenericE&amp;DtemplateCIandGOA</v>
      </c>
      <c r="B3030">
        <v>47</v>
      </c>
      <c r="C3030">
        <v>13</v>
      </c>
      <c r="D3030" s="649">
        <f ca="1">IF(E3030=4,INDEX(crude_exp_dist,MATCH(B3030,'Crude Exp Dist'!$B$6:$B$78,0),MATCH(C3030,'Crude Exp Dist'!$AD$2:$BC$2,0))*INDEX(crude_exp_by_year,MATCH(B3030,'Data Export'!$B$6:$B$78,0),1),IF(E3030=5,INDEX(ref_exp_dist,MATCH(B3030,'Refined Petro Exp Dist'!$B$6:$B$78,0),MATCH(C3030,'Refined Petro Exp Dist'!$AD$2:$BC$2,0))*INDEX(ref_exp_by_year,MATCH(B3030,'Data Export'!$B$6:$B$78,0),1)))</f>
        <v>0</v>
      </c>
      <c r="E3030">
        <v>5</v>
      </c>
      <c r="F3030" t="s">
        <v>211</v>
      </c>
    </row>
    <row r="3031" spans="1:6">
      <c r="A3031" t="str">
        <f t="shared" si="47"/>
        <v>GenericE&amp;DtemplateCIandGOA</v>
      </c>
      <c r="B3031">
        <v>47</v>
      </c>
      <c r="C3031">
        <v>14</v>
      </c>
      <c r="D3031" s="649">
        <f ca="1">IF(E3031=4,INDEX(crude_exp_dist,MATCH(B3031,'Crude Exp Dist'!$B$6:$B$78,0),MATCH(C3031,'Crude Exp Dist'!$AD$2:$BC$2,0))*INDEX(crude_exp_by_year,MATCH(B3031,'Data Export'!$B$6:$B$78,0),1),IF(E3031=5,INDEX(ref_exp_dist,MATCH(B3031,'Refined Petro Exp Dist'!$B$6:$B$78,0),MATCH(C3031,'Refined Petro Exp Dist'!$AD$2:$BC$2,0))*INDEX(ref_exp_by_year,MATCH(B3031,'Data Export'!$B$6:$B$78,0),1)))</f>
        <v>0</v>
      </c>
      <c r="E3031">
        <v>5</v>
      </c>
      <c r="F3031" t="s">
        <v>213</v>
      </c>
    </row>
    <row r="3032" spans="1:6">
      <c r="A3032" t="str">
        <f t="shared" si="47"/>
        <v>GenericE&amp;DtemplateCIandGOA</v>
      </c>
      <c r="B3032">
        <v>47</v>
      </c>
      <c r="C3032">
        <v>15</v>
      </c>
      <c r="D3032" s="649">
        <f ca="1">IF(E3032=4,INDEX(crude_exp_dist,MATCH(B3032,'Crude Exp Dist'!$B$6:$B$78,0),MATCH(C3032,'Crude Exp Dist'!$AD$2:$BC$2,0))*INDEX(crude_exp_by_year,MATCH(B3032,'Data Export'!$B$6:$B$78,0),1),IF(E3032=5,INDEX(ref_exp_dist,MATCH(B3032,'Refined Petro Exp Dist'!$B$6:$B$78,0),MATCH(C3032,'Refined Petro Exp Dist'!$AD$2:$BC$2,0))*INDEX(ref_exp_by_year,MATCH(B3032,'Data Export'!$B$6:$B$78,0),1)))</f>
        <v>0</v>
      </c>
      <c r="E3032">
        <v>5</v>
      </c>
      <c r="F3032" t="s">
        <v>215</v>
      </c>
    </row>
    <row r="3033" spans="1:6">
      <c r="A3033" t="str">
        <f t="shared" si="47"/>
        <v>GenericE&amp;DtemplateCIandGOA</v>
      </c>
      <c r="B3033">
        <v>47</v>
      </c>
      <c r="C3033">
        <v>16</v>
      </c>
      <c r="D3033" s="649">
        <f ca="1">IF(E3033=4,INDEX(crude_exp_dist,MATCH(B3033,'Crude Exp Dist'!$B$6:$B$78,0),MATCH(C3033,'Crude Exp Dist'!$AD$2:$BC$2,0))*INDEX(crude_exp_by_year,MATCH(B3033,'Data Export'!$B$6:$B$78,0),1),IF(E3033=5,INDEX(ref_exp_dist,MATCH(B3033,'Refined Petro Exp Dist'!$B$6:$B$78,0),MATCH(C3033,'Refined Petro Exp Dist'!$AD$2:$BC$2,0))*INDEX(ref_exp_by_year,MATCH(B3033,'Data Export'!$B$6:$B$78,0),1)))</f>
        <v>0</v>
      </c>
      <c r="E3033">
        <v>5</v>
      </c>
      <c r="F3033" t="s">
        <v>219</v>
      </c>
    </row>
    <row r="3034" spans="1:6">
      <c r="A3034" t="str">
        <f t="shared" si="47"/>
        <v>GenericE&amp;DtemplateCIandGOA</v>
      </c>
      <c r="B3034">
        <v>47</v>
      </c>
      <c r="C3034">
        <v>17</v>
      </c>
      <c r="D3034" s="649">
        <f ca="1">IF(E3034=4,INDEX(crude_exp_dist,MATCH(B3034,'Crude Exp Dist'!$B$6:$B$78,0),MATCH(C3034,'Crude Exp Dist'!$AD$2:$BC$2,0))*INDEX(crude_exp_by_year,MATCH(B3034,'Data Export'!$B$6:$B$78,0),1),IF(E3034=5,INDEX(ref_exp_dist,MATCH(B3034,'Refined Petro Exp Dist'!$B$6:$B$78,0),MATCH(C3034,'Refined Petro Exp Dist'!$AD$2:$BC$2,0))*INDEX(ref_exp_by_year,MATCH(B3034,'Data Export'!$B$6:$B$78,0),1)))</f>
        <v>0</v>
      </c>
      <c r="E3034">
        <v>5</v>
      </c>
      <c r="F3034" t="s">
        <v>222</v>
      </c>
    </row>
    <row r="3035" spans="1:6">
      <c r="A3035" t="str">
        <f t="shared" si="47"/>
        <v>GenericE&amp;DtemplateCIandGOA</v>
      </c>
      <c r="B3035">
        <v>47</v>
      </c>
      <c r="C3035">
        <v>18</v>
      </c>
      <c r="D3035" s="649">
        <f ca="1">IF(E3035=4,INDEX(crude_exp_dist,MATCH(B3035,'Crude Exp Dist'!$B$6:$B$78,0),MATCH(C3035,'Crude Exp Dist'!$AD$2:$BC$2,0))*INDEX(crude_exp_by_year,MATCH(B3035,'Data Export'!$B$6:$B$78,0),1),IF(E3035=5,INDEX(ref_exp_dist,MATCH(B3035,'Refined Petro Exp Dist'!$B$6:$B$78,0),MATCH(C3035,'Refined Petro Exp Dist'!$AD$2:$BC$2,0))*INDEX(ref_exp_by_year,MATCH(B3035,'Data Export'!$B$6:$B$78,0),1)))</f>
        <v>0</v>
      </c>
      <c r="E3035">
        <v>5</v>
      </c>
      <c r="F3035" t="s">
        <v>224</v>
      </c>
    </row>
    <row r="3036" spans="1:6">
      <c r="A3036" t="str">
        <f t="shared" si="47"/>
        <v>GenericE&amp;DtemplateCIandGOA</v>
      </c>
      <c r="B3036">
        <v>47</v>
      </c>
      <c r="C3036">
        <v>19</v>
      </c>
      <c r="D3036" s="649">
        <f ca="1">IF(E3036=4,INDEX(crude_exp_dist,MATCH(B3036,'Crude Exp Dist'!$B$6:$B$78,0),MATCH(C3036,'Crude Exp Dist'!$AD$2:$BC$2,0))*INDEX(crude_exp_by_year,MATCH(B3036,'Data Export'!$B$6:$B$78,0),1),IF(E3036=5,INDEX(ref_exp_dist,MATCH(B3036,'Refined Petro Exp Dist'!$B$6:$B$78,0),MATCH(C3036,'Refined Petro Exp Dist'!$AD$2:$BC$2,0))*INDEX(ref_exp_by_year,MATCH(B3036,'Data Export'!$B$6:$B$78,0),1)))</f>
        <v>0</v>
      </c>
      <c r="E3036">
        <v>5</v>
      </c>
      <c r="F3036" t="s">
        <v>228</v>
      </c>
    </row>
    <row r="3037" spans="1:6">
      <c r="A3037" t="str">
        <f t="shared" si="47"/>
        <v>GenericE&amp;DtemplateCIandGOA</v>
      </c>
      <c r="B3037">
        <v>47</v>
      </c>
      <c r="C3037">
        <v>20</v>
      </c>
      <c r="D3037" s="649">
        <f ca="1">IF(E3037=4,INDEX(crude_exp_dist,MATCH(B3037,'Crude Exp Dist'!$B$6:$B$78,0),MATCH(C3037,'Crude Exp Dist'!$AD$2:$BC$2,0))*INDEX(crude_exp_by_year,MATCH(B3037,'Data Export'!$B$6:$B$78,0),1),IF(E3037=5,INDEX(ref_exp_dist,MATCH(B3037,'Refined Petro Exp Dist'!$B$6:$B$78,0),MATCH(C3037,'Refined Petro Exp Dist'!$AD$2:$BC$2,0))*INDEX(ref_exp_by_year,MATCH(B3037,'Data Export'!$B$6:$B$78,0),1)))</f>
        <v>0</v>
      </c>
      <c r="E3037">
        <v>5</v>
      </c>
      <c r="F3037" t="s">
        <v>231</v>
      </c>
    </row>
    <row r="3038" spans="1:6">
      <c r="A3038" t="str">
        <f t="shared" si="47"/>
        <v>GenericE&amp;DtemplateCIandGOA</v>
      </c>
      <c r="B3038">
        <v>47</v>
      </c>
      <c r="C3038">
        <v>21</v>
      </c>
      <c r="D3038" s="649">
        <f ca="1">IF(E3038=4,INDEX(crude_exp_dist,MATCH(B3038,'Crude Exp Dist'!$B$6:$B$78,0),MATCH(C3038,'Crude Exp Dist'!$AD$2:$BC$2,0))*INDEX(crude_exp_by_year,MATCH(B3038,'Data Export'!$B$6:$B$78,0),1),IF(E3038=5,INDEX(ref_exp_dist,MATCH(B3038,'Refined Petro Exp Dist'!$B$6:$B$78,0),MATCH(C3038,'Refined Petro Exp Dist'!$AD$2:$BC$2,0))*INDEX(ref_exp_by_year,MATCH(B3038,'Data Export'!$B$6:$B$78,0),1)))</f>
        <v>0</v>
      </c>
      <c r="E3038">
        <v>5</v>
      </c>
      <c r="F3038" t="s">
        <v>232</v>
      </c>
    </row>
    <row r="3039" spans="1:6">
      <c r="A3039" t="str">
        <f t="shared" si="47"/>
        <v>GenericE&amp;DtemplateCIandGOA</v>
      </c>
      <c r="B3039">
        <v>47</v>
      </c>
      <c r="C3039">
        <v>22</v>
      </c>
      <c r="D3039" s="649">
        <f ca="1">IF(E3039=4,INDEX(crude_exp_dist,MATCH(B3039,'Crude Exp Dist'!$B$6:$B$78,0),MATCH(C3039,'Crude Exp Dist'!$AD$2:$BC$2,0))*INDEX(crude_exp_by_year,MATCH(B3039,'Data Export'!$B$6:$B$78,0),1),IF(E3039=5,INDEX(ref_exp_dist,MATCH(B3039,'Refined Petro Exp Dist'!$B$6:$B$78,0),MATCH(C3039,'Refined Petro Exp Dist'!$AD$2:$BC$2,0))*INDEX(ref_exp_by_year,MATCH(B3039,'Data Export'!$B$6:$B$78,0),1)))</f>
        <v>0</v>
      </c>
      <c r="E3039">
        <v>5</v>
      </c>
      <c r="F3039" t="s">
        <v>235</v>
      </c>
    </row>
    <row r="3040" spans="1:6">
      <c r="A3040" t="str">
        <f t="shared" si="47"/>
        <v>GenericE&amp;DtemplateCIandGOA</v>
      </c>
      <c r="B3040">
        <v>47</v>
      </c>
      <c r="C3040">
        <v>23</v>
      </c>
      <c r="D3040" s="649">
        <f ca="1">IF(E3040=4,INDEX(crude_exp_dist,MATCH(B3040,'Crude Exp Dist'!$B$6:$B$78,0),MATCH(C3040,'Crude Exp Dist'!$AD$2:$BC$2,0))*INDEX(crude_exp_by_year,MATCH(B3040,'Data Export'!$B$6:$B$78,0),1),IF(E3040=5,INDEX(ref_exp_dist,MATCH(B3040,'Refined Petro Exp Dist'!$B$6:$B$78,0),MATCH(C3040,'Refined Petro Exp Dist'!$AD$2:$BC$2,0))*INDEX(ref_exp_by_year,MATCH(B3040,'Data Export'!$B$6:$B$78,0),1)))</f>
        <v>0</v>
      </c>
      <c r="E3040">
        <v>5</v>
      </c>
      <c r="F3040" t="s">
        <v>237</v>
      </c>
    </row>
    <row r="3041" spans="1:6">
      <c r="A3041" t="str">
        <f t="shared" si="47"/>
        <v>GenericE&amp;DtemplateCIandGOA</v>
      </c>
      <c r="B3041">
        <v>47</v>
      </c>
      <c r="C3041">
        <v>24</v>
      </c>
      <c r="D3041" s="649">
        <f ca="1">IF(E3041=4,INDEX(crude_exp_dist,MATCH(B3041,'Crude Exp Dist'!$B$6:$B$78,0),MATCH(C3041,'Crude Exp Dist'!$AD$2:$BC$2,0))*INDEX(crude_exp_by_year,MATCH(B3041,'Data Export'!$B$6:$B$78,0),1),IF(E3041=5,INDEX(ref_exp_dist,MATCH(B3041,'Refined Petro Exp Dist'!$B$6:$B$78,0),MATCH(C3041,'Refined Petro Exp Dist'!$AD$2:$BC$2,0))*INDEX(ref_exp_by_year,MATCH(B3041,'Data Export'!$B$6:$B$78,0),1)))</f>
        <v>0</v>
      </c>
      <c r="E3041">
        <v>5</v>
      </c>
      <c r="F3041" t="s">
        <v>239</v>
      </c>
    </row>
    <row r="3042" spans="1:6">
      <c r="A3042" t="str">
        <f t="shared" si="47"/>
        <v>GenericE&amp;DtemplateCIandGOA</v>
      </c>
      <c r="B3042">
        <v>47</v>
      </c>
      <c r="C3042">
        <v>25</v>
      </c>
      <c r="D3042" s="649">
        <f ca="1">IF(E3042=4,INDEX(crude_exp_dist,MATCH(B3042,'Crude Exp Dist'!$B$6:$B$78,0),MATCH(C3042,'Crude Exp Dist'!$AD$2:$BC$2,0))*INDEX(crude_exp_by_year,MATCH(B3042,'Data Export'!$B$6:$B$78,0),1),IF(E3042=5,INDEX(ref_exp_dist,MATCH(B3042,'Refined Petro Exp Dist'!$B$6:$B$78,0),MATCH(C3042,'Refined Petro Exp Dist'!$AD$2:$BC$2,0))*INDEX(ref_exp_by_year,MATCH(B3042,'Data Export'!$B$6:$B$78,0),1)))</f>
        <v>0</v>
      </c>
      <c r="E3042">
        <v>5</v>
      </c>
      <c r="F3042" t="s">
        <v>242</v>
      </c>
    </row>
    <row r="3043" spans="1:6">
      <c r="A3043" t="str">
        <f t="shared" si="47"/>
        <v>GenericE&amp;DtemplateCIandGOA</v>
      </c>
      <c r="B3043">
        <v>47</v>
      </c>
      <c r="C3043">
        <v>26</v>
      </c>
      <c r="D3043" s="649">
        <f ca="1">IF(E3043=4,INDEX(crude_exp_dist,MATCH(B3043,'Crude Exp Dist'!$B$6:$B$78,0),MATCH(C3043,'Crude Exp Dist'!$AD$2:$BC$2,0))*INDEX(crude_exp_by_year,MATCH(B3043,'Data Export'!$B$6:$B$78,0),1),IF(E3043=5,INDEX(ref_exp_dist,MATCH(B3043,'Refined Petro Exp Dist'!$B$6:$B$78,0),MATCH(C3043,'Refined Petro Exp Dist'!$AD$2:$BC$2,0))*INDEX(ref_exp_by_year,MATCH(B3043,'Data Export'!$B$6:$B$78,0),1)))</f>
        <v>0</v>
      </c>
      <c r="E3043">
        <v>5</v>
      </c>
      <c r="F3043" t="s">
        <v>245</v>
      </c>
    </row>
    <row r="3044" spans="1:6">
      <c r="A3044" t="str">
        <f t="shared" si="47"/>
        <v>GenericE&amp;DtemplateCIandGOA</v>
      </c>
      <c r="B3044">
        <v>48</v>
      </c>
      <c r="C3044">
        <v>1</v>
      </c>
      <c r="D3044" s="649">
        <f ca="1">IF(E3044=4,INDEX(crude_exp_dist,MATCH(B3044,'Crude Exp Dist'!$B$6:$B$78,0),MATCH(C3044,'Crude Exp Dist'!$AD$2:$BC$2,0))*INDEX(crude_exp_by_year,MATCH(B3044,'Data Export'!$B$6:$B$78,0),1),IF(E3044=5,INDEX(ref_exp_dist,MATCH(B3044,'Refined Petro Exp Dist'!$B$6:$B$78,0),MATCH(C3044,'Refined Petro Exp Dist'!$AD$2:$BC$2,0))*INDEX(ref_exp_by_year,MATCH(B3044,'Data Export'!$B$6:$B$78,0),1)))</f>
        <v>0</v>
      </c>
      <c r="E3044">
        <v>5</v>
      </c>
      <c r="F3044" t="s">
        <v>158</v>
      </c>
    </row>
    <row r="3045" spans="1:6">
      <c r="A3045" t="str">
        <f t="shared" si="47"/>
        <v>GenericE&amp;DtemplateCIandGOA</v>
      </c>
      <c r="B3045">
        <v>48</v>
      </c>
      <c r="C3045">
        <v>2</v>
      </c>
      <c r="D3045" s="649">
        <f ca="1">IF(E3045=4,INDEX(crude_exp_dist,MATCH(B3045,'Crude Exp Dist'!$B$6:$B$78,0),MATCH(C3045,'Crude Exp Dist'!$AD$2:$BC$2,0))*INDEX(crude_exp_by_year,MATCH(B3045,'Data Export'!$B$6:$B$78,0),1),IF(E3045=5,INDEX(ref_exp_dist,MATCH(B3045,'Refined Petro Exp Dist'!$B$6:$B$78,0),MATCH(C3045,'Refined Petro Exp Dist'!$AD$2:$BC$2,0))*INDEX(ref_exp_by_year,MATCH(B3045,'Data Export'!$B$6:$B$78,0),1)))</f>
        <v>0</v>
      </c>
      <c r="E3045">
        <v>5</v>
      </c>
      <c r="F3045" t="s">
        <v>166</v>
      </c>
    </row>
    <row r="3046" spans="1:6">
      <c r="A3046" t="str">
        <f t="shared" si="47"/>
        <v>GenericE&amp;DtemplateCIandGOA</v>
      </c>
      <c r="B3046">
        <v>48</v>
      </c>
      <c r="C3046">
        <v>3</v>
      </c>
      <c r="D3046" s="649">
        <f ca="1">IF(E3046=4,INDEX(crude_exp_dist,MATCH(B3046,'Crude Exp Dist'!$B$6:$B$78,0),MATCH(C3046,'Crude Exp Dist'!$AD$2:$BC$2,0))*INDEX(crude_exp_by_year,MATCH(B3046,'Data Export'!$B$6:$B$78,0),1),IF(E3046=5,INDEX(ref_exp_dist,MATCH(B3046,'Refined Petro Exp Dist'!$B$6:$B$78,0),MATCH(C3046,'Refined Petro Exp Dist'!$AD$2:$BC$2,0))*INDEX(ref_exp_by_year,MATCH(B3046,'Data Export'!$B$6:$B$78,0),1)))</f>
        <v>0</v>
      </c>
      <c r="E3046">
        <v>5</v>
      </c>
      <c r="F3046" t="s">
        <v>171</v>
      </c>
    </row>
    <row r="3047" spans="1:6">
      <c r="A3047" t="str">
        <f t="shared" si="47"/>
        <v>GenericE&amp;DtemplateCIandGOA</v>
      </c>
      <c r="B3047">
        <v>48</v>
      </c>
      <c r="C3047">
        <v>4</v>
      </c>
      <c r="D3047" s="649">
        <f ca="1">IF(E3047=4,INDEX(crude_exp_dist,MATCH(B3047,'Crude Exp Dist'!$B$6:$B$78,0),MATCH(C3047,'Crude Exp Dist'!$AD$2:$BC$2,0))*INDEX(crude_exp_by_year,MATCH(B3047,'Data Export'!$B$6:$B$78,0),1),IF(E3047=5,INDEX(ref_exp_dist,MATCH(B3047,'Refined Petro Exp Dist'!$B$6:$B$78,0),MATCH(C3047,'Refined Petro Exp Dist'!$AD$2:$BC$2,0))*INDEX(ref_exp_by_year,MATCH(B3047,'Data Export'!$B$6:$B$78,0),1)))</f>
        <v>0</v>
      </c>
      <c r="E3047">
        <v>5</v>
      </c>
      <c r="F3047" t="s">
        <v>173</v>
      </c>
    </row>
    <row r="3048" spans="1:6">
      <c r="A3048" t="str">
        <f t="shared" si="47"/>
        <v>GenericE&amp;DtemplateCIandGOA</v>
      </c>
      <c r="B3048">
        <v>48</v>
      </c>
      <c r="C3048">
        <v>5</v>
      </c>
      <c r="D3048" s="649">
        <f ca="1">IF(E3048=4,INDEX(crude_exp_dist,MATCH(B3048,'Crude Exp Dist'!$B$6:$B$78,0),MATCH(C3048,'Crude Exp Dist'!$AD$2:$BC$2,0))*INDEX(crude_exp_by_year,MATCH(B3048,'Data Export'!$B$6:$B$78,0),1),IF(E3048=5,INDEX(ref_exp_dist,MATCH(B3048,'Refined Petro Exp Dist'!$B$6:$B$78,0),MATCH(C3048,'Refined Petro Exp Dist'!$AD$2:$BC$2,0))*INDEX(ref_exp_by_year,MATCH(B3048,'Data Export'!$B$6:$B$78,0),1)))</f>
        <v>0</v>
      </c>
      <c r="E3048">
        <v>5</v>
      </c>
      <c r="F3048" t="s">
        <v>180</v>
      </c>
    </row>
    <row r="3049" spans="1:6">
      <c r="A3049" t="str">
        <f t="shared" si="47"/>
        <v>GenericE&amp;DtemplateCIandGOA</v>
      </c>
      <c r="B3049">
        <v>48</v>
      </c>
      <c r="C3049">
        <v>6</v>
      </c>
      <c r="D3049" s="649">
        <f ca="1">IF(E3049=4,INDEX(crude_exp_dist,MATCH(B3049,'Crude Exp Dist'!$B$6:$B$78,0),MATCH(C3049,'Crude Exp Dist'!$AD$2:$BC$2,0))*INDEX(crude_exp_by_year,MATCH(B3049,'Data Export'!$B$6:$B$78,0),1),IF(E3049=5,INDEX(ref_exp_dist,MATCH(B3049,'Refined Petro Exp Dist'!$B$6:$B$78,0),MATCH(C3049,'Refined Petro Exp Dist'!$AD$2:$BC$2,0))*INDEX(ref_exp_by_year,MATCH(B3049,'Data Export'!$B$6:$B$78,0),1)))</f>
        <v>0</v>
      </c>
      <c r="E3049">
        <v>5</v>
      </c>
      <c r="F3049" t="s">
        <v>186</v>
      </c>
    </row>
    <row r="3050" spans="1:6">
      <c r="A3050" t="str">
        <f t="shared" si="47"/>
        <v>GenericE&amp;DtemplateCIandGOA</v>
      </c>
      <c r="B3050">
        <v>48</v>
      </c>
      <c r="C3050">
        <v>7</v>
      </c>
      <c r="D3050" s="649">
        <f ca="1">IF(E3050=4,INDEX(crude_exp_dist,MATCH(B3050,'Crude Exp Dist'!$B$6:$B$78,0),MATCH(C3050,'Crude Exp Dist'!$AD$2:$BC$2,0))*INDEX(crude_exp_by_year,MATCH(B3050,'Data Export'!$B$6:$B$78,0),1),IF(E3050=5,INDEX(ref_exp_dist,MATCH(B3050,'Refined Petro Exp Dist'!$B$6:$B$78,0),MATCH(C3050,'Refined Petro Exp Dist'!$AD$2:$BC$2,0))*INDEX(ref_exp_by_year,MATCH(B3050,'Data Export'!$B$6:$B$78,0),1)))</f>
        <v>0</v>
      </c>
      <c r="E3050">
        <v>5</v>
      </c>
      <c r="F3050" t="s">
        <v>191</v>
      </c>
    </row>
    <row r="3051" spans="1:6">
      <c r="A3051" t="str">
        <f t="shared" si="47"/>
        <v>GenericE&amp;DtemplateCIandGOA</v>
      </c>
      <c r="B3051">
        <v>48</v>
      </c>
      <c r="C3051">
        <v>8</v>
      </c>
      <c r="D3051" s="649">
        <f ca="1">IF(E3051=4,INDEX(crude_exp_dist,MATCH(B3051,'Crude Exp Dist'!$B$6:$B$78,0),MATCH(C3051,'Crude Exp Dist'!$AD$2:$BC$2,0))*INDEX(crude_exp_by_year,MATCH(B3051,'Data Export'!$B$6:$B$78,0),1),IF(E3051=5,INDEX(ref_exp_dist,MATCH(B3051,'Refined Petro Exp Dist'!$B$6:$B$78,0),MATCH(C3051,'Refined Petro Exp Dist'!$AD$2:$BC$2,0))*INDEX(ref_exp_by_year,MATCH(B3051,'Data Export'!$B$6:$B$78,0),1)))</f>
        <v>0</v>
      </c>
      <c r="E3051">
        <v>5</v>
      </c>
      <c r="F3051" t="s">
        <v>197</v>
      </c>
    </row>
    <row r="3052" spans="1:6">
      <c r="A3052" t="str">
        <f t="shared" si="47"/>
        <v>GenericE&amp;DtemplateCIandGOA</v>
      </c>
      <c r="B3052">
        <v>48</v>
      </c>
      <c r="C3052">
        <v>9</v>
      </c>
      <c r="D3052" s="649">
        <f ca="1">IF(E3052=4,INDEX(crude_exp_dist,MATCH(B3052,'Crude Exp Dist'!$B$6:$B$78,0),MATCH(C3052,'Crude Exp Dist'!$AD$2:$BC$2,0))*INDEX(crude_exp_by_year,MATCH(B3052,'Data Export'!$B$6:$B$78,0),1),IF(E3052=5,INDEX(ref_exp_dist,MATCH(B3052,'Refined Petro Exp Dist'!$B$6:$B$78,0),MATCH(C3052,'Refined Petro Exp Dist'!$AD$2:$BC$2,0))*INDEX(ref_exp_by_year,MATCH(B3052,'Data Export'!$B$6:$B$78,0),1)))</f>
        <v>0</v>
      </c>
      <c r="E3052">
        <v>5</v>
      </c>
      <c r="F3052" t="s">
        <v>199</v>
      </c>
    </row>
    <row r="3053" spans="1:6">
      <c r="A3053" t="str">
        <f t="shared" si="47"/>
        <v>GenericE&amp;DtemplateCIandGOA</v>
      </c>
      <c r="B3053">
        <v>48</v>
      </c>
      <c r="C3053">
        <v>10</v>
      </c>
      <c r="D3053" s="649">
        <f ca="1">IF(E3053=4,INDEX(crude_exp_dist,MATCH(B3053,'Crude Exp Dist'!$B$6:$B$78,0),MATCH(C3053,'Crude Exp Dist'!$AD$2:$BC$2,0))*INDEX(crude_exp_by_year,MATCH(B3053,'Data Export'!$B$6:$B$78,0),1),IF(E3053=5,INDEX(ref_exp_dist,MATCH(B3053,'Refined Petro Exp Dist'!$B$6:$B$78,0),MATCH(C3053,'Refined Petro Exp Dist'!$AD$2:$BC$2,0))*INDEX(ref_exp_by_year,MATCH(B3053,'Data Export'!$B$6:$B$78,0),1)))</f>
        <v>0</v>
      </c>
      <c r="E3053">
        <v>5</v>
      </c>
      <c r="F3053" t="s">
        <v>201</v>
      </c>
    </row>
    <row r="3054" spans="1:6">
      <c r="A3054" t="str">
        <f t="shared" si="47"/>
        <v>GenericE&amp;DtemplateCIandGOA</v>
      </c>
      <c r="B3054">
        <v>48</v>
      </c>
      <c r="C3054">
        <v>11</v>
      </c>
      <c r="D3054" s="649">
        <f ca="1">IF(E3054=4,INDEX(crude_exp_dist,MATCH(B3054,'Crude Exp Dist'!$B$6:$B$78,0),MATCH(C3054,'Crude Exp Dist'!$AD$2:$BC$2,0))*INDEX(crude_exp_by_year,MATCH(B3054,'Data Export'!$B$6:$B$78,0),1),IF(E3054=5,INDEX(ref_exp_dist,MATCH(B3054,'Refined Petro Exp Dist'!$B$6:$B$78,0),MATCH(C3054,'Refined Petro Exp Dist'!$AD$2:$BC$2,0))*INDEX(ref_exp_by_year,MATCH(B3054,'Data Export'!$B$6:$B$78,0),1)))</f>
        <v>0</v>
      </c>
      <c r="E3054">
        <v>5</v>
      </c>
      <c r="F3054" t="s">
        <v>921</v>
      </c>
    </row>
    <row r="3055" spans="1:6">
      <c r="A3055" t="str">
        <f t="shared" si="47"/>
        <v>GenericE&amp;DtemplateCIandGOA</v>
      </c>
      <c r="B3055">
        <v>48</v>
      </c>
      <c r="C3055">
        <v>12</v>
      </c>
      <c r="D3055" s="649">
        <f ca="1">IF(E3055=4,INDEX(crude_exp_dist,MATCH(B3055,'Crude Exp Dist'!$B$6:$B$78,0),MATCH(C3055,'Crude Exp Dist'!$AD$2:$BC$2,0))*INDEX(crude_exp_by_year,MATCH(B3055,'Data Export'!$B$6:$B$78,0),1),IF(E3055=5,INDEX(ref_exp_dist,MATCH(B3055,'Refined Petro Exp Dist'!$B$6:$B$78,0),MATCH(C3055,'Refined Petro Exp Dist'!$AD$2:$BC$2,0))*INDEX(ref_exp_by_year,MATCH(B3055,'Data Export'!$B$6:$B$78,0),1)))</f>
        <v>0</v>
      </c>
      <c r="E3055">
        <v>5</v>
      </c>
      <c r="F3055" t="s">
        <v>208</v>
      </c>
    </row>
    <row r="3056" spans="1:6">
      <c r="A3056" t="str">
        <f t="shared" si="47"/>
        <v>GenericE&amp;DtemplateCIandGOA</v>
      </c>
      <c r="B3056">
        <v>48</v>
      </c>
      <c r="C3056">
        <v>13</v>
      </c>
      <c r="D3056" s="649">
        <f ca="1">IF(E3056=4,INDEX(crude_exp_dist,MATCH(B3056,'Crude Exp Dist'!$B$6:$B$78,0),MATCH(C3056,'Crude Exp Dist'!$AD$2:$BC$2,0))*INDEX(crude_exp_by_year,MATCH(B3056,'Data Export'!$B$6:$B$78,0),1),IF(E3056=5,INDEX(ref_exp_dist,MATCH(B3056,'Refined Petro Exp Dist'!$B$6:$B$78,0),MATCH(C3056,'Refined Petro Exp Dist'!$AD$2:$BC$2,0))*INDEX(ref_exp_by_year,MATCH(B3056,'Data Export'!$B$6:$B$78,0),1)))</f>
        <v>0</v>
      </c>
      <c r="E3056">
        <v>5</v>
      </c>
      <c r="F3056" t="s">
        <v>211</v>
      </c>
    </row>
    <row r="3057" spans="1:6">
      <c r="A3057" t="str">
        <f t="shared" si="47"/>
        <v>GenericE&amp;DtemplateCIandGOA</v>
      </c>
      <c r="B3057">
        <v>48</v>
      </c>
      <c r="C3057">
        <v>14</v>
      </c>
      <c r="D3057" s="649">
        <f ca="1">IF(E3057=4,INDEX(crude_exp_dist,MATCH(B3057,'Crude Exp Dist'!$B$6:$B$78,0),MATCH(C3057,'Crude Exp Dist'!$AD$2:$BC$2,0))*INDEX(crude_exp_by_year,MATCH(B3057,'Data Export'!$B$6:$B$78,0),1),IF(E3057=5,INDEX(ref_exp_dist,MATCH(B3057,'Refined Petro Exp Dist'!$B$6:$B$78,0),MATCH(C3057,'Refined Petro Exp Dist'!$AD$2:$BC$2,0))*INDEX(ref_exp_by_year,MATCH(B3057,'Data Export'!$B$6:$B$78,0),1)))</f>
        <v>0</v>
      </c>
      <c r="E3057">
        <v>5</v>
      </c>
      <c r="F3057" t="s">
        <v>213</v>
      </c>
    </row>
    <row r="3058" spans="1:6">
      <c r="A3058" t="str">
        <f t="shared" si="47"/>
        <v>GenericE&amp;DtemplateCIandGOA</v>
      </c>
      <c r="B3058">
        <v>48</v>
      </c>
      <c r="C3058">
        <v>15</v>
      </c>
      <c r="D3058" s="649">
        <f ca="1">IF(E3058=4,INDEX(crude_exp_dist,MATCH(B3058,'Crude Exp Dist'!$B$6:$B$78,0),MATCH(C3058,'Crude Exp Dist'!$AD$2:$BC$2,0))*INDEX(crude_exp_by_year,MATCH(B3058,'Data Export'!$B$6:$B$78,0),1),IF(E3058=5,INDEX(ref_exp_dist,MATCH(B3058,'Refined Petro Exp Dist'!$B$6:$B$78,0),MATCH(C3058,'Refined Petro Exp Dist'!$AD$2:$BC$2,0))*INDEX(ref_exp_by_year,MATCH(B3058,'Data Export'!$B$6:$B$78,0),1)))</f>
        <v>0</v>
      </c>
      <c r="E3058">
        <v>5</v>
      </c>
      <c r="F3058" t="s">
        <v>215</v>
      </c>
    </row>
    <row r="3059" spans="1:6">
      <c r="A3059" t="str">
        <f t="shared" si="47"/>
        <v>GenericE&amp;DtemplateCIandGOA</v>
      </c>
      <c r="B3059">
        <v>48</v>
      </c>
      <c r="C3059">
        <v>16</v>
      </c>
      <c r="D3059" s="649">
        <f ca="1">IF(E3059=4,INDEX(crude_exp_dist,MATCH(B3059,'Crude Exp Dist'!$B$6:$B$78,0),MATCH(C3059,'Crude Exp Dist'!$AD$2:$BC$2,0))*INDEX(crude_exp_by_year,MATCH(B3059,'Data Export'!$B$6:$B$78,0),1),IF(E3059=5,INDEX(ref_exp_dist,MATCH(B3059,'Refined Petro Exp Dist'!$B$6:$B$78,0),MATCH(C3059,'Refined Petro Exp Dist'!$AD$2:$BC$2,0))*INDEX(ref_exp_by_year,MATCH(B3059,'Data Export'!$B$6:$B$78,0),1)))</f>
        <v>0</v>
      </c>
      <c r="E3059">
        <v>5</v>
      </c>
      <c r="F3059" t="s">
        <v>219</v>
      </c>
    </row>
    <row r="3060" spans="1:6">
      <c r="A3060" t="str">
        <f t="shared" si="47"/>
        <v>GenericE&amp;DtemplateCIandGOA</v>
      </c>
      <c r="B3060">
        <v>48</v>
      </c>
      <c r="C3060">
        <v>17</v>
      </c>
      <c r="D3060" s="649">
        <f ca="1">IF(E3060=4,INDEX(crude_exp_dist,MATCH(B3060,'Crude Exp Dist'!$B$6:$B$78,0),MATCH(C3060,'Crude Exp Dist'!$AD$2:$BC$2,0))*INDEX(crude_exp_by_year,MATCH(B3060,'Data Export'!$B$6:$B$78,0),1),IF(E3060=5,INDEX(ref_exp_dist,MATCH(B3060,'Refined Petro Exp Dist'!$B$6:$B$78,0),MATCH(C3060,'Refined Petro Exp Dist'!$AD$2:$BC$2,0))*INDEX(ref_exp_by_year,MATCH(B3060,'Data Export'!$B$6:$B$78,0),1)))</f>
        <v>0</v>
      </c>
      <c r="E3060">
        <v>5</v>
      </c>
      <c r="F3060" t="s">
        <v>222</v>
      </c>
    </row>
    <row r="3061" spans="1:6">
      <c r="A3061" t="str">
        <f t="shared" si="47"/>
        <v>GenericE&amp;DtemplateCIandGOA</v>
      </c>
      <c r="B3061">
        <v>48</v>
      </c>
      <c r="C3061">
        <v>18</v>
      </c>
      <c r="D3061" s="649">
        <f ca="1">IF(E3061=4,INDEX(crude_exp_dist,MATCH(B3061,'Crude Exp Dist'!$B$6:$B$78,0),MATCH(C3061,'Crude Exp Dist'!$AD$2:$BC$2,0))*INDEX(crude_exp_by_year,MATCH(B3061,'Data Export'!$B$6:$B$78,0),1),IF(E3061=5,INDEX(ref_exp_dist,MATCH(B3061,'Refined Petro Exp Dist'!$B$6:$B$78,0),MATCH(C3061,'Refined Petro Exp Dist'!$AD$2:$BC$2,0))*INDEX(ref_exp_by_year,MATCH(B3061,'Data Export'!$B$6:$B$78,0),1)))</f>
        <v>0</v>
      </c>
      <c r="E3061">
        <v>5</v>
      </c>
      <c r="F3061" t="s">
        <v>224</v>
      </c>
    </row>
    <row r="3062" spans="1:6">
      <c r="A3062" t="str">
        <f t="shared" si="47"/>
        <v>GenericE&amp;DtemplateCIandGOA</v>
      </c>
      <c r="B3062">
        <v>48</v>
      </c>
      <c r="C3062">
        <v>19</v>
      </c>
      <c r="D3062" s="649">
        <f ca="1">IF(E3062=4,INDEX(crude_exp_dist,MATCH(B3062,'Crude Exp Dist'!$B$6:$B$78,0),MATCH(C3062,'Crude Exp Dist'!$AD$2:$BC$2,0))*INDEX(crude_exp_by_year,MATCH(B3062,'Data Export'!$B$6:$B$78,0),1),IF(E3062=5,INDEX(ref_exp_dist,MATCH(B3062,'Refined Petro Exp Dist'!$B$6:$B$78,0),MATCH(C3062,'Refined Petro Exp Dist'!$AD$2:$BC$2,0))*INDEX(ref_exp_by_year,MATCH(B3062,'Data Export'!$B$6:$B$78,0),1)))</f>
        <v>0</v>
      </c>
      <c r="E3062">
        <v>5</v>
      </c>
      <c r="F3062" t="s">
        <v>228</v>
      </c>
    </row>
    <row r="3063" spans="1:6">
      <c r="A3063" t="str">
        <f t="shared" si="47"/>
        <v>GenericE&amp;DtemplateCIandGOA</v>
      </c>
      <c r="B3063">
        <v>48</v>
      </c>
      <c r="C3063">
        <v>20</v>
      </c>
      <c r="D3063" s="649">
        <f ca="1">IF(E3063=4,INDEX(crude_exp_dist,MATCH(B3063,'Crude Exp Dist'!$B$6:$B$78,0),MATCH(C3063,'Crude Exp Dist'!$AD$2:$BC$2,0))*INDEX(crude_exp_by_year,MATCH(B3063,'Data Export'!$B$6:$B$78,0),1),IF(E3063=5,INDEX(ref_exp_dist,MATCH(B3063,'Refined Petro Exp Dist'!$B$6:$B$78,0),MATCH(C3063,'Refined Petro Exp Dist'!$AD$2:$BC$2,0))*INDEX(ref_exp_by_year,MATCH(B3063,'Data Export'!$B$6:$B$78,0),1)))</f>
        <v>0</v>
      </c>
      <c r="E3063">
        <v>5</v>
      </c>
      <c r="F3063" t="s">
        <v>231</v>
      </c>
    </row>
    <row r="3064" spans="1:6">
      <c r="A3064" t="str">
        <f t="shared" si="47"/>
        <v>GenericE&amp;DtemplateCIandGOA</v>
      </c>
      <c r="B3064">
        <v>48</v>
      </c>
      <c r="C3064">
        <v>21</v>
      </c>
      <c r="D3064" s="649">
        <f ca="1">IF(E3064=4,INDEX(crude_exp_dist,MATCH(B3064,'Crude Exp Dist'!$B$6:$B$78,0),MATCH(C3064,'Crude Exp Dist'!$AD$2:$BC$2,0))*INDEX(crude_exp_by_year,MATCH(B3064,'Data Export'!$B$6:$B$78,0),1),IF(E3064=5,INDEX(ref_exp_dist,MATCH(B3064,'Refined Petro Exp Dist'!$B$6:$B$78,0),MATCH(C3064,'Refined Petro Exp Dist'!$AD$2:$BC$2,0))*INDEX(ref_exp_by_year,MATCH(B3064,'Data Export'!$B$6:$B$78,0),1)))</f>
        <v>0</v>
      </c>
      <c r="E3064">
        <v>5</v>
      </c>
      <c r="F3064" t="s">
        <v>232</v>
      </c>
    </row>
    <row r="3065" spans="1:6">
      <c r="A3065" t="str">
        <f t="shared" si="47"/>
        <v>GenericE&amp;DtemplateCIandGOA</v>
      </c>
      <c r="B3065">
        <v>48</v>
      </c>
      <c r="C3065">
        <v>22</v>
      </c>
      <c r="D3065" s="649">
        <f ca="1">IF(E3065=4,INDEX(crude_exp_dist,MATCH(B3065,'Crude Exp Dist'!$B$6:$B$78,0),MATCH(C3065,'Crude Exp Dist'!$AD$2:$BC$2,0))*INDEX(crude_exp_by_year,MATCH(B3065,'Data Export'!$B$6:$B$78,0),1),IF(E3065=5,INDEX(ref_exp_dist,MATCH(B3065,'Refined Petro Exp Dist'!$B$6:$B$78,0),MATCH(C3065,'Refined Petro Exp Dist'!$AD$2:$BC$2,0))*INDEX(ref_exp_by_year,MATCH(B3065,'Data Export'!$B$6:$B$78,0),1)))</f>
        <v>0</v>
      </c>
      <c r="E3065">
        <v>5</v>
      </c>
      <c r="F3065" t="s">
        <v>235</v>
      </c>
    </row>
    <row r="3066" spans="1:6">
      <c r="A3066" t="str">
        <f t="shared" si="47"/>
        <v>GenericE&amp;DtemplateCIandGOA</v>
      </c>
      <c r="B3066">
        <v>48</v>
      </c>
      <c r="C3066">
        <v>23</v>
      </c>
      <c r="D3066" s="649">
        <f ca="1">IF(E3066=4,INDEX(crude_exp_dist,MATCH(B3066,'Crude Exp Dist'!$B$6:$B$78,0),MATCH(C3066,'Crude Exp Dist'!$AD$2:$BC$2,0))*INDEX(crude_exp_by_year,MATCH(B3066,'Data Export'!$B$6:$B$78,0),1),IF(E3066=5,INDEX(ref_exp_dist,MATCH(B3066,'Refined Petro Exp Dist'!$B$6:$B$78,0),MATCH(C3066,'Refined Petro Exp Dist'!$AD$2:$BC$2,0))*INDEX(ref_exp_by_year,MATCH(B3066,'Data Export'!$B$6:$B$78,0),1)))</f>
        <v>0</v>
      </c>
      <c r="E3066">
        <v>5</v>
      </c>
      <c r="F3066" t="s">
        <v>237</v>
      </c>
    </row>
    <row r="3067" spans="1:6">
      <c r="A3067" t="str">
        <f t="shared" si="47"/>
        <v>GenericE&amp;DtemplateCIandGOA</v>
      </c>
      <c r="B3067">
        <v>48</v>
      </c>
      <c r="C3067">
        <v>24</v>
      </c>
      <c r="D3067" s="649">
        <f ca="1">IF(E3067=4,INDEX(crude_exp_dist,MATCH(B3067,'Crude Exp Dist'!$B$6:$B$78,0),MATCH(C3067,'Crude Exp Dist'!$AD$2:$BC$2,0))*INDEX(crude_exp_by_year,MATCH(B3067,'Data Export'!$B$6:$B$78,0),1),IF(E3067=5,INDEX(ref_exp_dist,MATCH(B3067,'Refined Petro Exp Dist'!$B$6:$B$78,0),MATCH(C3067,'Refined Petro Exp Dist'!$AD$2:$BC$2,0))*INDEX(ref_exp_by_year,MATCH(B3067,'Data Export'!$B$6:$B$78,0),1)))</f>
        <v>0</v>
      </c>
      <c r="E3067">
        <v>5</v>
      </c>
      <c r="F3067" t="s">
        <v>239</v>
      </c>
    </row>
    <row r="3068" spans="1:6">
      <c r="A3068" t="str">
        <f t="shared" si="47"/>
        <v>GenericE&amp;DtemplateCIandGOA</v>
      </c>
      <c r="B3068">
        <v>48</v>
      </c>
      <c r="C3068">
        <v>25</v>
      </c>
      <c r="D3068" s="649">
        <f ca="1">IF(E3068=4,INDEX(crude_exp_dist,MATCH(B3068,'Crude Exp Dist'!$B$6:$B$78,0),MATCH(C3068,'Crude Exp Dist'!$AD$2:$BC$2,0))*INDEX(crude_exp_by_year,MATCH(B3068,'Data Export'!$B$6:$B$78,0),1),IF(E3068=5,INDEX(ref_exp_dist,MATCH(B3068,'Refined Petro Exp Dist'!$B$6:$B$78,0),MATCH(C3068,'Refined Petro Exp Dist'!$AD$2:$BC$2,0))*INDEX(ref_exp_by_year,MATCH(B3068,'Data Export'!$B$6:$B$78,0),1)))</f>
        <v>0</v>
      </c>
      <c r="E3068">
        <v>5</v>
      </c>
      <c r="F3068" t="s">
        <v>242</v>
      </c>
    </row>
    <row r="3069" spans="1:6">
      <c r="A3069" t="str">
        <f t="shared" si="47"/>
        <v>GenericE&amp;DtemplateCIandGOA</v>
      </c>
      <c r="B3069">
        <v>48</v>
      </c>
      <c r="C3069">
        <v>26</v>
      </c>
      <c r="D3069" s="649">
        <f ca="1">IF(E3069=4,INDEX(crude_exp_dist,MATCH(B3069,'Crude Exp Dist'!$B$6:$B$78,0),MATCH(C3069,'Crude Exp Dist'!$AD$2:$BC$2,0))*INDEX(crude_exp_by_year,MATCH(B3069,'Data Export'!$B$6:$B$78,0),1),IF(E3069=5,INDEX(ref_exp_dist,MATCH(B3069,'Refined Petro Exp Dist'!$B$6:$B$78,0),MATCH(C3069,'Refined Petro Exp Dist'!$AD$2:$BC$2,0))*INDEX(ref_exp_by_year,MATCH(B3069,'Data Export'!$B$6:$B$78,0),1)))</f>
        <v>0</v>
      </c>
      <c r="E3069">
        <v>5</v>
      </c>
      <c r="F3069" t="s">
        <v>245</v>
      </c>
    </row>
    <row r="3070" spans="1:6">
      <c r="A3070" t="str">
        <f t="shared" si="47"/>
        <v>GenericE&amp;DtemplateCIandGOA</v>
      </c>
      <c r="B3070">
        <v>49</v>
      </c>
      <c r="C3070">
        <v>1</v>
      </c>
      <c r="D3070" s="649">
        <f ca="1">IF(E3070=4,INDEX(crude_exp_dist,MATCH(B3070,'Crude Exp Dist'!$B$6:$B$78,0),MATCH(C3070,'Crude Exp Dist'!$AD$2:$BC$2,0))*INDEX(crude_exp_by_year,MATCH(B3070,'Data Export'!$B$6:$B$78,0),1),IF(E3070=5,INDEX(ref_exp_dist,MATCH(B3070,'Refined Petro Exp Dist'!$B$6:$B$78,0),MATCH(C3070,'Refined Petro Exp Dist'!$AD$2:$BC$2,0))*INDEX(ref_exp_by_year,MATCH(B3070,'Data Export'!$B$6:$B$78,0),1)))</f>
        <v>0</v>
      </c>
      <c r="E3070">
        <v>5</v>
      </c>
      <c r="F3070" t="s">
        <v>158</v>
      </c>
    </row>
    <row r="3071" spans="1:6">
      <c r="A3071" t="str">
        <f t="shared" si="47"/>
        <v>GenericE&amp;DtemplateCIandGOA</v>
      </c>
      <c r="B3071">
        <v>49</v>
      </c>
      <c r="C3071">
        <v>2</v>
      </c>
      <c r="D3071" s="649">
        <f ca="1">IF(E3071=4,INDEX(crude_exp_dist,MATCH(B3071,'Crude Exp Dist'!$B$6:$B$78,0),MATCH(C3071,'Crude Exp Dist'!$AD$2:$BC$2,0))*INDEX(crude_exp_by_year,MATCH(B3071,'Data Export'!$B$6:$B$78,0),1),IF(E3071=5,INDEX(ref_exp_dist,MATCH(B3071,'Refined Petro Exp Dist'!$B$6:$B$78,0),MATCH(C3071,'Refined Petro Exp Dist'!$AD$2:$BC$2,0))*INDEX(ref_exp_by_year,MATCH(B3071,'Data Export'!$B$6:$B$78,0),1)))</f>
        <v>0</v>
      </c>
      <c r="E3071">
        <v>5</v>
      </c>
      <c r="F3071" t="s">
        <v>166</v>
      </c>
    </row>
    <row r="3072" spans="1:6">
      <c r="A3072" t="str">
        <f t="shared" si="47"/>
        <v>GenericE&amp;DtemplateCIandGOA</v>
      </c>
      <c r="B3072">
        <v>49</v>
      </c>
      <c r="C3072">
        <v>3</v>
      </c>
      <c r="D3072" s="649">
        <f ca="1">IF(E3072=4,INDEX(crude_exp_dist,MATCH(B3072,'Crude Exp Dist'!$B$6:$B$78,0),MATCH(C3072,'Crude Exp Dist'!$AD$2:$BC$2,0))*INDEX(crude_exp_by_year,MATCH(B3072,'Data Export'!$B$6:$B$78,0),1),IF(E3072=5,INDEX(ref_exp_dist,MATCH(B3072,'Refined Petro Exp Dist'!$B$6:$B$78,0),MATCH(C3072,'Refined Petro Exp Dist'!$AD$2:$BC$2,0))*INDEX(ref_exp_by_year,MATCH(B3072,'Data Export'!$B$6:$B$78,0),1)))</f>
        <v>0</v>
      </c>
      <c r="E3072">
        <v>5</v>
      </c>
      <c r="F3072" t="s">
        <v>171</v>
      </c>
    </row>
    <row r="3073" spans="1:6">
      <c r="A3073" t="str">
        <f t="shared" si="47"/>
        <v>GenericE&amp;DtemplateCIandGOA</v>
      </c>
      <c r="B3073">
        <v>49</v>
      </c>
      <c r="C3073">
        <v>4</v>
      </c>
      <c r="D3073" s="649">
        <f ca="1">IF(E3073=4,INDEX(crude_exp_dist,MATCH(B3073,'Crude Exp Dist'!$B$6:$B$78,0),MATCH(C3073,'Crude Exp Dist'!$AD$2:$BC$2,0))*INDEX(crude_exp_by_year,MATCH(B3073,'Data Export'!$B$6:$B$78,0),1),IF(E3073=5,INDEX(ref_exp_dist,MATCH(B3073,'Refined Petro Exp Dist'!$B$6:$B$78,0),MATCH(C3073,'Refined Petro Exp Dist'!$AD$2:$BC$2,0))*INDEX(ref_exp_by_year,MATCH(B3073,'Data Export'!$B$6:$B$78,0),1)))</f>
        <v>0</v>
      </c>
      <c r="E3073">
        <v>5</v>
      </c>
      <c r="F3073" t="s">
        <v>173</v>
      </c>
    </row>
    <row r="3074" spans="1:6">
      <c r="A3074" t="str">
        <f t="shared" ref="A3074:A3137" si="48">scenario_name</f>
        <v>GenericE&amp;DtemplateCIandGOA</v>
      </c>
      <c r="B3074">
        <v>49</v>
      </c>
      <c r="C3074">
        <v>5</v>
      </c>
      <c r="D3074" s="649">
        <f ca="1">IF(E3074=4,INDEX(crude_exp_dist,MATCH(B3074,'Crude Exp Dist'!$B$6:$B$78,0),MATCH(C3074,'Crude Exp Dist'!$AD$2:$BC$2,0))*INDEX(crude_exp_by_year,MATCH(B3074,'Data Export'!$B$6:$B$78,0),1),IF(E3074=5,INDEX(ref_exp_dist,MATCH(B3074,'Refined Petro Exp Dist'!$B$6:$B$78,0),MATCH(C3074,'Refined Petro Exp Dist'!$AD$2:$BC$2,0))*INDEX(ref_exp_by_year,MATCH(B3074,'Data Export'!$B$6:$B$78,0),1)))</f>
        <v>0</v>
      </c>
      <c r="E3074">
        <v>5</v>
      </c>
      <c r="F3074" t="s">
        <v>180</v>
      </c>
    </row>
    <row r="3075" spans="1:6">
      <c r="A3075" t="str">
        <f t="shared" si="48"/>
        <v>GenericE&amp;DtemplateCIandGOA</v>
      </c>
      <c r="B3075">
        <v>49</v>
      </c>
      <c r="C3075">
        <v>6</v>
      </c>
      <c r="D3075" s="649">
        <f ca="1">IF(E3075=4,INDEX(crude_exp_dist,MATCH(B3075,'Crude Exp Dist'!$B$6:$B$78,0),MATCH(C3075,'Crude Exp Dist'!$AD$2:$BC$2,0))*INDEX(crude_exp_by_year,MATCH(B3075,'Data Export'!$B$6:$B$78,0),1),IF(E3075=5,INDEX(ref_exp_dist,MATCH(B3075,'Refined Petro Exp Dist'!$B$6:$B$78,0),MATCH(C3075,'Refined Petro Exp Dist'!$AD$2:$BC$2,0))*INDEX(ref_exp_by_year,MATCH(B3075,'Data Export'!$B$6:$B$78,0),1)))</f>
        <v>0</v>
      </c>
      <c r="E3075">
        <v>5</v>
      </c>
      <c r="F3075" t="s">
        <v>186</v>
      </c>
    </row>
    <row r="3076" spans="1:6">
      <c r="A3076" t="str">
        <f t="shared" si="48"/>
        <v>GenericE&amp;DtemplateCIandGOA</v>
      </c>
      <c r="B3076">
        <v>49</v>
      </c>
      <c r="C3076">
        <v>7</v>
      </c>
      <c r="D3076" s="649">
        <f ca="1">IF(E3076=4,INDEX(crude_exp_dist,MATCH(B3076,'Crude Exp Dist'!$B$6:$B$78,0),MATCH(C3076,'Crude Exp Dist'!$AD$2:$BC$2,0))*INDEX(crude_exp_by_year,MATCH(B3076,'Data Export'!$B$6:$B$78,0),1),IF(E3076=5,INDEX(ref_exp_dist,MATCH(B3076,'Refined Petro Exp Dist'!$B$6:$B$78,0),MATCH(C3076,'Refined Petro Exp Dist'!$AD$2:$BC$2,0))*INDEX(ref_exp_by_year,MATCH(B3076,'Data Export'!$B$6:$B$78,0),1)))</f>
        <v>0</v>
      </c>
      <c r="E3076">
        <v>5</v>
      </c>
      <c r="F3076" t="s">
        <v>191</v>
      </c>
    </row>
    <row r="3077" spans="1:6">
      <c r="A3077" t="str">
        <f t="shared" si="48"/>
        <v>GenericE&amp;DtemplateCIandGOA</v>
      </c>
      <c r="B3077">
        <v>49</v>
      </c>
      <c r="C3077">
        <v>8</v>
      </c>
      <c r="D3077" s="649">
        <f ca="1">IF(E3077=4,INDEX(crude_exp_dist,MATCH(B3077,'Crude Exp Dist'!$B$6:$B$78,0),MATCH(C3077,'Crude Exp Dist'!$AD$2:$BC$2,0))*INDEX(crude_exp_by_year,MATCH(B3077,'Data Export'!$B$6:$B$78,0),1),IF(E3077=5,INDEX(ref_exp_dist,MATCH(B3077,'Refined Petro Exp Dist'!$B$6:$B$78,0),MATCH(C3077,'Refined Petro Exp Dist'!$AD$2:$BC$2,0))*INDEX(ref_exp_by_year,MATCH(B3077,'Data Export'!$B$6:$B$78,0),1)))</f>
        <v>0</v>
      </c>
      <c r="E3077">
        <v>5</v>
      </c>
      <c r="F3077" t="s">
        <v>197</v>
      </c>
    </row>
    <row r="3078" spans="1:6">
      <c r="A3078" t="str">
        <f t="shared" si="48"/>
        <v>GenericE&amp;DtemplateCIandGOA</v>
      </c>
      <c r="B3078">
        <v>49</v>
      </c>
      <c r="C3078">
        <v>9</v>
      </c>
      <c r="D3078" s="649">
        <f ca="1">IF(E3078=4,INDEX(crude_exp_dist,MATCH(B3078,'Crude Exp Dist'!$B$6:$B$78,0),MATCH(C3078,'Crude Exp Dist'!$AD$2:$BC$2,0))*INDEX(crude_exp_by_year,MATCH(B3078,'Data Export'!$B$6:$B$78,0),1),IF(E3078=5,INDEX(ref_exp_dist,MATCH(B3078,'Refined Petro Exp Dist'!$B$6:$B$78,0),MATCH(C3078,'Refined Petro Exp Dist'!$AD$2:$BC$2,0))*INDEX(ref_exp_by_year,MATCH(B3078,'Data Export'!$B$6:$B$78,0),1)))</f>
        <v>0</v>
      </c>
      <c r="E3078">
        <v>5</v>
      </c>
      <c r="F3078" t="s">
        <v>199</v>
      </c>
    </row>
    <row r="3079" spans="1:6">
      <c r="A3079" t="str">
        <f t="shared" si="48"/>
        <v>GenericE&amp;DtemplateCIandGOA</v>
      </c>
      <c r="B3079">
        <v>49</v>
      </c>
      <c r="C3079">
        <v>10</v>
      </c>
      <c r="D3079" s="649">
        <f ca="1">IF(E3079=4,INDEX(crude_exp_dist,MATCH(B3079,'Crude Exp Dist'!$B$6:$B$78,0),MATCH(C3079,'Crude Exp Dist'!$AD$2:$BC$2,0))*INDEX(crude_exp_by_year,MATCH(B3079,'Data Export'!$B$6:$B$78,0),1),IF(E3079=5,INDEX(ref_exp_dist,MATCH(B3079,'Refined Petro Exp Dist'!$B$6:$B$78,0),MATCH(C3079,'Refined Petro Exp Dist'!$AD$2:$BC$2,0))*INDEX(ref_exp_by_year,MATCH(B3079,'Data Export'!$B$6:$B$78,0),1)))</f>
        <v>0</v>
      </c>
      <c r="E3079">
        <v>5</v>
      </c>
      <c r="F3079" t="s">
        <v>201</v>
      </c>
    </row>
    <row r="3080" spans="1:6">
      <c r="A3080" t="str">
        <f t="shared" si="48"/>
        <v>GenericE&amp;DtemplateCIandGOA</v>
      </c>
      <c r="B3080">
        <v>49</v>
      </c>
      <c r="C3080">
        <v>11</v>
      </c>
      <c r="D3080" s="649">
        <f ca="1">IF(E3080=4,INDEX(crude_exp_dist,MATCH(B3080,'Crude Exp Dist'!$B$6:$B$78,0),MATCH(C3080,'Crude Exp Dist'!$AD$2:$BC$2,0))*INDEX(crude_exp_by_year,MATCH(B3080,'Data Export'!$B$6:$B$78,0),1),IF(E3080=5,INDEX(ref_exp_dist,MATCH(B3080,'Refined Petro Exp Dist'!$B$6:$B$78,0),MATCH(C3080,'Refined Petro Exp Dist'!$AD$2:$BC$2,0))*INDEX(ref_exp_by_year,MATCH(B3080,'Data Export'!$B$6:$B$78,0),1)))</f>
        <v>0</v>
      </c>
      <c r="E3080">
        <v>5</v>
      </c>
      <c r="F3080" t="s">
        <v>921</v>
      </c>
    </row>
    <row r="3081" spans="1:6">
      <c r="A3081" t="str">
        <f t="shared" si="48"/>
        <v>GenericE&amp;DtemplateCIandGOA</v>
      </c>
      <c r="B3081">
        <v>49</v>
      </c>
      <c r="C3081">
        <v>12</v>
      </c>
      <c r="D3081" s="649">
        <f ca="1">IF(E3081=4,INDEX(crude_exp_dist,MATCH(B3081,'Crude Exp Dist'!$B$6:$B$78,0),MATCH(C3081,'Crude Exp Dist'!$AD$2:$BC$2,0))*INDEX(crude_exp_by_year,MATCH(B3081,'Data Export'!$B$6:$B$78,0),1),IF(E3081=5,INDEX(ref_exp_dist,MATCH(B3081,'Refined Petro Exp Dist'!$B$6:$B$78,0),MATCH(C3081,'Refined Petro Exp Dist'!$AD$2:$BC$2,0))*INDEX(ref_exp_by_year,MATCH(B3081,'Data Export'!$B$6:$B$78,0),1)))</f>
        <v>0</v>
      </c>
      <c r="E3081">
        <v>5</v>
      </c>
      <c r="F3081" t="s">
        <v>208</v>
      </c>
    </row>
    <row r="3082" spans="1:6">
      <c r="A3082" t="str">
        <f t="shared" si="48"/>
        <v>GenericE&amp;DtemplateCIandGOA</v>
      </c>
      <c r="B3082">
        <v>49</v>
      </c>
      <c r="C3082">
        <v>13</v>
      </c>
      <c r="D3082" s="649">
        <f ca="1">IF(E3082=4,INDEX(crude_exp_dist,MATCH(B3082,'Crude Exp Dist'!$B$6:$B$78,0),MATCH(C3082,'Crude Exp Dist'!$AD$2:$BC$2,0))*INDEX(crude_exp_by_year,MATCH(B3082,'Data Export'!$B$6:$B$78,0),1),IF(E3082=5,INDEX(ref_exp_dist,MATCH(B3082,'Refined Petro Exp Dist'!$B$6:$B$78,0),MATCH(C3082,'Refined Petro Exp Dist'!$AD$2:$BC$2,0))*INDEX(ref_exp_by_year,MATCH(B3082,'Data Export'!$B$6:$B$78,0),1)))</f>
        <v>0</v>
      </c>
      <c r="E3082">
        <v>5</v>
      </c>
      <c r="F3082" t="s">
        <v>211</v>
      </c>
    </row>
    <row r="3083" spans="1:6">
      <c r="A3083" t="str">
        <f t="shared" si="48"/>
        <v>GenericE&amp;DtemplateCIandGOA</v>
      </c>
      <c r="B3083">
        <v>49</v>
      </c>
      <c r="C3083">
        <v>14</v>
      </c>
      <c r="D3083" s="649">
        <f ca="1">IF(E3083=4,INDEX(crude_exp_dist,MATCH(B3083,'Crude Exp Dist'!$B$6:$B$78,0),MATCH(C3083,'Crude Exp Dist'!$AD$2:$BC$2,0))*INDEX(crude_exp_by_year,MATCH(B3083,'Data Export'!$B$6:$B$78,0),1),IF(E3083=5,INDEX(ref_exp_dist,MATCH(B3083,'Refined Petro Exp Dist'!$B$6:$B$78,0),MATCH(C3083,'Refined Petro Exp Dist'!$AD$2:$BC$2,0))*INDEX(ref_exp_by_year,MATCH(B3083,'Data Export'!$B$6:$B$78,0),1)))</f>
        <v>0</v>
      </c>
      <c r="E3083">
        <v>5</v>
      </c>
      <c r="F3083" t="s">
        <v>213</v>
      </c>
    </row>
    <row r="3084" spans="1:6">
      <c r="A3084" t="str">
        <f t="shared" si="48"/>
        <v>GenericE&amp;DtemplateCIandGOA</v>
      </c>
      <c r="B3084">
        <v>49</v>
      </c>
      <c r="C3084">
        <v>15</v>
      </c>
      <c r="D3084" s="649">
        <f ca="1">IF(E3084=4,INDEX(crude_exp_dist,MATCH(B3084,'Crude Exp Dist'!$B$6:$B$78,0),MATCH(C3084,'Crude Exp Dist'!$AD$2:$BC$2,0))*INDEX(crude_exp_by_year,MATCH(B3084,'Data Export'!$B$6:$B$78,0),1),IF(E3084=5,INDEX(ref_exp_dist,MATCH(B3084,'Refined Petro Exp Dist'!$B$6:$B$78,0),MATCH(C3084,'Refined Petro Exp Dist'!$AD$2:$BC$2,0))*INDEX(ref_exp_by_year,MATCH(B3084,'Data Export'!$B$6:$B$78,0),1)))</f>
        <v>0</v>
      </c>
      <c r="E3084">
        <v>5</v>
      </c>
      <c r="F3084" t="s">
        <v>215</v>
      </c>
    </row>
    <row r="3085" spans="1:6">
      <c r="A3085" t="str">
        <f t="shared" si="48"/>
        <v>GenericE&amp;DtemplateCIandGOA</v>
      </c>
      <c r="B3085">
        <v>49</v>
      </c>
      <c r="C3085">
        <v>16</v>
      </c>
      <c r="D3085" s="649">
        <f ca="1">IF(E3085=4,INDEX(crude_exp_dist,MATCH(B3085,'Crude Exp Dist'!$B$6:$B$78,0),MATCH(C3085,'Crude Exp Dist'!$AD$2:$BC$2,0))*INDEX(crude_exp_by_year,MATCH(B3085,'Data Export'!$B$6:$B$78,0),1),IF(E3085=5,INDEX(ref_exp_dist,MATCH(B3085,'Refined Petro Exp Dist'!$B$6:$B$78,0),MATCH(C3085,'Refined Petro Exp Dist'!$AD$2:$BC$2,0))*INDEX(ref_exp_by_year,MATCH(B3085,'Data Export'!$B$6:$B$78,0),1)))</f>
        <v>0</v>
      </c>
      <c r="E3085">
        <v>5</v>
      </c>
      <c r="F3085" t="s">
        <v>219</v>
      </c>
    </row>
    <row r="3086" spans="1:6">
      <c r="A3086" t="str">
        <f t="shared" si="48"/>
        <v>GenericE&amp;DtemplateCIandGOA</v>
      </c>
      <c r="B3086">
        <v>49</v>
      </c>
      <c r="C3086">
        <v>17</v>
      </c>
      <c r="D3086" s="649">
        <f ca="1">IF(E3086=4,INDEX(crude_exp_dist,MATCH(B3086,'Crude Exp Dist'!$B$6:$B$78,0),MATCH(C3086,'Crude Exp Dist'!$AD$2:$BC$2,0))*INDEX(crude_exp_by_year,MATCH(B3086,'Data Export'!$B$6:$B$78,0),1),IF(E3086=5,INDEX(ref_exp_dist,MATCH(B3086,'Refined Petro Exp Dist'!$B$6:$B$78,0),MATCH(C3086,'Refined Petro Exp Dist'!$AD$2:$BC$2,0))*INDEX(ref_exp_by_year,MATCH(B3086,'Data Export'!$B$6:$B$78,0),1)))</f>
        <v>0</v>
      </c>
      <c r="E3086">
        <v>5</v>
      </c>
      <c r="F3086" t="s">
        <v>222</v>
      </c>
    </row>
    <row r="3087" spans="1:6">
      <c r="A3087" t="str">
        <f t="shared" si="48"/>
        <v>GenericE&amp;DtemplateCIandGOA</v>
      </c>
      <c r="B3087">
        <v>49</v>
      </c>
      <c r="C3087">
        <v>18</v>
      </c>
      <c r="D3087" s="649">
        <f ca="1">IF(E3087=4,INDEX(crude_exp_dist,MATCH(B3087,'Crude Exp Dist'!$B$6:$B$78,0),MATCH(C3087,'Crude Exp Dist'!$AD$2:$BC$2,0))*INDEX(crude_exp_by_year,MATCH(B3087,'Data Export'!$B$6:$B$78,0),1),IF(E3087=5,INDEX(ref_exp_dist,MATCH(B3087,'Refined Petro Exp Dist'!$B$6:$B$78,0),MATCH(C3087,'Refined Petro Exp Dist'!$AD$2:$BC$2,0))*INDEX(ref_exp_by_year,MATCH(B3087,'Data Export'!$B$6:$B$78,0),1)))</f>
        <v>0</v>
      </c>
      <c r="E3087">
        <v>5</v>
      </c>
      <c r="F3087" t="s">
        <v>224</v>
      </c>
    </row>
    <row r="3088" spans="1:6">
      <c r="A3088" t="str">
        <f t="shared" si="48"/>
        <v>GenericE&amp;DtemplateCIandGOA</v>
      </c>
      <c r="B3088">
        <v>49</v>
      </c>
      <c r="C3088">
        <v>19</v>
      </c>
      <c r="D3088" s="649">
        <f ca="1">IF(E3088=4,INDEX(crude_exp_dist,MATCH(B3088,'Crude Exp Dist'!$B$6:$B$78,0),MATCH(C3088,'Crude Exp Dist'!$AD$2:$BC$2,0))*INDEX(crude_exp_by_year,MATCH(B3088,'Data Export'!$B$6:$B$78,0),1),IF(E3088=5,INDEX(ref_exp_dist,MATCH(B3088,'Refined Petro Exp Dist'!$B$6:$B$78,0),MATCH(C3088,'Refined Petro Exp Dist'!$AD$2:$BC$2,0))*INDEX(ref_exp_by_year,MATCH(B3088,'Data Export'!$B$6:$B$78,0),1)))</f>
        <v>0</v>
      </c>
      <c r="E3088">
        <v>5</v>
      </c>
      <c r="F3088" t="s">
        <v>228</v>
      </c>
    </row>
    <row r="3089" spans="1:6">
      <c r="A3089" t="str">
        <f t="shared" si="48"/>
        <v>GenericE&amp;DtemplateCIandGOA</v>
      </c>
      <c r="B3089">
        <v>49</v>
      </c>
      <c r="C3089">
        <v>20</v>
      </c>
      <c r="D3089" s="649">
        <f ca="1">IF(E3089=4,INDEX(crude_exp_dist,MATCH(B3089,'Crude Exp Dist'!$B$6:$B$78,0),MATCH(C3089,'Crude Exp Dist'!$AD$2:$BC$2,0))*INDEX(crude_exp_by_year,MATCH(B3089,'Data Export'!$B$6:$B$78,0),1),IF(E3089=5,INDEX(ref_exp_dist,MATCH(B3089,'Refined Petro Exp Dist'!$B$6:$B$78,0),MATCH(C3089,'Refined Petro Exp Dist'!$AD$2:$BC$2,0))*INDEX(ref_exp_by_year,MATCH(B3089,'Data Export'!$B$6:$B$78,0),1)))</f>
        <v>0</v>
      </c>
      <c r="E3089">
        <v>5</v>
      </c>
      <c r="F3089" t="s">
        <v>231</v>
      </c>
    </row>
    <row r="3090" spans="1:6">
      <c r="A3090" t="str">
        <f t="shared" si="48"/>
        <v>GenericE&amp;DtemplateCIandGOA</v>
      </c>
      <c r="B3090">
        <v>49</v>
      </c>
      <c r="C3090">
        <v>21</v>
      </c>
      <c r="D3090" s="649">
        <f ca="1">IF(E3090=4,INDEX(crude_exp_dist,MATCH(B3090,'Crude Exp Dist'!$B$6:$B$78,0),MATCH(C3090,'Crude Exp Dist'!$AD$2:$BC$2,0))*INDEX(crude_exp_by_year,MATCH(B3090,'Data Export'!$B$6:$B$78,0),1),IF(E3090=5,INDEX(ref_exp_dist,MATCH(B3090,'Refined Petro Exp Dist'!$B$6:$B$78,0),MATCH(C3090,'Refined Petro Exp Dist'!$AD$2:$BC$2,0))*INDEX(ref_exp_by_year,MATCH(B3090,'Data Export'!$B$6:$B$78,0),1)))</f>
        <v>0</v>
      </c>
      <c r="E3090">
        <v>5</v>
      </c>
      <c r="F3090" t="s">
        <v>232</v>
      </c>
    </row>
    <row r="3091" spans="1:6">
      <c r="A3091" t="str">
        <f t="shared" si="48"/>
        <v>GenericE&amp;DtemplateCIandGOA</v>
      </c>
      <c r="B3091">
        <v>49</v>
      </c>
      <c r="C3091">
        <v>22</v>
      </c>
      <c r="D3091" s="649">
        <f ca="1">IF(E3091=4,INDEX(crude_exp_dist,MATCH(B3091,'Crude Exp Dist'!$B$6:$B$78,0),MATCH(C3091,'Crude Exp Dist'!$AD$2:$BC$2,0))*INDEX(crude_exp_by_year,MATCH(B3091,'Data Export'!$B$6:$B$78,0),1),IF(E3091=5,INDEX(ref_exp_dist,MATCH(B3091,'Refined Petro Exp Dist'!$B$6:$B$78,0),MATCH(C3091,'Refined Petro Exp Dist'!$AD$2:$BC$2,0))*INDEX(ref_exp_by_year,MATCH(B3091,'Data Export'!$B$6:$B$78,0),1)))</f>
        <v>0</v>
      </c>
      <c r="E3091">
        <v>5</v>
      </c>
      <c r="F3091" t="s">
        <v>235</v>
      </c>
    </row>
    <row r="3092" spans="1:6">
      <c r="A3092" t="str">
        <f t="shared" si="48"/>
        <v>GenericE&amp;DtemplateCIandGOA</v>
      </c>
      <c r="B3092">
        <v>49</v>
      </c>
      <c r="C3092">
        <v>23</v>
      </c>
      <c r="D3092" s="649">
        <f ca="1">IF(E3092=4,INDEX(crude_exp_dist,MATCH(B3092,'Crude Exp Dist'!$B$6:$B$78,0),MATCH(C3092,'Crude Exp Dist'!$AD$2:$BC$2,0))*INDEX(crude_exp_by_year,MATCH(B3092,'Data Export'!$B$6:$B$78,0),1),IF(E3092=5,INDEX(ref_exp_dist,MATCH(B3092,'Refined Petro Exp Dist'!$B$6:$B$78,0),MATCH(C3092,'Refined Petro Exp Dist'!$AD$2:$BC$2,0))*INDEX(ref_exp_by_year,MATCH(B3092,'Data Export'!$B$6:$B$78,0),1)))</f>
        <v>0</v>
      </c>
      <c r="E3092">
        <v>5</v>
      </c>
      <c r="F3092" t="s">
        <v>237</v>
      </c>
    </row>
    <row r="3093" spans="1:6">
      <c r="A3093" t="str">
        <f t="shared" si="48"/>
        <v>GenericE&amp;DtemplateCIandGOA</v>
      </c>
      <c r="B3093">
        <v>49</v>
      </c>
      <c r="C3093">
        <v>24</v>
      </c>
      <c r="D3093" s="649">
        <f ca="1">IF(E3093=4,INDEX(crude_exp_dist,MATCH(B3093,'Crude Exp Dist'!$B$6:$B$78,0),MATCH(C3093,'Crude Exp Dist'!$AD$2:$BC$2,0))*INDEX(crude_exp_by_year,MATCH(B3093,'Data Export'!$B$6:$B$78,0),1),IF(E3093=5,INDEX(ref_exp_dist,MATCH(B3093,'Refined Petro Exp Dist'!$B$6:$B$78,0),MATCH(C3093,'Refined Petro Exp Dist'!$AD$2:$BC$2,0))*INDEX(ref_exp_by_year,MATCH(B3093,'Data Export'!$B$6:$B$78,0),1)))</f>
        <v>0</v>
      </c>
      <c r="E3093">
        <v>5</v>
      </c>
      <c r="F3093" t="s">
        <v>239</v>
      </c>
    </row>
    <row r="3094" spans="1:6">
      <c r="A3094" t="str">
        <f t="shared" si="48"/>
        <v>GenericE&amp;DtemplateCIandGOA</v>
      </c>
      <c r="B3094">
        <v>49</v>
      </c>
      <c r="C3094">
        <v>25</v>
      </c>
      <c r="D3094" s="649">
        <f ca="1">IF(E3094=4,INDEX(crude_exp_dist,MATCH(B3094,'Crude Exp Dist'!$B$6:$B$78,0),MATCH(C3094,'Crude Exp Dist'!$AD$2:$BC$2,0))*INDEX(crude_exp_by_year,MATCH(B3094,'Data Export'!$B$6:$B$78,0),1),IF(E3094=5,INDEX(ref_exp_dist,MATCH(B3094,'Refined Petro Exp Dist'!$B$6:$B$78,0),MATCH(C3094,'Refined Petro Exp Dist'!$AD$2:$BC$2,0))*INDEX(ref_exp_by_year,MATCH(B3094,'Data Export'!$B$6:$B$78,0),1)))</f>
        <v>0</v>
      </c>
      <c r="E3094">
        <v>5</v>
      </c>
      <c r="F3094" t="s">
        <v>242</v>
      </c>
    </row>
    <row r="3095" spans="1:6">
      <c r="A3095" t="str">
        <f t="shared" si="48"/>
        <v>GenericE&amp;DtemplateCIandGOA</v>
      </c>
      <c r="B3095">
        <v>49</v>
      </c>
      <c r="C3095">
        <v>26</v>
      </c>
      <c r="D3095" s="649">
        <f ca="1">IF(E3095=4,INDEX(crude_exp_dist,MATCH(B3095,'Crude Exp Dist'!$B$6:$B$78,0),MATCH(C3095,'Crude Exp Dist'!$AD$2:$BC$2,0))*INDEX(crude_exp_by_year,MATCH(B3095,'Data Export'!$B$6:$B$78,0),1),IF(E3095=5,INDEX(ref_exp_dist,MATCH(B3095,'Refined Petro Exp Dist'!$B$6:$B$78,0),MATCH(C3095,'Refined Petro Exp Dist'!$AD$2:$BC$2,0))*INDEX(ref_exp_by_year,MATCH(B3095,'Data Export'!$B$6:$B$78,0),1)))</f>
        <v>0</v>
      </c>
      <c r="E3095">
        <v>5</v>
      </c>
      <c r="F3095" t="s">
        <v>245</v>
      </c>
    </row>
    <row r="3096" spans="1:6">
      <c r="A3096" t="str">
        <f t="shared" si="48"/>
        <v>GenericE&amp;DtemplateCIandGOA</v>
      </c>
      <c r="B3096">
        <v>50</v>
      </c>
      <c r="C3096">
        <v>1</v>
      </c>
      <c r="D3096" s="649">
        <f ca="1">IF(E3096=4,INDEX(crude_exp_dist,MATCH(B3096,'Crude Exp Dist'!$B$6:$B$78,0),MATCH(C3096,'Crude Exp Dist'!$AD$2:$BC$2,0))*INDEX(crude_exp_by_year,MATCH(B3096,'Data Export'!$B$6:$B$78,0),1),IF(E3096=5,INDEX(ref_exp_dist,MATCH(B3096,'Refined Petro Exp Dist'!$B$6:$B$78,0),MATCH(C3096,'Refined Petro Exp Dist'!$AD$2:$BC$2,0))*INDEX(ref_exp_by_year,MATCH(B3096,'Data Export'!$B$6:$B$78,0),1)))</f>
        <v>0</v>
      </c>
      <c r="E3096">
        <v>5</v>
      </c>
      <c r="F3096" t="s">
        <v>158</v>
      </c>
    </row>
    <row r="3097" spans="1:6">
      <c r="A3097" t="str">
        <f t="shared" si="48"/>
        <v>GenericE&amp;DtemplateCIandGOA</v>
      </c>
      <c r="B3097">
        <v>50</v>
      </c>
      <c r="C3097">
        <v>2</v>
      </c>
      <c r="D3097" s="649">
        <f ca="1">IF(E3097=4,INDEX(crude_exp_dist,MATCH(B3097,'Crude Exp Dist'!$B$6:$B$78,0),MATCH(C3097,'Crude Exp Dist'!$AD$2:$BC$2,0))*INDEX(crude_exp_by_year,MATCH(B3097,'Data Export'!$B$6:$B$78,0),1),IF(E3097=5,INDEX(ref_exp_dist,MATCH(B3097,'Refined Petro Exp Dist'!$B$6:$B$78,0),MATCH(C3097,'Refined Petro Exp Dist'!$AD$2:$BC$2,0))*INDEX(ref_exp_by_year,MATCH(B3097,'Data Export'!$B$6:$B$78,0),1)))</f>
        <v>0</v>
      </c>
      <c r="E3097">
        <v>5</v>
      </c>
      <c r="F3097" t="s">
        <v>166</v>
      </c>
    </row>
    <row r="3098" spans="1:6">
      <c r="A3098" t="str">
        <f t="shared" si="48"/>
        <v>GenericE&amp;DtemplateCIandGOA</v>
      </c>
      <c r="B3098">
        <v>50</v>
      </c>
      <c r="C3098">
        <v>3</v>
      </c>
      <c r="D3098" s="649">
        <f ca="1">IF(E3098=4,INDEX(crude_exp_dist,MATCH(B3098,'Crude Exp Dist'!$B$6:$B$78,0),MATCH(C3098,'Crude Exp Dist'!$AD$2:$BC$2,0))*INDEX(crude_exp_by_year,MATCH(B3098,'Data Export'!$B$6:$B$78,0),1),IF(E3098=5,INDEX(ref_exp_dist,MATCH(B3098,'Refined Petro Exp Dist'!$B$6:$B$78,0),MATCH(C3098,'Refined Petro Exp Dist'!$AD$2:$BC$2,0))*INDEX(ref_exp_by_year,MATCH(B3098,'Data Export'!$B$6:$B$78,0),1)))</f>
        <v>0</v>
      </c>
      <c r="E3098">
        <v>5</v>
      </c>
      <c r="F3098" t="s">
        <v>171</v>
      </c>
    </row>
    <row r="3099" spans="1:6">
      <c r="A3099" t="str">
        <f t="shared" si="48"/>
        <v>GenericE&amp;DtemplateCIandGOA</v>
      </c>
      <c r="B3099">
        <v>50</v>
      </c>
      <c r="C3099">
        <v>4</v>
      </c>
      <c r="D3099" s="649">
        <f ca="1">IF(E3099=4,INDEX(crude_exp_dist,MATCH(B3099,'Crude Exp Dist'!$B$6:$B$78,0),MATCH(C3099,'Crude Exp Dist'!$AD$2:$BC$2,0))*INDEX(crude_exp_by_year,MATCH(B3099,'Data Export'!$B$6:$B$78,0),1),IF(E3099=5,INDEX(ref_exp_dist,MATCH(B3099,'Refined Petro Exp Dist'!$B$6:$B$78,0),MATCH(C3099,'Refined Petro Exp Dist'!$AD$2:$BC$2,0))*INDEX(ref_exp_by_year,MATCH(B3099,'Data Export'!$B$6:$B$78,0),1)))</f>
        <v>0</v>
      </c>
      <c r="E3099">
        <v>5</v>
      </c>
      <c r="F3099" t="s">
        <v>173</v>
      </c>
    </row>
    <row r="3100" spans="1:6">
      <c r="A3100" t="str">
        <f t="shared" si="48"/>
        <v>GenericE&amp;DtemplateCIandGOA</v>
      </c>
      <c r="B3100">
        <v>50</v>
      </c>
      <c r="C3100">
        <v>5</v>
      </c>
      <c r="D3100" s="649">
        <f ca="1">IF(E3100=4,INDEX(crude_exp_dist,MATCH(B3100,'Crude Exp Dist'!$B$6:$B$78,0),MATCH(C3100,'Crude Exp Dist'!$AD$2:$BC$2,0))*INDEX(crude_exp_by_year,MATCH(B3100,'Data Export'!$B$6:$B$78,0),1),IF(E3100=5,INDEX(ref_exp_dist,MATCH(B3100,'Refined Petro Exp Dist'!$B$6:$B$78,0),MATCH(C3100,'Refined Petro Exp Dist'!$AD$2:$BC$2,0))*INDEX(ref_exp_by_year,MATCH(B3100,'Data Export'!$B$6:$B$78,0),1)))</f>
        <v>0</v>
      </c>
      <c r="E3100">
        <v>5</v>
      </c>
      <c r="F3100" t="s">
        <v>180</v>
      </c>
    </row>
    <row r="3101" spans="1:6">
      <c r="A3101" t="str">
        <f t="shared" si="48"/>
        <v>GenericE&amp;DtemplateCIandGOA</v>
      </c>
      <c r="B3101">
        <v>50</v>
      </c>
      <c r="C3101">
        <v>6</v>
      </c>
      <c r="D3101" s="649">
        <f ca="1">IF(E3101=4,INDEX(crude_exp_dist,MATCH(B3101,'Crude Exp Dist'!$B$6:$B$78,0),MATCH(C3101,'Crude Exp Dist'!$AD$2:$BC$2,0))*INDEX(crude_exp_by_year,MATCH(B3101,'Data Export'!$B$6:$B$78,0),1),IF(E3101=5,INDEX(ref_exp_dist,MATCH(B3101,'Refined Petro Exp Dist'!$B$6:$B$78,0),MATCH(C3101,'Refined Petro Exp Dist'!$AD$2:$BC$2,0))*INDEX(ref_exp_by_year,MATCH(B3101,'Data Export'!$B$6:$B$78,0),1)))</f>
        <v>0</v>
      </c>
      <c r="E3101">
        <v>5</v>
      </c>
      <c r="F3101" t="s">
        <v>186</v>
      </c>
    </row>
    <row r="3102" spans="1:6">
      <c r="A3102" t="str">
        <f t="shared" si="48"/>
        <v>GenericE&amp;DtemplateCIandGOA</v>
      </c>
      <c r="B3102">
        <v>50</v>
      </c>
      <c r="C3102">
        <v>7</v>
      </c>
      <c r="D3102" s="649">
        <f ca="1">IF(E3102=4,INDEX(crude_exp_dist,MATCH(B3102,'Crude Exp Dist'!$B$6:$B$78,0),MATCH(C3102,'Crude Exp Dist'!$AD$2:$BC$2,0))*INDEX(crude_exp_by_year,MATCH(B3102,'Data Export'!$B$6:$B$78,0),1),IF(E3102=5,INDEX(ref_exp_dist,MATCH(B3102,'Refined Petro Exp Dist'!$B$6:$B$78,0),MATCH(C3102,'Refined Petro Exp Dist'!$AD$2:$BC$2,0))*INDEX(ref_exp_by_year,MATCH(B3102,'Data Export'!$B$6:$B$78,0),1)))</f>
        <v>0</v>
      </c>
      <c r="E3102">
        <v>5</v>
      </c>
      <c r="F3102" t="s">
        <v>191</v>
      </c>
    </row>
    <row r="3103" spans="1:6">
      <c r="A3103" t="str">
        <f t="shared" si="48"/>
        <v>GenericE&amp;DtemplateCIandGOA</v>
      </c>
      <c r="B3103">
        <v>50</v>
      </c>
      <c r="C3103">
        <v>8</v>
      </c>
      <c r="D3103" s="649">
        <f ca="1">IF(E3103=4,INDEX(crude_exp_dist,MATCH(B3103,'Crude Exp Dist'!$B$6:$B$78,0),MATCH(C3103,'Crude Exp Dist'!$AD$2:$BC$2,0))*INDEX(crude_exp_by_year,MATCH(B3103,'Data Export'!$B$6:$B$78,0),1),IF(E3103=5,INDEX(ref_exp_dist,MATCH(B3103,'Refined Petro Exp Dist'!$B$6:$B$78,0),MATCH(C3103,'Refined Petro Exp Dist'!$AD$2:$BC$2,0))*INDEX(ref_exp_by_year,MATCH(B3103,'Data Export'!$B$6:$B$78,0),1)))</f>
        <v>0</v>
      </c>
      <c r="E3103">
        <v>5</v>
      </c>
      <c r="F3103" t="s">
        <v>197</v>
      </c>
    </row>
    <row r="3104" spans="1:6">
      <c r="A3104" t="str">
        <f t="shared" si="48"/>
        <v>GenericE&amp;DtemplateCIandGOA</v>
      </c>
      <c r="B3104">
        <v>50</v>
      </c>
      <c r="C3104">
        <v>9</v>
      </c>
      <c r="D3104" s="649">
        <f ca="1">IF(E3104=4,INDEX(crude_exp_dist,MATCH(B3104,'Crude Exp Dist'!$B$6:$B$78,0),MATCH(C3104,'Crude Exp Dist'!$AD$2:$BC$2,0))*INDEX(crude_exp_by_year,MATCH(B3104,'Data Export'!$B$6:$B$78,0),1),IF(E3104=5,INDEX(ref_exp_dist,MATCH(B3104,'Refined Petro Exp Dist'!$B$6:$B$78,0),MATCH(C3104,'Refined Petro Exp Dist'!$AD$2:$BC$2,0))*INDEX(ref_exp_by_year,MATCH(B3104,'Data Export'!$B$6:$B$78,0),1)))</f>
        <v>0</v>
      </c>
      <c r="E3104">
        <v>5</v>
      </c>
      <c r="F3104" t="s">
        <v>199</v>
      </c>
    </row>
    <row r="3105" spans="1:6">
      <c r="A3105" t="str">
        <f t="shared" si="48"/>
        <v>GenericE&amp;DtemplateCIandGOA</v>
      </c>
      <c r="B3105">
        <v>50</v>
      </c>
      <c r="C3105">
        <v>10</v>
      </c>
      <c r="D3105" s="649">
        <f ca="1">IF(E3105=4,INDEX(crude_exp_dist,MATCH(B3105,'Crude Exp Dist'!$B$6:$B$78,0),MATCH(C3105,'Crude Exp Dist'!$AD$2:$BC$2,0))*INDEX(crude_exp_by_year,MATCH(B3105,'Data Export'!$B$6:$B$78,0),1),IF(E3105=5,INDEX(ref_exp_dist,MATCH(B3105,'Refined Petro Exp Dist'!$B$6:$B$78,0),MATCH(C3105,'Refined Petro Exp Dist'!$AD$2:$BC$2,0))*INDEX(ref_exp_by_year,MATCH(B3105,'Data Export'!$B$6:$B$78,0),1)))</f>
        <v>0</v>
      </c>
      <c r="E3105">
        <v>5</v>
      </c>
      <c r="F3105" t="s">
        <v>201</v>
      </c>
    </row>
    <row r="3106" spans="1:6">
      <c r="A3106" t="str">
        <f t="shared" si="48"/>
        <v>GenericE&amp;DtemplateCIandGOA</v>
      </c>
      <c r="B3106">
        <v>50</v>
      </c>
      <c r="C3106">
        <v>11</v>
      </c>
      <c r="D3106" s="649">
        <f ca="1">IF(E3106=4,INDEX(crude_exp_dist,MATCH(B3106,'Crude Exp Dist'!$B$6:$B$78,0),MATCH(C3106,'Crude Exp Dist'!$AD$2:$BC$2,0))*INDEX(crude_exp_by_year,MATCH(B3106,'Data Export'!$B$6:$B$78,0),1),IF(E3106=5,INDEX(ref_exp_dist,MATCH(B3106,'Refined Petro Exp Dist'!$B$6:$B$78,0),MATCH(C3106,'Refined Petro Exp Dist'!$AD$2:$BC$2,0))*INDEX(ref_exp_by_year,MATCH(B3106,'Data Export'!$B$6:$B$78,0),1)))</f>
        <v>0</v>
      </c>
      <c r="E3106">
        <v>5</v>
      </c>
      <c r="F3106" t="s">
        <v>921</v>
      </c>
    </row>
    <row r="3107" spans="1:6">
      <c r="A3107" t="str">
        <f t="shared" si="48"/>
        <v>GenericE&amp;DtemplateCIandGOA</v>
      </c>
      <c r="B3107">
        <v>50</v>
      </c>
      <c r="C3107">
        <v>12</v>
      </c>
      <c r="D3107" s="649">
        <f ca="1">IF(E3107=4,INDEX(crude_exp_dist,MATCH(B3107,'Crude Exp Dist'!$B$6:$B$78,0),MATCH(C3107,'Crude Exp Dist'!$AD$2:$BC$2,0))*INDEX(crude_exp_by_year,MATCH(B3107,'Data Export'!$B$6:$B$78,0),1),IF(E3107=5,INDEX(ref_exp_dist,MATCH(B3107,'Refined Petro Exp Dist'!$B$6:$B$78,0),MATCH(C3107,'Refined Petro Exp Dist'!$AD$2:$BC$2,0))*INDEX(ref_exp_by_year,MATCH(B3107,'Data Export'!$B$6:$B$78,0),1)))</f>
        <v>0</v>
      </c>
      <c r="E3107">
        <v>5</v>
      </c>
      <c r="F3107" t="s">
        <v>208</v>
      </c>
    </row>
    <row r="3108" spans="1:6">
      <c r="A3108" t="str">
        <f t="shared" si="48"/>
        <v>GenericE&amp;DtemplateCIandGOA</v>
      </c>
      <c r="B3108">
        <v>50</v>
      </c>
      <c r="C3108">
        <v>13</v>
      </c>
      <c r="D3108" s="649">
        <f ca="1">IF(E3108=4,INDEX(crude_exp_dist,MATCH(B3108,'Crude Exp Dist'!$B$6:$B$78,0),MATCH(C3108,'Crude Exp Dist'!$AD$2:$BC$2,0))*INDEX(crude_exp_by_year,MATCH(B3108,'Data Export'!$B$6:$B$78,0),1),IF(E3108=5,INDEX(ref_exp_dist,MATCH(B3108,'Refined Petro Exp Dist'!$B$6:$B$78,0),MATCH(C3108,'Refined Petro Exp Dist'!$AD$2:$BC$2,0))*INDEX(ref_exp_by_year,MATCH(B3108,'Data Export'!$B$6:$B$78,0),1)))</f>
        <v>0</v>
      </c>
      <c r="E3108">
        <v>5</v>
      </c>
      <c r="F3108" t="s">
        <v>211</v>
      </c>
    </row>
    <row r="3109" spans="1:6">
      <c r="A3109" t="str">
        <f t="shared" si="48"/>
        <v>GenericE&amp;DtemplateCIandGOA</v>
      </c>
      <c r="B3109">
        <v>50</v>
      </c>
      <c r="C3109">
        <v>14</v>
      </c>
      <c r="D3109" s="649">
        <f ca="1">IF(E3109=4,INDEX(crude_exp_dist,MATCH(B3109,'Crude Exp Dist'!$B$6:$B$78,0),MATCH(C3109,'Crude Exp Dist'!$AD$2:$BC$2,0))*INDEX(crude_exp_by_year,MATCH(B3109,'Data Export'!$B$6:$B$78,0),1),IF(E3109=5,INDEX(ref_exp_dist,MATCH(B3109,'Refined Petro Exp Dist'!$B$6:$B$78,0),MATCH(C3109,'Refined Petro Exp Dist'!$AD$2:$BC$2,0))*INDEX(ref_exp_by_year,MATCH(B3109,'Data Export'!$B$6:$B$78,0),1)))</f>
        <v>0</v>
      </c>
      <c r="E3109">
        <v>5</v>
      </c>
      <c r="F3109" t="s">
        <v>213</v>
      </c>
    </row>
    <row r="3110" spans="1:6">
      <c r="A3110" t="str">
        <f t="shared" si="48"/>
        <v>GenericE&amp;DtemplateCIandGOA</v>
      </c>
      <c r="B3110">
        <v>50</v>
      </c>
      <c r="C3110">
        <v>15</v>
      </c>
      <c r="D3110" s="649">
        <f ca="1">IF(E3110=4,INDEX(crude_exp_dist,MATCH(B3110,'Crude Exp Dist'!$B$6:$B$78,0),MATCH(C3110,'Crude Exp Dist'!$AD$2:$BC$2,0))*INDEX(crude_exp_by_year,MATCH(B3110,'Data Export'!$B$6:$B$78,0),1),IF(E3110=5,INDEX(ref_exp_dist,MATCH(B3110,'Refined Petro Exp Dist'!$B$6:$B$78,0),MATCH(C3110,'Refined Petro Exp Dist'!$AD$2:$BC$2,0))*INDEX(ref_exp_by_year,MATCH(B3110,'Data Export'!$B$6:$B$78,0),1)))</f>
        <v>0</v>
      </c>
      <c r="E3110">
        <v>5</v>
      </c>
      <c r="F3110" t="s">
        <v>215</v>
      </c>
    </row>
    <row r="3111" spans="1:6">
      <c r="A3111" t="str">
        <f t="shared" si="48"/>
        <v>GenericE&amp;DtemplateCIandGOA</v>
      </c>
      <c r="B3111">
        <v>50</v>
      </c>
      <c r="C3111">
        <v>16</v>
      </c>
      <c r="D3111" s="649">
        <f ca="1">IF(E3111=4,INDEX(crude_exp_dist,MATCH(B3111,'Crude Exp Dist'!$B$6:$B$78,0),MATCH(C3111,'Crude Exp Dist'!$AD$2:$BC$2,0))*INDEX(crude_exp_by_year,MATCH(B3111,'Data Export'!$B$6:$B$78,0),1),IF(E3111=5,INDEX(ref_exp_dist,MATCH(B3111,'Refined Petro Exp Dist'!$B$6:$B$78,0),MATCH(C3111,'Refined Petro Exp Dist'!$AD$2:$BC$2,0))*INDEX(ref_exp_by_year,MATCH(B3111,'Data Export'!$B$6:$B$78,0),1)))</f>
        <v>0</v>
      </c>
      <c r="E3111">
        <v>5</v>
      </c>
      <c r="F3111" t="s">
        <v>219</v>
      </c>
    </row>
    <row r="3112" spans="1:6">
      <c r="A3112" t="str">
        <f t="shared" si="48"/>
        <v>GenericE&amp;DtemplateCIandGOA</v>
      </c>
      <c r="B3112">
        <v>50</v>
      </c>
      <c r="C3112">
        <v>17</v>
      </c>
      <c r="D3112" s="649">
        <f ca="1">IF(E3112=4,INDEX(crude_exp_dist,MATCH(B3112,'Crude Exp Dist'!$B$6:$B$78,0),MATCH(C3112,'Crude Exp Dist'!$AD$2:$BC$2,0))*INDEX(crude_exp_by_year,MATCH(B3112,'Data Export'!$B$6:$B$78,0),1),IF(E3112=5,INDEX(ref_exp_dist,MATCH(B3112,'Refined Petro Exp Dist'!$B$6:$B$78,0),MATCH(C3112,'Refined Petro Exp Dist'!$AD$2:$BC$2,0))*INDEX(ref_exp_by_year,MATCH(B3112,'Data Export'!$B$6:$B$78,0),1)))</f>
        <v>0</v>
      </c>
      <c r="E3112">
        <v>5</v>
      </c>
      <c r="F3112" t="s">
        <v>222</v>
      </c>
    </row>
    <row r="3113" spans="1:6">
      <c r="A3113" t="str">
        <f t="shared" si="48"/>
        <v>GenericE&amp;DtemplateCIandGOA</v>
      </c>
      <c r="B3113">
        <v>50</v>
      </c>
      <c r="C3113">
        <v>18</v>
      </c>
      <c r="D3113" s="649">
        <f ca="1">IF(E3113=4,INDEX(crude_exp_dist,MATCH(B3113,'Crude Exp Dist'!$B$6:$B$78,0),MATCH(C3113,'Crude Exp Dist'!$AD$2:$BC$2,0))*INDEX(crude_exp_by_year,MATCH(B3113,'Data Export'!$B$6:$B$78,0),1),IF(E3113=5,INDEX(ref_exp_dist,MATCH(B3113,'Refined Petro Exp Dist'!$B$6:$B$78,0),MATCH(C3113,'Refined Petro Exp Dist'!$AD$2:$BC$2,0))*INDEX(ref_exp_by_year,MATCH(B3113,'Data Export'!$B$6:$B$78,0),1)))</f>
        <v>0</v>
      </c>
      <c r="E3113">
        <v>5</v>
      </c>
      <c r="F3113" t="s">
        <v>224</v>
      </c>
    </row>
    <row r="3114" spans="1:6">
      <c r="A3114" t="str">
        <f t="shared" si="48"/>
        <v>GenericE&amp;DtemplateCIandGOA</v>
      </c>
      <c r="B3114">
        <v>50</v>
      </c>
      <c r="C3114">
        <v>19</v>
      </c>
      <c r="D3114" s="649">
        <f ca="1">IF(E3114=4,INDEX(crude_exp_dist,MATCH(B3114,'Crude Exp Dist'!$B$6:$B$78,0),MATCH(C3114,'Crude Exp Dist'!$AD$2:$BC$2,0))*INDEX(crude_exp_by_year,MATCH(B3114,'Data Export'!$B$6:$B$78,0),1),IF(E3114=5,INDEX(ref_exp_dist,MATCH(B3114,'Refined Petro Exp Dist'!$B$6:$B$78,0),MATCH(C3114,'Refined Petro Exp Dist'!$AD$2:$BC$2,0))*INDEX(ref_exp_by_year,MATCH(B3114,'Data Export'!$B$6:$B$78,0),1)))</f>
        <v>0</v>
      </c>
      <c r="E3114">
        <v>5</v>
      </c>
      <c r="F3114" t="s">
        <v>228</v>
      </c>
    </row>
    <row r="3115" spans="1:6">
      <c r="A3115" t="str">
        <f t="shared" si="48"/>
        <v>GenericE&amp;DtemplateCIandGOA</v>
      </c>
      <c r="B3115">
        <v>50</v>
      </c>
      <c r="C3115">
        <v>20</v>
      </c>
      <c r="D3115" s="649">
        <f ca="1">IF(E3115=4,INDEX(crude_exp_dist,MATCH(B3115,'Crude Exp Dist'!$B$6:$B$78,0),MATCH(C3115,'Crude Exp Dist'!$AD$2:$BC$2,0))*INDEX(crude_exp_by_year,MATCH(B3115,'Data Export'!$B$6:$B$78,0),1),IF(E3115=5,INDEX(ref_exp_dist,MATCH(B3115,'Refined Petro Exp Dist'!$B$6:$B$78,0),MATCH(C3115,'Refined Petro Exp Dist'!$AD$2:$BC$2,0))*INDEX(ref_exp_by_year,MATCH(B3115,'Data Export'!$B$6:$B$78,0),1)))</f>
        <v>0</v>
      </c>
      <c r="E3115">
        <v>5</v>
      </c>
      <c r="F3115" t="s">
        <v>231</v>
      </c>
    </row>
    <row r="3116" spans="1:6">
      <c r="A3116" t="str">
        <f t="shared" si="48"/>
        <v>GenericE&amp;DtemplateCIandGOA</v>
      </c>
      <c r="B3116">
        <v>50</v>
      </c>
      <c r="C3116">
        <v>21</v>
      </c>
      <c r="D3116" s="649">
        <f ca="1">IF(E3116=4,INDEX(crude_exp_dist,MATCH(B3116,'Crude Exp Dist'!$B$6:$B$78,0),MATCH(C3116,'Crude Exp Dist'!$AD$2:$BC$2,0))*INDEX(crude_exp_by_year,MATCH(B3116,'Data Export'!$B$6:$B$78,0),1),IF(E3116=5,INDEX(ref_exp_dist,MATCH(B3116,'Refined Petro Exp Dist'!$B$6:$B$78,0),MATCH(C3116,'Refined Petro Exp Dist'!$AD$2:$BC$2,0))*INDEX(ref_exp_by_year,MATCH(B3116,'Data Export'!$B$6:$B$78,0),1)))</f>
        <v>0</v>
      </c>
      <c r="E3116">
        <v>5</v>
      </c>
      <c r="F3116" t="s">
        <v>232</v>
      </c>
    </row>
    <row r="3117" spans="1:6">
      <c r="A3117" t="str">
        <f t="shared" si="48"/>
        <v>GenericE&amp;DtemplateCIandGOA</v>
      </c>
      <c r="B3117">
        <v>50</v>
      </c>
      <c r="C3117">
        <v>22</v>
      </c>
      <c r="D3117" s="649">
        <f ca="1">IF(E3117=4,INDEX(crude_exp_dist,MATCH(B3117,'Crude Exp Dist'!$B$6:$B$78,0),MATCH(C3117,'Crude Exp Dist'!$AD$2:$BC$2,0))*INDEX(crude_exp_by_year,MATCH(B3117,'Data Export'!$B$6:$B$78,0),1),IF(E3117=5,INDEX(ref_exp_dist,MATCH(B3117,'Refined Petro Exp Dist'!$B$6:$B$78,0),MATCH(C3117,'Refined Petro Exp Dist'!$AD$2:$BC$2,0))*INDEX(ref_exp_by_year,MATCH(B3117,'Data Export'!$B$6:$B$78,0),1)))</f>
        <v>0</v>
      </c>
      <c r="E3117">
        <v>5</v>
      </c>
      <c r="F3117" t="s">
        <v>235</v>
      </c>
    </row>
    <row r="3118" spans="1:6">
      <c r="A3118" t="str">
        <f t="shared" si="48"/>
        <v>GenericE&amp;DtemplateCIandGOA</v>
      </c>
      <c r="B3118">
        <v>50</v>
      </c>
      <c r="C3118">
        <v>23</v>
      </c>
      <c r="D3118" s="649">
        <f ca="1">IF(E3118=4,INDEX(crude_exp_dist,MATCH(B3118,'Crude Exp Dist'!$B$6:$B$78,0),MATCH(C3118,'Crude Exp Dist'!$AD$2:$BC$2,0))*INDEX(crude_exp_by_year,MATCH(B3118,'Data Export'!$B$6:$B$78,0),1),IF(E3118=5,INDEX(ref_exp_dist,MATCH(B3118,'Refined Petro Exp Dist'!$B$6:$B$78,0),MATCH(C3118,'Refined Petro Exp Dist'!$AD$2:$BC$2,0))*INDEX(ref_exp_by_year,MATCH(B3118,'Data Export'!$B$6:$B$78,0),1)))</f>
        <v>0</v>
      </c>
      <c r="E3118">
        <v>5</v>
      </c>
      <c r="F3118" t="s">
        <v>237</v>
      </c>
    </row>
    <row r="3119" spans="1:6">
      <c r="A3119" t="str">
        <f t="shared" si="48"/>
        <v>GenericE&amp;DtemplateCIandGOA</v>
      </c>
      <c r="B3119">
        <v>50</v>
      </c>
      <c r="C3119">
        <v>24</v>
      </c>
      <c r="D3119" s="649">
        <f ca="1">IF(E3119=4,INDEX(crude_exp_dist,MATCH(B3119,'Crude Exp Dist'!$B$6:$B$78,0),MATCH(C3119,'Crude Exp Dist'!$AD$2:$BC$2,0))*INDEX(crude_exp_by_year,MATCH(B3119,'Data Export'!$B$6:$B$78,0),1),IF(E3119=5,INDEX(ref_exp_dist,MATCH(B3119,'Refined Petro Exp Dist'!$B$6:$B$78,0),MATCH(C3119,'Refined Petro Exp Dist'!$AD$2:$BC$2,0))*INDEX(ref_exp_by_year,MATCH(B3119,'Data Export'!$B$6:$B$78,0),1)))</f>
        <v>0</v>
      </c>
      <c r="E3119">
        <v>5</v>
      </c>
      <c r="F3119" t="s">
        <v>239</v>
      </c>
    </row>
    <row r="3120" spans="1:6">
      <c r="A3120" t="str">
        <f t="shared" si="48"/>
        <v>GenericE&amp;DtemplateCIandGOA</v>
      </c>
      <c r="B3120">
        <v>50</v>
      </c>
      <c r="C3120">
        <v>25</v>
      </c>
      <c r="D3120" s="649">
        <f ca="1">IF(E3120=4,INDEX(crude_exp_dist,MATCH(B3120,'Crude Exp Dist'!$B$6:$B$78,0),MATCH(C3120,'Crude Exp Dist'!$AD$2:$BC$2,0))*INDEX(crude_exp_by_year,MATCH(B3120,'Data Export'!$B$6:$B$78,0),1),IF(E3120=5,INDEX(ref_exp_dist,MATCH(B3120,'Refined Petro Exp Dist'!$B$6:$B$78,0),MATCH(C3120,'Refined Petro Exp Dist'!$AD$2:$BC$2,0))*INDEX(ref_exp_by_year,MATCH(B3120,'Data Export'!$B$6:$B$78,0),1)))</f>
        <v>0</v>
      </c>
      <c r="E3120">
        <v>5</v>
      </c>
      <c r="F3120" t="s">
        <v>242</v>
      </c>
    </row>
    <row r="3121" spans="1:6">
      <c r="A3121" t="str">
        <f t="shared" si="48"/>
        <v>GenericE&amp;DtemplateCIandGOA</v>
      </c>
      <c r="B3121">
        <v>50</v>
      </c>
      <c r="C3121">
        <v>26</v>
      </c>
      <c r="D3121" s="649">
        <f ca="1">IF(E3121=4,INDEX(crude_exp_dist,MATCH(B3121,'Crude Exp Dist'!$B$6:$B$78,0),MATCH(C3121,'Crude Exp Dist'!$AD$2:$BC$2,0))*INDEX(crude_exp_by_year,MATCH(B3121,'Data Export'!$B$6:$B$78,0),1),IF(E3121=5,INDEX(ref_exp_dist,MATCH(B3121,'Refined Petro Exp Dist'!$B$6:$B$78,0),MATCH(C3121,'Refined Petro Exp Dist'!$AD$2:$BC$2,0))*INDEX(ref_exp_by_year,MATCH(B3121,'Data Export'!$B$6:$B$78,0),1)))</f>
        <v>0</v>
      </c>
      <c r="E3121">
        <v>5</v>
      </c>
      <c r="F3121" t="s">
        <v>245</v>
      </c>
    </row>
    <row r="3122" spans="1:6">
      <c r="A3122" t="str">
        <f t="shared" si="48"/>
        <v>GenericE&amp;DtemplateCIandGOA</v>
      </c>
      <c r="B3122">
        <v>51</v>
      </c>
      <c r="C3122">
        <v>1</v>
      </c>
      <c r="D3122" s="649">
        <f ca="1">IF(E3122=4,INDEX(crude_exp_dist,MATCH(B3122,'Crude Exp Dist'!$B$6:$B$78,0),MATCH(C3122,'Crude Exp Dist'!$AD$2:$BC$2,0))*INDEX(crude_exp_by_year,MATCH(B3122,'Data Export'!$B$6:$B$78,0),1),IF(E3122=5,INDEX(ref_exp_dist,MATCH(B3122,'Refined Petro Exp Dist'!$B$6:$B$78,0),MATCH(C3122,'Refined Petro Exp Dist'!$AD$2:$BC$2,0))*INDEX(ref_exp_by_year,MATCH(B3122,'Data Export'!$B$6:$B$78,0),1)))</f>
        <v>0</v>
      </c>
      <c r="E3122">
        <v>5</v>
      </c>
      <c r="F3122" t="s">
        <v>158</v>
      </c>
    </row>
    <row r="3123" spans="1:6">
      <c r="A3123" t="str">
        <f t="shared" si="48"/>
        <v>GenericE&amp;DtemplateCIandGOA</v>
      </c>
      <c r="B3123">
        <v>51</v>
      </c>
      <c r="C3123">
        <v>2</v>
      </c>
      <c r="D3123" s="649">
        <f ca="1">IF(E3123=4,INDEX(crude_exp_dist,MATCH(B3123,'Crude Exp Dist'!$B$6:$B$78,0),MATCH(C3123,'Crude Exp Dist'!$AD$2:$BC$2,0))*INDEX(crude_exp_by_year,MATCH(B3123,'Data Export'!$B$6:$B$78,0),1),IF(E3123=5,INDEX(ref_exp_dist,MATCH(B3123,'Refined Petro Exp Dist'!$B$6:$B$78,0),MATCH(C3123,'Refined Petro Exp Dist'!$AD$2:$BC$2,0))*INDEX(ref_exp_by_year,MATCH(B3123,'Data Export'!$B$6:$B$78,0),1)))</f>
        <v>0</v>
      </c>
      <c r="E3123">
        <v>5</v>
      </c>
      <c r="F3123" t="s">
        <v>166</v>
      </c>
    </row>
    <row r="3124" spans="1:6">
      <c r="A3124" t="str">
        <f t="shared" si="48"/>
        <v>GenericE&amp;DtemplateCIandGOA</v>
      </c>
      <c r="B3124">
        <v>51</v>
      </c>
      <c r="C3124">
        <v>3</v>
      </c>
      <c r="D3124" s="649">
        <f ca="1">IF(E3124=4,INDEX(crude_exp_dist,MATCH(B3124,'Crude Exp Dist'!$B$6:$B$78,0),MATCH(C3124,'Crude Exp Dist'!$AD$2:$BC$2,0))*INDEX(crude_exp_by_year,MATCH(B3124,'Data Export'!$B$6:$B$78,0),1),IF(E3124=5,INDEX(ref_exp_dist,MATCH(B3124,'Refined Petro Exp Dist'!$B$6:$B$78,0),MATCH(C3124,'Refined Petro Exp Dist'!$AD$2:$BC$2,0))*INDEX(ref_exp_by_year,MATCH(B3124,'Data Export'!$B$6:$B$78,0),1)))</f>
        <v>0</v>
      </c>
      <c r="E3124">
        <v>5</v>
      </c>
      <c r="F3124" t="s">
        <v>171</v>
      </c>
    </row>
    <row r="3125" spans="1:6">
      <c r="A3125" t="str">
        <f t="shared" si="48"/>
        <v>GenericE&amp;DtemplateCIandGOA</v>
      </c>
      <c r="B3125">
        <v>51</v>
      </c>
      <c r="C3125">
        <v>4</v>
      </c>
      <c r="D3125" s="649">
        <f ca="1">IF(E3125=4,INDEX(crude_exp_dist,MATCH(B3125,'Crude Exp Dist'!$B$6:$B$78,0),MATCH(C3125,'Crude Exp Dist'!$AD$2:$BC$2,0))*INDEX(crude_exp_by_year,MATCH(B3125,'Data Export'!$B$6:$B$78,0),1),IF(E3125=5,INDEX(ref_exp_dist,MATCH(B3125,'Refined Petro Exp Dist'!$B$6:$B$78,0),MATCH(C3125,'Refined Petro Exp Dist'!$AD$2:$BC$2,0))*INDEX(ref_exp_by_year,MATCH(B3125,'Data Export'!$B$6:$B$78,0),1)))</f>
        <v>0</v>
      </c>
      <c r="E3125">
        <v>5</v>
      </c>
      <c r="F3125" t="s">
        <v>173</v>
      </c>
    </row>
    <row r="3126" spans="1:6">
      <c r="A3126" t="str">
        <f t="shared" si="48"/>
        <v>GenericE&amp;DtemplateCIandGOA</v>
      </c>
      <c r="B3126">
        <v>51</v>
      </c>
      <c r="C3126">
        <v>5</v>
      </c>
      <c r="D3126" s="649">
        <f ca="1">IF(E3126=4,INDEX(crude_exp_dist,MATCH(B3126,'Crude Exp Dist'!$B$6:$B$78,0),MATCH(C3126,'Crude Exp Dist'!$AD$2:$BC$2,0))*INDEX(crude_exp_by_year,MATCH(B3126,'Data Export'!$B$6:$B$78,0),1),IF(E3126=5,INDEX(ref_exp_dist,MATCH(B3126,'Refined Petro Exp Dist'!$B$6:$B$78,0),MATCH(C3126,'Refined Petro Exp Dist'!$AD$2:$BC$2,0))*INDEX(ref_exp_by_year,MATCH(B3126,'Data Export'!$B$6:$B$78,0),1)))</f>
        <v>0</v>
      </c>
      <c r="E3126">
        <v>5</v>
      </c>
      <c r="F3126" t="s">
        <v>180</v>
      </c>
    </row>
    <row r="3127" spans="1:6">
      <c r="A3127" t="str">
        <f t="shared" si="48"/>
        <v>GenericE&amp;DtemplateCIandGOA</v>
      </c>
      <c r="B3127">
        <v>51</v>
      </c>
      <c r="C3127">
        <v>6</v>
      </c>
      <c r="D3127" s="649">
        <f ca="1">IF(E3127=4,INDEX(crude_exp_dist,MATCH(B3127,'Crude Exp Dist'!$B$6:$B$78,0),MATCH(C3127,'Crude Exp Dist'!$AD$2:$BC$2,0))*INDEX(crude_exp_by_year,MATCH(B3127,'Data Export'!$B$6:$B$78,0),1),IF(E3127=5,INDEX(ref_exp_dist,MATCH(B3127,'Refined Petro Exp Dist'!$B$6:$B$78,0),MATCH(C3127,'Refined Petro Exp Dist'!$AD$2:$BC$2,0))*INDEX(ref_exp_by_year,MATCH(B3127,'Data Export'!$B$6:$B$78,0),1)))</f>
        <v>0</v>
      </c>
      <c r="E3127">
        <v>5</v>
      </c>
      <c r="F3127" t="s">
        <v>186</v>
      </c>
    </row>
    <row r="3128" spans="1:6">
      <c r="A3128" t="str">
        <f t="shared" si="48"/>
        <v>GenericE&amp;DtemplateCIandGOA</v>
      </c>
      <c r="B3128">
        <v>51</v>
      </c>
      <c r="C3128">
        <v>7</v>
      </c>
      <c r="D3128" s="649">
        <f ca="1">IF(E3128=4,INDEX(crude_exp_dist,MATCH(B3128,'Crude Exp Dist'!$B$6:$B$78,0),MATCH(C3128,'Crude Exp Dist'!$AD$2:$BC$2,0))*INDEX(crude_exp_by_year,MATCH(B3128,'Data Export'!$B$6:$B$78,0),1),IF(E3128=5,INDEX(ref_exp_dist,MATCH(B3128,'Refined Petro Exp Dist'!$B$6:$B$78,0),MATCH(C3128,'Refined Petro Exp Dist'!$AD$2:$BC$2,0))*INDEX(ref_exp_by_year,MATCH(B3128,'Data Export'!$B$6:$B$78,0),1)))</f>
        <v>0</v>
      </c>
      <c r="E3128">
        <v>5</v>
      </c>
      <c r="F3128" t="s">
        <v>191</v>
      </c>
    </row>
    <row r="3129" spans="1:6">
      <c r="A3129" t="str">
        <f t="shared" si="48"/>
        <v>GenericE&amp;DtemplateCIandGOA</v>
      </c>
      <c r="B3129">
        <v>51</v>
      </c>
      <c r="C3129">
        <v>8</v>
      </c>
      <c r="D3129" s="649">
        <f ca="1">IF(E3129=4,INDEX(crude_exp_dist,MATCH(B3129,'Crude Exp Dist'!$B$6:$B$78,0),MATCH(C3129,'Crude Exp Dist'!$AD$2:$BC$2,0))*INDEX(crude_exp_by_year,MATCH(B3129,'Data Export'!$B$6:$B$78,0),1),IF(E3129=5,INDEX(ref_exp_dist,MATCH(B3129,'Refined Petro Exp Dist'!$B$6:$B$78,0),MATCH(C3129,'Refined Petro Exp Dist'!$AD$2:$BC$2,0))*INDEX(ref_exp_by_year,MATCH(B3129,'Data Export'!$B$6:$B$78,0),1)))</f>
        <v>0</v>
      </c>
      <c r="E3129">
        <v>5</v>
      </c>
      <c r="F3129" t="s">
        <v>197</v>
      </c>
    </row>
    <row r="3130" spans="1:6">
      <c r="A3130" t="str">
        <f t="shared" si="48"/>
        <v>GenericE&amp;DtemplateCIandGOA</v>
      </c>
      <c r="B3130">
        <v>51</v>
      </c>
      <c r="C3130">
        <v>9</v>
      </c>
      <c r="D3130" s="649">
        <f ca="1">IF(E3130=4,INDEX(crude_exp_dist,MATCH(B3130,'Crude Exp Dist'!$B$6:$B$78,0),MATCH(C3130,'Crude Exp Dist'!$AD$2:$BC$2,0))*INDEX(crude_exp_by_year,MATCH(B3130,'Data Export'!$B$6:$B$78,0),1),IF(E3130=5,INDEX(ref_exp_dist,MATCH(B3130,'Refined Petro Exp Dist'!$B$6:$B$78,0),MATCH(C3130,'Refined Petro Exp Dist'!$AD$2:$BC$2,0))*INDEX(ref_exp_by_year,MATCH(B3130,'Data Export'!$B$6:$B$78,0),1)))</f>
        <v>0</v>
      </c>
      <c r="E3130">
        <v>5</v>
      </c>
      <c r="F3130" t="s">
        <v>199</v>
      </c>
    </row>
    <row r="3131" spans="1:6">
      <c r="A3131" t="str">
        <f t="shared" si="48"/>
        <v>GenericE&amp;DtemplateCIandGOA</v>
      </c>
      <c r="B3131">
        <v>51</v>
      </c>
      <c r="C3131">
        <v>10</v>
      </c>
      <c r="D3131" s="649">
        <f ca="1">IF(E3131=4,INDEX(crude_exp_dist,MATCH(B3131,'Crude Exp Dist'!$B$6:$B$78,0),MATCH(C3131,'Crude Exp Dist'!$AD$2:$BC$2,0))*INDEX(crude_exp_by_year,MATCH(B3131,'Data Export'!$B$6:$B$78,0),1),IF(E3131=5,INDEX(ref_exp_dist,MATCH(B3131,'Refined Petro Exp Dist'!$B$6:$B$78,0),MATCH(C3131,'Refined Petro Exp Dist'!$AD$2:$BC$2,0))*INDEX(ref_exp_by_year,MATCH(B3131,'Data Export'!$B$6:$B$78,0),1)))</f>
        <v>0</v>
      </c>
      <c r="E3131">
        <v>5</v>
      </c>
      <c r="F3131" t="s">
        <v>201</v>
      </c>
    </row>
    <row r="3132" spans="1:6">
      <c r="A3132" t="str">
        <f t="shared" si="48"/>
        <v>GenericE&amp;DtemplateCIandGOA</v>
      </c>
      <c r="B3132">
        <v>51</v>
      </c>
      <c r="C3132">
        <v>11</v>
      </c>
      <c r="D3132" s="649">
        <f ca="1">IF(E3132=4,INDEX(crude_exp_dist,MATCH(B3132,'Crude Exp Dist'!$B$6:$B$78,0),MATCH(C3132,'Crude Exp Dist'!$AD$2:$BC$2,0))*INDEX(crude_exp_by_year,MATCH(B3132,'Data Export'!$B$6:$B$78,0),1),IF(E3132=5,INDEX(ref_exp_dist,MATCH(B3132,'Refined Petro Exp Dist'!$B$6:$B$78,0),MATCH(C3132,'Refined Petro Exp Dist'!$AD$2:$BC$2,0))*INDEX(ref_exp_by_year,MATCH(B3132,'Data Export'!$B$6:$B$78,0),1)))</f>
        <v>0</v>
      </c>
      <c r="E3132">
        <v>5</v>
      </c>
      <c r="F3132" t="s">
        <v>921</v>
      </c>
    </row>
    <row r="3133" spans="1:6">
      <c r="A3133" t="str">
        <f t="shared" si="48"/>
        <v>GenericE&amp;DtemplateCIandGOA</v>
      </c>
      <c r="B3133">
        <v>51</v>
      </c>
      <c r="C3133">
        <v>12</v>
      </c>
      <c r="D3133" s="649">
        <f ca="1">IF(E3133=4,INDEX(crude_exp_dist,MATCH(B3133,'Crude Exp Dist'!$B$6:$B$78,0),MATCH(C3133,'Crude Exp Dist'!$AD$2:$BC$2,0))*INDEX(crude_exp_by_year,MATCH(B3133,'Data Export'!$B$6:$B$78,0),1),IF(E3133=5,INDEX(ref_exp_dist,MATCH(B3133,'Refined Petro Exp Dist'!$B$6:$B$78,0),MATCH(C3133,'Refined Petro Exp Dist'!$AD$2:$BC$2,0))*INDEX(ref_exp_by_year,MATCH(B3133,'Data Export'!$B$6:$B$78,0),1)))</f>
        <v>0</v>
      </c>
      <c r="E3133">
        <v>5</v>
      </c>
      <c r="F3133" t="s">
        <v>208</v>
      </c>
    </row>
    <row r="3134" spans="1:6">
      <c r="A3134" t="str">
        <f t="shared" si="48"/>
        <v>GenericE&amp;DtemplateCIandGOA</v>
      </c>
      <c r="B3134">
        <v>51</v>
      </c>
      <c r="C3134">
        <v>13</v>
      </c>
      <c r="D3134" s="649">
        <f ca="1">IF(E3134=4,INDEX(crude_exp_dist,MATCH(B3134,'Crude Exp Dist'!$B$6:$B$78,0),MATCH(C3134,'Crude Exp Dist'!$AD$2:$BC$2,0))*INDEX(crude_exp_by_year,MATCH(B3134,'Data Export'!$B$6:$B$78,0),1),IF(E3134=5,INDEX(ref_exp_dist,MATCH(B3134,'Refined Petro Exp Dist'!$B$6:$B$78,0),MATCH(C3134,'Refined Petro Exp Dist'!$AD$2:$BC$2,0))*INDEX(ref_exp_by_year,MATCH(B3134,'Data Export'!$B$6:$B$78,0),1)))</f>
        <v>0</v>
      </c>
      <c r="E3134">
        <v>5</v>
      </c>
      <c r="F3134" t="s">
        <v>211</v>
      </c>
    </row>
    <row r="3135" spans="1:6">
      <c r="A3135" t="str">
        <f t="shared" si="48"/>
        <v>GenericE&amp;DtemplateCIandGOA</v>
      </c>
      <c r="B3135">
        <v>51</v>
      </c>
      <c r="C3135">
        <v>14</v>
      </c>
      <c r="D3135" s="649">
        <f ca="1">IF(E3135=4,INDEX(crude_exp_dist,MATCH(B3135,'Crude Exp Dist'!$B$6:$B$78,0),MATCH(C3135,'Crude Exp Dist'!$AD$2:$BC$2,0))*INDEX(crude_exp_by_year,MATCH(B3135,'Data Export'!$B$6:$B$78,0),1),IF(E3135=5,INDEX(ref_exp_dist,MATCH(B3135,'Refined Petro Exp Dist'!$B$6:$B$78,0),MATCH(C3135,'Refined Petro Exp Dist'!$AD$2:$BC$2,0))*INDEX(ref_exp_by_year,MATCH(B3135,'Data Export'!$B$6:$B$78,0),1)))</f>
        <v>0</v>
      </c>
      <c r="E3135">
        <v>5</v>
      </c>
      <c r="F3135" t="s">
        <v>213</v>
      </c>
    </row>
    <row r="3136" spans="1:6">
      <c r="A3136" t="str">
        <f t="shared" si="48"/>
        <v>GenericE&amp;DtemplateCIandGOA</v>
      </c>
      <c r="B3136">
        <v>51</v>
      </c>
      <c r="C3136">
        <v>15</v>
      </c>
      <c r="D3136" s="649">
        <f ca="1">IF(E3136=4,INDEX(crude_exp_dist,MATCH(B3136,'Crude Exp Dist'!$B$6:$B$78,0),MATCH(C3136,'Crude Exp Dist'!$AD$2:$BC$2,0))*INDEX(crude_exp_by_year,MATCH(B3136,'Data Export'!$B$6:$B$78,0),1),IF(E3136=5,INDEX(ref_exp_dist,MATCH(B3136,'Refined Petro Exp Dist'!$B$6:$B$78,0),MATCH(C3136,'Refined Petro Exp Dist'!$AD$2:$BC$2,0))*INDEX(ref_exp_by_year,MATCH(B3136,'Data Export'!$B$6:$B$78,0),1)))</f>
        <v>0</v>
      </c>
      <c r="E3136">
        <v>5</v>
      </c>
      <c r="F3136" t="s">
        <v>215</v>
      </c>
    </row>
    <row r="3137" spans="1:6">
      <c r="A3137" t="str">
        <f t="shared" si="48"/>
        <v>GenericE&amp;DtemplateCIandGOA</v>
      </c>
      <c r="B3137">
        <v>51</v>
      </c>
      <c r="C3137">
        <v>16</v>
      </c>
      <c r="D3137" s="649">
        <f ca="1">IF(E3137=4,INDEX(crude_exp_dist,MATCH(B3137,'Crude Exp Dist'!$B$6:$B$78,0),MATCH(C3137,'Crude Exp Dist'!$AD$2:$BC$2,0))*INDEX(crude_exp_by_year,MATCH(B3137,'Data Export'!$B$6:$B$78,0),1),IF(E3137=5,INDEX(ref_exp_dist,MATCH(B3137,'Refined Petro Exp Dist'!$B$6:$B$78,0),MATCH(C3137,'Refined Petro Exp Dist'!$AD$2:$BC$2,0))*INDEX(ref_exp_by_year,MATCH(B3137,'Data Export'!$B$6:$B$78,0),1)))</f>
        <v>0</v>
      </c>
      <c r="E3137">
        <v>5</v>
      </c>
      <c r="F3137" t="s">
        <v>219</v>
      </c>
    </row>
    <row r="3138" spans="1:6">
      <c r="A3138" t="str">
        <f t="shared" ref="A3138:A3201" si="49">scenario_name</f>
        <v>GenericE&amp;DtemplateCIandGOA</v>
      </c>
      <c r="B3138">
        <v>51</v>
      </c>
      <c r="C3138">
        <v>17</v>
      </c>
      <c r="D3138" s="649">
        <f ca="1">IF(E3138=4,INDEX(crude_exp_dist,MATCH(B3138,'Crude Exp Dist'!$B$6:$B$78,0),MATCH(C3138,'Crude Exp Dist'!$AD$2:$BC$2,0))*INDEX(crude_exp_by_year,MATCH(B3138,'Data Export'!$B$6:$B$78,0),1),IF(E3138=5,INDEX(ref_exp_dist,MATCH(B3138,'Refined Petro Exp Dist'!$B$6:$B$78,0),MATCH(C3138,'Refined Petro Exp Dist'!$AD$2:$BC$2,0))*INDEX(ref_exp_by_year,MATCH(B3138,'Data Export'!$B$6:$B$78,0),1)))</f>
        <v>0</v>
      </c>
      <c r="E3138">
        <v>5</v>
      </c>
      <c r="F3138" t="s">
        <v>222</v>
      </c>
    </row>
    <row r="3139" spans="1:6">
      <c r="A3139" t="str">
        <f t="shared" si="49"/>
        <v>GenericE&amp;DtemplateCIandGOA</v>
      </c>
      <c r="B3139">
        <v>51</v>
      </c>
      <c r="C3139">
        <v>18</v>
      </c>
      <c r="D3139" s="649">
        <f ca="1">IF(E3139=4,INDEX(crude_exp_dist,MATCH(B3139,'Crude Exp Dist'!$B$6:$B$78,0),MATCH(C3139,'Crude Exp Dist'!$AD$2:$BC$2,0))*INDEX(crude_exp_by_year,MATCH(B3139,'Data Export'!$B$6:$B$78,0),1),IF(E3139=5,INDEX(ref_exp_dist,MATCH(B3139,'Refined Petro Exp Dist'!$B$6:$B$78,0),MATCH(C3139,'Refined Petro Exp Dist'!$AD$2:$BC$2,0))*INDEX(ref_exp_by_year,MATCH(B3139,'Data Export'!$B$6:$B$78,0),1)))</f>
        <v>0</v>
      </c>
      <c r="E3139">
        <v>5</v>
      </c>
      <c r="F3139" t="s">
        <v>224</v>
      </c>
    </row>
    <row r="3140" spans="1:6">
      <c r="A3140" t="str">
        <f t="shared" si="49"/>
        <v>GenericE&amp;DtemplateCIandGOA</v>
      </c>
      <c r="B3140">
        <v>51</v>
      </c>
      <c r="C3140">
        <v>19</v>
      </c>
      <c r="D3140" s="649">
        <f ca="1">IF(E3140=4,INDEX(crude_exp_dist,MATCH(B3140,'Crude Exp Dist'!$B$6:$B$78,0),MATCH(C3140,'Crude Exp Dist'!$AD$2:$BC$2,0))*INDEX(crude_exp_by_year,MATCH(B3140,'Data Export'!$B$6:$B$78,0),1),IF(E3140=5,INDEX(ref_exp_dist,MATCH(B3140,'Refined Petro Exp Dist'!$B$6:$B$78,0),MATCH(C3140,'Refined Petro Exp Dist'!$AD$2:$BC$2,0))*INDEX(ref_exp_by_year,MATCH(B3140,'Data Export'!$B$6:$B$78,0),1)))</f>
        <v>0</v>
      </c>
      <c r="E3140">
        <v>5</v>
      </c>
      <c r="F3140" t="s">
        <v>228</v>
      </c>
    </row>
    <row r="3141" spans="1:6">
      <c r="A3141" t="str">
        <f t="shared" si="49"/>
        <v>GenericE&amp;DtemplateCIandGOA</v>
      </c>
      <c r="B3141">
        <v>51</v>
      </c>
      <c r="C3141">
        <v>20</v>
      </c>
      <c r="D3141" s="649">
        <f ca="1">IF(E3141=4,INDEX(crude_exp_dist,MATCH(B3141,'Crude Exp Dist'!$B$6:$B$78,0),MATCH(C3141,'Crude Exp Dist'!$AD$2:$BC$2,0))*INDEX(crude_exp_by_year,MATCH(B3141,'Data Export'!$B$6:$B$78,0),1),IF(E3141=5,INDEX(ref_exp_dist,MATCH(B3141,'Refined Petro Exp Dist'!$B$6:$B$78,0),MATCH(C3141,'Refined Petro Exp Dist'!$AD$2:$BC$2,0))*INDEX(ref_exp_by_year,MATCH(B3141,'Data Export'!$B$6:$B$78,0),1)))</f>
        <v>0</v>
      </c>
      <c r="E3141">
        <v>5</v>
      </c>
      <c r="F3141" t="s">
        <v>231</v>
      </c>
    </row>
    <row r="3142" spans="1:6">
      <c r="A3142" t="str">
        <f t="shared" si="49"/>
        <v>GenericE&amp;DtemplateCIandGOA</v>
      </c>
      <c r="B3142">
        <v>51</v>
      </c>
      <c r="C3142">
        <v>21</v>
      </c>
      <c r="D3142" s="649">
        <f ca="1">IF(E3142=4,INDEX(crude_exp_dist,MATCH(B3142,'Crude Exp Dist'!$B$6:$B$78,0),MATCH(C3142,'Crude Exp Dist'!$AD$2:$BC$2,0))*INDEX(crude_exp_by_year,MATCH(B3142,'Data Export'!$B$6:$B$78,0),1),IF(E3142=5,INDEX(ref_exp_dist,MATCH(B3142,'Refined Petro Exp Dist'!$B$6:$B$78,0),MATCH(C3142,'Refined Petro Exp Dist'!$AD$2:$BC$2,0))*INDEX(ref_exp_by_year,MATCH(B3142,'Data Export'!$B$6:$B$78,0),1)))</f>
        <v>0</v>
      </c>
      <c r="E3142">
        <v>5</v>
      </c>
      <c r="F3142" t="s">
        <v>232</v>
      </c>
    </row>
    <row r="3143" spans="1:6">
      <c r="A3143" t="str">
        <f t="shared" si="49"/>
        <v>GenericE&amp;DtemplateCIandGOA</v>
      </c>
      <c r="B3143">
        <v>51</v>
      </c>
      <c r="C3143">
        <v>22</v>
      </c>
      <c r="D3143" s="649">
        <f ca="1">IF(E3143=4,INDEX(crude_exp_dist,MATCH(B3143,'Crude Exp Dist'!$B$6:$B$78,0),MATCH(C3143,'Crude Exp Dist'!$AD$2:$BC$2,0))*INDEX(crude_exp_by_year,MATCH(B3143,'Data Export'!$B$6:$B$78,0),1),IF(E3143=5,INDEX(ref_exp_dist,MATCH(B3143,'Refined Petro Exp Dist'!$B$6:$B$78,0),MATCH(C3143,'Refined Petro Exp Dist'!$AD$2:$BC$2,0))*INDEX(ref_exp_by_year,MATCH(B3143,'Data Export'!$B$6:$B$78,0),1)))</f>
        <v>0</v>
      </c>
      <c r="E3143">
        <v>5</v>
      </c>
      <c r="F3143" t="s">
        <v>235</v>
      </c>
    </row>
    <row r="3144" spans="1:6">
      <c r="A3144" t="str">
        <f t="shared" si="49"/>
        <v>GenericE&amp;DtemplateCIandGOA</v>
      </c>
      <c r="B3144">
        <v>51</v>
      </c>
      <c r="C3144">
        <v>23</v>
      </c>
      <c r="D3144" s="649">
        <f ca="1">IF(E3144=4,INDEX(crude_exp_dist,MATCH(B3144,'Crude Exp Dist'!$B$6:$B$78,0),MATCH(C3144,'Crude Exp Dist'!$AD$2:$BC$2,0))*INDEX(crude_exp_by_year,MATCH(B3144,'Data Export'!$B$6:$B$78,0),1),IF(E3144=5,INDEX(ref_exp_dist,MATCH(B3144,'Refined Petro Exp Dist'!$B$6:$B$78,0),MATCH(C3144,'Refined Petro Exp Dist'!$AD$2:$BC$2,0))*INDEX(ref_exp_by_year,MATCH(B3144,'Data Export'!$B$6:$B$78,0),1)))</f>
        <v>0</v>
      </c>
      <c r="E3144">
        <v>5</v>
      </c>
      <c r="F3144" t="s">
        <v>237</v>
      </c>
    </row>
    <row r="3145" spans="1:6">
      <c r="A3145" t="str">
        <f t="shared" si="49"/>
        <v>GenericE&amp;DtemplateCIandGOA</v>
      </c>
      <c r="B3145">
        <v>51</v>
      </c>
      <c r="C3145">
        <v>24</v>
      </c>
      <c r="D3145" s="649">
        <f ca="1">IF(E3145=4,INDEX(crude_exp_dist,MATCH(B3145,'Crude Exp Dist'!$B$6:$B$78,0),MATCH(C3145,'Crude Exp Dist'!$AD$2:$BC$2,0))*INDEX(crude_exp_by_year,MATCH(B3145,'Data Export'!$B$6:$B$78,0),1),IF(E3145=5,INDEX(ref_exp_dist,MATCH(B3145,'Refined Petro Exp Dist'!$B$6:$B$78,0),MATCH(C3145,'Refined Petro Exp Dist'!$AD$2:$BC$2,0))*INDEX(ref_exp_by_year,MATCH(B3145,'Data Export'!$B$6:$B$78,0),1)))</f>
        <v>0</v>
      </c>
      <c r="E3145">
        <v>5</v>
      </c>
      <c r="F3145" t="s">
        <v>239</v>
      </c>
    </row>
    <row r="3146" spans="1:6">
      <c r="A3146" t="str">
        <f t="shared" si="49"/>
        <v>GenericE&amp;DtemplateCIandGOA</v>
      </c>
      <c r="B3146">
        <v>51</v>
      </c>
      <c r="C3146">
        <v>25</v>
      </c>
      <c r="D3146" s="649">
        <f ca="1">IF(E3146=4,INDEX(crude_exp_dist,MATCH(B3146,'Crude Exp Dist'!$B$6:$B$78,0),MATCH(C3146,'Crude Exp Dist'!$AD$2:$BC$2,0))*INDEX(crude_exp_by_year,MATCH(B3146,'Data Export'!$B$6:$B$78,0),1),IF(E3146=5,INDEX(ref_exp_dist,MATCH(B3146,'Refined Petro Exp Dist'!$B$6:$B$78,0),MATCH(C3146,'Refined Petro Exp Dist'!$AD$2:$BC$2,0))*INDEX(ref_exp_by_year,MATCH(B3146,'Data Export'!$B$6:$B$78,0),1)))</f>
        <v>0</v>
      </c>
      <c r="E3146">
        <v>5</v>
      </c>
      <c r="F3146" t="s">
        <v>242</v>
      </c>
    </row>
    <row r="3147" spans="1:6">
      <c r="A3147" t="str">
        <f t="shared" si="49"/>
        <v>GenericE&amp;DtemplateCIandGOA</v>
      </c>
      <c r="B3147">
        <v>51</v>
      </c>
      <c r="C3147">
        <v>26</v>
      </c>
      <c r="D3147" s="649">
        <f ca="1">IF(E3147=4,INDEX(crude_exp_dist,MATCH(B3147,'Crude Exp Dist'!$B$6:$B$78,0),MATCH(C3147,'Crude Exp Dist'!$AD$2:$BC$2,0))*INDEX(crude_exp_by_year,MATCH(B3147,'Data Export'!$B$6:$B$78,0),1),IF(E3147=5,INDEX(ref_exp_dist,MATCH(B3147,'Refined Petro Exp Dist'!$B$6:$B$78,0),MATCH(C3147,'Refined Petro Exp Dist'!$AD$2:$BC$2,0))*INDEX(ref_exp_by_year,MATCH(B3147,'Data Export'!$B$6:$B$78,0),1)))</f>
        <v>0</v>
      </c>
      <c r="E3147">
        <v>5</v>
      </c>
      <c r="F3147" t="s">
        <v>245</v>
      </c>
    </row>
    <row r="3148" spans="1:6">
      <c r="A3148" t="str">
        <f t="shared" si="49"/>
        <v>GenericE&amp;DtemplateCIandGOA</v>
      </c>
      <c r="B3148">
        <v>52</v>
      </c>
      <c r="C3148">
        <v>1</v>
      </c>
      <c r="D3148" s="649">
        <f ca="1">IF(E3148=4,INDEX(crude_exp_dist,MATCH(B3148,'Crude Exp Dist'!$B$6:$B$78,0),MATCH(C3148,'Crude Exp Dist'!$AD$2:$BC$2,0))*INDEX(crude_exp_by_year,MATCH(B3148,'Data Export'!$B$6:$B$78,0),1),IF(E3148=5,INDEX(ref_exp_dist,MATCH(B3148,'Refined Petro Exp Dist'!$B$6:$B$78,0),MATCH(C3148,'Refined Petro Exp Dist'!$AD$2:$BC$2,0))*INDEX(ref_exp_by_year,MATCH(B3148,'Data Export'!$B$6:$B$78,0),1)))</f>
        <v>0</v>
      </c>
      <c r="E3148">
        <v>5</v>
      </c>
      <c r="F3148" t="s">
        <v>158</v>
      </c>
    </row>
    <row r="3149" spans="1:6">
      <c r="A3149" t="str">
        <f t="shared" si="49"/>
        <v>GenericE&amp;DtemplateCIandGOA</v>
      </c>
      <c r="B3149">
        <v>52</v>
      </c>
      <c r="C3149">
        <v>2</v>
      </c>
      <c r="D3149" s="649">
        <f ca="1">IF(E3149=4,INDEX(crude_exp_dist,MATCH(B3149,'Crude Exp Dist'!$B$6:$B$78,0),MATCH(C3149,'Crude Exp Dist'!$AD$2:$BC$2,0))*INDEX(crude_exp_by_year,MATCH(B3149,'Data Export'!$B$6:$B$78,0),1),IF(E3149=5,INDEX(ref_exp_dist,MATCH(B3149,'Refined Petro Exp Dist'!$B$6:$B$78,0),MATCH(C3149,'Refined Petro Exp Dist'!$AD$2:$BC$2,0))*INDEX(ref_exp_by_year,MATCH(B3149,'Data Export'!$B$6:$B$78,0),1)))</f>
        <v>0</v>
      </c>
      <c r="E3149">
        <v>5</v>
      </c>
      <c r="F3149" t="s">
        <v>166</v>
      </c>
    </row>
    <row r="3150" spans="1:6">
      <c r="A3150" t="str">
        <f t="shared" si="49"/>
        <v>GenericE&amp;DtemplateCIandGOA</v>
      </c>
      <c r="B3150">
        <v>52</v>
      </c>
      <c r="C3150">
        <v>3</v>
      </c>
      <c r="D3150" s="649">
        <f ca="1">IF(E3150=4,INDEX(crude_exp_dist,MATCH(B3150,'Crude Exp Dist'!$B$6:$B$78,0),MATCH(C3150,'Crude Exp Dist'!$AD$2:$BC$2,0))*INDEX(crude_exp_by_year,MATCH(B3150,'Data Export'!$B$6:$B$78,0),1),IF(E3150=5,INDEX(ref_exp_dist,MATCH(B3150,'Refined Petro Exp Dist'!$B$6:$B$78,0),MATCH(C3150,'Refined Petro Exp Dist'!$AD$2:$BC$2,0))*INDEX(ref_exp_by_year,MATCH(B3150,'Data Export'!$B$6:$B$78,0),1)))</f>
        <v>0</v>
      </c>
      <c r="E3150">
        <v>5</v>
      </c>
      <c r="F3150" t="s">
        <v>171</v>
      </c>
    </row>
    <row r="3151" spans="1:6">
      <c r="A3151" t="str">
        <f t="shared" si="49"/>
        <v>GenericE&amp;DtemplateCIandGOA</v>
      </c>
      <c r="B3151">
        <v>52</v>
      </c>
      <c r="C3151">
        <v>4</v>
      </c>
      <c r="D3151" s="649">
        <f ca="1">IF(E3151=4,INDEX(crude_exp_dist,MATCH(B3151,'Crude Exp Dist'!$B$6:$B$78,0),MATCH(C3151,'Crude Exp Dist'!$AD$2:$BC$2,0))*INDEX(crude_exp_by_year,MATCH(B3151,'Data Export'!$B$6:$B$78,0),1),IF(E3151=5,INDEX(ref_exp_dist,MATCH(B3151,'Refined Petro Exp Dist'!$B$6:$B$78,0),MATCH(C3151,'Refined Petro Exp Dist'!$AD$2:$BC$2,0))*INDEX(ref_exp_by_year,MATCH(B3151,'Data Export'!$B$6:$B$78,0),1)))</f>
        <v>0</v>
      </c>
      <c r="E3151">
        <v>5</v>
      </c>
      <c r="F3151" t="s">
        <v>173</v>
      </c>
    </row>
    <row r="3152" spans="1:6">
      <c r="A3152" t="str">
        <f t="shared" si="49"/>
        <v>GenericE&amp;DtemplateCIandGOA</v>
      </c>
      <c r="B3152">
        <v>52</v>
      </c>
      <c r="C3152">
        <v>5</v>
      </c>
      <c r="D3152" s="649">
        <f ca="1">IF(E3152=4,INDEX(crude_exp_dist,MATCH(B3152,'Crude Exp Dist'!$B$6:$B$78,0),MATCH(C3152,'Crude Exp Dist'!$AD$2:$BC$2,0))*INDEX(crude_exp_by_year,MATCH(B3152,'Data Export'!$B$6:$B$78,0),1),IF(E3152=5,INDEX(ref_exp_dist,MATCH(B3152,'Refined Petro Exp Dist'!$B$6:$B$78,0),MATCH(C3152,'Refined Petro Exp Dist'!$AD$2:$BC$2,0))*INDEX(ref_exp_by_year,MATCH(B3152,'Data Export'!$B$6:$B$78,0),1)))</f>
        <v>0</v>
      </c>
      <c r="E3152">
        <v>5</v>
      </c>
      <c r="F3152" t="s">
        <v>180</v>
      </c>
    </row>
    <row r="3153" spans="1:6">
      <c r="A3153" t="str">
        <f t="shared" si="49"/>
        <v>GenericE&amp;DtemplateCIandGOA</v>
      </c>
      <c r="B3153">
        <v>52</v>
      </c>
      <c r="C3153">
        <v>6</v>
      </c>
      <c r="D3153" s="649">
        <f ca="1">IF(E3153=4,INDEX(crude_exp_dist,MATCH(B3153,'Crude Exp Dist'!$B$6:$B$78,0),MATCH(C3153,'Crude Exp Dist'!$AD$2:$BC$2,0))*INDEX(crude_exp_by_year,MATCH(B3153,'Data Export'!$B$6:$B$78,0),1),IF(E3153=5,INDEX(ref_exp_dist,MATCH(B3153,'Refined Petro Exp Dist'!$B$6:$B$78,0),MATCH(C3153,'Refined Petro Exp Dist'!$AD$2:$BC$2,0))*INDEX(ref_exp_by_year,MATCH(B3153,'Data Export'!$B$6:$B$78,0),1)))</f>
        <v>0</v>
      </c>
      <c r="E3153">
        <v>5</v>
      </c>
      <c r="F3153" t="s">
        <v>186</v>
      </c>
    </row>
    <row r="3154" spans="1:6">
      <c r="A3154" t="str">
        <f t="shared" si="49"/>
        <v>GenericE&amp;DtemplateCIandGOA</v>
      </c>
      <c r="B3154">
        <v>52</v>
      </c>
      <c r="C3154">
        <v>7</v>
      </c>
      <c r="D3154" s="649">
        <f ca="1">IF(E3154=4,INDEX(crude_exp_dist,MATCH(B3154,'Crude Exp Dist'!$B$6:$B$78,0),MATCH(C3154,'Crude Exp Dist'!$AD$2:$BC$2,0))*INDEX(crude_exp_by_year,MATCH(B3154,'Data Export'!$B$6:$B$78,0),1),IF(E3154=5,INDEX(ref_exp_dist,MATCH(B3154,'Refined Petro Exp Dist'!$B$6:$B$78,0),MATCH(C3154,'Refined Petro Exp Dist'!$AD$2:$BC$2,0))*INDEX(ref_exp_by_year,MATCH(B3154,'Data Export'!$B$6:$B$78,0),1)))</f>
        <v>0</v>
      </c>
      <c r="E3154">
        <v>5</v>
      </c>
      <c r="F3154" t="s">
        <v>191</v>
      </c>
    </row>
    <row r="3155" spans="1:6">
      <c r="A3155" t="str">
        <f t="shared" si="49"/>
        <v>GenericE&amp;DtemplateCIandGOA</v>
      </c>
      <c r="B3155">
        <v>52</v>
      </c>
      <c r="C3155">
        <v>8</v>
      </c>
      <c r="D3155" s="649">
        <f ca="1">IF(E3155=4,INDEX(crude_exp_dist,MATCH(B3155,'Crude Exp Dist'!$B$6:$B$78,0),MATCH(C3155,'Crude Exp Dist'!$AD$2:$BC$2,0))*INDEX(crude_exp_by_year,MATCH(B3155,'Data Export'!$B$6:$B$78,0),1),IF(E3155=5,INDEX(ref_exp_dist,MATCH(B3155,'Refined Petro Exp Dist'!$B$6:$B$78,0),MATCH(C3155,'Refined Petro Exp Dist'!$AD$2:$BC$2,0))*INDEX(ref_exp_by_year,MATCH(B3155,'Data Export'!$B$6:$B$78,0),1)))</f>
        <v>0</v>
      </c>
      <c r="E3155">
        <v>5</v>
      </c>
      <c r="F3155" t="s">
        <v>197</v>
      </c>
    </row>
    <row r="3156" spans="1:6">
      <c r="A3156" t="str">
        <f t="shared" si="49"/>
        <v>GenericE&amp;DtemplateCIandGOA</v>
      </c>
      <c r="B3156">
        <v>52</v>
      </c>
      <c r="C3156">
        <v>9</v>
      </c>
      <c r="D3156" s="649">
        <f ca="1">IF(E3156=4,INDEX(crude_exp_dist,MATCH(B3156,'Crude Exp Dist'!$B$6:$B$78,0),MATCH(C3156,'Crude Exp Dist'!$AD$2:$BC$2,0))*INDEX(crude_exp_by_year,MATCH(B3156,'Data Export'!$B$6:$B$78,0),1),IF(E3156=5,INDEX(ref_exp_dist,MATCH(B3156,'Refined Petro Exp Dist'!$B$6:$B$78,0),MATCH(C3156,'Refined Petro Exp Dist'!$AD$2:$BC$2,0))*INDEX(ref_exp_by_year,MATCH(B3156,'Data Export'!$B$6:$B$78,0),1)))</f>
        <v>0</v>
      </c>
      <c r="E3156">
        <v>5</v>
      </c>
      <c r="F3156" t="s">
        <v>199</v>
      </c>
    </row>
    <row r="3157" spans="1:6">
      <c r="A3157" t="str">
        <f t="shared" si="49"/>
        <v>GenericE&amp;DtemplateCIandGOA</v>
      </c>
      <c r="B3157">
        <v>52</v>
      </c>
      <c r="C3157">
        <v>10</v>
      </c>
      <c r="D3157" s="649">
        <f ca="1">IF(E3157=4,INDEX(crude_exp_dist,MATCH(B3157,'Crude Exp Dist'!$B$6:$B$78,0),MATCH(C3157,'Crude Exp Dist'!$AD$2:$BC$2,0))*INDEX(crude_exp_by_year,MATCH(B3157,'Data Export'!$B$6:$B$78,0),1),IF(E3157=5,INDEX(ref_exp_dist,MATCH(B3157,'Refined Petro Exp Dist'!$B$6:$B$78,0),MATCH(C3157,'Refined Petro Exp Dist'!$AD$2:$BC$2,0))*INDEX(ref_exp_by_year,MATCH(B3157,'Data Export'!$B$6:$B$78,0),1)))</f>
        <v>0</v>
      </c>
      <c r="E3157">
        <v>5</v>
      </c>
      <c r="F3157" t="s">
        <v>201</v>
      </c>
    </row>
    <row r="3158" spans="1:6">
      <c r="A3158" t="str">
        <f t="shared" si="49"/>
        <v>GenericE&amp;DtemplateCIandGOA</v>
      </c>
      <c r="B3158">
        <v>52</v>
      </c>
      <c r="C3158">
        <v>11</v>
      </c>
      <c r="D3158" s="649">
        <f ca="1">IF(E3158=4,INDEX(crude_exp_dist,MATCH(B3158,'Crude Exp Dist'!$B$6:$B$78,0),MATCH(C3158,'Crude Exp Dist'!$AD$2:$BC$2,0))*INDEX(crude_exp_by_year,MATCH(B3158,'Data Export'!$B$6:$B$78,0),1),IF(E3158=5,INDEX(ref_exp_dist,MATCH(B3158,'Refined Petro Exp Dist'!$B$6:$B$78,0),MATCH(C3158,'Refined Petro Exp Dist'!$AD$2:$BC$2,0))*INDEX(ref_exp_by_year,MATCH(B3158,'Data Export'!$B$6:$B$78,0),1)))</f>
        <v>0</v>
      </c>
      <c r="E3158">
        <v>5</v>
      </c>
      <c r="F3158" t="s">
        <v>921</v>
      </c>
    </row>
    <row r="3159" spans="1:6">
      <c r="A3159" t="str">
        <f t="shared" si="49"/>
        <v>GenericE&amp;DtemplateCIandGOA</v>
      </c>
      <c r="B3159">
        <v>52</v>
      </c>
      <c r="C3159">
        <v>12</v>
      </c>
      <c r="D3159" s="649">
        <f ca="1">IF(E3159=4,INDEX(crude_exp_dist,MATCH(B3159,'Crude Exp Dist'!$B$6:$B$78,0),MATCH(C3159,'Crude Exp Dist'!$AD$2:$BC$2,0))*INDEX(crude_exp_by_year,MATCH(B3159,'Data Export'!$B$6:$B$78,0),1),IF(E3159=5,INDEX(ref_exp_dist,MATCH(B3159,'Refined Petro Exp Dist'!$B$6:$B$78,0),MATCH(C3159,'Refined Petro Exp Dist'!$AD$2:$BC$2,0))*INDEX(ref_exp_by_year,MATCH(B3159,'Data Export'!$B$6:$B$78,0),1)))</f>
        <v>0</v>
      </c>
      <c r="E3159">
        <v>5</v>
      </c>
      <c r="F3159" t="s">
        <v>208</v>
      </c>
    </row>
    <row r="3160" spans="1:6">
      <c r="A3160" t="str">
        <f t="shared" si="49"/>
        <v>GenericE&amp;DtemplateCIandGOA</v>
      </c>
      <c r="B3160">
        <v>52</v>
      </c>
      <c r="C3160">
        <v>13</v>
      </c>
      <c r="D3160" s="649">
        <f ca="1">IF(E3160=4,INDEX(crude_exp_dist,MATCH(B3160,'Crude Exp Dist'!$B$6:$B$78,0),MATCH(C3160,'Crude Exp Dist'!$AD$2:$BC$2,0))*INDEX(crude_exp_by_year,MATCH(B3160,'Data Export'!$B$6:$B$78,0),1),IF(E3160=5,INDEX(ref_exp_dist,MATCH(B3160,'Refined Petro Exp Dist'!$B$6:$B$78,0),MATCH(C3160,'Refined Petro Exp Dist'!$AD$2:$BC$2,0))*INDEX(ref_exp_by_year,MATCH(B3160,'Data Export'!$B$6:$B$78,0),1)))</f>
        <v>0</v>
      </c>
      <c r="E3160">
        <v>5</v>
      </c>
      <c r="F3160" t="s">
        <v>211</v>
      </c>
    </row>
    <row r="3161" spans="1:6">
      <c r="A3161" t="str">
        <f t="shared" si="49"/>
        <v>GenericE&amp;DtemplateCIandGOA</v>
      </c>
      <c r="B3161">
        <v>52</v>
      </c>
      <c r="C3161">
        <v>14</v>
      </c>
      <c r="D3161" s="649">
        <f ca="1">IF(E3161=4,INDEX(crude_exp_dist,MATCH(B3161,'Crude Exp Dist'!$B$6:$B$78,0),MATCH(C3161,'Crude Exp Dist'!$AD$2:$BC$2,0))*INDEX(crude_exp_by_year,MATCH(B3161,'Data Export'!$B$6:$B$78,0),1),IF(E3161=5,INDEX(ref_exp_dist,MATCH(B3161,'Refined Petro Exp Dist'!$B$6:$B$78,0),MATCH(C3161,'Refined Petro Exp Dist'!$AD$2:$BC$2,0))*INDEX(ref_exp_by_year,MATCH(B3161,'Data Export'!$B$6:$B$78,0),1)))</f>
        <v>0</v>
      </c>
      <c r="E3161">
        <v>5</v>
      </c>
      <c r="F3161" t="s">
        <v>213</v>
      </c>
    </row>
    <row r="3162" spans="1:6">
      <c r="A3162" t="str">
        <f t="shared" si="49"/>
        <v>GenericE&amp;DtemplateCIandGOA</v>
      </c>
      <c r="B3162">
        <v>52</v>
      </c>
      <c r="C3162">
        <v>15</v>
      </c>
      <c r="D3162" s="649">
        <f ca="1">IF(E3162=4,INDEX(crude_exp_dist,MATCH(B3162,'Crude Exp Dist'!$B$6:$B$78,0),MATCH(C3162,'Crude Exp Dist'!$AD$2:$BC$2,0))*INDEX(crude_exp_by_year,MATCH(B3162,'Data Export'!$B$6:$B$78,0),1),IF(E3162=5,INDEX(ref_exp_dist,MATCH(B3162,'Refined Petro Exp Dist'!$B$6:$B$78,0),MATCH(C3162,'Refined Petro Exp Dist'!$AD$2:$BC$2,0))*INDEX(ref_exp_by_year,MATCH(B3162,'Data Export'!$B$6:$B$78,0),1)))</f>
        <v>0</v>
      </c>
      <c r="E3162">
        <v>5</v>
      </c>
      <c r="F3162" t="s">
        <v>215</v>
      </c>
    </row>
    <row r="3163" spans="1:6">
      <c r="A3163" t="str">
        <f t="shared" si="49"/>
        <v>GenericE&amp;DtemplateCIandGOA</v>
      </c>
      <c r="B3163">
        <v>52</v>
      </c>
      <c r="C3163">
        <v>16</v>
      </c>
      <c r="D3163" s="649">
        <f ca="1">IF(E3163=4,INDEX(crude_exp_dist,MATCH(B3163,'Crude Exp Dist'!$B$6:$B$78,0),MATCH(C3163,'Crude Exp Dist'!$AD$2:$BC$2,0))*INDEX(crude_exp_by_year,MATCH(B3163,'Data Export'!$B$6:$B$78,0),1),IF(E3163=5,INDEX(ref_exp_dist,MATCH(B3163,'Refined Petro Exp Dist'!$B$6:$B$78,0),MATCH(C3163,'Refined Petro Exp Dist'!$AD$2:$BC$2,0))*INDEX(ref_exp_by_year,MATCH(B3163,'Data Export'!$B$6:$B$78,0),1)))</f>
        <v>0</v>
      </c>
      <c r="E3163">
        <v>5</v>
      </c>
      <c r="F3163" t="s">
        <v>219</v>
      </c>
    </row>
    <row r="3164" spans="1:6">
      <c r="A3164" t="str">
        <f t="shared" si="49"/>
        <v>GenericE&amp;DtemplateCIandGOA</v>
      </c>
      <c r="B3164">
        <v>52</v>
      </c>
      <c r="C3164">
        <v>17</v>
      </c>
      <c r="D3164" s="649">
        <f ca="1">IF(E3164=4,INDEX(crude_exp_dist,MATCH(B3164,'Crude Exp Dist'!$B$6:$B$78,0),MATCH(C3164,'Crude Exp Dist'!$AD$2:$BC$2,0))*INDEX(crude_exp_by_year,MATCH(B3164,'Data Export'!$B$6:$B$78,0),1),IF(E3164=5,INDEX(ref_exp_dist,MATCH(B3164,'Refined Petro Exp Dist'!$B$6:$B$78,0),MATCH(C3164,'Refined Petro Exp Dist'!$AD$2:$BC$2,0))*INDEX(ref_exp_by_year,MATCH(B3164,'Data Export'!$B$6:$B$78,0),1)))</f>
        <v>0</v>
      </c>
      <c r="E3164">
        <v>5</v>
      </c>
      <c r="F3164" t="s">
        <v>222</v>
      </c>
    </row>
    <row r="3165" spans="1:6">
      <c r="A3165" t="str">
        <f t="shared" si="49"/>
        <v>GenericE&amp;DtemplateCIandGOA</v>
      </c>
      <c r="B3165">
        <v>52</v>
      </c>
      <c r="C3165">
        <v>18</v>
      </c>
      <c r="D3165" s="649">
        <f ca="1">IF(E3165=4,INDEX(crude_exp_dist,MATCH(B3165,'Crude Exp Dist'!$B$6:$B$78,0),MATCH(C3165,'Crude Exp Dist'!$AD$2:$BC$2,0))*INDEX(crude_exp_by_year,MATCH(B3165,'Data Export'!$B$6:$B$78,0),1),IF(E3165=5,INDEX(ref_exp_dist,MATCH(B3165,'Refined Petro Exp Dist'!$B$6:$B$78,0),MATCH(C3165,'Refined Petro Exp Dist'!$AD$2:$BC$2,0))*INDEX(ref_exp_by_year,MATCH(B3165,'Data Export'!$B$6:$B$78,0),1)))</f>
        <v>0</v>
      </c>
      <c r="E3165">
        <v>5</v>
      </c>
      <c r="F3165" t="s">
        <v>224</v>
      </c>
    </row>
    <row r="3166" spans="1:6">
      <c r="A3166" t="str">
        <f t="shared" si="49"/>
        <v>GenericE&amp;DtemplateCIandGOA</v>
      </c>
      <c r="B3166">
        <v>52</v>
      </c>
      <c r="C3166">
        <v>19</v>
      </c>
      <c r="D3166" s="649">
        <f ca="1">IF(E3166=4,INDEX(crude_exp_dist,MATCH(B3166,'Crude Exp Dist'!$B$6:$B$78,0),MATCH(C3166,'Crude Exp Dist'!$AD$2:$BC$2,0))*INDEX(crude_exp_by_year,MATCH(B3166,'Data Export'!$B$6:$B$78,0),1),IF(E3166=5,INDEX(ref_exp_dist,MATCH(B3166,'Refined Petro Exp Dist'!$B$6:$B$78,0),MATCH(C3166,'Refined Petro Exp Dist'!$AD$2:$BC$2,0))*INDEX(ref_exp_by_year,MATCH(B3166,'Data Export'!$B$6:$B$78,0),1)))</f>
        <v>0</v>
      </c>
      <c r="E3166">
        <v>5</v>
      </c>
      <c r="F3166" t="s">
        <v>228</v>
      </c>
    </row>
    <row r="3167" spans="1:6">
      <c r="A3167" t="str">
        <f t="shared" si="49"/>
        <v>GenericE&amp;DtemplateCIandGOA</v>
      </c>
      <c r="B3167">
        <v>52</v>
      </c>
      <c r="C3167">
        <v>20</v>
      </c>
      <c r="D3167" s="649">
        <f ca="1">IF(E3167=4,INDEX(crude_exp_dist,MATCH(B3167,'Crude Exp Dist'!$B$6:$B$78,0),MATCH(C3167,'Crude Exp Dist'!$AD$2:$BC$2,0))*INDEX(crude_exp_by_year,MATCH(B3167,'Data Export'!$B$6:$B$78,0),1),IF(E3167=5,INDEX(ref_exp_dist,MATCH(B3167,'Refined Petro Exp Dist'!$B$6:$B$78,0),MATCH(C3167,'Refined Petro Exp Dist'!$AD$2:$BC$2,0))*INDEX(ref_exp_by_year,MATCH(B3167,'Data Export'!$B$6:$B$78,0),1)))</f>
        <v>0</v>
      </c>
      <c r="E3167">
        <v>5</v>
      </c>
      <c r="F3167" t="s">
        <v>231</v>
      </c>
    </row>
    <row r="3168" spans="1:6">
      <c r="A3168" t="str">
        <f t="shared" si="49"/>
        <v>GenericE&amp;DtemplateCIandGOA</v>
      </c>
      <c r="B3168">
        <v>52</v>
      </c>
      <c r="C3168">
        <v>21</v>
      </c>
      <c r="D3168" s="649">
        <f ca="1">IF(E3168=4,INDEX(crude_exp_dist,MATCH(B3168,'Crude Exp Dist'!$B$6:$B$78,0),MATCH(C3168,'Crude Exp Dist'!$AD$2:$BC$2,0))*INDEX(crude_exp_by_year,MATCH(B3168,'Data Export'!$B$6:$B$78,0),1),IF(E3168=5,INDEX(ref_exp_dist,MATCH(B3168,'Refined Petro Exp Dist'!$B$6:$B$78,0),MATCH(C3168,'Refined Petro Exp Dist'!$AD$2:$BC$2,0))*INDEX(ref_exp_by_year,MATCH(B3168,'Data Export'!$B$6:$B$78,0),1)))</f>
        <v>0</v>
      </c>
      <c r="E3168">
        <v>5</v>
      </c>
      <c r="F3168" t="s">
        <v>232</v>
      </c>
    </row>
    <row r="3169" spans="1:6">
      <c r="A3169" t="str">
        <f t="shared" si="49"/>
        <v>GenericE&amp;DtemplateCIandGOA</v>
      </c>
      <c r="B3169">
        <v>52</v>
      </c>
      <c r="C3169">
        <v>22</v>
      </c>
      <c r="D3169" s="649">
        <f ca="1">IF(E3169=4,INDEX(crude_exp_dist,MATCH(B3169,'Crude Exp Dist'!$B$6:$B$78,0),MATCH(C3169,'Crude Exp Dist'!$AD$2:$BC$2,0))*INDEX(crude_exp_by_year,MATCH(B3169,'Data Export'!$B$6:$B$78,0),1),IF(E3169=5,INDEX(ref_exp_dist,MATCH(B3169,'Refined Petro Exp Dist'!$B$6:$B$78,0),MATCH(C3169,'Refined Petro Exp Dist'!$AD$2:$BC$2,0))*INDEX(ref_exp_by_year,MATCH(B3169,'Data Export'!$B$6:$B$78,0),1)))</f>
        <v>0</v>
      </c>
      <c r="E3169">
        <v>5</v>
      </c>
      <c r="F3169" t="s">
        <v>235</v>
      </c>
    </row>
    <row r="3170" spans="1:6">
      <c r="A3170" t="str">
        <f t="shared" si="49"/>
        <v>GenericE&amp;DtemplateCIandGOA</v>
      </c>
      <c r="B3170">
        <v>52</v>
      </c>
      <c r="C3170">
        <v>23</v>
      </c>
      <c r="D3170" s="649">
        <f ca="1">IF(E3170=4,INDEX(crude_exp_dist,MATCH(B3170,'Crude Exp Dist'!$B$6:$B$78,0),MATCH(C3170,'Crude Exp Dist'!$AD$2:$BC$2,0))*INDEX(crude_exp_by_year,MATCH(B3170,'Data Export'!$B$6:$B$78,0),1),IF(E3170=5,INDEX(ref_exp_dist,MATCH(B3170,'Refined Petro Exp Dist'!$B$6:$B$78,0),MATCH(C3170,'Refined Petro Exp Dist'!$AD$2:$BC$2,0))*INDEX(ref_exp_by_year,MATCH(B3170,'Data Export'!$B$6:$B$78,0),1)))</f>
        <v>0</v>
      </c>
      <c r="E3170">
        <v>5</v>
      </c>
      <c r="F3170" t="s">
        <v>237</v>
      </c>
    </row>
    <row r="3171" spans="1:6">
      <c r="A3171" t="str">
        <f t="shared" si="49"/>
        <v>GenericE&amp;DtemplateCIandGOA</v>
      </c>
      <c r="B3171">
        <v>52</v>
      </c>
      <c r="C3171">
        <v>24</v>
      </c>
      <c r="D3171" s="649">
        <f ca="1">IF(E3171=4,INDEX(crude_exp_dist,MATCH(B3171,'Crude Exp Dist'!$B$6:$B$78,0),MATCH(C3171,'Crude Exp Dist'!$AD$2:$BC$2,0))*INDEX(crude_exp_by_year,MATCH(B3171,'Data Export'!$B$6:$B$78,0),1),IF(E3171=5,INDEX(ref_exp_dist,MATCH(B3171,'Refined Petro Exp Dist'!$B$6:$B$78,0),MATCH(C3171,'Refined Petro Exp Dist'!$AD$2:$BC$2,0))*INDEX(ref_exp_by_year,MATCH(B3171,'Data Export'!$B$6:$B$78,0),1)))</f>
        <v>0</v>
      </c>
      <c r="E3171">
        <v>5</v>
      </c>
      <c r="F3171" t="s">
        <v>239</v>
      </c>
    </row>
    <row r="3172" spans="1:6">
      <c r="A3172" t="str">
        <f t="shared" si="49"/>
        <v>GenericE&amp;DtemplateCIandGOA</v>
      </c>
      <c r="B3172">
        <v>52</v>
      </c>
      <c r="C3172">
        <v>25</v>
      </c>
      <c r="D3172" s="649">
        <f ca="1">IF(E3172=4,INDEX(crude_exp_dist,MATCH(B3172,'Crude Exp Dist'!$B$6:$B$78,0),MATCH(C3172,'Crude Exp Dist'!$AD$2:$BC$2,0))*INDEX(crude_exp_by_year,MATCH(B3172,'Data Export'!$B$6:$B$78,0),1),IF(E3172=5,INDEX(ref_exp_dist,MATCH(B3172,'Refined Petro Exp Dist'!$B$6:$B$78,0),MATCH(C3172,'Refined Petro Exp Dist'!$AD$2:$BC$2,0))*INDEX(ref_exp_by_year,MATCH(B3172,'Data Export'!$B$6:$B$78,0),1)))</f>
        <v>0</v>
      </c>
      <c r="E3172">
        <v>5</v>
      </c>
      <c r="F3172" t="s">
        <v>242</v>
      </c>
    </row>
    <row r="3173" spans="1:6">
      <c r="A3173" t="str">
        <f t="shared" si="49"/>
        <v>GenericE&amp;DtemplateCIandGOA</v>
      </c>
      <c r="B3173">
        <v>52</v>
      </c>
      <c r="C3173">
        <v>26</v>
      </c>
      <c r="D3173" s="649">
        <f ca="1">IF(E3173=4,INDEX(crude_exp_dist,MATCH(B3173,'Crude Exp Dist'!$B$6:$B$78,0),MATCH(C3173,'Crude Exp Dist'!$AD$2:$BC$2,0))*INDEX(crude_exp_by_year,MATCH(B3173,'Data Export'!$B$6:$B$78,0),1),IF(E3173=5,INDEX(ref_exp_dist,MATCH(B3173,'Refined Petro Exp Dist'!$B$6:$B$78,0),MATCH(C3173,'Refined Petro Exp Dist'!$AD$2:$BC$2,0))*INDEX(ref_exp_by_year,MATCH(B3173,'Data Export'!$B$6:$B$78,0),1)))</f>
        <v>0</v>
      </c>
      <c r="E3173">
        <v>5</v>
      </c>
      <c r="F3173" t="s">
        <v>245</v>
      </c>
    </row>
    <row r="3174" spans="1:6">
      <c r="A3174" t="str">
        <f t="shared" si="49"/>
        <v>GenericE&amp;DtemplateCIandGOA</v>
      </c>
      <c r="B3174">
        <v>53</v>
      </c>
      <c r="C3174">
        <v>1</v>
      </c>
      <c r="D3174" s="649">
        <f ca="1">IF(E3174=4,INDEX(crude_exp_dist,MATCH(B3174,'Crude Exp Dist'!$B$6:$B$78,0),MATCH(C3174,'Crude Exp Dist'!$AD$2:$BC$2,0))*INDEX(crude_exp_by_year,MATCH(B3174,'Data Export'!$B$6:$B$78,0),1),IF(E3174=5,INDEX(ref_exp_dist,MATCH(B3174,'Refined Petro Exp Dist'!$B$6:$B$78,0),MATCH(C3174,'Refined Petro Exp Dist'!$AD$2:$BC$2,0))*INDEX(ref_exp_by_year,MATCH(B3174,'Data Export'!$B$6:$B$78,0),1)))</f>
        <v>0</v>
      </c>
      <c r="E3174">
        <v>5</v>
      </c>
      <c r="F3174" t="s">
        <v>158</v>
      </c>
    </row>
    <row r="3175" spans="1:6">
      <c r="A3175" t="str">
        <f t="shared" si="49"/>
        <v>GenericE&amp;DtemplateCIandGOA</v>
      </c>
      <c r="B3175">
        <v>53</v>
      </c>
      <c r="C3175">
        <v>2</v>
      </c>
      <c r="D3175" s="649">
        <f ca="1">IF(E3175=4,INDEX(crude_exp_dist,MATCH(B3175,'Crude Exp Dist'!$B$6:$B$78,0),MATCH(C3175,'Crude Exp Dist'!$AD$2:$BC$2,0))*INDEX(crude_exp_by_year,MATCH(B3175,'Data Export'!$B$6:$B$78,0),1),IF(E3175=5,INDEX(ref_exp_dist,MATCH(B3175,'Refined Petro Exp Dist'!$B$6:$B$78,0),MATCH(C3175,'Refined Petro Exp Dist'!$AD$2:$BC$2,0))*INDEX(ref_exp_by_year,MATCH(B3175,'Data Export'!$B$6:$B$78,0),1)))</f>
        <v>0</v>
      </c>
      <c r="E3175">
        <v>5</v>
      </c>
      <c r="F3175" t="s">
        <v>166</v>
      </c>
    </row>
    <row r="3176" spans="1:6">
      <c r="A3176" t="str">
        <f t="shared" si="49"/>
        <v>GenericE&amp;DtemplateCIandGOA</v>
      </c>
      <c r="B3176">
        <v>53</v>
      </c>
      <c r="C3176">
        <v>3</v>
      </c>
      <c r="D3176" s="649">
        <f ca="1">IF(E3176=4,INDEX(crude_exp_dist,MATCH(B3176,'Crude Exp Dist'!$B$6:$B$78,0),MATCH(C3176,'Crude Exp Dist'!$AD$2:$BC$2,0))*INDEX(crude_exp_by_year,MATCH(B3176,'Data Export'!$B$6:$B$78,0),1),IF(E3176=5,INDEX(ref_exp_dist,MATCH(B3176,'Refined Petro Exp Dist'!$B$6:$B$78,0),MATCH(C3176,'Refined Petro Exp Dist'!$AD$2:$BC$2,0))*INDEX(ref_exp_by_year,MATCH(B3176,'Data Export'!$B$6:$B$78,0),1)))</f>
        <v>0</v>
      </c>
      <c r="E3176">
        <v>5</v>
      </c>
      <c r="F3176" t="s">
        <v>171</v>
      </c>
    </row>
    <row r="3177" spans="1:6">
      <c r="A3177" t="str">
        <f t="shared" si="49"/>
        <v>GenericE&amp;DtemplateCIandGOA</v>
      </c>
      <c r="B3177">
        <v>53</v>
      </c>
      <c r="C3177">
        <v>4</v>
      </c>
      <c r="D3177" s="649">
        <f ca="1">IF(E3177=4,INDEX(crude_exp_dist,MATCH(B3177,'Crude Exp Dist'!$B$6:$B$78,0),MATCH(C3177,'Crude Exp Dist'!$AD$2:$BC$2,0))*INDEX(crude_exp_by_year,MATCH(B3177,'Data Export'!$B$6:$B$78,0),1),IF(E3177=5,INDEX(ref_exp_dist,MATCH(B3177,'Refined Petro Exp Dist'!$B$6:$B$78,0),MATCH(C3177,'Refined Petro Exp Dist'!$AD$2:$BC$2,0))*INDEX(ref_exp_by_year,MATCH(B3177,'Data Export'!$B$6:$B$78,0),1)))</f>
        <v>0</v>
      </c>
      <c r="E3177">
        <v>5</v>
      </c>
      <c r="F3177" t="s">
        <v>173</v>
      </c>
    </row>
    <row r="3178" spans="1:6">
      <c r="A3178" t="str">
        <f t="shared" si="49"/>
        <v>GenericE&amp;DtemplateCIandGOA</v>
      </c>
      <c r="B3178">
        <v>53</v>
      </c>
      <c r="C3178">
        <v>5</v>
      </c>
      <c r="D3178" s="649">
        <f ca="1">IF(E3178=4,INDEX(crude_exp_dist,MATCH(B3178,'Crude Exp Dist'!$B$6:$B$78,0),MATCH(C3178,'Crude Exp Dist'!$AD$2:$BC$2,0))*INDEX(crude_exp_by_year,MATCH(B3178,'Data Export'!$B$6:$B$78,0),1),IF(E3178=5,INDEX(ref_exp_dist,MATCH(B3178,'Refined Petro Exp Dist'!$B$6:$B$78,0),MATCH(C3178,'Refined Petro Exp Dist'!$AD$2:$BC$2,0))*INDEX(ref_exp_by_year,MATCH(B3178,'Data Export'!$B$6:$B$78,0),1)))</f>
        <v>0</v>
      </c>
      <c r="E3178">
        <v>5</v>
      </c>
      <c r="F3178" t="s">
        <v>180</v>
      </c>
    </row>
    <row r="3179" spans="1:6">
      <c r="A3179" t="str">
        <f t="shared" si="49"/>
        <v>GenericE&amp;DtemplateCIandGOA</v>
      </c>
      <c r="B3179">
        <v>53</v>
      </c>
      <c r="C3179">
        <v>6</v>
      </c>
      <c r="D3179" s="649">
        <f ca="1">IF(E3179=4,INDEX(crude_exp_dist,MATCH(B3179,'Crude Exp Dist'!$B$6:$B$78,0),MATCH(C3179,'Crude Exp Dist'!$AD$2:$BC$2,0))*INDEX(crude_exp_by_year,MATCH(B3179,'Data Export'!$B$6:$B$78,0),1),IF(E3179=5,INDEX(ref_exp_dist,MATCH(B3179,'Refined Petro Exp Dist'!$B$6:$B$78,0),MATCH(C3179,'Refined Petro Exp Dist'!$AD$2:$BC$2,0))*INDEX(ref_exp_by_year,MATCH(B3179,'Data Export'!$B$6:$B$78,0),1)))</f>
        <v>0</v>
      </c>
      <c r="E3179">
        <v>5</v>
      </c>
      <c r="F3179" t="s">
        <v>186</v>
      </c>
    </row>
    <row r="3180" spans="1:6">
      <c r="A3180" t="str">
        <f t="shared" si="49"/>
        <v>GenericE&amp;DtemplateCIandGOA</v>
      </c>
      <c r="B3180">
        <v>53</v>
      </c>
      <c r="C3180">
        <v>7</v>
      </c>
      <c r="D3180" s="649">
        <f ca="1">IF(E3180=4,INDEX(crude_exp_dist,MATCH(B3180,'Crude Exp Dist'!$B$6:$B$78,0),MATCH(C3180,'Crude Exp Dist'!$AD$2:$BC$2,0))*INDEX(crude_exp_by_year,MATCH(B3180,'Data Export'!$B$6:$B$78,0),1),IF(E3180=5,INDEX(ref_exp_dist,MATCH(B3180,'Refined Petro Exp Dist'!$B$6:$B$78,0),MATCH(C3180,'Refined Petro Exp Dist'!$AD$2:$BC$2,0))*INDEX(ref_exp_by_year,MATCH(B3180,'Data Export'!$B$6:$B$78,0),1)))</f>
        <v>0</v>
      </c>
      <c r="E3180">
        <v>5</v>
      </c>
      <c r="F3180" t="s">
        <v>191</v>
      </c>
    </row>
    <row r="3181" spans="1:6">
      <c r="A3181" t="str">
        <f t="shared" si="49"/>
        <v>GenericE&amp;DtemplateCIandGOA</v>
      </c>
      <c r="B3181">
        <v>53</v>
      </c>
      <c r="C3181">
        <v>8</v>
      </c>
      <c r="D3181" s="649">
        <f ca="1">IF(E3181=4,INDEX(crude_exp_dist,MATCH(B3181,'Crude Exp Dist'!$B$6:$B$78,0),MATCH(C3181,'Crude Exp Dist'!$AD$2:$BC$2,0))*INDEX(crude_exp_by_year,MATCH(B3181,'Data Export'!$B$6:$B$78,0),1),IF(E3181=5,INDEX(ref_exp_dist,MATCH(B3181,'Refined Petro Exp Dist'!$B$6:$B$78,0),MATCH(C3181,'Refined Petro Exp Dist'!$AD$2:$BC$2,0))*INDEX(ref_exp_by_year,MATCH(B3181,'Data Export'!$B$6:$B$78,0),1)))</f>
        <v>0</v>
      </c>
      <c r="E3181">
        <v>5</v>
      </c>
      <c r="F3181" t="s">
        <v>197</v>
      </c>
    </row>
    <row r="3182" spans="1:6">
      <c r="A3182" t="str">
        <f t="shared" si="49"/>
        <v>GenericE&amp;DtemplateCIandGOA</v>
      </c>
      <c r="B3182">
        <v>53</v>
      </c>
      <c r="C3182">
        <v>9</v>
      </c>
      <c r="D3182" s="649">
        <f ca="1">IF(E3182=4,INDEX(crude_exp_dist,MATCH(B3182,'Crude Exp Dist'!$B$6:$B$78,0),MATCH(C3182,'Crude Exp Dist'!$AD$2:$BC$2,0))*INDEX(crude_exp_by_year,MATCH(B3182,'Data Export'!$B$6:$B$78,0),1),IF(E3182=5,INDEX(ref_exp_dist,MATCH(B3182,'Refined Petro Exp Dist'!$B$6:$B$78,0),MATCH(C3182,'Refined Petro Exp Dist'!$AD$2:$BC$2,0))*INDEX(ref_exp_by_year,MATCH(B3182,'Data Export'!$B$6:$B$78,0),1)))</f>
        <v>0</v>
      </c>
      <c r="E3182">
        <v>5</v>
      </c>
      <c r="F3182" t="s">
        <v>199</v>
      </c>
    </row>
    <row r="3183" spans="1:6">
      <c r="A3183" t="str">
        <f t="shared" si="49"/>
        <v>GenericE&amp;DtemplateCIandGOA</v>
      </c>
      <c r="B3183">
        <v>53</v>
      </c>
      <c r="C3183">
        <v>10</v>
      </c>
      <c r="D3183" s="649">
        <f ca="1">IF(E3183=4,INDEX(crude_exp_dist,MATCH(B3183,'Crude Exp Dist'!$B$6:$B$78,0),MATCH(C3183,'Crude Exp Dist'!$AD$2:$BC$2,0))*INDEX(crude_exp_by_year,MATCH(B3183,'Data Export'!$B$6:$B$78,0),1),IF(E3183=5,INDEX(ref_exp_dist,MATCH(B3183,'Refined Petro Exp Dist'!$B$6:$B$78,0),MATCH(C3183,'Refined Petro Exp Dist'!$AD$2:$BC$2,0))*INDEX(ref_exp_by_year,MATCH(B3183,'Data Export'!$B$6:$B$78,0),1)))</f>
        <v>0</v>
      </c>
      <c r="E3183">
        <v>5</v>
      </c>
      <c r="F3183" t="s">
        <v>201</v>
      </c>
    </row>
    <row r="3184" spans="1:6">
      <c r="A3184" t="str">
        <f t="shared" si="49"/>
        <v>GenericE&amp;DtemplateCIandGOA</v>
      </c>
      <c r="B3184">
        <v>53</v>
      </c>
      <c r="C3184">
        <v>11</v>
      </c>
      <c r="D3184" s="649">
        <f ca="1">IF(E3184=4,INDEX(crude_exp_dist,MATCH(B3184,'Crude Exp Dist'!$B$6:$B$78,0),MATCH(C3184,'Crude Exp Dist'!$AD$2:$BC$2,0))*INDEX(crude_exp_by_year,MATCH(B3184,'Data Export'!$B$6:$B$78,0),1),IF(E3184=5,INDEX(ref_exp_dist,MATCH(B3184,'Refined Petro Exp Dist'!$B$6:$B$78,0),MATCH(C3184,'Refined Petro Exp Dist'!$AD$2:$BC$2,0))*INDEX(ref_exp_by_year,MATCH(B3184,'Data Export'!$B$6:$B$78,0),1)))</f>
        <v>0</v>
      </c>
      <c r="E3184">
        <v>5</v>
      </c>
      <c r="F3184" t="s">
        <v>921</v>
      </c>
    </row>
    <row r="3185" spans="1:6">
      <c r="A3185" t="str">
        <f t="shared" si="49"/>
        <v>GenericE&amp;DtemplateCIandGOA</v>
      </c>
      <c r="B3185">
        <v>53</v>
      </c>
      <c r="C3185">
        <v>12</v>
      </c>
      <c r="D3185" s="649">
        <f ca="1">IF(E3185=4,INDEX(crude_exp_dist,MATCH(B3185,'Crude Exp Dist'!$B$6:$B$78,0),MATCH(C3185,'Crude Exp Dist'!$AD$2:$BC$2,0))*INDEX(crude_exp_by_year,MATCH(B3185,'Data Export'!$B$6:$B$78,0),1),IF(E3185=5,INDEX(ref_exp_dist,MATCH(B3185,'Refined Petro Exp Dist'!$B$6:$B$78,0),MATCH(C3185,'Refined Petro Exp Dist'!$AD$2:$BC$2,0))*INDEX(ref_exp_by_year,MATCH(B3185,'Data Export'!$B$6:$B$78,0),1)))</f>
        <v>0</v>
      </c>
      <c r="E3185">
        <v>5</v>
      </c>
      <c r="F3185" t="s">
        <v>208</v>
      </c>
    </row>
    <row r="3186" spans="1:6">
      <c r="A3186" t="str">
        <f t="shared" si="49"/>
        <v>GenericE&amp;DtemplateCIandGOA</v>
      </c>
      <c r="B3186">
        <v>53</v>
      </c>
      <c r="C3186">
        <v>13</v>
      </c>
      <c r="D3186" s="649">
        <f ca="1">IF(E3186=4,INDEX(crude_exp_dist,MATCH(B3186,'Crude Exp Dist'!$B$6:$B$78,0),MATCH(C3186,'Crude Exp Dist'!$AD$2:$BC$2,0))*INDEX(crude_exp_by_year,MATCH(B3186,'Data Export'!$B$6:$B$78,0),1),IF(E3186=5,INDEX(ref_exp_dist,MATCH(B3186,'Refined Petro Exp Dist'!$B$6:$B$78,0),MATCH(C3186,'Refined Petro Exp Dist'!$AD$2:$BC$2,0))*INDEX(ref_exp_by_year,MATCH(B3186,'Data Export'!$B$6:$B$78,0),1)))</f>
        <v>0</v>
      </c>
      <c r="E3186">
        <v>5</v>
      </c>
      <c r="F3186" t="s">
        <v>211</v>
      </c>
    </row>
    <row r="3187" spans="1:6">
      <c r="A3187" t="str">
        <f t="shared" si="49"/>
        <v>GenericE&amp;DtemplateCIandGOA</v>
      </c>
      <c r="B3187">
        <v>53</v>
      </c>
      <c r="C3187">
        <v>14</v>
      </c>
      <c r="D3187" s="649">
        <f ca="1">IF(E3187=4,INDEX(crude_exp_dist,MATCH(B3187,'Crude Exp Dist'!$B$6:$B$78,0),MATCH(C3187,'Crude Exp Dist'!$AD$2:$BC$2,0))*INDEX(crude_exp_by_year,MATCH(B3187,'Data Export'!$B$6:$B$78,0),1),IF(E3187=5,INDEX(ref_exp_dist,MATCH(B3187,'Refined Petro Exp Dist'!$B$6:$B$78,0),MATCH(C3187,'Refined Petro Exp Dist'!$AD$2:$BC$2,0))*INDEX(ref_exp_by_year,MATCH(B3187,'Data Export'!$B$6:$B$78,0),1)))</f>
        <v>0</v>
      </c>
      <c r="E3187">
        <v>5</v>
      </c>
      <c r="F3187" t="s">
        <v>213</v>
      </c>
    </row>
    <row r="3188" spans="1:6">
      <c r="A3188" t="str">
        <f t="shared" si="49"/>
        <v>GenericE&amp;DtemplateCIandGOA</v>
      </c>
      <c r="B3188">
        <v>53</v>
      </c>
      <c r="C3188">
        <v>15</v>
      </c>
      <c r="D3188" s="649">
        <f ca="1">IF(E3188=4,INDEX(crude_exp_dist,MATCH(B3188,'Crude Exp Dist'!$B$6:$B$78,0),MATCH(C3188,'Crude Exp Dist'!$AD$2:$BC$2,0))*INDEX(crude_exp_by_year,MATCH(B3188,'Data Export'!$B$6:$B$78,0),1),IF(E3188=5,INDEX(ref_exp_dist,MATCH(B3188,'Refined Petro Exp Dist'!$B$6:$B$78,0),MATCH(C3188,'Refined Petro Exp Dist'!$AD$2:$BC$2,0))*INDEX(ref_exp_by_year,MATCH(B3188,'Data Export'!$B$6:$B$78,0),1)))</f>
        <v>0</v>
      </c>
      <c r="E3188">
        <v>5</v>
      </c>
      <c r="F3188" t="s">
        <v>215</v>
      </c>
    </row>
    <row r="3189" spans="1:6">
      <c r="A3189" t="str">
        <f t="shared" si="49"/>
        <v>GenericE&amp;DtemplateCIandGOA</v>
      </c>
      <c r="B3189">
        <v>53</v>
      </c>
      <c r="C3189">
        <v>16</v>
      </c>
      <c r="D3189" s="649">
        <f ca="1">IF(E3189=4,INDEX(crude_exp_dist,MATCH(B3189,'Crude Exp Dist'!$B$6:$B$78,0),MATCH(C3189,'Crude Exp Dist'!$AD$2:$BC$2,0))*INDEX(crude_exp_by_year,MATCH(B3189,'Data Export'!$B$6:$B$78,0),1),IF(E3189=5,INDEX(ref_exp_dist,MATCH(B3189,'Refined Petro Exp Dist'!$B$6:$B$78,0),MATCH(C3189,'Refined Petro Exp Dist'!$AD$2:$BC$2,0))*INDEX(ref_exp_by_year,MATCH(B3189,'Data Export'!$B$6:$B$78,0),1)))</f>
        <v>0</v>
      </c>
      <c r="E3189">
        <v>5</v>
      </c>
      <c r="F3189" t="s">
        <v>219</v>
      </c>
    </row>
    <row r="3190" spans="1:6">
      <c r="A3190" t="str">
        <f t="shared" si="49"/>
        <v>GenericE&amp;DtemplateCIandGOA</v>
      </c>
      <c r="B3190">
        <v>53</v>
      </c>
      <c r="C3190">
        <v>17</v>
      </c>
      <c r="D3190" s="649">
        <f ca="1">IF(E3190=4,INDEX(crude_exp_dist,MATCH(B3190,'Crude Exp Dist'!$B$6:$B$78,0),MATCH(C3190,'Crude Exp Dist'!$AD$2:$BC$2,0))*INDEX(crude_exp_by_year,MATCH(B3190,'Data Export'!$B$6:$B$78,0),1),IF(E3190=5,INDEX(ref_exp_dist,MATCH(B3190,'Refined Petro Exp Dist'!$B$6:$B$78,0),MATCH(C3190,'Refined Petro Exp Dist'!$AD$2:$BC$2,0))*INDEX(ref_exp_by_year,MATCH(B3190,'Data Export'!$B$6:$B$78,0),1)))</f>
        <v>0</v>
      </c>
      <c r="E3190">
        <v>5</v>
      </c>
      <c r="F3190" t="s">
        <v>222</v>
      </c>
    </row>
    <row r="3191" spans="1:6">
      <c r="A3191" t="str">
        <f t="shared" si="49"/>
        <v>GenericE&amp;DtemplateCIandGOA</v>
      </c>
      <c r="B3191">
        <v>53</v>
      </c>
      <c r="C3191">
        <v>18</v>
      </c>
      <c r="D3191" s="649">
        <f ca="1">IF(E3191=4,INDEX(crude_exp_dist,MATCH(B3191,'Crude Exp Dist'!$B$6:$B$78,0),MATCH(C3191,'Crude Exp Dist'!$AD$2:$BC$2,0))*INDEX(crude_exp_by_year,MATCH(B3191,'Data Export'!$B$6:$B$78,0),1),IF(E3191=5,INDEX(ref_exp_dist,MATCH(B3191,'Refined Petro Exp Dist'!$B$6:$B$78,0),MATCH(C3191,'Refined Petro Exp Dist'!$AD$2:$BC$2,0))*INDEX(ref_exp_by_year,MATCH(B3191,'Data Export'!$B$6:$B$78,0),1)))</f>
        <v>0</v>
      </c>
      <c r="E3191">
        <v>5</v>
      </c>
      <c r="F3191" t="s">
        <v>224</v>
      </c>
    </row>
    <row r="3192" spans="1:6">
      <c r="A3192" t="str">
        <f t="shared" si="49"/>
        <v>GenericE&amp;DtemplateCIandGOA</v>
      </c>
      <c r="B3192">
        <v>53</v>
      </c>
      <c r="C3192">
        <v>19</v>
      </c>
      <c r="D3192" s="649">
        <f ca="1">IF(E3192=4,INDEX(crude_exp_dist,MATCH(B3192,'Crude Exp Dist'!$B$6:$B$78,0),MATCH(C3192,'Crude Exp Dist'!$AD$2:$BC$2,0))*INDEX(crude_exp_by_year,MATCH(B3192,'Data Export'!$B$6:$B$78,0),1),IF(E3192=5,INDEX(ref_exp_dist,MATCH(B3192,'Refined Petro Exp Dist'!$B$6:$B$78,0),MATCH(C3192,'Refined Petro Exp Dist'!$AD$2:$BC$2,0))*INDEX(ref_exp_by_year,MATCH(B3192,'Data Export'!$B$6:$B$78,0),1)))</f>
        <v>0</v>
      </c>
      <c r="E3192">
        <v>5</v>
      </c>
      <c r="F3192" t="s">
        <v>228</v>
      </c>
    </row>
    <row r="3193" spans="1:6">
      <c r="A3193" t="str">
        <f t="shared" si="49"/>
        <v>GenericE&amp;DtemplateCIandGOA</v>
      </c>
      <c r="B3193">
        <v>53</v>
      </c>
      <c r="C3193">
        <v>20</v>
      </c>
      <c r="D3193" s="649">
        <f ca="1">IF(E3193=4,INDEX(crude_exp_dist,MATCH(B3193,'Crude Exp Dist'!$B$6:$B$78,0),MATCH(C3193,'Crude Exp Dist'!$AD$2:$BC$2,0))*INDEX(crude_exp_by_year,MATCH(B3193,'Data Export'!$B$6:$B$78,0),1),IF(E3193=5,INDEX(ref_exp_dist,MATCH(B3193,'Refined Petro Exp Dist'!$B$6:$B$78,0),MATCH(C3193,'Refined Petro Exp Dist'!$AD$2:$BC$2,0))*INDEX(ref_exp_by_year,MATCH(B3193,'Data Export'!$B$6:$B$78,0),1)))</f>
        <v>0</v>
      </c>
      <c r="E3193">
        <v>5</v>
      </c>
      <c r="F3193" t="s">
        <v>231</v>
      </c>
    </row>
    <row r="3194" spans="1:6">
      <c r="A3194" t="str">
        <f t="shared" si="49"/>
        <v>GenericE&amp;DtemplateCIandGOA</v>
      </c>
      <c r="B3194">
        <v>53</v>
      </c>
      <c r="C3194">
        <v>21</v>
      </c>
      <c r="D3194" s="649">
        <f ca="1">IF(E3194=4,INDEX(crude_exp_dist,MATCH(B3194,'Crude Exp Dist'!$B$6:$B$78,0),MATCH(C3194,'Crude Exp Dist'!$AD$2:$BC$2,0))*INDEX(crude_exp_by_year,MATCH(B3194,'Data Export'!$B$6:$B$78,0),1),IF(E3194=5,INDEX(ref_exp_dist,MATCH(B3194,'Refined Petro Exp Dist'!$B$6:$B$78,0),MATCH(C3194,'Refined Petro Exp Dist'!$AD$2:$BC$2,0))*INDEX(ref_exp_by_year,MATCH(B3194,'Data Export'!$B$6:$B$78,0),1)))</f>
        <v>0</v>
      </c>
      <c r="E3194">
        <v>5</v>
      </c>
      <c r="F3194" t="s">
        <v>232</v>
      </c>
    </row>
    <row r="3195" spans="1:6">
      <c r="A3195" t="str">
        <f t="shared" si="49"/>
        <v>GenericE&amp;DtemplateCIandGOA</v>
      </c>
      <c r="B3195">
        <v>53</v>
      </c>
      <c r="C3195">
        <v>22</v>
      </c>
      <c r="D3195" s="649">
        <f ca="1">IF(E3195=4,INDEX(crude_exp_dist,MATCH(B3195,'Crude Exp Dist'!$B$6:$B$78,0),MATCH(C3195,'Crude Exp Dist'!$AD$2:$BC$2,0))*INDEX(crude_exp_by_year,MATCH(B3195,'Data Export'!$B$6:$B$78,0),1),IF(E3195=5,INDEX(ref_exp_dist,MATCH(B3195,'Refined Petro Exp Dist'!$B$6:$B$78,0),MATCH(C3195,'Refined Petro Exp Dist'!$AD$2:$BC$2,0))*INDEX(ref_exp_by_year,MATCH(B3195,'Data Export'!$B$6:$B$78,0),1)))</f>
        <v>0</v>
      </c>
      <c r="E3195">
        <v>5</v>
      </c>
      <c r="F3195" t="s">
        <v>235</v>
      </c>
    </row>
    <row r="3196" spans="1:6">
      <c r="A3196" t="str">
        <f t="shared" si="49"/>
        <v>GenericE&amp;DtemplateCIandGOA</v>
      </c>
      <c r="B3196">
        <v>53</v>
      </c>
      <c r="C3196">
        <v>23</v>
      </c>
      <c r="D3196" s="649">
        <f ca="1">IF(E3196=4,INDEX(crude_exp_dist,MATCH(B3196,'Crude Exp Dist'!$B$6:$B$78,0),MATCH(C3196,'Crude Exp Dist'!$AD$2:$BC$2,0))*INDEX(crude_exp_by_year,MATCH(B3196,'Data Export'!$B$6:$B$78,0),1),IF(E3196=5,INDEX(ref_exp_dist,MATCH(B3196,'Refined Petro Exp Dist'!$B$6:$B$78,0),MATCH(C3196,'Refined Petro Exp Dist'!$AD$2:$BC$2,0))*INDEX(ref_exp_by_year,MATCH(B3196,'Data Export'!$B$6:$B$78,0),1)))</f>
        <v>0</v>
      </c>
      <c r="E3196">
        <v>5</v>
      </c>
      <c r="F3196" t="s">
        <v>237</v>
      </c>
    </row>
    <row r="3197" spans="1:6">
      <c r="A3197" t="str">
        <f t="shared" si="49"/>
        <v>GenericE&amp;DtemplateCIandGOA</v>
      </c>
      <c r="B3197">
        <v>53</v>
      </c>
      <c r="C3197">
        <v>24</v>
      </c>
      <c r="D3197" s="649">
        <f ca="1">IF(E3197=4,INDEX(crude_exp_dist,MATCH(B3197,'Crude Exp Dist'!$B$6:$B$78,0),MATCH(C3197,'Crude Exp Dist'!$AD$2:$BC$2,0))*INDEX(crude_exp_by_year,MATCH(B3197,'Data Export'!$B$6:$B$78,0),1),IF(E3197=5,INDEX(ref_exp_dist,MATCH(B3197,'Refined Petro Exp Dist'!$B$6:$B$78,0),MATCH(C3197,'Refined Petro Exp Dist'!$AD$2:$BC$2,0))*INDEX(ref_exp_by_year,MATCH(B3197,'Data Export'!$B$6:$B$78,0),1)))</f>
        <v>0</v>
      </c>
      <c r="E3197">
        <v>5</v>
      </c>
      <c r="F3197" t="s">
        <v>239</v>
      </c>
    </row>
    <row r="3198" spans="1:6">
      <c r="A3198" t="str">
        <f t="shared" si="49"/>
        <v>GenericE&amp;DtemplateCIandGOA</v>
      </c>
      <c r="B3198">
        <v>53</v>
      </c>
      <c r="C3198">
        <v>25</v>
      </c>
      <c r="D3198" s="649">
        <f ca="1">IF(E3198=4,INDEX(crude_exp_dist,MATCH(B3198,'Crude Exp Dist'!$B$6:$B$78,0),MATCH(C3198,'Crude Exp Dist'!$AD$2:$BC$2,0))*INDEX(crude_exp_by_year,MATCH(B3198,'Data Export'!$B$6:$B$78,0),1),IF(E3198=5,INDEX(ref_exp_dist,MATCH(B3198,'Refined Petro Exp Dist'!$B$6:$B$78,0),MATCH(C3198,'Refined Petro Exp Dist'!$AD$2:$BC$2,0))*INDEX(ref_exp_by_year,MATCH(B3198,'Data Export'!$B$6:$B$78,0),1)))</f>
        <v>0</v>
      </c>
      <c r="E3198">
        <v>5</v>
      </c>
      <c r="F3198" t="s">
        <v>242</v>
      </c>
    </row>
    <row r="3199" spans="1:6">
      <c r="A3199" t="str">
        <f t="shared" si="49"/>
        <v>GenericE&amp;DtemplateCIandGOA</v>
      </c>
      <c r="B3199">
        <v>53</v>
      </c>
      <c r="C3199">
        <v>26</v>
      </c>
      <c r="D3199" s="649">
        <f ca="1">IF(E3199=4,INDEX(crude_exp_dist,MATCH(B3199,'Crude Exp Dist'!$B$6:$B$78,0),MATCH(C3199,'Crude Exp Dist'!$AD$2:$BC$2,0))*INDEX(crude_exp_by_year,MATCH(B3199,'Data Export'!$B$6:$B$78,0),1),IF(E3199=5,INDEX(ref_exp_dist,MATCH(B3199,'Refined Petro Exp Dist'!$B$6:$B$78,0),MATCH(C3199,'Refined Petro Exp Dist'!$AD$2:$BC$2,0))*INDEX(ref_exp_by_year,MATCH(B3199,'Data Export'!$B$6:$B$78,0),1)))</f>
        <v>0</v>
      </c>
      <c r="E3199">
        <v>5</v>
      </c>
      <c r="F3199" t="s">
        <v>245</v>
      </c>
    </row>
    <row r="3200" spans="1:6">
      <c r="A3200" t="str">
        <f t="shared" si="49"/>
        <v>GenericE&amp;DtemplateCIandGOA</v>
      </c>
      <c r="B3200">
        <v>54</v>
      </c>
      <c r="C3200">
        <v>1</v>
      </c>
      <c r="D3200" s="649">
        <f ca="1">IF(E3200=4,INDEX(crude_exp_dist,MATCH(B3200,'Crude Exp Dist'!$B$6:$B$78,0),MATCH(C3200,'Crude Exp Dist'!$AD$2:$BC$2,0))*INDEX(crude_exp_by_year,MATCH(B3200,'Data Export'!$B$6:$B$78,0),1),IF(E3200=5,INDEX(ref_exp_dist,MATCH(B3200,'Refined Petro Exp Dist'!$B$6:$B$78,0),MATCH(C3200,'Refined Petro Exp Dist'!$AD$2:$BC$2,0))*INDEX(ref_exp_by_year,MATCH(B3200,'Data Export'!$B$6:$B$78,0),1)))</f>
        <v>0</v>
      </c>
      <c r="E3200">
        <v>5</v>
      </c>
      <c r="F3200" t="s">
        <v>158</v>
      </c>
    </row>
    <row r="3201" spans="1:6">
      <c r="A3201" t="str">
        <f t="shared" si="49"/>
        <v>GenericE&amp;DtemplateCIandGOA</v>
      </c>
      <c r="B3201">
        <v>54</v>
      </c>
      <c r="C3201">
        <v>2</v>
      </c>
      <c r="D3201" s="649">
        <f ca="1">IF(E3201=4,INDEX(crude_exp_dist,MATCH(B3201,'Crude Exp Dist'!$B$6:$B$78,0),MATCH(C3201,'Crude Exp Dist'!$AD$2:$BC$2,0))*INDEX(crude_exp_by_year,MATCH(B3201,'Data Export'!$B$6:$B$78,0),1),IF(E3201=5,INDEX(ref_exp_dist,MATCH(B3201,'Refined Petro Exp Dist'!$B$6:$B$78,0),MATCH(C3201,'Refined Petro Exp Dist'!$AD$2:$BC$2,0))*INDEX(ref_exp_by_year,MATCH(B3201,'Data Export'!$B$6:$B$78,0),1)))</f>
        <v>0</v>
      </c>
      <c r="E3201">
        <v>5</v>
      </c>
      <c r="F3201" t="s">
        <v>166</v>
      </c>
    </row>
    <row r="3202" spans="1:6">
      <c r="A3202" t="str">
        <f t="shared" ref="A3202:A3265" si="50">scenario_name</f>
        <v>GenericE&amp;DtemplateCIandGOA</v>
      </c>
      <c r="B3202">
        <v>54</v>
      </c>
      <c r="C3202">
        <v>3</v>
      </c>
      <c r="D3202" s="649">
        <f ca="1">IF(E3202=4,INDEX(crude_exp_dist,MATCH(B3202,'Crude Exp Dist'!$B$6:$B$78,0),MATCH(C3202,'Crude Exp Dist'!$AD$2:$BC$2,0))*INDEX(crude_exp_by_year,MATCH(B3202,'Data Export'!$B$6:$B$78,0),1),IF(E3202=5,INDEX(ref_exp_dist,MATCH(B3202,'Refined Petro Exp Dist'!$B$6:$B$78,0),MATCH(C3202,'Refined Petro Exp Dist'!$AD$2:$BC$2,0))*INDEX(ref_exp_by_year,MATCH(B3202,'Data Export'!$B$6:$B$78,0),1)))</f>
        <v>0</v>
      </c>
      <c r="E3202">
        <v>5</v>
      </c>
      <c r="F3202" t="s">
        <v>171</v>
      </c>
    </row>
    <row r="3203" spans="1:6">
      <c r="A3203" t="str">
        <f t="shared" si="50"/>
        <v>GenericE&amp;DtemplateCIandGOA</v>
      </c>
      <c r="B3203">
        <v>54</v>
      </c>
      <c r="C3203">
        <v>4</v>
      </c>
      <c r="D3203" s="649">
        <f ca="1">IF(E3203=4,INDEX(crude_exp_dist,MATCH(B3203,'Crude Exp Dist'!$B$6:$B$78,0),MATCH(C3203,'Crude Exp Dist'!$AD$2:$BC$2,0))*INDEX(crude_exp_by_year,MATCH(B3203,'Data Export'!$B$6:$B$78,0),1),IF(E3203=5,INDEX(ref_exp_dist,MATCH(B3203,'Refined Petro Exp Dist'!$B$6:$B$78,0),MATCH(C3203,'Refined Petro Exp Dist'!$AD$2:$BC$2,0))*INDEX(ref_exp_by_year,MATCH(B3203,'Data Export'!$B$6:$B$78,0),1)))</f>
        <v>0</v>
      </c>
      <c r="E3203">
        <v>5</v>
      </c>
      <c r="F3203" t="s">
        <v>173</v>
      </c>
    </row>
    <row r="3204" spans="1:6">
      <c r="A3204" t="str">
        <f t="shared" si="50"/>
        <v>GenericE&amp;DtemplateCIandGOA</v>
      </c>
      <c r="B3204">
        <v>54</v>
      </c>
      <c r="C3204">
        <v>5</v>
      </c>
      <c r="D3204" s="649">
        <f ca="1">IF(E3204=4,INDEX(crude_exp_dist,MATCH(B3204,'Crude Exp Dist'!$B$6:$B$78,0),MATCH(C3204,'Crude Exp Dist'!$AD$2:$BC$2,0))*INDEX(crude_exp_by_year,MATCH(B3204,'Data Export'!$B$6:$B$78,0),1),IF(E3204=5,INDEX(ref_exp_dist,MATCH(B3204,'Refined Petro Exp Dist'!$B$6:$B$78,0),MATCH(C3204,'Refined Petro Exp Dist'!$AD$2:$BC$2,0))*INDEX(ref_exp_by_year,MATCH(B3204,'Data Export'!$B$6:$B$78,0),1)))</f>
        <v>0</v>
      </c>
      <c r="E3204">
        <v>5</v>
      </c>
      <c r="F3204" t="s">
        <v>180</v>
      </c>
    </row>
    <row r="3205" spans="1:6">
      <c r="A3205" t="str">
        <f t="shared" si="50"/>
        <v>GenericE&amp;DtemplateCIandGOA</v>
      </c>
      <c r="B3205">
        <v>54</v>
      </c>
      <c r="C3205">
        <v>6</v>
      </c>
      <c r="D3205" s="649">
        <f ca="1">IF(E3205=4,INDEX(crude_exp_dist,MATCH(B3205,'Crude Exp Dist'!$B$6:$B$78,0),MATCH(C3205,'Crude Exp Dist'!$AD$2:$BC$2,0))*INDEX(crude_exp_by_year,MATCH(B3205,'Data Export'!$B$6:$B$78,0),1),IF(E3205=5,INDEX(ref_exp_dist,MATCH(B3205,'Refined Petro Exp Dist'!$B$6:$B$78,0),MATCH(C3205,'Refined Petro Exp Dist'!$AD$2:$BC$2,0))*INDEX(ref_exp_by_year,MATCH(B3205,'Data Export'!$B$6:$B$78,0),1)))</f>
        <v>0</v>
      </c>
      <c r="E3205">
        <v>5</v>
      </c>
      <c r="F3205" t="s">
        <v>186</v>
      </c>
    </row>
    <row r="3206" spans="1:6">
      <c r="A3206" t="str">
        <f t="shared" si="50"/>
        <v>GenericE&amp;DtemplateCIandGOA</v>
      </c>
      <c r="B3206">
        <v>54</v>
      </c>
      <c r="C3206">
        <v>7</v>
      </c>
      <c r="D3206" s="649">
        <f ca="1">IF(E3206=4,INDEX(crude_exp_dist,MATCH(B3206,'Crude Exp Dist'!$B$6:$B$78,0),MATCH(C3206,'Crude Exp Dist'!$AD$2:$BC$2,0))*INDEX(crude_exp_by_year,MATCH(B3206,'Data Export'!$B$6:$B$78,0),1),IF(E3206=5,INDEX(ref_exp_dist,MATCH(B3206,'Refined Petro Exp Dist'!$B$6:$B$78,0),MATCH(C3206,'Refined Petro Exp Dist'!$AD$2:$BC$2,0))*INDEX(ref_exp_by_year,MATCH(B3206,'Data Export'!$B$6:$B$78,0),1)))</f>
        <v>0</v>
      </c>
      <c r="E3206">
        <v>5</v>
      </c>
      <c r="F3206" t="s">
        <v>191</v>
      </c>
    </row>
    <row r="3207" spans="1:6">
      <c r="A3207" t="str">
        <f t="shared" si="50"/>
        <v>GenericE&amp;DtemplateCIandGOA</v>
      </c>
      <c r="B3207">
        <v>54</v>
      </c>
      <c r="C3207">
        <v>8</v>
      </c>
      <c r="D3207" s="649">
        <f ca="1">IF(E3207=4,INDEX(crude_exp_dist,MATCH(B3207,'Crude Exp Dist'!$B$6:$B$78,0),MATCH(C3207,'Crude Exp Dist'!$AD$2:$BC$2,0))*INDEX(crude_exp_by_year,MATCH(B3207,'Data Export'!$B$6:$B$78,0),1),IF(E3207=5,INDEX(ref_exp_dist,MATCH(B3207,'Refined Petro Exp Dist'!$B$6:$B$78,0),MATCH(C3207,'Refined Petro Exp Dist'!$AD$2:$BC$2,0))*INDEX(ref_exp_by_year,MATCH(B3207,'Data Export'!$B$6:$B$78,0),1)))</f>
        <v>0</v>
      </c>
      <c r="E3207">
        <v>5</v>
      </c>
      <c r="F3207" t="s">
        <v>197</v>
      </c>
    </row>
    <row r="3208" spans="1:6">
      <c r="A3208" t="str">
        <f t="shared" si="50"/>
        <v>GenericE&amp;DtemplateCIandGOA</v>
      </c>
      <c r="B3208">
        <v>54</v>
      </c>
      <c r="C3208">
        <v>9</v>
      </c>
      <c r="D3208" s="649">
        <f ca="1">IF(E3208=4,INDEX(crude_exp_dist,MATCH(B3208,'Crude Exp Dist'!$B$6:$B$78,0),MATCH(C3208,'Crude Exp Dist'!$AD$2:$BC$2,0))*INDEX(crude_exp_by_year,MATCH(B3208,'Data Export'!$B$6:$B$78,0),1),IF(E3208=5,INDEX(ref_exp_dist,MATCH(B3208,'Refined Petro Exp Dist'!$B$6:$B$78,0),MATCH(C3208,'Refined Petro Exp Dist'!$AD$2:$BC$2,0))*INDEX(ref_exp_by_year,MATCH(B3208,'Data Export'!$B$6:$B$78,0),1)))</f>
        <v>0</v>
      </c>
      <c r="E3208">
        <v>5</v>
      </c>
      <c r="F3208" t="s">
        <v>199</v>
      </c>
    </row>
    <row r="3209" spans="1:6">
      <c r="A3209" t="str">
        <f t="shared" si="50"/>
        <v>GenericE&amp;DtemplateCIandGOA</v>
      </c>
      <c r="B3209">
        <v>54</v>
      </c>
      <c r="C3209">
        <v>10</v>
      </c>
      <c r="D3209" s="649">
        <f ca="1">IF(E3209=4,INDEX(crude_exp_dist,MATCH(B3209,'Crude Exp Dist'!$B$6:$B$78,0),MATCH(C3209,'Crude Exp Dist'!$AD$2:$BC$2,0))*INDEX(crude_exp_by_year,MATCH(B3209,'Data Export'!$B$6:$B$78,0),1),IF(E3209=5,INDEX(ref_exp_dist,MATCH(B3209,'Refined Petro Exp Dist'!$B$6:$B$78,0),MATCH(C3209,'Refined Petro Exp Dist'!$AD$2:$BC$2,0))*INDEX(ref_exp_by_year,MATCH(B3209,'Data Export'!$B$6:$B$78,0),1)))</f>
        <v>0</v>
      </c>
      <c r="E3209">
        <v>5</v>
      </c>
      <c r="F3209" t="s">
        <v>201</v>
      </c>
    </row>
    <row r="3210" spans="1:6">
      <c r="A3210" t="str">
        <f t="shared" si="50"/>
        <v>GenericE&amp;DtemplateCIandGOA</v>
      </c>
      <c r="B3210">
        <v>54</v>
      </c>
      <c r="C3210">
        <v>11</v>
      </c>
      <c r="D3210" s="649">
        <f ca="1">IF(E3210=4,INDEX(crude_exp_dist,MATCH(B3210,'Crude Exp Dist'!$B$6:$B$78,0),MATCH(C3210,'Crude Exp Dist'!$AD$2:$BC$2,0))*INDEX(crude_exp_by_year,MATCH(B3210,'Data Export'!$B$6:$B$78,0),1),IF(E3210=5,INDEX(ref_exp_dist,MATCH(B3210,'Refined Petro Exp Dist'!$B$6:$B$78,0),MATCH(C3210,'Refined Petro Exp Dist'!$AD$2:$BC$2,0))*INDEX(ref_exp_by_year,MATCH(B3210,'Data Export'!$B$6:$B$78,0),1)))</f>
        <v>0</v>
      </c>
      <c r="E3210">
        <v>5</v>
      </c>
      <c r="F3210" t="s">
        <v>921</v>
      </c>
    </row>
    <row r="3211" spans="1:6">
      <c r="A3211" t="str">
        <f t="shared" si="50"/>
        <v>GenericE&amp;DtemplateCIandGOA</v>
      </c>
      <c r="B3211">
        <v>54</v>
      </c>
      <c r="C3211">
        <v>12</v>
      </c>
      <c r="D3211" s="649">
        <f ca="1">IF(E3211=4,INDEX(crude_exp_dist,MATCH(B3211,'Crude Exp Dist'!$B$6:$B$78,0),MATCH(C3211,'Crude Exp Dist'!$AD$2:$BC$2,0))*INDEX(crude_exp_by_year,MATCH(B3211,'Data Export'!$B$6:$B$78,0),1),IF(E3211=5,INDEX(ref_exp_dist,MATCH(B3211,'Refined Petro Exp Dist'!$B$6:$B$78,0),MATCH(C3211,'Refined Petro Exp Dist'!$AD$2:$BC$2,0))*INDEX(ref_exp_by_year,MATCH(B3211,'Data Export'!$B$6:$B$78,0),1)))</f>
        <v>0</v>
      </c>
      <c r="E3211">
        <v>5</v>
      </c>
      <c r="F3211" t="s">
        <v>208</v>
      </c>
    </row>
    <row r="3212" spans="1:6">
      <c r="A3212" t="str">
        <f t="shared" si="50"/>
        <v>GenericE&amp;DtemplateCIandGOA</v>
      </c>
      <c r="B3212">
        <v>54</v>
      </c>
      <c r="C3212">
        <v>13</v>
      </c>
      <c r="D3212" s="649">
        <f ca="1">IF(E3212=4,INDEX(crude_exp_dist,MATCH(B3212,'Crude Exp Dist'!$B$6:$B$78,0),MATCH(C3212,'Crude Exp Dist'!$AD$2:$BC$2,0))*INDEX(crude_exp_by_year,MATCH(B3212,'Data Export'!$B$6:$B$78,0),1),IF(E3212=5,INDEX(ref_exp_dist,MATCH(B3212,'Refined Petro Exp Dist'!$B$6:$B$78,0),MATCH(C3212,'Refined Petro Exp Dist'!$AD$2:$BC$2,0))*INDEX(ref_exp_by_year,MATCH(B3212,'Data Export'!$B$6:$B$78,0),1)))</f>
        <v>0</v>
      </c>
      <c r="E3212">
        <v>5</v>
      </c>
      <c r="F3212" t="s">
        <v>211</v>
      </c>
    </row>
    <row r="3213" spans="1:6">
      <c r="A3213" t="str">
        <f t="shared" si="50"/>
        <v>GenericE&amp;DtemplateCIandGOA</v>
      </c>
      <c r="B3213">
        <v>54</v>
      </c>
      <c r="C3213">
        <v>14</v>
      </c>
      <c r="D3213" s="649">
        <f ca="1">IF(E3213=4,INDEX(crude_exp_dist,MATCH(B3213,'Crude Exp Dist'!$B$6:$B$78,0),MATCH(C3213,'Crude Exp Dist'!$AD$2:$BC$2,0))*INDEX(crude_exp_by_year,MATCH(B3213,'Data Export'!$B$6:$B$78,0),1),IF(E3213=5,INDEX(ref_exp_dist,MATCH(B3213,'Refined Petro Exp Dist'!$B$6:$B$78,0),MATCH(C3213,'Refined Petro Exp Dist'!$AD$2:$BC$2,0))*INDEX(ref_exp_by_year,MATCH(B3213,'Data Export'!$B$6:$B$78,0),1)))</f>
        <v>0</v>
      </c>
      <c r="E3213">
        <v>5</v>
      </c>
      <c r="F3213" t="s">
        <v>213</v>
      </c>
    </row>
    <row r="3214" spans="1:6">
      <c r="A3214" t="str">
        <f t="shared" si="50"/>
        <v>GenericE&amp;DtemplateCIandGOA</v>
      </c>
      <c r="B3214">
        <v>54</v>
      </c>
      <c r="C3214">
        <v>15</v>
      </c>
      <c r="D3214" s="649">
        <f ca="1">IF(E3214=4,INDEX(crude_exp_dist,MATCH(B3214,'Crude Exp Dist'!$B$6:$B$78,0),MATCH(C3214,'Crude Exp Dist'!$AD$2:$BC$2,0))*INDEX(crude_exp_by_year,MATCH(B3214,'Data Export'!$B$6:$B$78,0),1),IF(E3214=5,INDEX(ref_exp_dist,MATCH(B3214,'Refined Petro Exp Dist'!$B$6:$B$78,0),MATCH(C3214,'Refined Petro Exp Dist'!$AD$2:$BC$2,0))*INDEX(ref_exp_by_year,MATCH(B3214,'Data Export'!$B$6:$B$78,0),1)))</f>
        <v>0</v>
      </c>
      <c r="E3214">
        <v>5</v>
      </c>
      <c r="F3214" t="s">
        <v>215</v>
      </c>
    </row>
    <row r="3215" spans="1:6">
      <c r="A3215" t="str">
        <f t="shared" si="50"/>
        <v>GenericE&amp;DtemplateCIandGOA</v>
      </c>
      <c r="B3215">
        <v>54</v>
      </c>
      <c r="C3215">
        <v>16</v>
      </c>
      <c r="D3215" s="649">
        <f ca="1">IF(E3215=4,INDEX(crude_exp_dist,MATCH(B3215,'Crude Exp Dist'!$B$6:$B$78,0),MATCH(C3215,'Crude Exp Dist'!$AD$2:$BC$2,0))*INDEX(crude_exp_by_year,MATCH(B3215,'Data Export'!$B$6:$B$78,0),1),IF(E3215=5,INDEX(ref_exp_dist,MATCH(B3215,'Refined Petro Exp Dist'!$B$6:$B$78,0),MATCH(C3215,'Refined Petro Exp Dist'!$AD$2:$BC$2,0))*INDEX(ref_exp_by_year,MATCH(B3215,'Data Export'!$B$6:$B$78,0),1)))</f>
        <v>0</v>
      </c>
      <c r="E3215">
        <v>5</v>
      </c>
      <c r="F3215" t="s">
        <v>219</v>
      </c>
    </row>
    <row r="3216" spans="1:6">
      <c r="A3216" t="str">
        <f t="shared" si="50"/>
        <v>GenericE&amp;DtemplateCIandGOA</v>
      </c>
      <c r="B3216">
        <v>54</v>
      </c>
      <c r="C3216">
        <v>17</v>
      </c>
      <c r="D3216" s="649">
        <f ca="1">IF(E3216=4,INDEX(crude_exp_dist,MATCH(B3216,'Crude Exp Dist'!$B$6:$B$78,0),MATCH(C3216,'Crude Exp Dist'!$AD$2:$BC$2,0))*INDEX(crude_exp_by_year,MATCH(B3216,'Data Export'!$B$6:$B$78,0),1),IF(E3216=5,INDEX(ref_exp_dist,MATCH(B3216,'Refined Petro Exp Dist'!$B$6:$B$78,0),MATCH(C3216,'Refined Petro Exp Dist'!$AD$2:$BC$2,0))*INDEX(ref_exp_by_year,MATCH(B3216,'Data Export'!$B$6:$B$78,0),1)))</f>
        <v>0</v>
      </c>
      <c r="E3216">
        <v>5</v>
      </c>
      <c r="F3216" t="s">
        <v>222</v>
      </c>
    </row>
    <row r="3217" spans="1:6">
      <c r="A3217" t="str">
        <f t="shared" si="50"/>
        <v>GenericE&amp;DtemplateCIandGOA</v>
      </c>
      <c r="B3217">
        <v>54</v>
      </c>
      <c r="C3217">
        <v>18</v>
      </c>
      <c r="D3217" s="649">
        <f ca="1">IF(E3217=4,INDEX(crude_exp_dist,MATCH(B3217,'Crude Exp Dist'!$B$6:$B$78,0),MATCH(C3217,'Crude Exp Dist'!$AD$2:$BC$2,0))*INDEX(crude_exp_by_year,MATCH(B3217,'Data Export'!$B$6:$B$78,0),1),IF(E3217=5,INDEX(ref_exp_dist,MATCH(B3217,'Refined Petro Exp Dist'!$B$6:$B$78,0),MATCH(C3217,'Refined Petro Exp Dist'!$AD$2:$BC$2,0))*INDEX(ref_exp_by_year,MATCH(B3217,'Data Export'!$B$6:$B$78,0),1)))</f>
        <v>0</v>
      </c>
      <c r="E3217">
        <v>5</v>
      </c>
      <c r="F3217" t="s">
        <v>224</v>
      </c>
    </row>
    <row r="3218" spans="1:6">
      <c r="A3218" t="str">
        <f t="shared" si="50"/>
        <v>GenericE&amp;DtemplateCIandGOA</v>
      </c>
      <c r="B3218">
        <v>54</v>
      </c>
      <c r="C3218">
        <v>19</v>
      </c>
      <c r="D3218" s="649">
        <f ca="1">IF(E3218=4,INDEX(crude_exp_dist,MATCH(B3218,'Crude Exp Dist'!$B$6:$B$78,0),MATCH(C3218,'Crude Exp Dist'!$AD$2:$BC$2,0))*INDEX(crude_exp_by_year,MATCH(B3218,'Data Export'!$B$6:$B$78,0),1),IF(E3218=5,INDEX(ref_exp_dist,MATCH(B3218,'Refined Petro Exp Dist'!$B$6:$B$78,0),MATCH(C3218,'Refined Petro Exp Dist'!$AD$2:$BC$2,0))*INDEX(ref_exp_by_year,MATCH(B3218,'Data Export'!$B$6:$B$78,0),1)))</f>
        <v>0</v>
      </c>
      <c r="E3218">
        <v>5</v>
      </c>
      <c r="F3218" t="s">
        <v>228</v>
      </c>
    </row>
    <row r="3219" spans="1:6">
      <c r="A3219" t="str">
        <f t="shared" si="50"/>
        <v>GenericE&amp;DtemplateCIandGOA</v>
      </c>
      <c r="B3219">
        <v>54</v>
      </c>
      <c r="C3219">
        <v>20</v>
      </c>
      <c r="D3219" s="649">
        <f ca="1">IF(E3219=4,INDEX(crude_exp_dist,MATCH(B3219,'Crude Exp Dist'!$B$6:$B$78,0),MATCH(C3219,'Crude Exp Dist'!$AD$2:$BC$2,0))*INDEX(crude_exp_by_year,MATCH(B3219,'Data Export'!$B$6:$B$78,0),1),IF(E3219=5,INDEX(ref_exp_dist,MATCH(B3219,'Refined Petro Exp Dist'!$B$6:$B$78,0),MATCH(C3219,'Refined Petro Exp Dist'!$AD$2:$BC$2,0))*INDEX(ref_exp_by_year,MATCH(B3219,'Data Export'!$B$6:$B$78,0),1)))</f>
        <v>0</v>
      </c>
      <c r="E3219">
        <v>5</v>
      </c>
      <c r="F3219" t="s">
        <v>231</v>
      </c>
    </row>
    <row r="3220" spans="1:6">
      <c r="A3220" t="str">
        <f t="shared" si="50"/>
        <v>GenericE&amp;DtemplateCIandGOA</v>
      </c>
      <c r="B3220">
        <v>54</v>
      </c>
      <c r="C3220">
        <v>21</v>
      </c>
      <c r="D3220" s="649">
        <f ca="1">IF(E3220=4,INDEX(crude_exp_dist,MATCH(B3220,'Crude Exp Dist'!$B$6:$B$78,0),MATCH(C3220,'Crude Exp Dist'!$AD$2:$BC$2,0))*INDEX(crude_exp_by_year,MATCH(B3220,'Data Export'!$B$6:$B$78,0),1),IF(E3220=5,INDEX(ref_exp_dist,MATCH(B3220,'Refined Petro Exp Dist'!$B$6:$B$78,0),MATCH(C3220,'Refined Petro Exp Dist'!$AD$2:$BC$2,0))*INDEX(ref_exp_by_year,MATCH(B3220,'Data Export'!$B$6:$B$78,0),1)))</f>
        <v>0</v>
      </c>
      <c r="E3220">
        <v>5</v>
      </c>
      <c r="F3220" t="s">
        <v>232</v>
      </c>
    </row>
    <row r="3221" spans="1:6">
      <c r="A3221" t="str">
        <f t="shared" si="50"/>
        <v>GenericE&amp;DtemplateCIandGOA</v>
      </c>
      <c r="B3221">
        <v>54</v>
      </c>
      <c r="C3221">
        <v>22</v>
      </c>
      <c r="D3221" s="649">
        <f ca="1">IF(E3221=4,INDEX(crude_exp_dist,MATCH(B3221,'Crude Exp Dist'!$B$6:$B$78,0),MATCH(C3221,'Crude Exp Dist'!$AD$2:$BC$2,0))*INDEX(crude_exp_by_year,MATCH(B3221,'Data Export'!$B$6:$B$78,0),1),IF(E3221=5,INDEX(ref_exp_dist,MATCH(B3221,'Refined Petro Exp Dist'!$B$6:$B$78,0),MATCH(C3221,'Refined Petro Exp Dist'!$AD$2:$BC$2,0))*INDEX(ref_exp_by_year,MATCH(B3221,'Data Export'!$B$6:$B$78,0),1)))</f>
        <v>0</v>
      </c>
      <c r="E3221">
        <v>5</v>
      </c>
      <c r="F3221" t="s">
        <v>235</v>
      </c>
    </row>
    <row r="3222" spans="1:6">
      <c r="A3222" t="str">
        <f t="shared" si="50"/>
        <v>GenericE&amp;DtemplateCIandGOA</v>
      </c>
      <c r="B3222">
        <v>54</v>
      </c>
      <c r="C3222">
        <v>23</v>
      </c>
      <c r="D3222" s="649">
        <f ca="1">IF(E3222=4,INDEX(crude_exp_dist,MATCH(B3222,'Crude Exp Dist'!$B$6:$B$78,0),MATCH(C3222,'Crude Exp Dist'!$AD$2:$BC$2,0))*INDEX(crude_exp_by_year,MATCH(B3222,'Data Export'!$B$6:$B$78,0),1),IF(E3222=5,INDEX(ref_exp_dist,MATCH(B3222,'Refined Petro Exp Dist'!$B$6:$B$78,0),MATCH(C3222,'Refined Petro Exp Dist'!$AD$2:$BC$2,0))*INDEX(ref_exp_by_year,MATCH(B3222,'Data Export'!$B$6:$B$78,0),1)))</f>
        <v>0</v>
      </c>
      <c r="E3222">
        <v>5</v>
      </c>
      <c r="F3222" t="s">
        <v>237</v>
      </c>
    </row>
    <row r="3223" spans="1:6">
      <c r="A3223" t="str">
        <f t="shared" si="50"/>
        <v>GenericE&amp;DtemplateCIandGOA</v>
      </c>
      <c r="B3223">
        <v>54</v>
      </c>
      <c r="C3223">
        <v>24</v>
      </c>
      <c r="D3223" s="649">
        <f ca="1">IF(E3223=4,INDEX(crude_exp_dist,MATCH(B3223,'Crude Exp Dist'!$B$6:$B$78,0),MATCH(C3223,'Crude Exp Dist'!$AD$2:$BC$2,0))*INDEX(crude_exp_by_year,MATCH(B3223,'Data Export'!$B$6:$B$78,0),1),IF(E3223=5,INDEX(ref_exp_dist,MATCH(B3223,'Refined Petro Exp Dist'!$B$6:$B$78,0),MATCH(C3223,'Refined Petro Exp Dist'!$AD$2:$BC$2,0))*INDEX(ref_exp_by_year,MATCH(B3223,'Data Export'!$B$6:$B$78,0),1)))</f>
        <v>0</v>
      </c>
      <c r="E3223">
        <v>5</v>
      </c>
      <c r="F3223" t="s">
        <v>239</v>
      </c>
    </row>
    <row r="3224" spans="1:6">
      <c r="A3224" t="str">
        <f t="shared" si="50"/>
        <v>GenericE&amp;DtemplateCIandGOA</v>
      </c>
      <c r="B3224">
        <v>54</v>
      </c>
      <c r="C3224">
        <v>25</v>
      </c>
      <c r="D3224" s="649">
        <f ca="1">IF(E3224=4,INDEX(crude_exp_dist,MATCH(B3224,'Crude Exp Dist'!$B$6:$B$78,0),MATCH(C3224,'Crude Exp Dist'!$AD$2:$BC$2,0))*INDEX(crude_exp_by_year,MATCH(B3224,'Data Export'!$B$6:$B$78,0),1),IF(E3224=5,INDEX(ref_exp_dist,MATCH(B3224,'Refined Petro Exp Dist'!$B$6:$B$78,0),MATCH(C3224,'Refined Petro Exp Dist'!$AD$2:$BC$2,0))*INDEX(ref_exp_by_year,MATCH(B3224,'Data Export'!$B$6:$B$78,0),1)))</f>
        <v>0</v>
      </c>
      <c r="E3224">
        <v>5</v>
      </c>
      <c r="F3224" t="s">
        <v>242</v>
      </c>
    </row>
    <row r="3225" spans="1:6">
      <c r="A3225" t="str">
        <f t="shared" si="50"/>
        <v>GenericE&amp;DtemplateCIandGOA</v>
      </c>
      <c r="B3225">
        <v>54</v>
      </c>
      <c r="C3225">
        <v>26</v>
      </c>
      <c r="D3225" s="649">
        <f ca="1">IF(E3225=4,INDEX(crude_exp_dist,MATCH(B3225,'Crude Exp Dist'!$B$6:$B$78,0),MATCH(C3225,'Crude Exp Dist'!$AD$2:$BC$2,0))*INDEX(crude_exp_by_year,MATCH(B3225,'Data Export'!$B$6:$B$78,0),1),IF(E3225=5,INDEX(ref_exp_dist,MATCH(B3225,'Refined Petro Exp Dist'!$B$6:$B$78,0),MATCH(C3225,'Refined Petro Exp Dist'!$AD$2:$BC$2,0))*INDEX(ref_exp_by_year,MATCH(B3225,'Data Export'!$B$6:$B$78,0),1)))</f>
        <v>0</v>
      </c>
      <c r="E3225">
        <v>5</v>
      </c>
      <c r="F3225" t="s">
        <v>245</v>
      </c>
    </row>
    <row r="3226" spans="1:6">
      <c r="A3226" t="str">
        <f t="shared" si="50"/>
        <v>GenericE&amp;DtemplateCIandGOA</v>
      </c>
      <c r="B3226">
        <v>55</v>
      </c>
      <c r="C3226">
        <v>1</v>
      </c>
      <c r="D3226" s="649">
        <f ca="1">IF(E3226=4,INDEX(crude_exp_dist,MATCH(B3226,'Crude Exp Dist'!$B$6:$B$78,0),MATCH(C3226,'Crude Exp Dist'!$AD$2:$BC$2,0))*INDEX(crude_exp_by_year,MATCH(B3226,'Data Export'!$B$6:$B$78,0),1),IF(E3226=5,INDEX(ref_exp_dist,MATCH(B3226,'Refined Petro Exp Dist'!$B$6:$B$78,0),MATCH(C3226,'Refined Petro Exp Dist'!$AD$2:$BC$2,0))*INDEX(ref_exp_by_year,MATCH(B3226,'Data Export'!$B$6:$B$78,0),1)))</f>
        <v>0</v>
      </c>
      <c r="E3226">
        <v>5</v>
      </c>
      <c r="F3226" t="s">
        <v>158</v>
      </c>
    </row>
    <row r="3227" spans="1:6">
      <c r="A3227" t="str">
        <f t="shared" si="50"/>
        <v>GenericE&amp;DtemplateCIandGOA</v>
      </c>
      <c r="B3227">
        <v>55</v>
      </c>
      <c r="C3227">
        <v>2</v>
      </c>
      <c r="D3227" s="649">
        <f ca="1">IF(E3227=4,INDEX(crude_exp_dist,MATCH(B3227,'Crude Exp Dist'!$B$6:$B$78,0),MATCH(C3227,'Crude Exp Dist'!$AD$2:$BC$2,0))*INDEX(crude_exp_by_year,MATCH(B3227,'Data Export'!$B$6:$B$78,0),1),IF(E3227=5,INDEX(ref_exp_dist,MATCH(B3227,'Refined Petro Exp Dist'!$B$6:$B$78,0),MATCH(C3227,'Refined Petro Exp Dist'!$AD$2:$BC$2,0))*INDEX(ref_exp_by_year,MATCH(B3227,'Data Export'!$B$6:$B$78,0),1)))</f>
        <v>0</v>
      </c>
      <c r="E3227">
        <v>5</v>
      </c>
      <c r="F3227" t="s">
        <v>166</v>
      </c>
    </row>
    <row r="3228" spans="1:6">
      <c r="A3228" t="str">
        <f t="shared" si="50"/>
        <v>GenericE&amp;DtemplateCIandGOA</v>
      </c>
      <c r="B3228">
        <v>55</v>
      </c>
      <c r="C3228">
        <v>3</v>
      </c>
      <c r="D3228" s="649">
        <f ca="1">IF(E3228=4,INDEX(crude_exp_dist,MATCH(B3228,'Crude Exp Dist'!$B$6:$B$78,0),MATCH(C3228,'Crude Exp Dist'!$AD$2:$BC$2,0))*INDEX(crude_exp_by_year,MATCH(B3228,'Data Export'!$B$6:$B$78,0),1),IF(E3228=5,INDEX(ref_exp_dist,MATCH(B3228,'Refined Petro Exp Dist'!$B$6:$B$78,0),MATCH(C3228,'Refined Petro Exp Dist'!$AD$2:$BC$2,0))*INDEX(ref_exp_by_year,MATCH(B3228,'Data Export'!$B$6:$B$78,0),1)))</f>
        <v>0</v>
      </c>
      <c r="E3228">
        <v>5</v>
      </c>
      <c r="F3228" t="s">
        <v>171</v>
      </c>
    </row>
    <row r="3229" spans="1:6">
      <c r="A3229" t="str">
        <f t="shared" si="50"/>
        <v>GenericE&amp;DtemplateCIandGOA</v>
      </c>
      <c r="B3229">
        <v>55</v>
      </c>
      <c r="C3229">
        <v>4</v>
      </c>
      <c r="D3229" s="649">
        <f ca="1">IF(E3229=4,INDEX(crude_exp_dist,MATCH(B3229,'Crude Exp Dist'!$B$6:$B$78,0),MATCH(C3229,'Crude Exp Dist'!$AD$2:$BC$2,0))*INDEX(crude_exp_by_year,MATCH(B3229,'Data Export'!$B$6:$B$78,0),1),IF(E3229=5,INDEX(ref_exp_dist,MATCH(B3229,'Refined Petro Exp Dist'!$B$6:$B$78,0),MATCH(C3229,'Refined Petro Exp Dist'!$AD$2:$BC$2,0))*INDEX(ref_exp_by_year,MATCH(B3229,'Data Export'!$B$6:$B$78,0),1)))</f>
        <v>0</v>
      </c>
      <c r="E3229">
        <v>5</v>
      </c>
      <c r="F3229" t="s">
        <v>173</v>
      </c>
    </row>
    <row r="3230" spans="1:6">
      <c r="A3230" t="str">
        <f t="shared" si="50"/>
        <v>GenericE&amp;DtemplateCIandGOA</v>
      </c>
      <c r="B3230">
        <v>55</v>
      </c>
      <c r="C3230">
        <v>5</v>
      </c>
      <c r="D3230" s="649">
        <f ca="1">IF(E3230=4,INDEX(crude_exp_dist,MATCH(B3230,'Crude Exp Dist'!$B$6:$B$78,0),MATCH(C3230,'Crude Exp Dist'!$AD$2:$BC$2,0))*INDEX(crude_exp_by_year,MATCH(B3230,'Data Export'!$B$6:$B$78,0),1),IF(E3230=5,INDEX(ref_exp_dist,MATCH(B3230,'Refined Petro Exp Dist'!$B$6:$B$78,0),MATCH(C3230,'Refined Petro Exp Dist'!$AD$2:$BC$2,0))*INDEX(ref_exp_by_year,MATCH(B3230,'Data Export'!$B$6:$B$78,0),1)))</f>
        <v>0</v>
      </c>
      <c r="E3230">
        <v>5</v>
      </c>
      <c r="F3230" t="s">
        <v>180</v>
      </c>
    </row>
    <row r="3231" spans="1:6">
      <c r="A3231" t="str">
        <f t="shared" si="50"/>
        <v>GenericE&amp;DtemplateCIandGOA</v>
      </c>
      <c r="B3231">
        <v>55</v>
      </c>
      <c r="C3231">
        <v>6</v>
      </c>
      <c r="D3231" s="649">
        <f ca="1">IF(E3231=4,INDEX(crude_exp_dist,MATCH(B3231,'Crude Exp Dist'!$B$6:$B$78,0),MATCH(C3231,'Crude Exp Dist'!$AD$2:$BC$2,0))*INDEX(crude_exp_by_year,MATCH(B3231,'Data Export'!$B$6:$B$78,0),1),IF(E3231=5,INDEX(ref_exp_dist,MATCH(B3231,'Refined Petro Exp Dist'!$B$6:$B$78,0),MATCH(C3231,'Refined Petro Exp Dist'!$AD$2:$BC$2,0))*INDEX(ref_exp_by_year,MATCH(B3231,'Data Export'!$B$6:$B$78,0),1)))</f>
        <v>0</v>
      </c>
      <c r="E3231">
        <v>5</v>
      </c>
      <c r="F3231" t="s">
        <v>186</v>
      </c>
    </row>
    <row r="3232" spans="1:6">
      <c r="A3232" t="str">
        <f t="shared" si="50"/>
        <v>GenericE&amp;DtemplateCIandGOA</v>
      </c>
      <c r="B3232">
        <v>55</v>
      </c>
      <c r="C3232">
        <v>7</v>
      </c>
      <c r="D3232" s="649">
        <f ca="1">IF(E3232=4,INDEX(crude_exp_dist,MATCH(B3232,'Crude Exp Dist'!$B$6:$B$78,0),MATCH(C3232,'Crude Exp Dist'!$AD$2:$BC$2,0))*INDEX(crude_exp_by_year,MATCH(B3232,'Data Export'!$B$6:$B$78,0),1),IF(E3232=5,INDEX(ref_exp_dist,MATCH(B3232,'Refined Petro Exp Dist'!$B$6:$B$78,0),MATCH(C3232,'Refined Petro Exp Dist'!$AD$2:$BC$2,0))*INDEX(ref_exp_by_year,MATCH(B3232,'Data Export'!$B$6:$B$78,0),1)))</f>
        <v>0</v>
      </c>
      <c r="E3232">
        <v>5</v>
      </c>
      <c r="F3232" t="s">
        <v>191</v>
      </c>
    </row>
    <row r="3233" spans="1:6">
      <c r="A3233" t="str">
        <f t="shared" si="50"/>
        <v>GenericE&amp;DtemplateCIandGOA</v>
      </c>
      <c r="B3233">
        <v>55</v>
      </c>
      <c r="C3233">
        <v>8</v>
      </c>
      <c r="D3233" s="649">
        <f ca="1">IF(E3233=4,INDEX(crude_exp_dist,MATCH(B3233,'Crude Exp Dist'!$B$6:$B$78,0),MATCH(C3233,'Crude Exp Dist'!$AD$2:$BC$2,0))*INDEX(crude_exp_by_year,MATCH(B3233,'Data Export'!$B$6:$B$78,0),1),IF(E3233=5,INDEX(ref_exp_dist,MATCH(B3233,'Refined Petro Exp Dist'!$B$6:$B$78,0),MATCH(C3233,'Refined Petro Exp Dist'!$AD$2:$BC$2,0))*INDEX(ref_exp_by_year,MATCH(B3233,'Data Export'!$B$6:$B$78,0),1)))</f>
        <v>0</v>
      </c>
      <c r="E3233">
        <v>5</v>
      </c>
      <c r="F3233" t="s">
        <v>197</v>
      </c>
    </row>
    <row r="3234" spans="1:6">
      <c r="A3234" t="str">
        <f t="shared" si="50"/>
        <v>GenericE&amp;DtemplateCIandGOA</v>
      </c>
      <c r="B3234">
        <v>55</v>
      </c>
      <c r="C3234">
        <v>9</v>
      </c>
      <c r="D3234" s="649">
        <f ca="1">IF(E3234=4,INDEX(crude_exp_dist,MATCH(B3234,'Crude Exp Dist'!$B$6:$B$78,0),MATCH(C3234,'Crude Exp Dist'!$AD$2:$BC$2,0))*INDEX(crude_exp_by_year,MATCH(B3234,'Data Export'!$B$6:$B$78,0),1),IF(E3234=5,INDEX(ref_exp_dist,MATCH(B3234,'Refined Petro Exp Dist'!$B$6:$B$78,0),MATCH(C3234,'Refined Petro Exp Dist'!$AD$2:$BC$2,0))*INDEX(ref_exp_by_year,MATCH(B3234,'Data Export'!$B$6:$B$78,0),1)))</f>
        <v>0</v>
      </c>
      <c r="E3234">
        <v>5</v>
      </c>
      <c r="F3234" t="s">
        <v>199</v>
      </c>
    </row>
    <row r="3235" spans="1:6">
      <c r="A3235" t="str">
        <f t="shared" si="50"/>
        <v>GenericE&amp;DtemplateCIandGOA</v>
      </c>
      <c r="B3235">
        <v>55</v>
      </c>
      <c r="C3235">
        <v>10</v>
      </c>
      <c r="D3235" s="649">
        <f ca="1">IF(E3235=4,INDEX(crude_exp_dist,MATCH(B3235,'Crude Exp Dist'!$B$6:$B$78,0),MATCH(C3235,'Crude Exp Dist'!$AD$2:$BC$2,0))*INDEX(crude_exp_by_year,MATCH(B3235,'Data Export'!$B$6:$B$78,0),1),IF(E3235=5,INDEX(ref_exp_dist,MATCH(B3235,'Refined Petro Exp Dist'!$B$6:$B$78,0),MATCH(C3235,'Refined Petro Exp Dist'!$AD$2:$BC$2,0))*INDEX(ref_exp_by_year,MATCH(B3235,'Data Export'!$B$6:$B$78,0),1)))</f>
        <v>0</v>
      </c>
      <c r="E3235">
        <v>5</v>
      </c>
      <c r="F3235" t="s">
        <v>201</v>
      </c>
    </row>
    <row r="3236" spans="1:6">
      <c r="A3236" t="str">
        <f t="shared" si="50"/>
        <v>GenericE&amp;DtemplateCIandGOA</v>
      </c>
      <c r="B3236">
        <v>55</v>
      </c>
      <c r="C3236">
        <v>11</v>
      </c>
      <c r="D3236" s="649">
        <f ca="1">IF(E3236=4,INDEX(crude_exp_dist,MATCH(B3236,'Crude Exp Dist'!$B$6:$B$78,0),MATCH(C3236,'Crude Exp Dist'!$AD$2:$BC$2,0))*INDEX(crude_exp_by_year,MATCH(B3236,'Data Export'!$B$6:$B$78,0),1),IF(E3236=5,INDEX(ref_exp_dist,MATCH(B3236,'Refined Petro Exp Dist'!$B$6:$B$78,0),MATCH(C3236,'Refined Petro Exp Dist'!$AD$2:$BC$2,0))*INDEX(ref_exp_by_year,MATCH(B3236,'Data Export'!$B$6:$B$78,0),1)))</f>
        <v>0</v>
      </c>
      <c r="E3236">
        <v>5</v>
      </c>
      <c r="F3236" t="s">
        <v>921</v>
      </c>
    </row>
    <row r="3237" spans="1:6">
      <c r="A3237" t="str">
        <f t="shared" si="50"/>
        <v>GenericE&amp;DtemplateCIandGOA</v>
      </c>
      <c r="B3237">
        <v>55</v>
      </c>
      <c r="C3237">
        <v>12</v>
      </c>
      <c r="D3237" s="649">
        <f ca="1">IF(E3237=4,INDEX(crude_exp_dist,MATCH(B3237,'Crude Exp Dist'!$B$6:$B$78,0),MATCH(C3237,'Crude Exp Dist'!$AD$2:$BC$2,0))*INDEX(crude_exp_by_year,MATCH(B3237,'Data Export'!$B$6:$B$78,0),1),IF(E3237=5,INDEX(ref_exp_dist,MATCH(B3237,'Refined Petro Exp Dist'!$B$6:$B$78,0),MATCH(C3237,'Refined Petro Exp Dist'!$AD$2:$BC$2,0))*INDEX(ref_exp_by_year,MATCH(B3237,'Data Export'!$B$6:$B$78,0),1)))</f>
        <v>0</v>
      </c>
      <c r="E3237">
        <v>5</v>
      </c>
      <c r="F3237" t="s">
        <v>208</v>
      </c>
    </row>
    <row r="3238" spans="1:6">
      <c r="A3238" t="str">
        <f t="shared" si="50"/>
        <v>GenericE&amp;DtemplateCIandGOA</v>
      </c>
      <c r="B3238">
        <v>55</v>
      </c>
      <c r="C3238">
        <v>13</v>
      </c>
      <c r="D3238" s="649">
        <f ca="1">IF(E3238=4,INDEX(crude_exp_dist,MATCH(B3238,'Crude Exp Dist'!$B$6:$B$78,0),MATCH(C3238,'Crude Exp Dist'!$AD$2:$BC$2,0))*INDEX(crude_exp_by_year,MATCH(B3238,'Data Export'!$B$6:$B$78,0),1),IF(E3238=5,INDEX(ref_exp_dist,MATCH(B3238,'Refined Petro Exp Dist'!$B$6:$B$78,0),MATCH(C3238,'Refined Petro Exp Dist'!$AD$2:$BC$2,0))*INDEX(ref_exp_by_year,MATCH(B3238,'Data Export'!$B$6:$B$78,0),1)))</f>
        <v>0</v>
      </c>
      <c r="E3238">
        <v>5</v>
      </c>
      <c r="F3238" t="s">
        <v>211</v>
      </c>
    </row>
    <row r="3239" spans="1:6">
      <c r="A3239" t="str">
        <f t="shared" si="50"/>
        <v>GenericE&amp;DtemplateCIandGOA</v>
      </c>
      <c r="B3239">
        <v>55</v>
      </c>
      <c r="C3239">
        <v>14</v>
      </c>
      <c r="D3239" s="649">
        <f ca="1">IF(E3239=4,INDEX(crude_exp_dist,MATCH(B3239,'Crude Exp Dist'!$B$6:$B$78,0),MATCH(C3239,'Crude Exp Dist'!$AD$2:$BC$2,0))*INDEX(crude_exp_by_year,MATCH(B3239,'Data Export'!$B$6:$B$78,0),1),IF(E3239=5,INDEX(ref_exp_dist,MATCH(B3239,'Refined Petro Exp Dist'!$B$6:$B$78,0),MATCH(C3239,'Refined Petro Exp Dist'!$AD$2:$BC$2,0))*INDEX(ref_exp_by_year,MATCH(B3239,'Data Export'!$B$6:$B$78,0),1)))</f>
        <v>0</v>
      </c>
      <c r="E3239">
        <v>5</v>
      </c>
      <c r="F3239" t="s">
        <v>213</v>
      </c>
    </row>
    <row r="3240" spans="1:6">
      <c r="A3240" t="str">
        <f t="shared" si="50"/>
        <v>GenericE&amp;DtemplateCIandGOA</v>
      </c>
      <c r="B3240">
        <v>55</v>
      </c>
      <c r="C3240">
        <v>15</v>
      </c>
      <c r="D3240" s="649">
        <f ca="1">IF(E3240=4,INDEX(crude_exp_dist,MATCH(B3240,'Crude Exp Dist'!$B$6:$B$78,0),MATCH(C3240,'Crude Exp Dist'!$AD$2:$BC$2,0))*INDEX(crude_exp_by_year,MATCH(B3240,'Data Export'!$B$6:$B$78,0),1),IF(E3240=5,INDEX(ref_exp_dist,MATCH(B3240,'Refined Petro Exp Dist'!$B$6:$B$78,0),MATCH(C3240,'Refined Petro Exp Dist'!$AD$2:$BC$2,0))*INDEX(ref_exp_by_year,MATCH(B3240,'Data Export'!$B$6:$B$78,0),1)))</f>
        <v>0</v>
      </c>
      <c r="E3240">
        <v>5</v>
      </c>
      <c r="F3240" t="s">
        <v>215</v>
      </c>
    </row>
    <row r="3241" spans="1:6">
      <c r="A3241" t="str">
        <f t="shared" si="50"/>
        <v>GenericE&amp;DtemplateCIandGOA</v>
      </c>
      <c r="B3241">
        <v>55</v>
      </c>
      <c r="C3241">
        <v>16</v>
      </c>
      <c r="D3241" s="649">
        <f ca="1">IF(E3241=4,INDEX(crude_exp_dist,MATCH(B3241,'Crude Exp Dist'!$B$6:$B$78,0),MATCH(C3241,'Crude Exp Dist'!$AD$2:$BC$2,0))*INDEX(crude_exp_by_year,MATCH(B3241,'Data Export'!$B$6:$B$78,0),1),IF(E3241=5,INDEX(ref_exp_dist,MATCH(B3241,'Refined Petro Exp Dist'!$B$6:$B$78,0),MATCH(C3241,'Refined Petro Exp Dist'!$AD$2:$BC$2,0))*INDEX(ref_exp_by_year,MATCH(B3241,'Data Export'!$B$6:$B$78,0),1)))</f>
        <v>0</v>
      </c>
      <c r="E3241">
        <v>5</v>
      </c>
      <c r="F3241" t="s">
        <v>219</v>
      </c>
    </row>
    <row r="3242" spans="1:6">
      <c r="A3242" t="str">
        <f t="shared" si="50"/>
        <v>GenericE&amp;DtemplateCIandGOA</v>
      </c>
      <c r="B3242">
        <v>55</v>
      </c>
      <c r="C3242">
        <v>17</v>
      </c>
      <c r="D3242" s="649">
        <f ca="1">IF(E3242=4,INDEX(crude_exp_dist,MATCH(B3242,'Crude Exp Dist'!$B$6:$B$78,0),MATCH(C3242,'Crude Exp Dist'!$AD$2:$BC$2,0))*INDEX(crude_exp_by_year,MATCH(B3242,'Data Export'!$B$6:$B$78,0),1),IF(E3242=5,INDEX(ref_exp_dist,MATCH(B3242,'Refined Petro Exp Dist'!$B$6:$B$78,0),MATCH(C3242,'Refined Petro Exp Dist'!$AD$2:$BC$2,0))*INDEX(ref_exp_by_year,MATCH(B3242,'Data Export'!$B$6:$B$78,0),1)))</f>
        <v>0</v>
      </c>
      <c r="E3242">
        <v>5</v>
      </c>
      <c r="F3242" t="s">
        <v>222</v>
      </c>
    </row>
    <row r="3243" spans="1:6">
      <c r="A3243" t="str">
        <f t="shared" si="50"/>
        <v>GenericE&amp;DtemplateCIandGOA</v>
      </c>
      <c r="B3243">
        <v>55</v>
      </c>
      <c r="C3243">
        <v>18</v>
      </c>
      <c r="D3243" s="649">
        <f ca="1">IF(E3243=4,INDEX(crude_exp_dist,MATCH(B3243,'Crude Exp Dist'!$B$6:$B$78,0),MATCH(C3243,'Crude Exp Dist'!$AD$2:$BC$2,0))*INDEX(crude_exp_by_year,MATCH(B3243,'Data Export'!$B$6:$B$78,0),1),IF(E3243=5,INDEX(ref_exp_dist,MATCH(B3243,'Refined Petro Exp Dist'!$B$6:$B$78,0),MATCH(C3243,'Refined Petro Exp Dist'!$AD$2:$BC$2,0))*INDEX(ref_exp_by_year,MATCH(B3243,'Data Export'!$B$6:$B$78,0),1)))</f>
        <v>0</v>
      </c>
      <c r="E3243">
        <v>5</v>
      </c>
      <c r="F3243" t="s">
        <v>224</v>
      </c>
    </row>
    <row r="3244" spans="1:6">
      <c r="A3244" t="str">
        <f t="shared" si="50"/>
        <v>GenericE&amp;DtemplateCIandGOA</v>
      </c>
      <c r="B3244">
        <v>55</v>
      </c>
      <c r="C3244">
        <v>19</v>
      </c>
      <c r="D3244" s="649">
        <f ca="1">IF(E3244=4,INDEX(crude_exp_dist,MATCH(B3244,'Crude Exp Dist'!$B$6:$B$78,0),MATCH(C3244,'Crude Exp Dist'!$AD$2:$BC$2,0))*INDEX(crude_exp_by_year,MATCH(B3244,'Data Export'!$B$6:$B$78,0),1),IF(E3244=5,INDEX(ref_exp_dist,MATCH(B3244,'Refined Petro Exp Dist'!$B$6:$B$78,0),MATCH(C3244,'Refined Petro Exp Dist'!$AD$2:$BC$2,0))*INDEX(ref_exp_by_year,MATCH(B3244,'Data Export'!$B$6:$B$78,0),1)))</f>
        <v>0</v>
      </c>
      <c r="E3244">
        <v>5</v>
      </c>
      <c r="F3244" t="s">
        <v>228</v>
      </c>
    </row>
    <row r="3245" spans="1:6">
      <c r="A3245" t="str">
        <f t="shared" si="50"/>
        <v>GenericE&amp;DtemplateCIandGOA</v>
      </c>
      <c r="B3245">
        <v>55</v>
      </c>
      <c r="C3245">
        <v>20</v>
      </c>
      <c r="D3245" s="649">
        <f ca="1">IF(E3245=4,INDEX(crude_exp_dist,MATCH(B3245,'Crude Exp Dist'!$B$6:$B$78,0),MATCH(C3245,'Crude Exp Dist'!$AD$2:$BC$2,0))*INDEX(crude_exp_by_year,MATCH(B3245,'Data Export'!$B$6:$B$78,0),1),IF(E3245=5,INDEX(ref_exp_dist,MATCH(B3245,'Refined Petro Exp Dist'!$B$6:$B$78,0),MATCH(C3245,'Refined Petro Exp Dist'!$AD$2:$BC$2,0))*INDEX(ref_exp_by_year,MATCH(B3245,'Data Export'!$B$6:$B$78,0),1)))</f>
        <v>0</v>
      </c>
      <c r="E3245">
        <v>5</v>
      </c>
      <c r="F3245" t="s">
        <v>231</v>
      </c>
    </row>
    <row r="3246" spans="1:6">
      <c r="A3246" t="str">
        <f t="shared" si="50"/>
        <v>GenericE&amp;DtemplateCIandGOA</v>
      </c>
      <c r="B3246">
        <v>55</v>
      </c>
      <c r="C3246">
        <v>21</v>
      </c>
      <c r="D3246" s="649">
        <f ca="1">IF(E3246=4,INDEX(crude_exp_dist,MATCH(B3246,'Crude Exp Dist'!$B$6:$B$78,0),MATCH(C3246,'Crude Exp Dist'!$AD$2:$BC$2,0))*INDEX(crude_exp_by_year,MATCH(B3246,'Data Export'!$B$6:$B$78,0),1),IF(E3246=5,INDEX(ref_exp_dist,MATCH(B3246,'Refined Petro Exp Dist'!$B$6:$B$78,0),MATCH(C3246,'Refined Petro Exp Dist'!$AD$2:$BC$2,0))*INDEX(ref_exp_by_year,MATCH(B3246,'Data Export'!$B$6:$B$78,0),1)))</f>
        <v>0</v>
      </c>
      <c r="E3246">
        <v>5</v>
      </c>
      <c r="F3246" t="s">
        <v>232</v>
      </c>
    </row>
    <row r="3247" spans="1:6">
      <c r="A3247" t="str">
        <f t="shared" si="50"/>
        <v>GenericE&amp;DtemplateCIandGOA</v>
      </c>
      <c r="B3247">
        <v>55</v>
      </c>
      <c r="C3247">
        <v>22</v>
      </c>
      <c r="D3247" s="649">
        <f ca="1">IF(E3247=4,INDEX(crude_exp_dist,MATCH(B3247,'Crude Exp Dist'!$B$6:$B$78,0),MATCH(C3247,'Crude Exp Dist'!$AD$2:$BC$2,0))*INDEX(crude_exp_by_year,MATCH(B3247,'Data Export'!$B$6:$B$78,0),1),IF(E3247=5,INDEX(ref_exp_dist,MATCH(B3247,'Refined Petro Exp Dist'!$B$6:$B$78,0),MATCH(C3247,'Refined Petro Exp Dist'!$AD$2:$BC$2,0))*INDEX(ref_exp_by_year,MATCH(B3247,'Data Export'!$B$6:$B$78,0),1)))</f>
        <v>0</v>
      </c>
      <c r="E3247">
        <v>5</v>
      </c>
      <c r="F3247" t="s">
        <v>235</v>
      </c>
    </row>
    <row r="3248" spans="1:6">
      <c r="A3248" t="str">
        <f t="shared" si="50"/>
        <v>GenericE&amp;DtemplateCIandGOA</v>
      </c>
      <c r="B3248">
        <v>55</v>
      </c>
      <c r="C3248">
        <v>23</v>
      </c>
      <c r="D3248" s="649">
        <f ca="1">IF(E3248=4,INDEX(crude_exp_dist,MATCH(B3248,'Crude Exp Dist'!$B$6:$B$78,0),MATCH(C3248,'Crude Exp Dist'!$AD$2:$BC$2,0))*INDEX(crude_exp_by_year,MATCH(B3248,'Data Export'!$B$6:$B$78,0),1),IF(E3248=5,INDEX(ref_exp_dist,MATCH(B3248,'Refined Petro Exp Dist'!$B$6:$B$78,0),MATCH(C3248,'Refined Petro Exp Dist'!$AD$2:$BC$2,0))*INDEX(ref_exp_by_year,MATCH(B3248,'Data Export'!$B$6:$B$78,0),1)))</f>
        <v>0</v>
      </c>
      <c r="E3248">
        <v>5</v>
      </c>
      <c r="F3248" t="s">
        <v>237</v>
      </c>
    </row>
    <row r="3249" spans="1:6">
      <c r="A3249" t="str">
        <f t="shared" si="50"/>
        <v>GenericE&amp;DtemplateCIandGOA</v>
      </c>
      <c r="B3249">
        <v>55</v>
      </c>
      <c r="C3249">
        <v>24</v>
      </c>
      <c r="D3249" s="649">
        <f ca="1">IF(E3249=4,INDEX(crude_exp_dist,MATCH(B3249,'Crude Exp Dist'!$B$6:$B$78,0),MATCH(C3249,'Crude Exp Dist'!$AD$2:$BC$2,0))*INDEX(crude_exp_by_year,MATCH(B3249,'Data Export'!$B$6:$B$78,0),1),IF(E3249=5,INDEX(ref_exp_dist,MATCH(B3249,'Refined Petro Exp Dist'!$B$6:$B$78,0),MATCH(C3249,'Refined Petro Exp Dist'!$AD$2:$BC$2,0))*INDEX(ref_exp_by_year,MATCH(B3249,'Data Export'!$B$6:$B$78,0),1)))</f>
        <v>0</v>
      </c>
      <c r="E3249">
        <v>5</v>
      </c>
      <c r="F3249" t="s">
        <v>239</v>
      </c>
    </row>
    <row r="3250" spans="1:6">
      <c r="A3250" t="str">
        <f t="shared" si="50"/>
        <v>GenericE&amp;DtemplateCIandGOA</v>
      </c>
      <c r="B3250">
        <v>55</v>
      </c>
      <c r="C3250">
        <v>25</v>
      </c>
      <c r="D3250" s="649">
        <f ca="1">IF(E3250=4,INDEX(crude_exp_dist,MATCH(B3250,'Crude Exp Dist'!$B$6:$B$78,0),MATCH(C3250,'Crude Exp Dist'!$AD$2:$BC$2,0))*INDEX(crude_exp_by_year,MATCH(B3250,'Data Export'!$B$6:$B$78,0),1),IF(E3250=5,INDEX(ref_exp_dist,MATCH(B3250,'Refined Petro Exp Dist'!$B$6:$B$78,0),MATCH(C3250,'Refined Petro Exp Dist'!$AD$2:$BC$2,0))*INDEX(ref_exp_by_year,MATCH(B3250,'Data Export'!$B$6:$B$78,0),1)))</f>
        <v>0</v>
      </c>
      <c r="E3250">
        <v>5</v>
      </c>
      <c r="F3250" t="s">
        <v>242</v>
      </c>
    </row>
    <row r="3251" spans="1:6">
      <c r="A3251" t="str">
        <f t="shared" si="50"/>
        <v>GenericE&amp;DtemplateCIandGOA</v>
      </c>
      <c r="B3251">
        <v>55</v>
      </c>
      <c r="C3251">
        <v>26</v>
      </c>
      <c r="D3251" s="649">
        <f ca="1">IF(E3251=4,INDEX(crude_exp_dist,MATCH(B3251,'Crude Exp Dist'!$B$6:$B$78,0),MATCH(C3251,'Crude Exp Dist'!$AD$2:$BC$2,0))*INDEX(crude_exp_by_year,MATCH(B3251,'Data Export'!$B$6:$B$78,0),1),IF(E3251=5,INDEX(ref_exp_dist,MATCH(B3251,'Refined Petro Exp Dist'!$B$6:$B$78,0),MATCH(C3251,'Refined Petro Exp Dist'!$AD$2:$BC$2,0))*INDEX(ref_exp_by_year,MATCH(B3251,'Data Export'!$B$6:$B$78,0),1)))</f>
        <v>0</v>
      </c>
      <c r="E3251">
        <v>5</v>
      </c>
      <c r="F3251" t="s">
        <v>245</v>
      </c>
    </row>
    <row r="3252" spans="1:6">
      <c r="A3252" t="str">
        <f t="shared" si="50"/>
        <v>GenericE&amp;DtemplateCIandGOA</v>
      </c>
      <c r="B3252">
        <v>56</v>
      </c>
      <c r="C3252">
        <v>1</v>
      </c>
      <c r="D3252" s="649">
        <f ca="1">IF(E3252=4,INDEX(crude_exp_dist,MATCH(B3252,'Crude Exp Dist'!$B$6:$B$78,0),MATCH(C3252,'Crude Exp Dist'!$AD$2:$BC$2,0))*INDEX(crude_exp_by_year,MATCH(B3252,'Data Export'!$B$6:$B$78,0),1),IF(E3252=5,INDEX(ref_exp_dist,MATCH(B3252,'Refined Petro Exp Dist'!$B$6:$B$78,0),MATCH(C3252,'Refined Petro Exp Dist'!$AD$2:$BC$2,0))*INDEX(ref_exp_by_year,MATCH(B3252,'Data Export'!$B$6:$B$78,0),1)))</f>
        <v>0</v>
      </c>
      <c r="E3252">
        <v>5</v>
      </c>
      <c r="F3252" t="s">
        <v>158</v>
      </c>
    </row>
    <row r="3253" spans="1:6">
      <c r="A3253" t="str">
        <f t="shared" si="50"/>
        <v>GenericE&amp;DtemplateCIandGOA</v>
      </c>
      <c r="B3253">
        <v>56</v>
      </c>
      <c r="C3253">
        <v>2</v>
      </c>
      <c r="D3253" s="649">
        <f ca="1">IF(E3253=4,INDEX(crude_exp_dist,MATCH(B3253,'Crude Exp Dist'!$B$6:$B$78,0),MATCH(C3253,'Crude Exp Dist'!$AD$2:$BC$2,0))*INDEX(crude_exp_by_year,MATCH(B3253,'Data Export'!$B$6:$B$78,0),1),IF(E3253=5,INDEX(ref_exp_dist,MATCH(B3253,'Refined Petro Exp Dist'!$B$6:$B$78,0),MATCH(C3253,'Refined Petro Exp Dist'!$AD$2:$BC$2,0))*INDEX(ref_exp_by_year,MATCH(B3253,'Data Export'!$B$6:$B$78,0),1)))</f>
        <v>0</v>
      </c>
      <c r="E3253">
        <v>5</v>
      </c>
      <c r="F3253" t="s">
        <v>166</v>
      </c>
    </row>
    <row r="3254" spans="1:6">
      <c r="A3254" t="str">
        <f t="shared" si="50"/>
        <v>GenericE&amp;DtemplateCIandGOA</v>
      </c>
      <c r="B3254">
        <v>56</v>
      </c>
      <c r="C3254">
        <v>3</v>
      </c>
      <c r="D3254" s="649">
        <f ca="1">IF(E3254=4,INDEX(crude_exp_dist,MATCH(B3254,'Crude Exp Dist'!$B$6:$B$78,0),MATCH(C3254,'Crude Exp Dist'!$AD$2:$BC$2,0))*INDEX(crude_exp_by_year,MATCH(B3254,'Data Export'!$B$6:$B$78,0),1),IF(E3254=5,INDEX(ref_exp_dist,MATCH(B3254,'Refined Petro Exp Dist'!$B$6:$B$78,0),MATCH(C3254,'Refined Petro Exp Dist'!$AD$2:$BC$2,0))*INDEX(ref_exp_by_year,MATCH(B3254,'Data Export'!$B$6:$B$78,0),1)))</f>
        <v>0</v>
      </c>
      <c r="E3254">
        <v>5</v>
      </c>
      <c r="F3254" t="s">
        <v>171</v>
      </c>
    </row>
    <row r="3255" spans="1:6">
      <c r="A3255" t="str">
        <f t="shared" si="50"/>
        <v>GenericE&amp;DtemplateCIandGOA</v>
      </c>
      <c r="B3255">
        <v>56</v>
      </c>
      <c r="C3255">
        <v>4</v>
      </c>
      <c r="D3255" s="649">
        <f ca="1">IF(E3255=4,INDEX(crude_exp_dist,MATCH(B3255,'Crude Exp Dist'!$B$6:$B$78,0),MATCH(C3255,'Crude Exp Dist'!$AD$2:$BC$2,0))*INDEX(crude_exp_by_year,MATCH(B3255,'Data Export'!$B$6:$B$78,0),1),IF(E3255=5,INDEX(ref_exp_dist,MATCH(B3255,'Refined Petro Exp Dist'!$B$6:$B$78,0),MATCH(C3255,'Refined Petro Exp Dist'!$AD$2:$BC$2,0))*INDEX(ref_exp_by_year,MATCH(B3255,'Data Export'!$B$6:$B$78,0),1)))</f>
        <v>0</v>
      </c>
      <c r="E3255">
        <v>5</v>
      </c>
      <c r="F3255" t="s">
        <v>173</v>
      </c>
    </row>
    <row r="3256" spans="1:6">
      <c r="A3256" t="str">
        <f t="shared" si="50"/>
        <v>GenericE&amp;DtemplateCIandGOA</v>
      </c>
      <c r="B3256">
        <v>56</v>
      </c>
      <c r="C3256">
        <v>5</v>
      </c>
      <c r="D3256" s="649">
        <f ca="1">IF(E3256=4,INDEX(crude_exp_dist,MATCH(B3256,'Crude Exp Dist'!$B$6:$B$78,0),MATCH(C3256,'Crude Exp Dist'!$AD$2:$BC$2,0))*INDEX(crude_exp_by_year,MATCH(B3256,'Data Export'!$B$6:$B$78,0),1),IF(E3256=5,INDEX(ref_exp_dist,MATCH(B3256,'Refined Petro Exp Dist'!$B$6:$B$78,0),MATCH(C3256,'Refined Petro Exp Dist'!$AD$2:$BC$2,0))*INDEX(ref_exp_by_year,MATCH(B3256,'Data Export'!$B$6:$B$78,0),1)))</f>
        <v>0</v>
      </c>
      <c r="E3256">
        <v>5</v>
      </c>
      <c r="F3256" t="s">
        <v>180</v>
      </c>
    </row>
    <row r="3257" spans="1:6">
      <c r="A3257" t="str">
        <f t="shared" si="50"/>
        <v>GenericE&amp;DtemplateCIandGOA</v>
      </c>
      <c r="B3257">
        <v>56</v>
      </c>
      <c r="C3257">
        <v>6</v>
      </c>
      <c r="D3257" s="649">
        <f ca="1">IF(E3257=4,INDEX(crude_exp_dist,MATCH(B3257,'Crude Exp Dist'!$B$6:$B$78,0),MATCH(C3257,'Crude Exp Dist'!$AD$2:$BC$2,0))*INDEX(crude_exp_by_year,MATCH(B3257,'Data Export'!$B$6:$B$78,0),1),IF(E3257=5,INDEX(ref_exp_dist,MATCH(B3257,'Refined Petro Exp Dist'!$B$6:$B$78,0),MATCH(C3257,'Refined Petro Exp Dist'!$AD$2:$BC$2,0))*INDEX(ref_exp_by_year,MATCH(B3257,'Data Export'!$B$6:$B$78,0),1)))</f>
        <v>0</v>
      </c>
      <c r="E3257">
        <v>5</v>
      </c>
      <c r="F3257" t="s">
        <v>186</v>
      </c>
    </row>
    <row r="3258" spans="1:6">
      <c r="A3258" t="str">
        <f t="shared" si="50"/>
        <v>GenericE&amp;DtemplateCIandGOA</v>
      </c>
      <c r="B3258">
        <v>56</v>
      </c>
      <c r="C3258">
        <v>7</v>
      </c>
      <c r="D3258" s="649">
        <f ca="1">IF(E3258=4,INDEX(crude_exp_dist,MATCH(B3258,'Crude Exp Dist'!$B$6:$B$78,0),MATCH(C3258,'Crude Exp Dist'!$AD$2:$BC$2,0))*INDEX(crude_exp_by_year,MATCH(B3258,'Data Export'!$B$6:$B$78,0),1),IF(E3258=5,INDEX(ref_exp_dist,MATCH(B3258,'Refined Petro Exp Dist'!$B$6:$B$78,0),MATCH(C3258,'Refined Petro Exp Dist'!$AD$2:$BC$2,0))*INDEX(ref_exp_by_year,MATCH(B3258,'Data Export'!$B$6:$B$78,0),1)))</f>
        <v>0</v>
      </c>
      <c r="E3258">
        <v>5</v>
      </c>
      <c r="F3258" t="s">
        <v>191</v>
      </c>
    </row>
    <row r="3259" spans="1:6">
      <c r="A3259" t="str">
        <f t="shared" si="50"/>
        <v>GenericE&amp;DtemplateCIandGOA</v>
      </c>
      <c r="B3259">
        <v>56</v>
      </c>
      <c r="C3259">
        <v>8</v>
      </c>
      <c r="D3259" s="649">
        <f ca="1">IF(E3259=4,INDEX(crude_exp_dist,MATCH(B3259,'Crude Exp Dist'!$B$6:$B$78,0),MATCH(C3259,'Crude Exp Dist'!$AD$2:$BC$2,0))*INDEX(crude_exp_by_year,MATCH(B3259,'Data Export'!$B$6:$B$78,0),1),IF(E3259=5,INDEX(ref_exp_dist,MATCH(B3259,'Refined Petro Exp Dist'!$B$6:$B$78,0),MATCH(C3259,'Refined Petro Exp Dist'!$AD$2:$BC$2,0))*INDEX(ref_exp_by_year,MATCH(B3259,'Data Export'!$B$6:$B$78,0),1)))</f>
        <v>0</v>
      </c>
      <c r="E3259">
        <v>5</v>
      </c>
      <c r="F3259" t="s">
        <v>197</v>
      </c>
    </row>
    <row r="3260" spans="1:6">
      <c r="A3260" t="str">
        <f t="shared" si="50"/>
        <v>GenericE&amp;DtemplateCIandGOA</v>
      </c>
      <c r="B3260">
        <v>56</v>
      </c>
      <c r="C3260">
        <v>9</v>
      </c>
      <c r="D3260" s="649">
        <f ca="1">IF(E3260=4,INDEX(crude_exp_dist,MATCH(B3260,'Crude Exp Dist'!$B$6:$B$78,0),MATCH(C3260,'Crude Exp Dist'!$AD$2:$BC$2,0))*INDEX(crude_exp_by_year,MATCH(B3260,'Data Export'!$B$6:$B$78,0),1),IF(E3260=5,INDEX(ref_exp_dist,MATCH(B3260,'Refined Petro Exp Dist'!$B$6:$B$78,0),MATCH(C3260,'Refined Petro Exp Dist'!$AD$2:$BC$2,0))*INDEX(ref_exp_by_year,MATCH(B3260,'Data Export'!$B$6:$B$78,0),1)))</f>
        <v>0</v>
      </c>
      <c r="E3260">
        <v>5</v>
      </c>
      <c r="F3260" t="s">
        <v>199</v>
      </c>
    </row>
    <row r="3261" spans="1:6">
      <c r="A3261" t="str">
        <f t="shared" si="50"/>
        <v>GenericE&amp;DtemplateCIandGOA</v>
      </c>
      <c r="B3261">
        <v>56</v>
      </c>
      <c r="C3261">
        <v>10</v>
      </c>
      <c r="D3261" s="649">
        <f ca="1">IF(E3261=4,INDEX(crude_exp_dist,MATCH(B3261,'Crude Exp Dist'!$B$6:$B$78,0),MATCH(C3261,'Crude Exp Dist'!$AD$2:$BC$2,0))*INDEX(crude_exp_by_year,MATCH(B3261,'Data Export'!$B$6:$B$78,0),1),IF(E3261=5,INDEX(ref_exp_dist,MATCH(B3261,'Refined Petro Exp Dist'!$B$6:$B$78,0),MATCH(C3261,'Refined Petro Exp Dist'!$AD$2:$BC$2,0))*INDEX(ref_exp_by_year,MATCH(B3261,'Data Export'!$B$6:$B$78,0),1)))</f>
        <v>0</v>
      </c>
      <c r="E3261">
        <v>5</v>
      </c>
      <c r="F3261" t="s">
        <v>201</v>
      </c>
    </row>
    <row r="3262" spans="1:6">
      <c r="A3262" t="str">
        <f t="shared" si="50"/>
        <v>GenericE&amp;DtemplateCIandGOA</v>
      </c>
      <c r="B3262">
        <v>56</v>
      </c>
      <c r="C3262">
        <v>11</v>
      </c>
      <c r="D3262" s="649">
        <f ca="1">IF(E3262=4,INDEX(crude_exp_dist,MATCH(B3262,'Crude Exp Dist'!$B$6:$B$78,0),MATCH(C3262,'Crude Exp Dist'!$AD$2:$BC$2,0))*INDEX(crude_exp_by_year,MATCH(B3262,'Data Export'!$B$6:$B$78,0),1),IF(E3262=5,INDEX(ref_exp_dist,MATCH(B3262,'Refined Petro Exp Dist'!$B$6:$B$78,0),MATCH(C3262,'Refined Petro Exp Dist'!$AD$2:$BC$2,0))*INDEX(ref_exp_by_year,MATCH(B3262,'Data Export'!$B$6:$B$78,0),1)))</f>
        <v>0</v>
      </c>
      <c r="E3262">
        <v>5</v>
      </c>
      <c r="F3262" t="s">
        <v>921</v>
      </c>
    </row>
    <row r="3263" spans="1:6">
      <c r="A3263" t="str">
        <f t="shared" si="50"/>
        <v>GenericE&amp;DtemplateCIandGOA</v>
      </c>
      <c r="B3263">
        <v>56</v>
      </c>
      <c r="C3263">
        <v>12</v>
      </c>
      <c r="D3263" s="649">
        <f ca="1">IF(E3263=4,INDEX(crude_exp_dist,MATCH(B3263,'Crude Exp Dist'!$B$6:$B$78,0),MATCH(C3263,'Crude Exp Dist'!$AD$2:$BC$2,0))*INDEX(crude_exp_by_year,MATCH(B3263,'Data Export'!$B$6:$B$78,0),1),IF(E3263=5,INDEX(ref_exp_dist,MATCH(B3263,'Refined Petro Exp Dist'!$B$6:$B$78,0),MATCH(C3263,'Refined Petro Exp Dist'!$AD$2:$BC$2,0))*INDEX(ref_exp_by_year,MATCH(B3263,'Data Export'!$B$6:$B$78,0),1)))</f>
        <v>0</v>
      </c>
      <c r="E3263">
        <v>5</v>
      </c>
      <c r="F3263" t="s">
        <v>208</v>
      </c>
    </row>
    <row r="3264" spans="1:6">
      <c r="A3264" t="str">
        <f t="shared" si="50"/>
        <v>GenericE&amp;DtemplateCIandGOA</v>
      </c>
      <c r="B3264">
        <v>56</v>
      </c>
      <c r="C3264">
        <v>13</v>
      </c>
      <c r="D3264" s="649">
        <f ca="1">IF(E3264=4,INDEX(crude_exp_dist,MATCH(B3264,'Crude Exp Dist'!$B$6:$B$78,0),MATCH(C3264,'Crude Exp Dist'!$AD$2:$BC$2,0))*INDEX(crude_exp_by_year,MATCH(B3264,'Data Export'!$B$6:$B$78,0),1),IF(E3264=5,INDEX(ref_exp_dist,MATCH(B3264,'Refined Petro Exp Dist'!$B$6:$B$78,0),MATCH(C3264,'Refined Petro Exp Dist'!$AD$2:$BC$2,0))*INDEX(ref_exp_by_year,MATCH(B3264,'Data Export'!$B$6:$B$78,0),1)))</f>
        <v>0</v>
      </c>
      <c r="E3264">
        <v>5</v>
      </c>
      <c r="F3264" t="s">
        <v>211</v>
      </c>
    </row>
    <row r="3265" spans="1:6">
      <c r="A3265" t="str">
        <f t="shared" si="50"/>
        <v>GenericE&amp;DtemplateCIandGOA</v>
      </c>
      <c r="B3265">
        <v>56</v>
      </c>
      <c r="C3265">
        <v>14</v>
      </c>
      <c r="D3265" s="649">
        <f ca="1">IF(E3265=4,INDEX(crude_exp_dist,MATCH(B3265,'Crude Exp Dist'!$B$6:$B$78,0),MATCH(C3265,'Crude Exp Dist'!$AD$2:$BC$2,0))*INDEX(crude_exp_by_year,MATCH(B3265,'Data Export'!$B$6:$B$78,0),1),IF(E3265=5,INDEX(ref_exp_dist,MATCH(B3265,'Refined Petro Exp Dist'!$B$6:$B$78,0),MATCH(C3265,'Refined Petro Exp Dist'!$AD$2:$BC$2,0))*INDEX(ref_exp_by_year,MATCH(B3265,'Data Export'!$B$6:$B$78,0),1)))</f>
        <v>0</v>
      </c>
      <c r="E3265">
        <v>5</v>
      </c>
      <c r="F3265" t="s">
        <v>213</v>
      </c>
    </row>
    <row r="3266" spans="1:6">
      <c r="A3266" t="str">
        <f t="shared" ref="A3266:A3329" si="51">scenario_name</f>
        <v>GenericE&amp;DtemplateCIandGOA</v>
      </c>
      <c r="B3266">
        <v>56</v>
      </c>
      <c r="C3266">
        <v>15</v>
      </c>
      <c r="D3266" s="649">
        <f ca="1">IF(E3266=4,INDEX(crude_exp_dist,MATCH(B3266,'Crude Exp Dist'!$B$6:$B$78,0),MATCH(C3266,'Crude Exp Dist'!$AD$2:$BC$2,0))*INDEX(crude_exp_by_year,MATCH(B3266,'Data Export'!$B$6:$B$78,0),1),IF(E3266=5,INDEX(ref_exp_dist,MATCH(B3266,'Refined Petro Exp Dist'!$B$6:$B$78,0),MATCH(C3266,'Refined Petro Exp Dist'!$AD$2:$BC$2,0))*INDEX(ref_exp_by_year,MATCH(B3266,'Data Export'!$B$6:$B$78,0),1)))</f>
        <v>0</v>
      </c>
      <c r="E3266">
        <v>5</v>
      </c>
      <c r="F3266" t="s">
        <v>215</v>
      </c>
    </row>
    <row r="3267" spans="1:6">
      <c r="A3267" t="str">
        <f t="shared" si="51"/>
        <v>GenericE&amp;DtemplateCIandGOA</v>
      </c>
      <c r="B3267">
        <v>56</v>
      </c>
      <c r="C3267">
        <v>16</v>
      </c>
      <c r="D3267" s="649">
        <f ca="1">IF(E3267=4,INDEX(crude_exp_dist,MATCH(B3267,'Crude Exp Dist'!$B$6:$B$78,0),MATCH(C3267,'Crude Exp Dist'!$AD$2:$BC$2,0))*INDEX(crude_exp_by_year,MATCH(B3267,'Data Export'!$B$6:$B$78,0),1),IF(E3267=5,INDEX(ref_exp_dist,MATCH(B3267,'Refined Petro Exp Dist'!$B$6:$B$78,0),MATCH(C3267,'Refined Petro Exp Dist'!$AD$2:$BC$2,0))*INDEX(ref_exp_by_year,MATCH(B3267,'Data Export'!$B$6:$B$78,0),1)))</f>
        <v>0</v>
      </c>
      <c r="E3267">
        <v>5</v>
      </c>
      <c r="F3267" t="s">
        <v>219</v>
      </c>
    </row>
    <row r="3268" spans="1:6">
      <c r="A3268" t="str">
        <f t="shared" si="51"/>
        <v>GenericE&amp;DtemplateCIandGOA</v>
      </c>
      <c r="B3268">
        <v>56</v>
      </c>
      <c r="C3268">
        <v>17</v>
      </c>
      <c r="D3268" s="649">
        <f ca="1">IF(E3268=4,INDEX(crude_exp_dist,MATCH(B3268,'Crude Exp Dist'!$B$6:$B$78,0),MATCH(C3268,'Crude Exp Dist'!$AD$2:$BC$2,0))*INDEX(crude_exp_by_year,MATCH(B3268,'Data Export'!$B$6:$B$78,0),1),IF(E3268=5,INDEX(ref_exp_dist,MATCH(B3268,'Refined Petro Exp Dist'!$B$6:$B$78,0),MATCH(C3268,'Refined Petro Exp Dist'!$AD$2:$BC$2,0))*INDEX(ref_exp_by_year,MATCH(B3268,'Data Export'!$B$6:$B$78,0),1)))</f>
        <v>0</v>
      </c>
      <c r="E3268">
        <v>5</v>
      </c>
      <c r="F3268" t="s">
        <v>222</v>
      </c>
    </row>
    <row r="3269" spans="1:6">
      <c r="A3269" t="str">
        <f t="shared" si="51"/>
        <v>GenericE&amp;DtemplateCIandGOA</v>
      </c>
      <c r="B3269">
        <v>56</v>
      </c>
      <c r="C3269">
        <v>18</v>
      </c>
      <c r="D3269" s="649">
        <f ca="1">IF(E3269=4,INDEX(crude_exp_dist,MATCH(B3269,'Crude Exp Dist'!$B$6:$B$78,0),MATCH(C3269,'Crude Exp Dist'!$AD$2:$BC$2,0))*INDEX(crude_exp_by_year,MATCH(B3269,'Data Export'!$B$6:$B$78,0),1),IF(E3269=5,INDEX(ref_exp_dist,MATCH(B3269,'Refined Petro Exp Dist'!$B$6:$B$78,0),MATCH(C3269,'Refined Petro Exp Dist'!$AD$2:$BC$2,0))*INDEX(ref_exp_by_year,MATCH(B3269,'Data Export'!$B$6:$B$78,0),1)))</f>
        <v>0</v>
      </c>
      <c r="E3269">
        <v>5</v>
      </c>
      <c r="F3269" t="s">
        <v>224</v>
      </c>
    </row>
    <row r="3270" spans="1:6">
      <c r="A3270" t="str">
        <f t="shared" si="51"/>
        <v>GenericE&amp;DtemplateCIandGOA</v>
      </c>
      <c r="B3270">
        <v>56</v>
      </c>
      <c r="C3270">
        <v>19</v>
      </c>
      <c r="D3270" s="649">
        <f ca="1">IF(E3270=4,INDEX(crude_exp_dist,MATCH(B3270,'Crude Exp Dist'!$B$6:$B$78,0),MATCH(C3270,'Crude Exp Dist'!$AD$2:$BC$2,0))*INDEX(crude_exp_by_year,MATCH(B3270,'Data Export'!$B$6:$B$78,0),1),IF(E3270=5,INDEX(ref_exp_dist,MATCH(B3270,'Refined Petro Exp Dist'!$B$6:$B$78,0),MATCH(C3270,'Refined Petro Exp Dist'!$AD$2:$BC$2,0))*INDEX(ref_exp_by_year,MATCH(B3270,'Data Export'!$B$6:$B$78,0),1)))</f>
        <v>0</v>
      </c>
      <c r="E3270">
        <v>5</v>
      </c>
      <c r="F3270" t="s">
        <v>228</v>
      </c>
    </row>
    <row r="3271" spans="1:6">
      <c r="A3271" t="str">
        <f t="shared" si="51"/>
        <v>GenericE&amp;DtemplateCIandGOA</v>
      </c>
      <c r="B3271">
        <v>56</v>
      </c>
      <c r="C3271">
        <v>20</v>
      </c>
      <c r="D3271" s="649">
        <f ca="1">IF(E3271=4,INDEX(crude_exp_dist,MATCH(B3271,'Crude Exp Dist'!$B$6:$B$78,0),MATCH(C3271,'Crude Exp Dist'!$AD$2:$BC$2,0))*INDEX(crude_exp_by_year,MATCH(B3271,'Data Export'!$B$6:$B$78,0),1),IF(E3271=5,INDEX(ref_exp_dist,MATCH(B3271,'Refined Petro Exp Dist'!$B$6:$B$78,0),MATCH(C3271,'Refined Petro Exp Dist'!$AD$2:$BC$2,0))*INDEX(ref_exp_by_year,MATCH(B3271,'Data Export'!$B$6:$B$78,0),1)))</f>
        <v>0</v>
      </c>
      <c r="E3271">
        <v>5</v>
      </c>
      <c r="F3271" t="s">
        <v>231</v>
      </c>
    </row>
    <row r="3272" spans="1:6">
      <c r="A3272" t="str">
        <f t="shared" si="51"/>
        <v>GenericE&amp;DtemplateCIandGOA</v>
      </c>
      <c r="B3272">
        <v>56</v>
      </c>
      <c r="C3272">
        <v>21</v>
      </c>
      <c r="D3272" s="649">
        <f ca="1">IF(E3272=4,INDEX(crude_exp_dist,MATCH(B3272,'Crude Exp Dist'!$B$6:$B$78,0),MATCH(C3272,'Crude Exp Dist'!$AD$2:$BC$2,0))*INDEX(crude_exp_by_year,MATCH(B3272,'Data Export'!$B$6:$B$78,0),1),IF(E3272=5,INDEX(ref_exp_dist,MATCH(B3272,'Refined Petro Exp Dist'!$B$6:$B$78,0),MATCH(C3272,'Refined Petro Exp Dist'!$AD$2:$BC$2,0))*INDEX(ref_exp_by_year,MATCH(B3272,'Data Export'!$B$6:$B$78,0),1)))</f>
        <v>0</v>
      </c>
      <c r="E3272">
        <v>5</v>
      </c>
      <c r="F3272" t="s">
        <v>232</v>
      </c>
    </row>
    <row r="3273" spans="1:6">
      <c r="A3273" t="str">
        <f t="shared" si="51"/>
        <v>GenericE&amp;DtemplateCIandGOA</v>
      </c>
      <c r="B3273">
        <v>56</v>
      </c>
      <c r="C3273">
        <v>22</v>
      </c>
      <c r="D3273" s="649">
        <f ca="1">IF(E3273=4,INDEX(crude_exp_dist,MATCH(B3273,'Crude Exp Dist'!$B$6:$B$78,0),MATCH(C3273,'Crude Exp Dist'!$AD$2:$BC$2,0))*INDEX(crude_exp_by_year,MATCH(B3273,'Data Export'!$B$6:$B$78,0),1),IF(E3273=5,INDEX(ref_exp_dist,MATCH(B3273,'Refined Petro Exp Dist'!$B$6:$B$78,0),MATCH(C3273,'Refined Petro Exp Dist'!$AD$2:$BC$2,0))*INDEX(ref_exp_by_year,MATCH(B3273,'Data Export'!$B$6:$B$78,0),1)))</f>
        <v>0</v>
      </c>
      <c r="E3273">
        <v>5</v>
      </c>
      <c r="F3273" t="s">
        <v>235</v>
      </c>
    </row>
    <row r="3274" spans="1:6">
      <c r="A3274" t="str">
        <f t="shared" si="51"/>
        <v>GenericE&amp;DtemplateCIandGOA</v>
      </c>
      <c r="B3274">
        <v>56</v>
      </c>
      <c r="C3274">
        <v>23</v>
      </c>
      <c r="D3274" s="649">
        <f ca="1">IF(E3274=4,INDEX(crude_exp_dist,MATCH(B3274,'Crude Exp Dist'!$B$6:$B$78,0),MATCH(C3274,'Crude Exp Dist'!$AD$2:$BC$2,0))*INDEX(crude_exp_by_year,MATCH(B3274,'Data Export'!$B$6:$B$78,0),1),IF(E3274=5,INDEX(ref_exp_dist,MATCH(B3274,'Refined Petro Exp Dist'!$B$6:$B$78,0),MATCH(C3274,'Refined Petro Exp Dist'!$AD$2:$BC$2,0))*INDEX(ref_exp_by_year,MATCH(B3274,'Data Export'!$B$6:$B$78,0),1)))</f>
        <v>0</v>
      </c>
      <c r="E3274">
        <v>5</v>
      </c>
      <c r="F3274" t="s">
        <v>237</v>
      </c>
    </row>
    <row r="3275" spans="1:6">
      <c r="A3275" t="str">
        <f t="shared" si="51"/>
        <v>GenericE&amp;DtemplateCIandGOA</v>
      </c>
      <c r="B3275">
        <v>56</v>
      </c>
      <c r="C3275">
        <v>24</v>
      </c>
      <c r="D3275" s="649">
        <f ca="1">IF(E3275=4,INDEX(crude_exp_dist,MATCH(B3275,'Crude Exp Dist'!$B$6:$B$78,0),MATCH(C3275,'Crude Exp Dist'!$AD$2:$BC$2,0))*INDEX(crude_exp_by_year,MATCH(B3275,'Data Export'!$B$6:$B$78,0),1),IF(E3275=5,INDEX(ref_exp_dist,MATCH(B3275,'Refined Petro Exp Dist'!$B$6:$B$78,0),MATCH(C3275,'Refined Petro Exp Dist'!$AD$2:$BC$2,0))*INDEX(ref_exp_by_year,MATCH(B3275,'Data Export'!$B$6:$B$78,0),1)))</f>
        <v>0</v>
      </c>
      <c r="E3275">
        <v>5</v>
      </c>
      <c r="F3275" t="s">
        <v>239</v>
      </c>
    </row>
    <row r="3276" spans="1:6">
      <c r="A3276" t="str">
        <f t="shared" si="51"/>
        <v>GenericE&amp;DtemplateCIandGOA</v>
      </c>
      <c r="B3276">
        <v>56</v>
      </c>
      <c r="C3276">
        <v>25</v>
      </c>
      <c r="D3276" s="649">
        <f ca="1">IF(E3276=4,INDEX(crude_exp_dist,MATCH(B3276,'Crude Exp Dist'!$B$6:$B$78,0),MATCH(C3276,'Crude Exp Dist'!$AD$2:$BC$2,0))*INDEX(crude_exp_by_year,MATCH(B3276,'Data Export'!$B$6:$B$78,0),1),IF(E3276=5,INDEX(ref_exp_dist,MATCH(B3276,'Refined Petro Exp Dist'!$B$6:$B$78,0),MATCH(C3276,'Refined Petro Exp Dist'!$AD$2:$BC$2,0))*INDEX(ref_exp_by_year,MATCH(B3276,'Data Export'!$B$6:$B$78,0),1)))</f>
        <v>0</v>
      </c>
      <c r="E3276">
        <v>5</v>
      </c>
      <c r="F3276" t="s">
        <v>242</v>
      </c>
    </row>
    <row r="3277" spans="1:6">
      <c r="A3277" t="str">
        <f t="shared" si="51"/>
        <v>GenericE&amp;DtemplateCIandGOA</v>
      </c>
      <c r="B3277">
        <v>56</v>
      </c>
      <c r="C3277">
        <v>26</v>
      </c>
      <c r="D3277" s="649">
        <f ca="1">IF(E3277=4,INDEX(crude_exp_dist,MATCH(B3277,'Crude Exp Dist'!$B$6:$B$78,0),MATCH(C3277,'Crude Exp Dist'!$AD$2:$BC$2,0))*INDEX(crude_exp_by_year,MATCH(B3277,'Data Export'!$B$6:$B$78,0),1),IF(E3277=5,INDEX(ref_exp_dist,MATCH(B3277,'Refined Petro Exp Dist'!$B$6:$B$78,0),MATCH(C3277,'Refined Petro Exp Dist'!$AD$2:$BC$2,0))*INDEX(ref_exp_by_year,MATCH(B3277,'Data Export'!$B$6:$B$78,0),1)))</f>
        <v>0</v>
      </c>
      <c r="E3277">
        <v>5</v>
      </c>
      <c r="F3277" t="s">
        <v>245</v>
      </c>
    </row>
    <row r="3278" spans="1:6">
      <c r="A3278" t="str">
        <f t="shared" si="51"/>
        <v>GenericE&amp;DtemplateCIandGOA</v>
      </c>
      <c r="B3278">
        <v>57</v>
      </c>
      <c r="C3278">
        <v>1</v>
      </c>
      <c r="D3278" s="649">
        <f ca="1">IF(E3278=4,INDEX(crude_exp_dist,MATCH(B3278,'Crude Exp Dist'!$B$6:$B$78,0),MATCH(C3278,'Crude Exp Dist'!$AD$2:$BC$2,0))*INDEX(crude_exp_by_year,MATCH(B3278,'Data Export'!$B$6:$B$78,0),1),IF(E3278=5,INDEX(ref_exp_dist,MATCH(B3278,'Refined Petro Exp Dist'!$B$6:$B$78,0),MATCH(C3278,'Refined Petro Exp Dist'!$AD$2:$BC$2,0))*INDEX(ref_exp_by_year,MATCH(B3278,'Data Export'!$B$6:$B$78,0),1)))</f>
        <v>0</v>
      </c>
      <c r="E3278">
        <v>5</v>
      </c>
      <c r="F3278" t="s">
        <v>158</v>
      </c>
    </row>
    <row r="3279" spans="1:6">
      <c r="A3279" t="str">
        <f t="shared" si="51"/>
        <v>GenericE&amp;DtemplateCIandGOA</v>
      </c>
      <c r="B3279">
        <v>57</v>
      </c>
      <c r="C3279">
        <v>2</v>
      </c>
      <c r="D3279" s="649">
        <f ca="1">IF(E3279=4,INDEX(crude_exp_dist,MATCH(B3279,'Crude Exp Dist'!$B$6:$B$78,0),MATCH(C3279,'Crude Exp Dist'!$AD$2:$BC$2,0))*INDEX(crude_exp_by_year,MATCH(B3279,'Data Export'!$B$6:$B$78,0),1),IF(E3279=5,INDEX(ref_exp_dist,MATCH(B3279,'Refined Petro Exp Dist'!$B$6:$B$78,0),MATCH(C3279,'Refined Petro Exp Dist'!$AD$2:$BC$2,0))*INDEX(ref_exp_by_year,MATCH(B3279,'Data Export'!$B$6:$B$78,0),1)))</f>
        <v>0</v>
      </c>
      <c r="E3279">
        <v>5</v>
      </c>
      <c r="F3279" t="s">
        <v>166</v>
      </c>
    </row>
    <row r="3280" spans="1:6">
      <c r="A3280" t="str">
        <f t="shared" si="51"/>
        <v>GenericE&amp;DtemplateCIandGOA</v>
      </c>
      <c r="B3280">
        <v>57</v>
      </c>
      <c r="C3280">
        <v>3</v>
      </c>
      <c r="D3280" s="649">
        <f ca="1">IF(E3280=4,INDEX(crude_exp_dist,MATCH(B3280,'Crude Exp Dist'!$B$6:$B$78,0),MATCH(C3280,'Crude Exp Dist'!$AD$2:$BC$2,0))*INDEX(crude_exp_by_year,MATCH(B3280,'Data Export'!$B$6:$B$78,0),1),IF(E3280=5,INDEX(ref_exp_dist,MATCH(B3280,'Refined Petro Exp Dist'!$B$6:$B$78,0),MATCH(C3280,'Refined Petro Exp Dist'!$AD$2:$BC$2,0))*INDEX(ref_exp_by_year,MATCH(B3280,'Data Export'!$B$6:$B$78,0),1)))</f>
        <v>0</v>
      </c>
      <c r="E3280">
        <v>5</v>
      </c>
      <c r="F3280" t="s">
        <v>171</v>
      </c>
    </row>
    <row r="3281" spans="1:6">
      <c r="A3281" t="str">
        <f t="shared" si="51"/>
        <v>GenericE&amp;DtemplateCIandGOA</v>
      </c>
      <c r="B3281">
        <v>57</v>
      </c>
      <c r="C3281">
        <v>4</v>
      </c>
      <c r="D3281" s="649">
        <f ca="1">IF(E3281=4,INDEX(crude_exp_dist,MATCH(B3281,'Crude Exp Dist'!$B$6:$B$78,0),MATCH(C3281,'Crude Exp Dist'!$AD$2:$BC$2,0))*INDEX(crude_exp_by_year,MATCH(B3281,'Data Export'!$B$6:$B$78,0),1),IF(E3281=5,INDEX(ref_exp_dist,MATCH(B3281,'Refined Petro Exp Dist'!$B$6:$B$78,0),MATCH(C3281,'Refined Petro Exp Dist'!$AD$2:$BC$2,0))*INDEX(ref_exp_by_year,MATCH(B3281,'Data Export'!$B$6:$B$78,0),1)))</f>
        <v>0</v>
      </c>
      <c r="E3281">
        <v>5</v>
      </c>
      <c r="F3281" t="s">
        <v>173</v>
      </c>
    </row>
    <row r="3282" spans="1:6">
      <c r="A3282" t="str">
        <f t="shared" si="51"/>
        <v>GenericE&amp;DtemplateCIandGOA</v>
      </c>
      <c r="B3282">
        <v>57</v>
      </c>
      <c r="C3282">
        <v>5</v>
      </c>
      <c r="D3282" s="649">
        <f ca="1">IF(E3282=4,INDEX(crude_exp_dist,MATCH(B3282,'Crude Exp Dist'!$B$6:$B$78,0),MATCH(C3282,'Crude Exp Dist'!$AD$2:$BC$2,0))*INDEX(crude_exp_by_year,MATCH(B3282,'Data Export'!$B$6:$B$78,0),1),IF(E3282=5,INDEX(ref_exp_dist,MATCH(B3282,'Refined Petro Exp Dist'!$B$6:$B$78,0),MATCH(C3282,'Refined Petro Exp Dist'!$AD$2:$BC$2,0))*INDEX(ref_exp_by_year,MATCH(B3282,'Data Export'!$B$6:$B$78,0),1)))</f>
        <v>0</v>
      </c>
      <c r="E3282">
        <v>5</v>
      </c>
      <c r="F3282" t="s">
        <v>180</v>
      </c>
    </row>
    <row r="3283" spans="1:6">
      <c r="A3283" t="str">
        <f t="shared" si="51"/>
        <v>GenericE&amp;DtemplateCIandGOA</v>
      </c>
      <c r="B3283">
        <v>57</v>
      </c>
      <c r="C3283">
        <v>6</v>
      </c>
      <c r="D3283" s="649">
        <f ca="1">IF(E3283=4,INDEX(crude_exp_dist,MATCH(B3283,'Crude Exp Dist'!$B$6:$B$78,0),MATCH(C3283,'Crude Exp Dist'!$AD$2:$BC$2,0))*INDEX(crude_exp_by_year,MATCH(B3283,'Data Export'!$B$6:$B$78,0),1),IF(E3283=5,INDEX(ref_exp_dist,MATCH(B3283,'Refined Petro Exp Dist'!$B$6:$B$78,0),MATCH(C3283,'Refined Petro Exp Dist'!$AD$2:$BC$2,0))*INDEX(ref_exp_by_year,MATCH(B3283,'Data Export'!$B$6:$B$78,0),1)))</f>
        <v>0</v>
      </c>
      <c r="E3283">
        <v>5</v>
      </c>
      <c r="F3283" t="s">
        <v>186</v>
      </c>
    </row>
    <row r="3284" spans="1:6">
      <c r="A3284" t="str">
        <f t="shared" si="51"/>
        <v>GenericE&amp;DtemplateCIandGOA</v>
      </c>
      <c r="B3284">
        <v>57</v>
      </c>
      <c r="C3284">
        <v>7</v>
      </c>
      <c r="D3284" s="649">
        <f ca="1">IF(E3284=4,INDEX(crude_exp_dist,MATCH(B3284,'Crude Exp Dist'!$B$6:$B$78,0),MATCH(C3284,'Crude Exp Dist'!$AD$2:$BC$2,0))*INDEX(crude_exp_by_year,MATCH(B3284,'Data Export'!$B$6:$B$78,0),1),IF(E3284=5,INDEX(ref_exp_dist,MATCH(B3284,'Refined Petro Exp Dist'!$B$6:$B$78,0),MATCH(C3284,'Refined Petro Exp Dist'!$AD$2:$BC$2,0))*INDEX(ref_exp_by_year,MATCH(B3284,'Data Export'!$B$6:$B$78,0),1)))</f>
        <v>0</v>
      </c>
      <c r="E3284">
        <v>5</v>
      </c>
      <c r="F3284" t="s">
        <v>191</v>
      </c>
    </row>
    <row r="3285" spans="1:6">
      <c r="A3285" t="str">
        <f t="shared" si="51"/>
        <v>GenericE&amp;DtemplateCIandGOA</v>
      </c>
      <c r="B3285">
        <v>57</v>
      </c>
      <c r="C3285">
        <v>8</v>
      </c>
      <c r="D3285" s="649">
        <f ca="1">IF(E3285=4,INDEX(crude_exp_dist,MATCH(B3285,'Crude Exp Dist'!$B$6:$B$78,0),MATCH(C3285,'Crude Exp Dist'!$AD$2:$BC$2,0))*INDEX(crude_exp_by_year,MATCH(B3285,'Data Export'!$B$6:$B$78,0),1),IF(E3285=5,INDEX(ref_exp_dist,MATCH(B3285,'Refined Petro Exp Dist'!$B$6:$B$78,0),MATCH(C3285,'Refined Petro Exp Dist'!$AD$2:$BC$2,0))*INDEX(ref_exp_by_year,MATCH(B3285,'Data Export'!$B$6:$B$78,0),1)))</f>
        <v>0</v>
      </c>
      <c r="E3285">
        <v>5</v>
      </c>
      <c r="F3285" t="s">
        <v>197</v>
      </c>
    </row>
    <row r="3286" spans="1:6">
      <c r="A3286" t="str">
        <f t="shared" si="51"/>
        <v>GenericE&amp;DtemplateCIandGOA</v>
      </c>
      <c r="B3286">
        <v>57</v>
      </c>
      <c r="C3286">
        <v>9</v>
      </c>
      <c r="D3286" s="649">
        <f ca="1">IF(E3286=4,INDEX(crude_exp_dist,MATCH(B3286,'Crude Exp Dist'!$B$6:$B$78,0),MATCH(C3286,'Crude Exp Dist'!$AD$2:$BC$2,0))*INDEX(crude_exp_by_year,MATCH(B3286,'Data Export'!$B$6:$B$78,0),1),IF(E3286=5,INDEX(ref_exp_dist,MATCH(B3286,'Refined Petro Exp Dist'!$B$6:$B$78,0),MATCH(C3286,'Refined Petro Exp Dist'!$AD$2:$BC$2,0))*INDEX(ref_exp_by_year,MATCH(B3286,'Data Export'!$B$6:$B$78,0),1)))</f>
        <v>0</v>
      </c>
      <c r="E3286">
        <v>5</v>
      </c>
      <c r="F3286" t="s">
        <v>199</v>
      </c>
    </row>
    <row r="3287" spans="1:6">
      <c r="A3287" t="str">
        <f t="shared" si="51"/>
        <v>GenericE&amp;DtemplateCIandGOA</v>
      </c>
      <c r="B3287">
        <v>57</v>
      </c>
      <c r="C3287">
        <v>10</v>
      </c>
      <c r="D3287" s="649">
        <f ca="1">IF(E3287=4,INDEX(crude_exp_dist,MATCH(B3287,'Crude Exp Dist'!$B$6:$B$78,0),MATCH(C3287,'Crude Exp Dist'!$AD$2:$BC$2,0))*INDEX(crude_exp_by_year,MATCH(B3287,'Data Export'!$B$6:$B$78,0),1),IF(E3287=5,INDEX(ref_exp_dist,MATCH(B3287,'Refined Petro Exp Dist'!$B$6:$B$78,0),MATCH(C3287,'Refined Petro Exp Dist'!$AD$2:$BC$2,0))*INDEX(ref_exp_by_year,MATCH(B3287,'Data Export'!$B$6:$B$78,0),1)))</f>
        <v>0</v>
      </c>
      <c r="E3287">
        <v>5</v>
      </c>
      <c r="F3287" t="s">
        <v>201</v>
      </c>
    </row>
    <row r="3288" spans="1:6">
      <c r="A3288" t="str">
        <f t="shared" si="51"/>
        <v>GenericE&amp;DtemplateCIandGOA</v>
      </c>
      <c r="B3288">
        <v>57</v>
      </c>
      <c r="C3288">
        <v>11</v>
      </c>
      <c r="D3288" s="649">
        <f ca="1">IF(E3288=4,INDEX(crude_exp_dist,MATCH(B3288,'Crude Exp Dist'!$B$6:$B$78,0),MATCH(C3288,'Crude Exp Dist'!$AD$2:$BC$2,0))*INDEX(crude_exp_by_year,MATCH(B3288,'Data Export'!$B$6:$B$78,0),1),IF(E3288=5,INDEX(ref_exp_dist,MATCH(B3288,'Refined Petro Exp Dist'!$B$6:$B$78,0),MATCH(C3288,'Refined Petro Exp Dist'!$AD$2:$BC$2,0))*INDEX(ref_exp_by_year,MATCH(B3288,'Data Export'!$B$6:$B$78,0),1)))</f>
        <v>0</v>
      </c>
      <c r="E3288">
        <v>5</v>
      </c>
      <c r="F3288" t="s">
        <v>921</v>
      </c>
    </row>
    <row r="3289" spans="1:6">
      <c r="A3289" t="str">
        <f t="shared" si="51"/>
        <v>GenericE&amp;DtemplateCIandGOA</v>
      </c>
      <c r="B3289">
        <v>57</v>
      </c>
      <c r="C3289">
        <v>12</v>
      </c>
      <c r="D3289" s="649">
        <f ca="1">IF(E3289=4,INDEX(crude_exp_dist,MATCH(B3289,'Crude Exp Dist'!$B$6:$B$78,0),MATCH(C3289,'Crude Exp Dist'!$AD$2:$BC$2,0))*INDEX(crude_exp_by_year,MATCH(B3289,'Data Export'!$B$6:$B$78,0),1),IF(E3289=5,INDEX(ref_exp_dist,MATCH(B3289,'Refined Petro Exp Dist'!$B$6:$B$78,0),MATCH(C3289,'Refined Petro Exp Dist'!$AD$2:$BC$2,0))*INDEX(ref_exp_by_year,MATCH(B3289,'Data Export'!$B$6:$B$78,0),1)))</f>
        <v>0</v>
      </c>
      <c r="E3289">
        <v>5</v>
      </c>
      <c r="F3289" t="s">
        <v>208</v>
      </c>
    </row>
    <row r="3290" spans="1:6">
      <c r="A3290" t="str">
        <f t="shared" si="51"/>
        <v>GenericE&amp;DtemplateCIandGOA</v>
      </c>
      <c r="B3290">
        <v>57</v>
      </c>
      <c r="C3290">
        <v>13</v>
      </c>
      <c r="D3290" s="649">
        <f ca="1">IF(E3290=4,INDEX(crude_exp_dist,MATCH(B3290,'Crude Exp Dist'!$B$6:$B$78,0),MATCH(C3290,'Crude Exp Dist'!$AD$2:$BC$2,0))*INDEX(crude_exp_by_year,MATCH(B3290,'Data Export'!$B$6:$B$78,0),1),IF(E3290=5,INDEX(ref_exp_dist,MATCH(B3290,'Refined Petro Exp Dist'!$B$6:$B$78,0),MATCH(C3290,'Refined Petro Exp Dist'!$AD$2:$BC$2,0))*INDEX(ref_exp_by_year,MATCH(B3290,'Data Export'!$B$6:$B$78,0),1)))</f>
        <v>0</v>
      </c>
      <c r="E3290">
        <v>5</v>
      </c>
      <c r="F3290" t="s">
        <v>211</v>
      </c>
    </row>
    <row r="3291" spans="1:6">
      <c r="A3291" t="str">
        <f t="shared" si="51"/>
        <v>GenericE&amp;DtemplateCIandGOA</v>
      </c>
      <c r="B3291">
        <v>57</v>
      </c>
      <c r="C3291">
        <v>14</v>
      </c>
      <c r="D3291" s="649">
        <f ca="1">IF(E3291=4,INDEX(crude_exp_dist,MATCH(B3291,'Crude Exp Dist'!$B$6:$B$78,0),MATCH(C3291,'Crude Exp Dist'!$AD$2:$BC$2,0))*INDEX(crude_exp_by_year,MATCH(B3291,'Data Export'!$B$6:$B$78,0),1),IF(E3291=5,INDEX(ref_exp_dist,MATCH(B3291,'Refined Petro Exp Dist'!$B$6:$B$78,0),MATCH(C3291,'Refined Petro Exp Dist'!$AD$2:$BC$2,0))*INDEX(ref_exp_by_year,MATCH(B3291,'Data Export'!$B$6:$B$78,0),1)))</f>
        <v>0</v>
      </c>
      <c r="E3291">
        <v>5</v>
      </c>
      <c r="F3291" t="s">
        <v>213</v>
      </c>
    </row>
    <row r="3292" spans="1:6">
      <c r="A3292" t="str">
        <f t="shared" si="51"/>
        <v>GenericE&amp;DtemplateCIandGOA</v>
      </c>
      <c r="B3292">
        <v>57</v>
      </c>
      <c r="C3292">
        <v>15</v>
      </c>
      <c r="D3292" s="649">
        <f ca="1">IF(E3292=4,INDEX(crude_exp_dist,MATCH(B3292,'Crude Exp Dist'!$B$6:$B$78,0),MATCH(C3292,'Crude Exp Dist'!$AD$2:$BC$2,0))*INDEX(crude_exp_by_year,MATCH(B3292,'Data Export'!$B$6:$B$78,0),1),IF(E3292=5,INDEX(ref_exp_dist,MATCH(B3292,'Refined Petro Exp Dist'!$B$6:$B$78,0),MATCH(C3292,'Refined Petro Exp Dist'!$AD$2:$BC$2,0))*INDEX(ref_exp_by_year,MATCH(B3292,'Data Export'!$B$6:$B$78,0),1)))</f>
        <v>0</v>
      </c>
      <c r="E3292">
        <v>5</v>
      </c>
      <c r="F3292" t="s">
        <v>215</v>
      </c>
    </row>
    <row r="3293" spans="1:6">
      <c r="A3293" t="str">
        <f t="shared" si="51"/>
        <v>GenericE&amp;DtemplateCIandGOA</v>
      </c>
      <c r="B3293">
        <v>57</v>
      </c>
      <c r="C3293">
        <v>16</v>
      </c>
      <c r="D3293" s="649">
        <f ca="1">IF(E3293=4,INDEX(crude_exp_dist,MATCH(B3293,'Crude Exp Dist'!$B$6:$B$78,0),MATCH(C3293,'Crude Exp Dist'!$AD$2:$BC$2,0))*INDEX(crude_exp_by_year,MATCH(B3293,'Data Export'!$B$6:$B$78,0),1),IF(E3293=5,INDEX(ref_exp_dist,MATCH(B3293,'Refined Petro Exp Dist'!$B$6:$B$78,0),MATCH(C3293,'Refined Petro Exp Dist'!$AD$2:$BC$2,0))*INDEX(ref_exp_by_year,MATCH(B3293,'Data Export'!$B$6:$B$78,0),1)))</f>
        <v>0</v>
      </c>
      <c r="E3293">
        <v>5</v>
      </c>
      <c r="F3293" t="s">
        <v>219</v>
      </c>
    </row>
    <row r="3294" spans="1:6">
      <c r="A3294" t="str">
        <f t="shared" si="51"/>
        <v>GenericE&amp;DtemplateCIandGOA</v>
      </c>
      <c r="B3294">
        <v>57</v>
      </c>
      <c r="C3294">
        <v>17</v>
      </c>
      <c r="D3294" s="649">
        <f ca="1">IF(E3294=4,INDEX(crude_exp_dist,MATCH(B3294,'Crude Exp Dist'!$B$6:$B$78,0),MATCH(C3294,'Crude Exp Dist'!$AD$2:$BC$2,0))*INDEX(crude_exp_by_year,MATCH(B3294,'Data Export'!$B$6:$B$78,0),1),IF(E3294=5,INDEX(ref_exp_dist,MATCH(B3294,'Refined Petro Exp Dist'!$B$6:$B$78,0),MATCH(C3294,'Refined Petro Exp Dist'!$AD$2:$BC$2,0))*INDEX(ref_exp_by_year,MATCH(B3294,'Data Export'!$B$6:$B$78,0),1)))</f>
        <v>0</v>
      </c>
      <c r="E3294">
        <v>5</v>
      </c>
      <c r="F3294" t="s">
        <v>222</v>
      </c>
    </row>
    <row r="3295" spans="1:6">
      <c r="A3295" t="str">
        <f t="shared" si="51"/>
        <v>GenericE&amp;DtemplateCIandGOA</v>
      </c>
      <c r="B3295">
        <v>57</v>
      </c>
      <c r="C3295">
        <v>18</v>
      </c>
      <c r="D3295" s="649">
        <f ca="1">IF(E3295=4,INDEX(crude_exp_dist,MATCH(B3295,'Crude Exp Dist'!$B$6:$B$78,0),MATCH(C3295,'Crude Exp Dist'!$AD$2:$BC$2,0))*INDEX(crude_exp_by_year,MATCH(B3295,'Data Export'!$B$6:$B$78,0),1),IF(E3295=5,INDEX(ref_exp_dist,MATCH(B3295,'Refined Petro Exp Dist'!$B$6:$B$78,0),MATCH(C3295,'Refined Petro Exp Dist'!$AD$2:$BC$2,0))*INDEX(ref_exp_by_year,MATCH(B3295,'Data Export'!$B$6:$B$78,0),1)))</f>
        <v>0</v>
      </c>
      <c r="E3295">
        <v>5</v>
      </c>
      <c r="F3295" t="s">
        <v>224</v>
      </c>
    </row>
    <row r="3296" spans="1:6">
      <c r="A3296" t="str">
        <f t="shared" si="51"/>
        <v>GenericE&amp;DtemplateCIandGOA</v>
      </c>
      <c r="B3296">
        <v>57</v>
      </c>
      <c r="C3296">
        <v>19</v>
      </c>
      <c r="D3296" s="649">
        <f ca="1">IF(E3296=4,INDEX(crude_exp_dist,MATCH(B3296,'Crude Exp Dist'!$B$6:$B$78,0),MATCH(C3296,'Crude Exp Dist'!$AD$2:$BC$2,0))*INDEX(crude_exp_by_year,MATCH(B3296,'Data Export'!$B$6:$B$78,0),1),IF(E3296=5,INDEX(ref_exp_dist,MATCH(B3296,'Refined Petro Exp Dist'!$B$6:$B$78,0),MATCH(C3296,'Refined Petro Exp Dist'!$AD$2:$BC$2,0))*INDEX(ref_exp_by_year,MATCH(B3296,'Data Export'!$B$6:$B$78,0),1)))</f>
        <v>0</v>
      </c>
      <c r="E3296">
        <v>5</v>
      </c>
      <c r="F3296" t="s">
        <v>228</v>
      </c>
    </row>
    <row r="3297" spans="1:6">
      <c r="A3297" t="str">
        <f t="shared" si="51"/>
        <v>GenericE&amp;DtemplateCIandGOA</v>
      </c>
      <c r="B3297">
        <v>57</v>
      </c>
      <c r="C3297">
        <v>20</v>
      </c>
      <c r="D3297" s="649">
        <f ca="1">IF(E3297=4,INDEX(crude_exp_dist,MATCH(B3297,'Crude Exp Dist'!$B$6:$B$78,0),MATCH(C3297,'Crude Exp Dist'!$AD$2:$BC$2,0))*INDEX(crude_exp_by_year,MATCH(B3297,'Data Export'!$B$6:$B$78,0),1),IF(E3297=5,INDEX(ref_exp_dist,MATCH(B3297,'Refined Petro Exp Dist'!$B$6:$B$78,0),MATCH(C3297,'Refined Petro Exp Dist'!$AD$2:$BC$2,0))*INDEX(ref_exp_by_year,MATCH(B3297,'Data Export'!$B$6:$B$78,0),1)))</f>
        <v>0</v>
      </c>
      <c r="E3297">
        <v>5</v>
      </c>
      <c r="F3297" t="s">
        <v>231</v>
      </c>
    </row>
    <row r="3298" spans="1:6">
      <c r="A3298" t="str">
        <f t="shared" si="51"/>
        <v>GenericE&amp;DtemplateCIandGOA</v>
      </c>
      <c r="B3298">
        <v>57</v>
      </c>
      <c r="C3298">
        <v>21</v>
      </c>
      <c r="D3298" s="649">
        <f ca="1">IF(E3298=4,INDEX(crude_exp_dist,MATCH(B3298,'Crude Exp Dist'!$B$6:$B$78,0),MATCH(C3298,'Crude Exp Dist'!$AD$2:$BC$2,0))*INDEX(crude_exp_by_year,MATCH(B3298,'Data Export'!$B$6:$B$78,0),1),IF(E3298=5,INDEX(ref_exp_dist,MATCH(B3298,'Refined Petro Exp Dist'!$B$6:$B$78,0),MATCH(C3298,'Refined Petro Exp Dist'!$AD$2:$BC$2,0))*INDEX(ref_exp_by_year,MATCH(B3298,'Data Export'!$B$6:$B$78,0),1)))</f>
        <v>0</v>
      </c>
      <c r="E3298">
        <v>5</v>
      </c>
      <c r="F3298" t="s">
        <v>232</v>
      </c>
    </row>
    <row r="3299" spans="1:6">
      <c r="A3299" t="str">
        <f t="shared" si="51"/>
        <v>GenericE&amp;DtemplateCIandGOA</v>
      </c>
      <c r="B3299">
        <v>57</v>
      </c>
      <c r="C3299">
        <v>22</v>
      </c>
      <c r="D3299" s="649">
        <f ca="1">IF(E3299=4,INDEX(crude_exp_dist,MATCH(B3299,'Crude Exp Dist'!$B$6:$B$78,0),MATCH(C3299,'Crude Exp Dist'!$AD$2:$BC$2,0))*INDEX(crude_exp_by_year,MATCH(B3299,'Data Export'!$B$6:$B$78,0),1),IF(E3299=5,INDEX(ref_exp_dist,MATCH(B3299,'Refined Petro Exp Dist'!$B$6:$B$78,0),MATCH(C3299,'Refined Petro Exp Dist'!$AD$2:$BC$2,0))*INDEX(ref_exp_by_year,MATCH(B3299,'Data Export'!$B$6:$B$78,0),1)))</f>
        <v>0</v>
      </c>
      <c r="E3299">
        <v>5</v>
      </c>
      <c r="F3299" t="s">
        <v>235</v>
      </c>
    </row>
    <row r="3300" spans="1:6">
      <c r="A3300" t="str">
        <f t="shared" si="51"/>
        <v>GenericE&amp;DtemplateCIandGOA</v>
      </c>
      <c r="B3300">
        <v>57</v>
      </c>
      <c r="C3300">
        <v>23</v>
      </c>
      <c r="D3300" s="649">
        <f ca="1">IF(E3300=4,INDEX(crude_exp_dist,MATCH(B3300,'Crude Exp Dist'!$B$6:$B$78,0),MATCH(C3300,'Crude Exp Dist'!$AD$2:$BC$2,0))*INDEX(crude_exp_by_year,MATCH(B3300,'Data Export'!$B$6:$B$78,0),1),IF(E3300=5,INDEX(ref_exp_dist,MATCH(B3300,'Refined Petro Exp Dist'!$B$6:$B$78,0),MATCH(C3300,'Refined Petro Exp Dist'!$AD$2:$BC$2,0))*INDEX(ref_exp_by_year,MATCH(B3300,'Data Export'!$B$6:$B$78,0),1)))</f>
        <v>0</v>
      </c>
      <c r="E3300">
        <v>5</v>
      </c>
      <c r="F3300" t="s">
        <v>237</v>
      </c>
    </row>
    <row r="3301" spans="1:6">
      <c r="A3301" t="str">
        <f t="shared" si="51"/>
        <v>GenericE&amp;DtemplateCIandGOA</v>
      </c>
      <c r="B3301">
        <v>57</v>
      </c>
      <c r="C3301">
        <v>24</v>
      </c>
      <c r="D3301" s="649">
        <f ca="1">IF(E3301=4,INDEX(crude_exp_dist,MATCH(B3301,'Crude Exp Dist'!$B$6:$B$78,0),MATCH(C3301,'Crude Exp Dist'!$AD$2:$BC$2,0))*INDEX(crude_exp_by_year,MATCH(B3301,'Data Export'!$B$6:$B$78,0),1),IF(E3301=5,INDEX(ref_exp_dist,MATCH(B3301,'Refined Petro Exp Dist'!$B$6:$B$78,0),MATCH(C3301,'Refined Petro Exp Dist'!$AD$2:$BC$2,0))*INDEX(ref_exp_by_year,MATCH(B3301,'Data Export'!$B$6:$B$78,0),1)))</f>
        <v>0</v>
      </c>
      <c r="E3301">
        <v>5</v>
      </c>
      <c r="F3301" t="s">
        <v>239</v>
      </c>
    </row>
    <row r="3302" spans="1:6">
      <c r="A3302" t="str">
        <f t="shared" si="51"/>
        <v>GenericE&amp;DtemplateCIandGOA</v>
      </c>
      <c r="B3302">
        <v>57</v>
      </c>
      <c r="C3302">
        <v>25</v>
      </c>
      <c r="D3302" s="649">
        <f ca="1">IF(E3302=4,INDEX(crude_exp_dist,MATCH(B3302,'Crude Exp Dist'!$B$6:$B$78,0),MATCH(C3302,'Crude Exp Dist'!$AD$2:$BC$2,0))*INDEX(crude_exp_by_year,MATCH(B3302,'Data Export'!$B$6:$B$78,0),1),IF(E3302=5,INDEX(ref_exp_dist,MATCH(B3302,'Refined Petro Exp Dist'!$B$6:$B$78,0),MATCH(C3302,'Refined Petro Exp Dist'!$AD$2:$BC$2,0))*INDEX(ref_exp_by_year,MATCH(B3302,'Data Export'!$B$6:$B$78,0),1)))</f>
        <v>0</v>
      </c>
      <c r="E3302">
        <v>5</v>
      </c>
      <c r="F3302" t="s">
        <v>242</v>
      </c>
    </row>
    <row r="3303" spans="1:6">
      <c r="A3303" t="str">
        <f t="shared" si="51"/>
        <v>GenericE&amp;DtemplateCIandGOA</v>
      </c>
      <c r="B3303">
        <v>57</v>
      </c>
      <c r="C3303">
        <v>26</v>
      </c>
      <c r="D3303" s="649">
        <f ca="1">IF(E3303=4,INDEX(crude_exp_dist,MATCH(B3303,'Crude Exp Dist'!$B$6:$B$78,0),MATCH(C3303,'Crude Exp Dist'!$AD$2:$BC$2,0))*INDEX(crude_exp_by_year,MATCH(B3303,'Data Export'!$B$6:$B$78,0),1),IF(E3303=5,INDEX(ref_exp_dist,MATCH(B3303,'Refined Petro Exp Dist'!$B$6:$B$78,0),MATCH(C3303,'Refined Petro Exp Dist'!$AD$2:$BC$2,0))*INDEX(ref_exp_by_year,MATCH(B3303,'Data Export'!$B$6:$B$78,0),1)))</f>
        <v>0</v>
      </c>
      <c r="E3303">
        <v>5</v>
      </c>
      <c r="F3303" t="s">
        <v>245</v>
      </c>
    </row>
    <row r="3304" spans="1:6">
      <c r="A3304" t="str">
        <f t="shared" si="51"/>
        <v>GenericE&amp;DtemplateCIandGOA</v>
      </c>
      <c r="B3304">
        <v>58</v>
      </c>
      <c r="C3304">
        <v>1</v>
      </c>
      <c r="D3304" s="649">
        <f ca="1">IF(E3304=4,INDEX(crude_exp_dist,MATCH(B3304,'Crude Exp Dist'!$B$6:$B$78,0),MATCH(C3304,'Crude Exp Dist'!$AD$2:$BC$2,0))*INDEX(crude_exp_by_year,MATCH(B3304,'Data Export'!$B$6:$B$78,0),1),IF(E3304=5,INDEX(ref_exp_dist,MATCH(B3304,'Refined Petro Exp Dist'!$B$6:$B$78,0),MATCH(C3304,'Refined Petro Exp Dist'!$AD$2:$BC$2,0))*INDEX(ref_exp_by_year,MATCH(B3304,'Data Export'!$B$6:$B$78,0),1)))</f>
        <v>0</v>
      </c>
      <c r="E3304">
        <v>5</v>
      </c>
      <c r="F3304" t="s">
        <v>158</v>
      </c>
    </row>
    <row r="3305" spans="1:6">
      <c r="A3305" t="str">
        <f t="shared" si="51"/>
        <v>GenericE&amp;DtemplateCIandGOA</v>
      </c>
      <c r="B3305">
        <v>58</v>
      </c>
      <c r="C3305">
        <v>2</v>
      </c>
      <c r="D3305" s="649">
        <f ca="1">IF(E3305=4,INDEX(crude_exp_dist,MATCH(B3305,'Crude Exp Dist'!$B$6:$B$78,0),MATCH(C3305,'Crude Exp Dist'!$AD$2:$BC$2,0))*INDEX(crude_exp_by_year,MATCH(B3305,'Data Export'!$B$6:$B$78,0),1),IF(E3305=5,INDEX(ref_exp_dist,MATCH(B3305,'Refined Petro Exp Dist'!$B$6:$B$78,0),MATCH(C3305,'Refined Petro Exp Dist'!$AD$2:$BC$2,0))*INDEX(ref_exp_by_year,MATCH(B3305,'Data Export'!$B$6:$B$78,0),1)))</f>
        <v>0</v>
      </c>
      <c r="E3305">
        <v>5</v>
      </c>
      <c r="F3305" t="s">
        <v>166</v>
      </c>
    </row>
    <row r="3306" spans="1:6">
      <c r="A3306" t="str">
        <f t="shared" si="51"/>
        <v>GenericE&amp;DtemplateCIandGOA</v>
      </c>
      <c r="B3306">
        <v>58</v>
      </c>
      <c r="C3306">
        <v>3</v>
      </c>
      <c r="D3306" s="649">
        <f ca="1">IF(E3306=4,INDEX(crude_exp_dist,MATCH(B3306,'Crude Exp Dist'!$B$6:$B$78,0),MATCH(C3306,'Crude Exp Dist'!$AD$2:$BC$2,0))*INDEX(crude_exp_by_year,MATCH(B3306,'Data Export'!$B$6:$B$78,0),1),IF(E3306=5,INDEX(ref_exp_dist,MATCH(B3306,'Refined Petro Exp Dist'!$B$6:$B$78,0),MATCH(C3306,'Refined Petro Exp Dist'!$AD$2:$BC$2,0))*INDEX(ref_exp_by_year,MATCH(B3306,'Data Export'!$B$6:$B$78,0),1)))</f>
        <v>0</v>
      </c>
      <c r="E3306">
        <v>5</v>
      </c>
      <c r="F3306" t="s">
        <v>171</v>
      </c>
    </row>
    <row r="3307" spans="1:6">
      <c r="A3307" t="str">
        <f t="shared" si="51"/>
        <v>GenericE&amp;DtemplateCIandGOA</v>
      </c>
      <c r="B3307">
        <v>58</v>
      </c>
      <c r="C3307">
        <v>4</v>
      </c>
      <c r="D3307" s="649">
        <f ca="1">IF(E3307=4,INDEX(crude_exp_dist,MATCH(B3307,'Crude Exp Dist'!$B$6:$B$78,0),MATCH(C3307,'Crude Exp Dist'!$AD$2:$BC$2,0))*INDEX(crude_exp_by_year,MATCH(B3307,'Data Export'!$B$6:$B$78,0),1),IF(E3307=5,INDEX(ref_exp_dist,MATCH(B3307,'Refined Petro Exp Dist'!$B$6:$B$78,0),MATCH(C3307,'Refined Petro Exp Dist'!$AD$2:$BC$2,0))*INDEX(ref_exp_by_year,MATCH(B3307,'Data Export'!$B$6:$B$78,0),1)))</f>
        <v>0</v>
      </c>
      <c r="E3307">
        <v>5</v>
      </c>
      <c r="F3307" t="s">
        <v>173</v>
      </c>
    </row>
    <row r="3308" spans="1:6">
      <c r="A3308" t="str">
        <f t="shared" si="51"/>
        <v>GenericE&amp;DtemplateCIandGOA</v>
      </c>
      <c r="B3308">
        <v>58</v>
      </c>
      <c r="C3308">
        <v>5</v>
      </c>
      <c r="D3308" s="649">
        <f ca="1">IF(E3308=4,INDEX(crude_exp_dist,MATCH(B3308,'Crude Exp Dist'!$B$6:$B$78,0),MATCH(C3308,'Crude Exp Dist'!$AD$2:$BC$2,0))*INDEX(crude_exp_by_year,MATCH(B3308,'Data Export'!$B$6:$B$78,0),1),IF(E3308=5,INDEX(ref_exp_dist,MATCH(B3308,'Refined Petro Exp Dist'!$B$6:$B$78,0),MATCH(C3308,'Refined Petro Exp Dist'!$AD$2:$BC$2,0))*INDEX(ref_exp_by_year,MATCH(B3308,'Data Export'!$B$6:$B$78,0),1)))</f>
        <v>0</v>
      </c>
      <c r="E3308">
        <v>5</v>
      </c>
      <c r="F3308" t="s">
        <v>180</v>
      </c>
    </row>
    <row r="3309" spans="1:6">
      <c r="A3309" t="str">
        <f t="shared" si="51"/>
        <v>GenericE&amp;DtemplateCIandGOA</v>
      </c>
      <c r="B3309">
        <v>58</v>
      </c>
      <c r="C3309">
        <v>6</v>
      </c>
      <c r="D3309" s="649">
        <f ca="1">IF(E3309=4,INDEX(crude_exp_dist,MATCH(B3309,'Crude Exp Dist'!$B$6:$B$78,0),MATCH(C3309,'Crude Exp Dist'!$AD$2:$BC$2,0))*INDEX(crude_exp_by_year,MATCH(B3309,'Data Export'!$B$6:$B$78,0),1),IF(E3309=5,INDEX(ref_exp_dist,MATCH(B3309,'Refined Petro Exp Dist'!$B$6:$B$78,0),MATCH(C3309,'Refined Petro Exp Dist'!$AD$2:$BC$2,0))*INDEX(ref_exp_by_year,MATCH(B3309,'Data Export'!$B$6:$B$78,0),1)))</f>
        <v>0</v>
      </c>
      <c r="E3309">
        <v>5</v>
      </c>
      <c r="F3309" t="s">
        <v>186</v>
      </c>
    </row>
    <row r="3310" spans="1:6">
      <c r="A3310" t="str">
        <f t="shared" si="51"/>
        <v>GenericE&amp;DtemplateCIandGOA</v>
      </c>
      <c r="B3310">
        <v>58</v>
      </c>
      <c r="C3310">
        <v>7</v>
      </c>
      <c r="D3310" s="649">
        <f ca="1">IF(E3310=4,INDEX(crude_exp_dist,MATCH(B3310,'Crude Exp Dist'!$B$6:$B$78,0),MATCH(C3310,'Crude Exp Dist'!$AD$2:$BC$2,0))*INDEX(crude_exp_by_year,MATCH(B3310,'Data Export'!$B$6:$B$78,0),1),IF(E3310=5,INDEX(ref_exp_dist,MATCH(B3310,'Refined Petro Exp Dist'!$B$6:$B$78,0),MATCH(C3310,'Refined Petro Exp Dist'!$AD$2:$BC$2,0))*INDEX(ref_exp_by_year,MATCH(B3310,'Data Export'!$B$6:$B$78,0),1)))</f>
        <v>0</v>
      </c>
      <c r="E3310">
        <v>5</v>
      </c>
      <c r="F3310" t="s">
        <v>191</v>
      </c>
    </row>
    <row r="3311" spans="1:6">
      <c r="A3311" t="str">
        <f t="shared" si="51"/>
        <v>GenericE&amp;DtemplateCIandGOA</v>
      </c>
      <c r="B3311">
        <v>58</v>
      </c>
      <c r="C3311">
        <v>8</v>
      </c>
      <c r="D3311" s="649">
        <f ca="1">IF(E3311=4,INDEX(crude_exp_dist,MATCH(B3311,'Crude Exp Dist'!$B$6:$B$78,0),MATCH(C3311,'Crude Exp Dist'!$AD$2:$BC$2,0))*INDEX(crude_exp_by_year,MATCH(B3311,'Data Export'!$B$6:$B$78,0),1),IF(E3311=5,INDEX(ref_exp_dist,MATCH(B3311,'Refined Petro Exp Dist'!$B$6:$B$78,0),MATCH(C3311,'Refined Petro Exp Dist'!$AD$2:$BC$2,0))*INDEX(ref_exp_by_year,MATCH(B3311,'Data Export'!$B$6:$B$78,0),1)))</f>
        <v>0</v>
      </c>
      <c r="E3311">
        <v>5</v>
      </c>
      <c r="F3311" t="s">
        <v>197</v>
      </c>
    </row>
    <row r="3312" spans="1:6">
      <c r="A3312" t="str">
        <f t="shared" si="51"/>
        <v>GenericE&amp;DtemplateCIandGOA</v>
      </c>
      <c r="B3312">
        <v>58</v>
      </c>
      <c r="C3312">
        <v>9</v>
      </c>
      <c r="D3312" s="649">
        <f ca="1">IF(E3312=4,INDEX(crude_exp_dist,MATCH(B3312,'Crude Exp Dist'!$B$6:$B$78,0),MATCH(C3312,'Crude Exp Dist'!$AD$2:$BC$2,0))*INDEX(crude_exp_by_year,MATCH(B3312,'Data Export'!$B$6:$B$78,0),1),IF(E3312=5,INDEX(ref_exp_dist,MATCH(B3312,'Refined Petro Exp Dist'!$B$6:$B$78,0),MATCH(C3312,'Refined Petro Exp Dist'!$AD$2:$BC$2,0))*INDEX(ref_exp_by_year,MATCH(B3312,'Data Export'!$B$6:$B$78,0),1)))</f>
        <v>0</v>
      </c>
      <c r="E3312">
        <v>5</v>
      </c>
      <c r="F3312" t="s">
        <v>199</v>
      </c>
    </row>
    <row r="3313" spans="1:6">
      <c r="A3313" t="str">
        <f t="shared" si="51"/>
        <v>GenericE&amp;DtemplateCIandGOA</v>
      </c>
      <c r="B3313">
        <v>58</v>
      </c>
      <c r="C3313">
        <v>10</v>
      </c>
      <c r="D3313" s="649">
        <f ca="1">IF(E3313=4,INDEX(crude_exp_dist,MATCH(B3313,'Crude Exp Dist'!$B$6:$B$78,0),MATCH(C3313,'Crude Exp Dist'!$AD$2:$BC$2,0))*INDEX(crude_exp_by_year,MATCH(B3313,'Data Export'!$B$6:$B$78,0),1),IF(E3313=5,INDEX(ref_exp_dist,MATCH(B3313,'Refined Petro Exp Dist'!$B$6:$B$78,0),MATCH(C3313,'Refined Petro Exp Dist'!$AD$2:$BC$2,0))*INDEX(ref_exp_by_year,MATCH(B3313,'Data Export'!$B$6:$B$78,0),1)))</f>
        <v>0</v>
      </c>
      <c r="E3313">
        <v>5</v>
      </c>
      <c r="F3313" t="s">
        <v>201</v>
      </c>
    </row>
    <row r="3314" spans="1:6">
      <c r="A3314" t="str">
        <f t="shared" si="51"/>
        <v>GenericE&amp;DtemplateCIandGOA</v>
      </c>
      <c r="B3314">
        <v>58</v>
      </c>
      <c r="C3314">
        <v>11</v>
      </c>
      <c r="D3314" s="649">
        <f ca="1">IF(E3314=4,INDEX(crude_exp_dist,MATCH(B3314,'Crude Exp Dist'!$B$6:$B$78,0),MATCH(C3314,'Crude Exp Dist'!$AD$2:$BC$2,0))*INDEX(crude_exp_by_year,MATCH(B3314,'Data Export'!$B$6:$B$78,0),1),IF(E3314=5,INDEX(ref_exp_dist,MATCH(B3314,'Refined Petro Exp Dist'!$B$6:$B$78,0),MATCH(C3314,'Refined Petro Exp Dist'!$AD$2:$BC$2,0))*INDEX(ref_exp_by_year,MATCH(B3314,'Data Export'!$B$6:$B$78,0),1)))</f>
        <v>0</v>
      </c>
      <c r="E3314">
        <v>5</v>
      </c>
      <c r="F3314" t="s">
        <v>921</v>
      </c>
    </row>
    <row r="3315" spans="1:6">
      <c r="A3315" t="str">
        <f t="shared" si="51"/>
        <v>GenericE&amp;DtemplateCIandGOA</v>
      </c>
      <c r="B3315">
        <v>58</v>
      </c>
      <c r="C3315">
        <v>12</v>
      </c>
      <c r="D3315" s="649">
        <f ca="1">IF(E3315=4,INDEX(crude_exp_dist,MATCH(B3315,'Crude Exp Dist'!$B$6:$B$78,0),MATCH(C3315,'Crude Exp Dist'!$AD$2:$BC$2,0))*INDEX(crude_exp_by_year,MATCH(B3315,'Data Export'!$B$6:$B$78,0),1),IF(E3315=5,INDEX(ref_exp_dist,MATCH(B3315,'Refined Petro Exp Dist'!$B$6:$B$78,0),MATCH(C3315,'Refined Petro Exp Dist'!$AD$2:$BC$2,0))*INDEX(ref_exp_by_year,MATCH(B3315,'Data Export'!$B$6:$B$78,0),1)))</f>
        <v>0</v>
      </c>
      <c r="E3315">
        <v>5</v>
      </c>
      <c r="F3315" t="s">
        <v>208</v>
      </c>
    </row>
    <row r="3316" spans="1:6">
      <c r="A3316" t="str">
        <f t="shared" si="51"/>
        <v>GenericE&amp;DtemplateCIandGOA</v>
      </c>
      <c r="B3316">
        <v>58</v>
      </c>
      <c r="C3316">
        <v>13</v>
      </c>
      <c r="D3316" s="649">
        <f ca="1">IF(E3316=4,INDEX(crude_exp_dist,MATCH(B3316,'Crude Exp Dist'!$B$6:$B$78,0),MATCH(C3316,'Crude Exp Dist'!$AD$2:$BC$2,0))*INDEX(crude_exp_by_year,MATCH(B3316,'Data Export'!$B$6:$B$78,0),1),IF(E3316=5,INDEX(ref_exp_dist,MATCH(B3316,'Refined Petro Exp Dist'!$B$6:$B$78,0),MATCH(C3316,'Refined Petro Exp Dist'!$AD$2:$BC$2,0))*INDEX(ref_exp_by_year,MATCH(B3316,'Data Export'!$B$6:$B$78,0),1)))</f>
        <v>0</v>
      </c>
      <c r="E3316">
        <v>5</v>
      </c>
      <c r="F3316" t="s">
        <v>211</v>
      </c>
    </row>
    <row r="3317" spans="1:6">
      <c r="A3317" t="str">
        <f t="shared" si="51"/>
        <v>GenericE&amp;DtemplateCIandGOA</v>
      </c>
      <c r="B3317">
        <v>58</v>
      </c>
      <c r="C3317">
        <v>14</v>
      </c>
      <c r="D3317" s="649">
        <f ca="1">IF(E3317=4,INDEX(crude_exp_dist,MATCH(B3317,'Crude Exp Dist'!$B$6:$B$78,0),MATCH(C3317,'Crude Exp Dist'!$AD$2:$BC$2,0))*INDEX(crude_exp_by_year,MATCH(B3317,'Data Export'!$B$6:$B$78,0),1),IF(E3317=5,INDEX(ref_exp_dist,MATCH(B3317,'Refined Petro Exp Dist'!$B$6:$B$78,0),MATCH(C3317,'Refined Petro Exp Dist'!$AD$2:$BC$2,0))*INDEX(ref_exp_by_year,MATCH(B3317,'Data Export'!$B$6:$B$78,0),1)))</f>
        <v>0</v>
      </c>
      <c r="E3317">
        <v>5</v>
      </c>
      <c r="F3317" t="s">
        <v>213</v>
      </c>
    </row>
    <row r="3318" spans="1:6">
      <c r="A3318" t="str">
        <f t="shared" si="51"/>
        <v>GenericE&amp;DtemplateCIandGOA</v>
      </c>
      <c r="B3318">
        <v>58</v>
      </c>
      <c r="C3318">
        <v>15</v>
      </c>
      <c r="D3318" s="649">
        <f ca="1">IF(E3318=4,INDEX(crude_exp_dist,MATCH(B3318,'Crude Exp Dist'!$B$6:$B$78,0),MATCH(C3318,'Crude Exp Dist'!$AD$2:$BC$2,0))*INDEX(crude_exp_by_year,MATCH(B3318,'Data Export'!$B$6:$B$78,0),1),IF(E3318=5,INDEX(ref_exp_dist,MATCH(B3318,'Refined Petro Exp Dist'!$B$6:$B$78,0),MATCH(C3318,'Refined Petro Exp Dist'!$AD$2:$BC$2,0))*INDEX(ref_exp_by_year,MATCH(B3318,'Data Export'!$B$6:$B$78,0),1)))</f>
        <v>0</v>
      </c>
      <c r="E3318">
        <v>5</v>
      </c>
      <c r="F3318" t="s">
        <v>215</v>
      </c>
    </row>
    <row r="3319" spans="1:6">
      <c r="A3319" t="str">
        <f t="shared" si="51"/>
        <v>GenericE&amp;DtemplateCIandGOA</v>
      </c>
      <c r="B3319">
        <v>58</v>
      </c>
      <c r="C3319">
        <v>16</v>
      </c>
      <c r="D3319" s="649">
        <f ca="1">IF(E3319=4,INDEX(crude_exp_dist,MATCH(B3319,'Crude Exp Dist'!$B$6:$B$78,0),MATCH(C3319,'Crude Exp Dist'!$AD$2:$BC$2,0))*INDEX(crude_exp_by_year,MATCH(B3319,'Data Export'!$B$6:$B$78,0),1),IF(E3319=5,INDEX(ref_exp_dist,MATCH(B3319,'Refined Petro Exp Dist'!$B$6:$B$78,0),MATCH(C3319,'Refined Petro Exp Dist'!$AD$2:$BC$2,0))*INDEX(ref_exp_by_year,MATCH(B3319,'Data Export'!$B$6:$B$78,0),1)))</f>
        <v>0</v>
      </c>
      <c r="E3319">
        <v>5</v>
      </c>
      <c r="F3319" t="s">
        <v>219</v>
      </c>
    </row>
    <row r="3320" spans="1:6">
      <c r="A3320" t="str">
        <f t="shared" si="51"/>
        <v>GenericE&amp;DtemplateCIandGOA</v>
      </c>
      <c r="B3320">
        <v>58</v>
      </c>
      <c r="C3320">
        <v>17</v>
      </c>
      <c r="D3320" s="649">
        <f ca="1">IF(E3320=4,INDEX(crude_exp_dist,MATCH(B3320,'Crude Exp Dist'!$B$6:$B$78,0),MATCH(C3320,'Crude Exp Dist'!$AD$2:$BC$2,0))*INDEX(crude_exp_by_year,MATCH(B3320,'Data Export'!$B$6:$B$78,0),1),IF(E3320=5,INDEX(ref_exp_dist,MATCH(B3320,'Refined Petro Exp Dist'!$B$6:$B$78,0),MATCH(C3320,'Refined Petro Exp Dist'!$AD$2:$BC$2,0))*INDEX(ref_exp_by_year,MATCH(B3320,'Data Export'!$B$6:$B$78,0),1)))</f>
        <v>0</v>
      </c>
      <c r="E3320">
        <v>5</v>
      </c>
      <c r="F3320" t="s">
        <v>222</v>
      </c>
    </row>
    <row r="3321" spans="1:6">
      <c r="A3321" t="str">
        <f t="shared" si="51"/>
        <v>GenericE&amp;DtemplateCIandGOA</v>
      </c>
      <c r="B3321">
        <v>58</v>
      </c>
      <c r="C3321">
        <v>18</v>
      </c>
      <c r="D3321" s="649">
        <f ca="1">IF(E3321=4,INDEX(crude_exp_dist,MATCH(B3321,'Crude Exp Dist'!$B$6:$B$78,0),MATCH(C3321,'Crude Exp Dist'!$AD$2:$BC$2,0))*INDEX(crude_exp_by_year,MATCH(B3321,'Data Export'!$B$6:$B$78,0),1),IF(E3321=5,INDEX(ref_exp_dist,MATCH(B3321,'Refined Petro Exp Dist'!$B$6:$B$78,0),MATCH(C3321,'Refined Petro Exp Dist'!$AD$2:$BC$2,0))*INDEX(ref_exp_by_year,MATCH(B3321,'Data Export'!$B$6:$B$78,0),1)))</f>
        <v>0</v>
      </c>
      <c r="E3321">
        <v>5</v>
      </c>
      <c r="F3321" t="s">
        <v>224</v>
      </c>
    </row>
    <row r="3322" spans="1:6">
      <c r="A3322" t="str">
        <f t="shared" si="51"/>
        <v>GenericE&amp;DtemplateCIandGOA</v>
      </c>
      <c r="B3322">
        <v>58</v>
      </c>
      <c r="C3322">
        <v>19</v>
      </c>
      <c r="D3322" s="649">
        <f ca="1">IF(E3322=4,INDEX(crude_exp_dist,MATCH(B3322,'Crude Exp Dist'!$B$6:$B$78,0),MATCH(C3322,'Crude Exp Dist'!$AD$2:$BC$2,0))*INDEX(crude_exp_by_year,MATCH(B3322,'Data Export'!$B$6:$B$78,0),1),IF(E3322=5,INDEX(ref_exp_dist,MATCH(B3322,'Refined Petro Exp Dist'!$B$6:$B$78,0),MATCH(C3322,'Refined Petro Exp Dist'!$AD$2:$BC$2,0))*INDEX(ref_exp_by_year,MATCH(B3322,'Data Export'!$B$6:$B$78,0),1)))</f>
        <v>0</v>
      </c>
      <c r="E3322">
        <v>5</v>
      </c>
      <c r="F3322" t="s">
        <v>228</v>
      </c>
    </row>
    <row r="3323" spans="1:6">
      <c r="A3323" t="str">
        <f t="shared" si="51"/>
        <v>GenericE&amp;DtemplateCIandGOA</v>
      </c>
      <c r="B3323">
        <v>58</v>
      </c>
      <c r="C3323">
        <v>20</v>
      </c>
      <c r="D3323" s="649">
        <f ca="1">IF(E3323=4,INDEX(crude_exp_dist,MATCH(B3323,'Crude Exp Dist'!$B$6:$B$78,0),MATCH(C3323,'Crude Exp Dist'!$AD$2:$BC$2,0))*INDEX(crude_exp_by_year,MATCH(B3323,'Data Export'!$B$6:$B$78,0),1),IF(E3323=5,INDEX(ref_exp_dist,MATCH(B3323,'Refined Petro Exp Dist'!$B$6:$B$78,0),MATCH(C3323,'Refined Petro Exp Dist'!$AD$2:$BC$2,0))*INDEX(ref_exp_by_year,MATCH(B3323,'Data Export'!$B$6:$B$78,0),1)))</f>
        <v>0</v>
      </c>
      <c r="E3323">
        <v>5</v>
      </c>
      <c r="F3323" t="s">
        <v>231</v>
      </c>
    </row>
    <row r="3324" spans="1:6">
      <c r="A3324" t="str">
        <f t="shared" si="51"/>
        <v>GenericE&amp;DtemplateCIandGOA</v>
      </c>
      <c r="B3324">
        <v>58</v>
      </c>
      <c r="C3324">
        <v>21</v>
      </c>
      <c r="D3324" s="649">
        <f ca="1">IF(E3324=4,INDEX(crude_exp_dist,MATCH(B3324,'Crude Exp Dist'!$B$6:$B$78,0),MATCH(C3324,'Crude Exp Dist'!$AD$2:$BC$2,0))*INDEX(crude_exp_by_year,MATCH(B3324,'Data Export'!$B$6:$B$78,0),1),IF(E3324=5,INDEX(ref_exp_dist,MATCH(B3324,'Refined Petro Exp Dist'!$B$6:$B$78,0),MATCH(C3324,'Refined Petro Exp Dist'!$AD$2:$BC$2,0))*INDEX(ref_exp_by_year,MATCH(B3324,'Data Export'!$B$6:$B$78,0),1)))</f>
        <v>0</v>
      </c>
      <c r="E3324">
        <v>5</v>
      </c>
      <c r="F3324" t="s">
        <v>232</v>
      </c>
    </row>
    <row r="3325" spans="1:6">
      <c r="A3325" t="str">
        <f t="shared" si="51"/>
        <v>GenericE&amp;DtemplateCIandGOA</v>
      </c>
      <c r="B3325">
        <v>58</v>
      </c>
      <c r="C3325">
        <v>22</v>
      </c>
      <c r="D3325" s="649">
        <f ca="1">IF(E3325=4,INDEX(crude_exp_dist,MATCH(B3325,'Crude Exp Dist'!$B$6:$B$78,0),MATCH(C3325,'Crude Exp Dist'!$AD$2:$BC$2,0))*INDEX(crude_exp_by_year,MATCH(B3325,'Data Export'!$B$6:$B$78,0),1),IF(E3325=5,INDEX(ref_exp_dist,MATCH(B3325,'Refined Petro Exp Dist'!$B$6:$B$78,0),MATCH(C3325,'Refined Petro Exp Dist'!$AD$2:$BC$2,0))*INDEX(ref_exp_by_year,MATCH(B3325,'Data Export'!$B$6:$B$78,0),1)))</f>
        <v>0</v>
      </c>
      <c r="E3325">
        <v>5</v>
      </c>
      <c r="F3325" t="s">
        <v>235</v>
      </c>
    </row>
    <row r="3326" spans="1:6">
      <c r="A3326" t="str">
        <f t="shared" si="51"/>
        <v>GenericE&amp;DtemplateCIandGOA</v>
      </c>
      <c r="B3326">
        <v>58</v>
      </c>
      <c r="C3326">
        <v>23</v>
      </c>
      <c r="D3326" s="649">
        <f ca="1">IF(E3326=4,INDEX(crude_exp_dist,MATCH(B3326,'Crude Exp Dist'!$B$6:$B$78,0),MATCH(C3326,'Crude Exp Dist'!$AD$2:$BC$2,0))*INDEX(crude_exp_by_year,MATCH(B3326,'Data Export'!$B$6:$B$78,0),1),IF(E3326=5,INDEX(ref_exp_dist,MATCH(B3326,'Refined Petro Exp Dist'!$B$6:$B$78,0),MATCH(C3326,'Refined Petro Exp Dist'!$AD$2:$BC$2,0))*INDEX(ref_exp_by_year,MATCH(B3326,'Data Export'!$B$6:$B$78,0),1)))</f>
        <v>0</v>
      </c>
      <c r="E3326">
        <v>5</v>
      </c>
      <c r="F3326" t="s">
        <v>237</v>
      </c>
    </row>
    <row r="3327" spans="1:6">
      <c r="A3327" t="str">
        <f t="shared" si="51"/>
        <v>GenericE&amp;DtemplateCIandGOA</v>
      </c>
      <c r="B3327">
        <v>58</v>
      </c>
      <c r="C3327">
        <v>24</v>
      </c>
      <c r="D3327" s="649">
        <f ca="1">IF(E3327=4,INDEX(crude_exp_dist,MATCH(B3327,'Crude Exp Dist'!$B$6:$B$78,0),MATCH(C3327,'Crude Exp Dist'!$AD$2:$BC$2,0))*INDEX(crude_exp_by_year,MATCH(B3327,'Data Export'!$B$6:$B$78,0),1),IF(E3327=5,INDEX(ref_exp_dist,MATCH(B3327,'Refined Petro Exp Dist'!$B$6:$B$78,0),MATCH(C3327,'Refined Petro Exp Dist'!$AD$2:$BC$2,0))*INDEX(ref_exp_by_year,MATCH(B3327,'Data Export'!$B$6:$B$78,0),1)))</f>
        <v>0</v>
      </c>
      <c r="E3327">
        <v>5</v>
      </c>
      <c r="F3327" t="s">
        <v>239</v>
      </c>
    </row>
    <row r="3328" spans="1:6">
      <c r="A3328" t="str">
        <f t="shared" si="51"/>
        <v>GenericE&amp;DtemplateCIandGOA</v>
      </c>
      <c r="B3328">
        <v>58</v>
      </c>
      <c r="C3328">
        <v>25</v>
      </c>
      <c r="D3328" s="649">
        <f ca="1">IF(E3328=4,INDEX(crude_exp_dist,MATCH(B3328,'Crude Exp Dist'!$B$6:$B$78,0),MATCH(C3328,'Crude Exp Dist'!$AD$2:$BC$2,0))*INDEX(crude_exp_by_year,MATCH(B3328,'Data Export'!$B$6:$B$78,0),1),IF(E3328=5,INDEX(ref_exp_dist,MATCH(B3328,'Refined Petro Exp Dist'!$B$6:$B$78,0),MATCH(C3328,'Refined Petro Exp Dist'!$AD$2:$BC$2,0))*INDEX(ref_exp_by_year,MATCH(B3328,'Data Export'!$B$6:$B$78,0),1)))</f>
        <v>0</v>
      </c>
      <c r="E3328">
        <v>5</v>
      </c>
      <c r="F3328" t="s">
        <v>242</v>
      </c>
    </row>
    <row r="3329" spans="1:6">
      <c r="A3329" t="str">
        <f t="shared" si="51"/>
        <v>GenericE&amp;DtemplateCIandGOA</v>
      </c>
      <c r="B3329">
        <v>58</v>
      </c>
      <c r="C3329">
        <v>26</v>
      </c>
      <c r="D3329" s="649">
        <f ca="1">IF(E3329=4,INDEX(crude_exp_dist,MATCH(B3329,'Crude Exp Dist'!$B$6:$B$78,0),MATCH(C3329,'Crude Exp Dist'!$AD$2:$BC$2,0))*INDEX(crude_exp_by_year,MATCH(B3329,'Data Export'!$B$6:$B$78,0),1),IF(E3329=5,INDEX(ref_exp_dist,MATCH(B3329,'Refined Petro Exp Dist'!$B$6:$B$78,0),MATCH(C3329,'Refined Petro Exp Dist'!$AD$2:$BC$2,0))*INDEX(ref_exp_by_year,MATCH(B3329,'Data Export'!$B$6:$B$78,0),1)))</f>
        <v>0</v>
      </c>
      <c r="E3329">
        <v>5</v>
      </c>
      <c r="F3329" t="s">
        <v>245</v>
      </c>
    </row>
    <row r="3330" spans="1:6">
      <c r="A3330" t="str">
        <f t="shared" ref="A3330:A3393" si="52">scenario_name</f>
        <v>GenericE&amp;DtemplateCIandGOA</v>
      </c>
      <c r="B3330">
        <v>59</v>
      </c>
      <c r="C3330">
        <v>1</v>
      </c>
      <c r="D3330" s="649">
        <f ca="1">IF(E3330=4,INDEX(crude_exp_dist,MATCH(B3330,'Crude Exp Dist'!$B$6:$B$78,0),MATCH(C3330,'Crude Exp Dist'!$AD$2:$BC$2,0))*INDEX(crude_exp_by_year,MATCH(B3330,'Data Export'!$B$6:$B$78,0),1),IF(E3330=5,INDEX(ref_exp_dist,MATCH(B3330,'Refined Petro Exp Dist'!$B$6:$B$78,0),MATCH(C3330,'Refined Petro Exp Dist'!$AD$2:$BC$2,0))*INDEX(ref_exp_by_year,MATCH(B3330,'Data Export'!$B$6:$B$78,0),1)))</f>
        <v>0</v>
      </c>
      <c r="E3330">
        <v>5</v>
      </c>
      <c r="F3330" t="s">
        <v>158</v>
      </c>
    </row>
    <row r="3331" spans="1:6">
      <c r="A3331" t="str">
        <f t="shared" si="52"/>
        <v>GenericE&amp;DtemplateCIandGOA</v>
      </c>
      <c r="B3331">
        <v>59</v>
      </c>
      <c r="C3331">
        <v>2</v>
      </c>
      <c r="D3331" s="649">
        <f ca="1">IF(E3331=4,INDEX(crude_exp_dist,MATCH(B3331,'Crude Exp Dist'!$B$6:$B$78,0),MATCH(C3331,'Crude Exp Dist'!$AD$2:$BC$2,0))*INDEX(crude_exp_by_year,MATCH(B3331,'Data Export'!$B$6:$B$78,0),1),IF(E3331=5,INDEX(ref_exp_dist,MATCH(B3331,'Refined Petro Exp Dist'!$B$6:$B$78,0),MATCH(C3331,'Refined Petro Exp Dist'!$AD$2:$BC$2,0))*INDEX(ref_exp_by_year,MATCH(B3331,'Data Export'!$B$6:$B$78,0),1)))</f>
        <v>0</v>
      </c>
      <c r="E3331">
        <v>5</v>
      </c>
      <c r="F3331" t="s">
        <v>166</v>
      </c>
    </row>
    <row r="3332" spans="1:6">
      <c r="A3332" t="str">
        <f t="shared" si="52"/>
        <v>GenericE&amp;DtemplateCIandGOA</v>
      </c>
      <c r="B3332">
        <v>59</v>
      </c>
      <c r="C3332">
        <v>3</v>
      </c>
      <c r="D3332" s="649">
        <f ca="1">IF(E3332=4,INDEX(crude_exp_dist,MATCH(B3332,'Crude Exp Dist'!$B$6:$B$78,0),MATCH(C3332,'Crude Exp Dist'!$AD$2:$BC$2,0))*INDEX(crude_exp_by_year,MATCH(B3332,'Data Export'!$B$6:$B$78,0),1),IF(E3332=5,INDEX(ref_exp_dist,MATCH(B3332,'Refined Petro Exp Dist'!$B$6:$B$78,0),MATCH(C3332,'Refined Petro Exp Dist'!$AD$2:$BC$2,0))*INDEX(ref_exp_by_year,MATCH(B3332,'Data Export'!$B$6:$B$78,0),1)))</f>
        <v>0</v>
      </c>
      <c r="E3332">
        <v>5</v>
      </c>
      <c r="F3332" t="s">
        <v>171</v>
      </c>
    </row>
    <row r="3333" spans="1:6">
      <c r="A3333" t="str">
        <f t="shared" si="52"/>
        <v>GenericE&amp;DtemplateCIandGOA</v>
      </c>
      <c r="B3333">
        <v>59</v>
      </c>
      <c r="C3333">
        <v>4</v>
      </c>
      <c r="D3333" s="649">
        <f ca="1">IF(E3333=4,INDEX(crude_exp_dist,MATCH(B3333,'Crude Exp Dist'!$B$6:$B$78,0),MATCH(C3333,'Crude Exp Dist'!$AD$2:$BC$2,0))*INDEX(crude_exp_by_year,MATCH(B3333,'Data Export'!$B$6:$B$78,0),1),IF(E3333=5,INDEX(ref_exp_dist,MATCH(B3333,'Refined Petro Exp Dist'!$B$6:$B$78,0),MATCH(C3333,'Refined Petro Exp Dist'!$AD$2:$BC$2,0))*INDEX(ref_exp_by_year,MATCH(B3333,'Data Export'!$B$6:$B$78,0),1)))</f>
        <v>0</v>
      </c>
      <c r="E3333">
        <v>5</v>
      </c>
      <c r="F3333" t="s">
        <v>173</v>
      </c>
    </row>
    <row r="3334" spans="1:6">
      <c r="A3334" t="str">
        <f t="shared" si="52"/>
        <v>GenericE&amp;DtemplateCIandGOA</v>
      </c>
      <c r="B3334">
        <v>59</v>
      </c>
      <c r="C3334">
        <v>5</v>
      </c>
      <c r="D3334" s="649">
        <f ca="1">IF(E3334=4,INDEX(crude_exp_dist,MATCH(B3334,'Crude Exp Dist'!$B$6:$B$78,0),MATCH(C3334,'Crude Exp Dist'!$AD$2:$BC$2,0))*INDEX(crude_exp_by_year,MATCH(B3334,'Data Export'!$B$6:$B$78,0),1),IF(E3334=5,INDEX(ref_exp_dist,MATCH(B3334,'Refined Petro Exp Dist'!$B$6:$B$78,0),MATCH(C3334,'Refined Petro Exp Dist'!$AD$2:$BC$2,0))*INDEX(ref_exp_by_year,MATCH(B3334,'Data Export'!$B$6:$B$78,0),1)))</f>
        <v>0</v>
      </c>
      <c r="E3334">
        <v>5</v>
      </c>
      <c r="F3334" t="s">
        <v>180</v>
      </c>
    </row>
    <row r="3335" spans="1:6">
      <c r="A3335" t="str">
        <f t="shared" si="52"/>
        <v>GenericE&amp;DtemplateCIandGOA</v>
      </c>
      <c r="B3335">
        <v>59</v>
      </c>
      <c r="C3335">
        <v>6</v>
      </c>
      <c r="D3335" s="649">
        <f ca="1">IF(E3335=4,INDEX(crude_exp_dist,MATCH(B3335,'Crude Exp Dist'!$B$6:$B$78,0),MATCH(C3335,'Crude Exp Dist'!$AD$2:$BC$2,0))*INDEX(crude_exp_by_year,MATCH(B3335,'Data Export'!$B$6:$B$78,0),1),IF(E3335=5,INDEX(ref_exp_dist,MATCH(B3335,'Refined Petro Exp Dist'!$B$6:$B$78,0),MATCH(C3335,'Refined Petro Exp Dist'!$AD$2:$BC$2,0))*INDEX(ref_exp_by_year,MATCH(B3335,'Data Export'!$B$6:$B$78,0),1)))</f>
        <v>0</v>
      </c>
      <c r="E3335">
        <v>5</v>
      </c>
      <c r="F3335" t="s">
        <v>186</v>
      </c>
    </row>
    <row r="3336" spans="1:6">
      <c r="A3336" t="str">
        <f t="shared" si="52"/>
        <v>GenericE&amp;DtemplateCIandGOA</v>
      </c>
      <c r="B3336">
        <v>59</v>
      </c>
      <c r="C3336">
        <v>7</v>
      </c>
      <c r="D3336" s="649">
        <f ca="1">IF(E3336=4,INDEX(crude_exp_dist,MATCH(B3336,'Crude Exp Dist'!$B$6:$B$78,0),MATCH(C3336,'Crude Exp Dist'!$AD$2:$BC$2,0))*INDEX(crude_exp_by_year,MATCH(B3336,'Data Export'!$B$6:$B$78,0),1),IF(E3336=5,INDEX(ref_exp_dist,MATCH(B3336,'Refined Petro Exp Dist'!$B$6:$B$78,0),MATCH(C3336,'Refined Petro Exp Dist'!$AD$2:$BC$2,0))*INDEX(ref_exp_by_year,MATCH(B3336,'Data Export'!$B$6:$B$78,0),1)))</f>
        <v>0</v>
      </c>
      <c r="E3336">
        <v>5</v>
      </c>
      <c r="F3336" t="s">
        <v>191</v>
      </c>
    </row>
    <row r="3337" spans="1:6">
      <c r="A3337" t="str">
        <f t="shared" si="52"/>
        <v>GenericE&amp;DtemplateCIandGOA</v>
      </c>
      <c r="B3337">
        <v>59</v>
      </c>
      <c r="C3337">
        <v>8</v>
      </c>
      <c r="D3337" s="649">
        <f ca="1">IF(E3337=4,INDEX(crude_exp_dist,MATCH(B3337,'Crude Exp Dist'!$B$6:$B$78,0),MATCH(C3337,'Crude Exp Dist'!$AD$2:$BC$2,0))*INDEX(crude_exp_by_year,MATCH(B3337,'Data Export'!$B$6:$B$78,0),1),IF(E3337=5,INDEX(ref_exp_dist,MATCH(B3337,'Refined Petro Exp Dist'!$B$6:$B$78,0),MATCH(C3337,'Refined Petro Exp Dist'!$AD$2:$BC$2,0))*INDEX(ref_exp_by_year,MATCH(B3337,'Data Export'!$B$6:$B$78,0),1)))</f>
        <v>0</v>
      </c>
      <c r="E3337">
        <v>5</v>
      </c>
      <c r="F3337" t="s">
        <v>197</v>
      </c>
    </row>
    <row r="3338" spans="1:6">
      <c r="A3338" t="str">
        <f t="shared" si="52"/>
        <v>GenericE&amp;DtemplateCIandGOA</v>
      </c>
      <c r="B3338">
        <v>59</v>
      </c>
      <c r="C3338">
        <v>9</v>
      </c>
      <c r="D3338" s="649">
        <f ca="1">IF(E3338=4,INDEX(crude_exp_dist,MATCH(B3338,'Crude Exp Dist'!$B$6:$B$78,0),MATCH(C3338,'Crude Exp Dist'!$AD$2:$BC$2,0))*INDEX(crude_exp_by_year,MATCH(B3338,'Data Export'!$B$6:$B$78,0),1),IF(E3338=5,INDEX(ref_exp_dist,MATCH(B3338,'Refined Petro Exp Dist'!$B$6:$B$78,0),MATCH(C3338,'Refined Petro Exp Dist'!$AD$2:$BC$2,0))*INDEX(ref_exp_by_year,MATCH(B3338,'Data Export'!$B$6:$B$78,0),1)))</f>
        <v>0</v>
      </c>
      <c r="E3338">
        <v>5</v>
      </c>
      <c r="F3338" t="s">
        <v>199</v>
      </c>
    </row>
    <row r="3339" spans="1:6">
      <c r="A3339" t="str">
        <f t="shared" si="52"/>
        <v>GenericE&amp;DtemplateCIandGOA</v>
      </c>
      <c r="B3339">
        <v>59</v>
      </c>
      <c r="C3339">
        <v>10</v>
      </c>
      <c r="D3339" s="649">
        <f ca="1">IF(E3339=4,INDEX(crude_exp_dist,MATCH(B3339,'Crude Exp Dist'!$B$6:$B$78,0),MATCH(C3339,'Crude Exp Dist'!$AD$2:$BC$2,0))*INDEX(crude_exp_by_year,MATCH(B3339,'Data Export'!$B$6:$B$78,0),1),IF(E3339=5,INDEX(ref_exp_dist,MATCH(B3339,'Refined Petro Exp Dist'!$B$6:$B$78,0),MATCH(C3339,'Refined Petro Exp Dist'!$AD$2:$BC$2,0))*INDEX(ref_exp_by_year,MATCH(B3339,'Data Export'!$B$6:$B$78,0),1)))</f>
        <v>0</v>
      </c>
      <c r="E3339">
        <v>5</v>
      </c>
      <c r="F3339" t="s">
        <v>201</v>
      </c>
    </row>
    <row r="3340" spans="1:6">
      <c r="A3340" t="str">
        <f t="shared" si="52"/>
        <v>GenericE&amp;DtemplateCIandGOA</v>
      </c>
      <c r="B3340">
        <v>59</v>
      </c>
      <c r="C3340">
        <v>11</v>
      </c>
      <c r="D3340" s="649">
        <f ca="1">IF(E3340=4,INDEX(crude_exp_dist,MATCH(B3340,'Crude Exp Dist'!$B$6:$B$78,0),MATCH(C3340,'Crude Exp Dist'!$AD$2:$BC$2,0))*INDEX(crude_exp_by_year,MATCH(B3340,'Data Export'!$B$6:$B$78,0),1),IF(E3340=5,INDEX(ref_exp_dist,MATCH(B3340,'Refined Petro Exp Dist'!$B$6:$B$78,0),MATCH(C3340,'Refined Petro Exp Dist'!$AD$2:$BC$2,0))*INDEX(ref_exp_by_year,MATCH(B3340,'Data Export'!$B$6:$B$78,0),1)))</f>
        <v>0</v>
      </c>
      <c r="E3340">
        <v>5</v>
      </c>
      <c r="F3340" t="s">
        <v>921</v>
      </c>
    </row>
    <row r="3341" spans="1:6">
      <c r="A3341" t="str">
        <f t="shared" si="52"/>
        <v>GenericE&amp;DtemplateCIandGOA</v>
      </c>
      <c r="B3341">
        <v>59</v>
      </c>
      <c r="C3341">
        <v>12</v>
      </c>
      <c r="D3341" s="649">
        <f ca="1">IF(E3341=4,INDEX(crude_exp_dist,MATCH(B3341,'Crude Exp Dist'!$B$6:$B$78,0),MATCH(C3341,'Crude Exp Dist'!$AD$2:$BC$2,0))*INDEX(crude_exp_by_year,MATCH(B3341,'Data Export'!$B$6:$B$78,0),1),IF(E3341=5,INDEX(ref_exp_dist,MATCH(B3341,'Refined Petro Exp Dist'!$B$6:$B$78,0),MATCH(C3341,'Refined Petro Exp Dist'!$AD$2:$BC$2,0))*INDEX(ref_exp_by_year,MATCH(B3341,'Data Export'!$B$6:$B$78,0),1)))</f>
        <v>0</v>
      </c>
      <c r="E3341">
        <v>5</v>
      </c>
      <c r="F3341" t="s">
        <v>208</v>
      </c>
    </row>
    <row r="3342" spans="1:6">
      <c r="A3342" t="str">
        <f t="shared" si="52"/>
        <v>GenericE&amp;DtemplateCIandGOA</v>
      </c>
      <c r="B3342">
        <v>59</v>
      </c>
      <c r="C3342">
        <v>13</v>
      </c>
      <c r="D3342" s="649">
        <f ca="1">IF(E3342=4,INDEX(crude_exp_dist,MATCH(B3342,'Crude Exp Dist'!$B$6:$B$78,0),MATCH(C3342,'Crude Exp Dist'!$AD$2:$BC$2,0))*INDEX(crude_exp_by_year,MATCH(B3342,'Data Export'!$B$6:$B$78,0),1),IF(E3342=5,INDEX(ref_exp_dist,MATCH(B3342,'Refined Petro Exp Dist'!$B$6:$B$78,0),MATCH(C3342,'Refined Petro Exp Dist'!$AD$2:$BC$2,0))*INDEX(ref_exp_by_year,MATCH(B3342,'Data Export'!$B$6:$B$78,0),1)))</f>
        <v>0</v>
      </c>
      <c r="E3342">
        <v>5</v>
      </c>
      <c r="F3342" t="s">
        <v>211</v>
      </c>
    </row>
    <row r="3343" spans="1:6">
      <c r="A3343" t="str">
        <f t="shared" si="52"/>
        <v>GenericE&amp;DtemplateCIandGOA</v>
      </c>
      <c r="B3343">
        <v>59</v>
      </c>
      <c r="C3343">
        <v>14</v>
      </c>
      <c r="D3343" s="649">
        <f ca="1">IF(E3343=4,INDEX(crude_exp_dist,MATCH(B3343,'Crude Exp Dist'!$B$6:$B$78,0),MATCH(C3343,'Crude Exp Dist'!$AD$2:$BC$2,0))*INDEX(crude_exp_by_year,MATCH(B3343,'Data Export'!$B$6:$B$78,0),1),IF(E3343=5,INDEX(ref_exp_dist,MATCH(B3343,'Refined Petro Exp Dist'!$B$6:$B$78,0),MATCH(C3343,'Refined Petro Exp Dist'!$AD$2:$BC$2,0))*INDEX(ref_exp_by_year,MATCH(B3343,'Data Export'!$B$6:$B$78,0),1)))</f>
        <v>0</v>
      </c>
      <c r="E3343">
        <v>5</v>
      </c>
      <c r="F3343" t="s">
        <v>213</v>
      </c>
    </row>
    <row r="3344" spans="1:6">
      <c r="A3344" t="str">
        <f t="shared" si="52"/>
        <v>GenericE&amp;DtemplateCIandGOA</v>
      </c>
      <c r="B3344">
        <v>59</v>
      </c>
      <c r="C3344">
        <v>15</v>
      </c>
      <c r="D3344" s="649">
        <f ca="1">IF(E3344=4,INDEX(crude_exp_dist,MATCH(B3344,'Crude Exp Dist'!$B$6:$B$78,0),MATCH(C3344,'Crude Exp Dist'!$AD$2:$BC$2,0))*INDEX(crude_exp_by_year,MATCH(B3344,'Data Export'!$B$6:$B$78,0),1),IF(E3344=5,INDEX(ref_exp_dist,MATCH(B3344,'Refined Petro Exp Dist'!$B$6:$B$78,0),MATCH(C3344,'Refined Petro Exp Dist'!$AD$2:$BC$2,0))*INDEX(ref_exp_by_year,MATCH(B3344,'Data Export'!$B$6:$B$78,0),1)))</f>
        <v>0</v>
      </c>
      <c r="E3344">
        <v>5</v>
      </c>
      <c r="F3344" t="s">
        <v>215</v>
      </c>
    </row>
    <row r="3345" spans="1:6">
      <c r="A3345" t="str">
        <f t="shared" si="52"/>
        <v>GenericE&amp;DtemplateCIandGOA</v>
      </c>
      <c r="B3345">
        <v>59</v>
      </c>
      <c r="C3345">
        <v>16</v>
      </c>
      <c r="D3345" s="649">
        <f ca="1">IF(E3345=4,INDEX(crude_exp_dist,MATCH(B3345,'Crude Exp Dist'!$B$6:$B$78,0),MATCH(C3345,'Crude Exp Dist'!$AD$2:$BC$2,0))*INDEX(crude_exp_by_year,MATCH(B3345,'Data Export'!$B$6:$B$78,0),1),IF(E3345=5,INDEX(ref_exp_dist,MATCH(B3345,'Refined Petro Exp Dist'!$B$6:$B$78,0),MATCH(C3345,'Refined Petro Exp Dist'!$AD$2:$BC$2,0))*INDEX(ref_exp_by_year,MATCH(B3345,'Data Export'!$B$6:$B$78,0),1)))</f>
        <v>0</v>
      </c>
      <c r="E3345">
        <v>5</v>
      </c>
      <c r="F3345" t="s">
        <v>219</v>
      </c>
    </row>
    <row r="3346" spans="1:6">
      <c r="A3346" t="str">
        <f t="shared" si="52"/>
        <v>GenericE&amp;DtemplateCIandGOA</v>
      </c>
      <c r="B3346">
        <v>59</v>
      </c>
      <c r="C3346">
        <v>17</v>
      </c>
      <c r="D3346" s="649">
        <f ca="1">IF(E3346=4,INDEX(crude_exp_dist,MATCH(B3346,'Crude Exp Dist'!$B$6:$B$78,0),MATCH(C3346,'Crude Exp Dist'!$AD$2:$BC$2,0))*INDEX(crude_exp_by_year,MATCH(B3346,'Data Export'!$B$6:$B$78,0),1),IF(E3346=5,INDEX(ref_exp_dist,MATCH(B3346,'Refined Petro Exp Dist'!$B$6:$B$78,0),MATCH(C3346,'Refined Petro Exp Dist'!$AD$2:$BC$2,0))*INDEX(ref_exp_by_year,MATCH(B3346,'Data Export'!$B$6:$B$78,0),1)))</f>
        <v>0</v>
      </c>
      <c r="E3346">
        <v>5</v>
      </c>
      <c r="F3346" t="s">
        <v>222</v>
      </c>
    </row>
    <row r="3347" spans="1:6">
      <c r="A3347" t="str">
        <f t="shared" si="52"/>
        <v>GenericE&amp;DtemplateCIandGOA</v>
      </c>
      <c r="B3347">
        <v>59</v>
      </c>
      <c r="C3347">
        <v>18</v>
      </c>
      <c r="D3347" s="649">
        <f ca="1">IF(E3347=4,INDEX(crude_exp_dist,MATCH(B3347,'Crude Exp Dist'!$B$6:$B$78,0),MATCH(C3347,'Crude Exp Dist'!$AD$2:$BC$2,0))*INDEX(crude_exp_by_year,MATCH(B3347,'Data Export'!$B$6:$B$78,0),1),IF(E3347=5,INDEX(ref_exp_dist,MATCH(B3347,'Refined Petro Exp Dist'!$B$6:$B$78,0),MATCH(C3347,'Refined Petro Exp Dist'!$AD$2:$BC$2,0))*INDEX(ref_exp_by_year,MATCH(B3347,'Data Export'!$B$6:$B$78,0),1)))</f>
        <v>0</v>
      </c>
      <c r="E3347">
        <v>5</v>
      </c>
      <c r="F3347" t="s">
        <v>224</v>
      </c>
    </row>
    <row r="3348" spans="1:6">
      <c r="A3348" t="str">
        <f t="shared" si="52"/>
        <v>GenericE&amp;DtemplateCIandGOA</v>
      </c>
      <c r="B3348">
        <v>59</v>
      </c>
      <c r="C3348">
        <v>19</v>
      </c>
      <c r="D3348" s="649">
        <f ca="1">IF(E3348=4,INDEX(crude_exp_dist,MATCH(B3348,'Crude Exp Dist'!$B$6:$B$78,0),MATCH(C3348,'Crude Exp Dist'!$AD$2:$BC$2,0))*INDEX(crude_exp_by_year,MATCH(B3348,'Data Export'!$B$6:$B$78,0),1),IF(E3348=5,INDEX(ref_exp_dist,MATCH(B3348,'Refined Petro Exp Dist'!$B$6:$B$78,0),MATCH(C3348,'Refined Petro Exp Dist'!$AD$2:$BC$2,0))*INDEX(ref_exp_by_year,MATCH(B3348,'Data Export'!$B$6:$B$78,0),1)))</f>
        <v>0</v>
      </c>
      <c r="E3348">
        <v>5</v>
      </c>
      <c r="F3348" t="s">
        <v>228</v>
      </c>
    </row>
    <row r="3349" spans="1:6">
      <c r="A3349" t="str">
        <f t="shared" si="52"/>
        <v>GenericE&amp;DtemplateCIandGOA</v>
      </c>
      <c r="B3349">
        <v>59</v>
      </c>
      <c r="C3349">
        <v>20</v>
      </c>
      <c r="D3349" s="649">
        <f ca="1">IF(E3349=4,INDEX(crude_exp_dist,MATCH(B3349,'Crude Exp Dist'!$B$6:$B$78,0),MATCH(C3349,'Crude Exp Dist'!$AD$2:$BC$2,0))*INDEX(crude_exp_by_year,MATCH(B3349,'Data Export'!$B$6:$B$78,0),1),IF(E3349=5,INDEX(ref_exp_dist,MATCH(B3349,'Refined Petro Exp Dist'!$B$6:$B$78,0),MATCH(C3349,'Refined Petro Exp Dist'!$AD$2:$BC$2,0))*INDEX(ref_exp_by_year,MATCH(B3349,'Data Export'!$B$6:$B$78,0),1)))</f>
        <v>0</v>
      </c>
      <c r="E3349">
        <v>5</v>
      </c>
      <c r="F3349" t="s">
        <v>231</v>
      </c>
    </row>
    <row r="3350" spans="1:6">
      <c r="A3350" t="str">
        <f t="shared" si="52"/>
        <v>GenericE&amp;DtemplateCIandGOA</v>
      </c>
      <c r="B3350">
        <v>59</v>
      </c>
      <c r="C3350">
        <v>21</v>
      </c>
      <c r="D3350" s="649">
        <f ca="1">IF(E3350=4,INDEX(crude_exp_dist,MATCH(B3350,'Crude Exp Dist'!$B$6:$B$78,0),MATCH(C3350,'Crude Exp Dist'!$AD$2:$BC$2,0))*INDEX(crude_exp_by_year,MATCH(B3350,'Data Export'!$B$6:$B$78,0),1),IF(E3350=5,INDEX(ref_exp_dist,MATCH(B3350,'Refined Petro Exp Dist'!$B$6:$B$78,0),MATCH(C3350,'Refined Petro Exp Dist'!$AD$2:$BC$2,0))*INDEX(ref_exp_by_year,MATCH(B3350,'Data Export'!$B$6:$B$78,0),1)))</f>
        <v>0</v>
      </c>
      <c r="E3350">
        <v>5</v>
      </c>
      <c r="F3350" t="s">
        <v>232</v>
      </c>
    </row>
    <row r="3351" spans="1:6">
      <c r="A3351" t="str">
        <f t="shared" si="52"/>
        <v>GenericE&amp;DtemplateCIandGOA</v>
      </c>
      <c r="B3351">
        <v>59</v>
      </c>
      <c r="C3351">
        <v>22</v>
      </c>
      <c r="D3351" s="649">
        <f ca="1">IF(E3351=4,INDEX(crude_exp_dist,MATCH(B3351,'Crude Exp Dist'!$B$6:$B$78,0),MATCH(C3351,'Crude Exp Dist'!$AD$2:$BC$2,0))*INDEX(crude_exp_by_year,MATCH(B3351,'Data Export'!$B$6:$B$78,0),1),IF(E3351=5,INDEX(ref_exp_dist,MATCH(B3351,'Refined Petro Exp Dist'!$B$6:$B$78,0),MATCH(C3351,'Refined Petro Exp Dist'!$AD$2:$BC$2,0))*INDEX(ref_exp_by_year,MATCH(B3351,'Data Export'!$B$6:$B$78,0),1)))</f>
        <v>0</v>
      </c>
      <c r="E3351">
        <v>5</v>
      </c>
      <c r="F3351" t="s">
        <v>235</v>
      </c>
    </row>
    <row r="3352" spans="1:6">
      <c r="A3352" t="str">
        <f t="shared" si="52"/>
        <v>GenericE&amp;DtemplateCIandGOA</v>
      </c>
      <c r="B3352">
        <v>59</v>
      </c>
      <c r="C3352">
        <v>23</v>
      </c>
      <c r="D3352" s="649">
        <f ca="1">IF(E3352=4,INDEX(crude_exp_dist,MATCH(B3352,'Crude Exp Dist'!$B$6:$B$78,0),MATCH(C3352,'Crude Exp Dist'!$AD$2:$BC$2,0))*INDEX(crude_exp_by_year,MATCH(B3352,'Data Export'!$B$6:$B$78,0),1),IF(E3352=5,INDEX(ref_exp_dist,MATCH(B3352,'Refined Petro Exp Dist'!$B$6:$B$78,0),MATCH(C3352,'Refined Petro Exp Dist'!$AD$2:$BC$2,0))*INDEX(ref_exp_by_year,MATCH(B3352,'Data Export'!$B$6:$B$78,0),1)))</f>
        <v>0</v>
      </c>
      <c r="E3352">
        <v>5</v>
      </c>
      <c r="F3352" t="s">
        <v>237</v>
      </c>
    </row>
    <row r="3353" spans="1:6">
      <c r="A3353" t="str">
        <f t="shared" si="52"/>
        <v>GenericE&amp;DtemplateCIandGOA</v>
      </c>
      <c r="B3353">
        <v>59</v>
      </c>
      <c r="C3353">
        <v>24</v>
      </c>
      <c r="D3353" s="649">
        <f ca="1">IF(E3353=4,INDEX(crude_exp_dist,MATCH(B3353,'Crude Exp Dist'!$B$6:$B$78,0),MATCH(C3353,'Crude Exp Dist'!$AD$2:$BC$2,0))*INDEX(crude_exp_by_year,MATCH(B3353,'Data Export'!$B$6:$B$78,0),1),IF(E3353=5,INDEX(ref_exp_dist,MATCH(B3353,'Refined Petro Exp Dist'!$B$6:$B$78,0),MATCH(C3353,'Refined Petro Exp Dist'!$AD$2:$BC$2,0))*INDEX(ref_exp_by_year,MATCH(B3353,'Data Export'!$B$6:$B$78,0),1)))</f>
        <v>0</v>
      </c>
      <c r="E3353">
        <v>5</v>
      </c>
      <c r="F3353" t="s">
        <v>239</v>
      </c>
    </row>
    <row r="3354" spans="1:6">
      <c r="A3354" t="str">
        <f t="shared" si="52"/>
        <v>GenericE&amp;DtemplateCIandGOA</v>
      </c>
      <c r="B3354">
        <v>59</v>
      </c>
      <c r="C3354">
        <v>25</v>
      </c>
      <c r="D3354" s="649">
        <f ca="1">IF(E3354=4,INDEX(crude_exp_dist,MATCH(B3354,'Crude Exp Dist'!$B$6:$B$78,0),MATCH(C3354,'Crude Exp Dist'!$AD$2:$BC$2,0))*INDEX(crude_exp_by_year,MATCH(B3354,'Data Export'!$B$6:$B$78,0),1),IF(E3354=5,INDEX(ref_exp_dist,MATCH(B3354,'Refined Petro Exp Dist'!$B$6:$B$78,0),MATCH(C3354,'Refined Petro Exp Dist'!$AD$2:$BC$2,0))*INDEX(ref_exp_by_year,MATCH(B3354,'Data Export'!$B$6:$B$78,0),1)))</f>
        <v>0</v>
      </c>
      <c r="E3354">
        <v>5</v>
      </c>
      <c r="F3354" t="s">
        <v>242</v>
      </c>
    </row>
    <row r="3355" spans="1:6">
      <c r="A3355" t="str">
        <f t="shared" si="52"/>
        <v>GenericE&amp;DtemplateCIandGOA</v>
      </c>
      <c r="B3355">
        <v>59</v>
      </c>
      <c r="C3355">
        <v>26</v>
      </c>
      <c r="D3355" s="649">
        <f ca="1">IF(E3355=4,INDEX(crude_exp_dist,MATCH(B3355,'Crude Exp Dist'!$B$6:$B$78,0),MATCH(C3355,'Crude Exp Dist'!$AD$2:$BC$2,0))*INDEX(crude_exp_by_year,MATCH(B3355,'Data Export'!$B$6:$B$78,0),1),IF(E3355=5,INDEX(ref_exp_dist,MATCH(B3355,'Refined Petro Exp Dist'!$B$6:$B$78,0),MATCH(C3355,'Refined Petro Exp Dist'!$AD$2:$BC$2,0))*INDEX(ref_exp_by_year,MATCH(B3355,'Data Export'!$B$6:$B$78,0),1)))</f>
        <v>0</v>
      </c>
      <c r="E3355">
        <v>5</v>
      </c>
      <c r="F3355" t="s">
        <v>245</v>
      </c>
    </row>
    <row r="3356" spans="1:6">
      <c r="A3356" t="str">
        <f t="shared" si="52"/>
        <v>GenericE&amp;DtemplateCIandGOA</v>
      </c>
      <c r="B3356">
        <v>60</v>
      </c>
      <c r="C3356">
        <v>1</v>
      </c>
      <c r="D3356" s="649">
        <f ca="1">IF(E3356=4,INDEX(crude_exp_dist,MATCH(B3356,'Crude Exp Dist'!$B$6:$B$78,0),MATCH(C3356,'Crude Exp Dist'!$AD$2:$BC$2,0))*INDEX(crude_exp_by_year,MATCH(B3356,'Data Export'!$B$6:$B$78,0),1),IF(E3356=5,INDEX(ref_exp_dist,MATCH(B3356,'Refined Petro Exp Dist'!$B$6:$B$78,0),MATCH(C3356,'Refined Petro Exp Dist'!$AD$2:$BC$2,0))*INDEX(ref_exp_by_year,MATCH(B3356,'Data Export'!$B$6:$B$78,0),1)))</f>
        <v>0</v>
      </c>
      <c r="E3356">
        <v>5</v>
      </c>
      <c r="F3356" t="s">
        <v>158</v>
      </c>
    </row>
    <row r="3357" spans="1:6">
      <c r="A3357" t="str">
        <f t="shared" si="52"/>
        <v>GenericE&amp;DtemplateCIandGOA</v>
      </c>
      <c r="B3357">
        <v>60</v>
      </c>
      <c r="C3357">
        <v>2</v>
      </c>
      <c r="D3357" s="649">
        <f ca="1">IF(E3357=4,INDEX(crude_exp_dist,MATCH(B3357,'Crude Exp Dist'!$B$6:$B$78,0),MATCH(C3357,'Crude Exp Dist'!$AD$2:$BC$2,0))*INDEX(crude_exp_by_year,MATCH(B3357,'Data Export'!$B$6:$B$78,0),1),IF(E3357=5,INDEX(ref_exp_dist,MATCH(B3357,'Refined Petro Exp Dist'!$B$6:$B$78,0),MATCH(C3357,'Refined Petro Exp Dist'!$AD$2:$BC$2,0))*INDEX(ref_exp_by_year,MATCH(B3357,'Data Export'!$B$6:$B$78,0),1)))</f>
        <v>0</v>
      </c>
      <c r="E3357">
        <v>5</v>
      </c>
      <c r="F3357" t="s">
        <v>166</v>
      </c>
    </row>
    <row r="3358" spans="1:6">
      <c r="A3358" t="str">
        <f t="shared" si="52"/>
        <v>GenericE&amp;DtemplateCIandGOA</v>
      </c>
      <c r="B3358">
        <v>60</v>
      </c>
      <c r="C3358">
        <v>3</v>
      </c>
      <c r="D3358" s="649">
        <f ca="1">IF(E3358=4,INDEX(crude_exp_dist,MATCH(B3358,'Crude Exp Dist'!$B$6:$B$78,0),MATCH(C3358,'Crude Exp Dist'!$AD$2:$BC$2,0))*INDEX(crude_exp_by_year,MATCH(B3358,'Data Export'!$B$6:$B$78,0),1),IF(E3358=5,INDEX(ref_exp_dist,MATCH(B3358,'Refined Petro Exp Dist'!$B$6:$B$78,0),MATCH(C3358,'Refined Petro Exp Dist'!$AD$2:$BC$2,0))*INDEX(ref_exp_by_year,MATCH(B3358,'Data Export'!$B$6:$B$78,0),1)))</f>
        <v>0</v>
      </c>
      <c r="E3358">
        <v>5</v>
      </c>
      <c r="F3358" t="s">
        <v>171</v>
      </c>
    </row>
    <row r="3359" spans="1:6">
      <c r="A3359" t="str">
        <f t="shared" si="52"/>
        <v>GenericE&amp;DtemplateCIandGOA</v>
      </c>
      <c r="B3359">
        <v>60</v>
      </c>
      <c r="C3359">
        <v>4</v>
      </c>
      <c r="D3359" s="649">
        <f ca="1">IF(E3359=4,INDEX(crude_exp_dist,MATCH(B3359,'Crude Exp Dist'!$B$6:$B$78,0),MATCH(C3359,'Crude Exp Dist'!$AD$2:$BC$2,0))*INDEX(crude_exp_by_year,MATCH(B3359,'Data Export'!$B$6:$B$78,0),1),IF(E3359=5,INDEX(ref_exp_dist,MATCH(B3359,'Refined Petro Exp Dist'!$B$6:$B$78,0),MATCH(C3359,'Refined Petro Exp Dist'!$AD$2:$BC$2,0))*INDEX(ref_exp_by_year,MATCH(B3359,'Data Export'!$B$6:$B$78,0),1)))</f>
        <v>0</v>
      </c>
      <c r="E3359">
        <v>5</v>
      </c>
      <c r="F3359" t="s">
        <v>173</v>
      </c>
    </row>
    <row r="3360" spans="1:6">
      <c r="A3360" t="str">
        <f t="shared" si="52"/>
        <v>GenericE&amp;DtemplateCIandGOA</v>
      </c>
      <c r="B3360">
        <v>60</v>
      </c>
      <c r="C3360">
        <v>5</v>
      </c>
      <c r="D3360" s="649">
        <f ca="1">IF(E3360=4,INDEX(crude_exp_dist,MATCH(B3360,'Crude Exp Dist'!$B$6:$B$78,0),MATCH(C3360,'Crude Exp Dist'!$AD$2:$BC$2,0))*INDEX(crude_exp_by_year,MATCH(B3360,'Data Export'!$B$6:$B$78,0),1),IF(E3360=5,INDEX(ref_exp_dist,MATCH(B3360,'Refined Petro Exp Dist'!$B$6:$B$78,0),MATCH(C3360,'Refined Petro Exp Dist'!$AD$2:$BC$2,0))*INDEX(ref_exp_by_year,MATCH(B3360,'Data Export'!$B$6:$B$78,0),1)))</f>
        <v>0</v>
      </c>
      <c r="E3360">
        <v>5</v>
      </c>
      <c r="F3360" t="s">
        <v>180</v>
      </c>
    </row>
    <row r="3361" spans="1:6">
      <c r="A3361" t="str">
        <f t="shared" si="52"/>
        <v>GenericE&amp;DtemplateCIandGOA</v>
      </c>
      <c r="B3361">
        <v>60</v>
      </c>
      <c r="C3361">
        <v>6</v>
      </c>
      <c r="D3361" s="649">
        <f ca="1">IF(E3361=4,INDEX(crude_exp_dist,MATCH(B3361,'Crude Exp Dist'!$B$6:$B$78,0),MATCH(C3361,'Crude Exp Dist'!$AD$2:$BC$2,0))*INDEX(crude_exp_by_year,MATCH(B3361,'Data Export'!$B$6:$B$78,0),1),IF(E3361=5,INDEX(ref_exp_dist,MATCH(B3361,'Refined Petro Exp Dist'!$B$6:$B$78,0),MATCH(C3361,'Refined Petro Exp Dist'!$AD$2:$BC$2,0))*INDEX(ref_exp_by_year,MATCH(B3361,'Data Export'!$B$6:$B$78,0),1)))</f>
        <v>0</v>
      </c>
      <c r="E3361">
        <v>5</v>
      </c>
      <c r="F3361" t="s">
        <v>186</v>
      </c>
    </row>
    <row r="3362" spans="1:6">
      <c r="A3362" t="str">
        <f t="shared" si="52"/>
        <v>GenericE&amp;DtemplateCIandGOA</v>
      </c>
      <c r="B3362">
        <v>60</v>
      </c>
      <c r="C3362">
        <v>7</v>
      </c>
      <c r="D3362" s="649">
        <f ca="1">IF(E3362=4,INDEX(crude_exp_dist,MATCH(B3362,'Crude Exp Dist'!$B$6:$B$78,0),MATCH(C3362,'Crude Exp Dist'!$AD$2:$BC$2,0))*INDEX(crude_exp_by_year,MATCH(B3362,'Data Export'!$B$6:$B$78,0),1),IF(E3362=5,INDEX(ref_exp_dist,MATCH(B3362,'Refined Petro Exp Dist'!$B$6:$B$78,0),MATCH(C3362,'Refined Petro Exp Dist'!$AD$2:$BC$2,0))*INDEX(ref_exp_by_year,MATCH(B3362,'Data Export'!$B$6:$B$78,0),1)))</f>
        <v>0</v>
      </c>
      <c r="E3362">
        <v>5</v>
      </c>
      <c r="F3362" t="s">
        <v>191</v>
      </c>
    </row>
    <row r="3363" spans="1:6">
      <c r="A3363" t="str">
        <f t="shared" si="52"/>
        <v>GenericE&amp;DtemplateCIandGOA</v>
      </c>
      <c r="B3363">
        <v>60</v>
      </c>
      <c r="C3363">
        <v>8</v>
      </c>
      <c r="D3363" s="649">
        <f ca="1">IF(E3363=4,INDEX(crude_exp_dist,MATCH(B3363,'Crude Exp Dist'!$B$6:$B$78,0),MATCH(C3363,'Crude Exp Dist'!$AD$2:$BC$2,0))*INDEX(crude_exp_by_year,MATCH(B3363,'Data Export'!$B$6:$B$78,0),1),IF(E3363=5,INDEX(ref_exp_dist,MATCH(B3363,'Refined Petro Exp Dist'!$B$6:$B$78,0),MATCH(C3363,'Refined Petro Exp Dist'!$AD$2:$BC$2,0))*INDEX(ref_exp_by_year,MATCH(B3363,'Data Export'!$B$6:$B$78,0),1)))</f>
        <v>0</v>
      </c>
      <c r="E3363">
        <v>5</v>
      </c>
      <c r="F3363" t="s">
        <v>197</v>
      </c>
    </row>
    <row r="3364" spans="1:6">
      <c r="A3364" t="str">
        <f t="shared" si="52"/>
        <v>GenericE&amp;DtemplateCIandGOA</v>
      </c>
      <c r="B3364">
        <v>60</v>
      </c>
      <c r="C3364">
        <v>9</v>
      </c>
      <c r="D3364" s="649">
        <f ca="1">IF(E3364=4,INDEX(crude_exp_dist,MATCH(B3364,'Crude Exp Dist'!$B$6:$B$78,0),MATCH(C3364,'Crude Exp Dist'!$AD$2:$BC$2,0))*INDEX(crude_exp_by_year,MATCH(B3364,'Data Export'!$B$6:$B$78,0),1),IF(E3364=5,INDEX(ref_exp_dist,MATCH(B3364,'Refined Petro Exp Dist'!$B$6:$B$78,0),MATCH(C3364,'Refined Petro Exp Dist'!$AD$2:$BC$2,0))*INDEX(ref_exp_by_year,MATCH(B3364,'Data Export'!$B$6:$B$78,0),1)))</f>
        <v>0</v>
      </c>
      <c r="E3364">
        <v>5</v>
      </c>
      <c r="F3364" t="s">
        <v>199</v>
      </c>
    </row>
    <row r="3365" spans="1:6">
      <c r="A3365" t="str">
        <f t="shared" si="52"/>
        <v>GenericE&amp;DtemplateCIandGOA</v>
      </c>
      <c r="B3365">
        <v>60</v>
      </c>
      <c r="C3365">
        <v>10</v>
      </c>
      <c r="D3365" s="649">
        <f ca="1">IF(E3365=4,INDEX(crude_exp_dist,MATCH(B3365,'Crude Exp Dist'!$B$6:$B$78,0),MATCH(C3365,'Crude Exp Dist'!$AD$2:$BC$2,0))*INDEX(crude_exp_by_year,MATCH(B3365,'Data Export'!$B$6:$B$78,0),1),IF(E3365=5,INDEX(ref_exp_dist,MATCH(B3365,'Refined Petro Exp Dist'!$B$6:$B$78,0),MATCH(C3365,'Refined Petro Exp Dist'!$AD$2:$BC$2,0))*INDEX(ref_exp_by_year,MATCH(B3365,'Data Export'!$B$6:$B$78,0),1)))</f>
        <v>0</v>
      </c>
      <c r="E3365">
        <v>5</v>
      </c>
      <c r="F3365" t="s">
        <v>201</v>
      </c>
    </row>
    <row r="3366" spans="1:6">
      <c r="A3366" t="str">
        <f t="shared" si="52"/>
        <v>GenericE&amp;DtemplateCIandGOA</v>
      </c>
      <c r="B3366">
        <v>60</v>
      </c>
      <c r="C3366">
        <v>11</v>
      </c>
      <c r="D3366" s="649">
        <f ca="1">IF(E3366=4,INDEX(crude_exp_dist,MATCH(B3366,'Crude Exp Dist'!$B$6:$B$78,0),MATCH(C3366,'Crude Exp Dist'!$AD$2:$BC$2,0))*INDEX(crude_exp_by_year,MATCH(B3366,'Data Export'!$B$6:$B$78,0),1),IF(E3366=5,INDEX(ref_exp_dist,MATCH(B3366,'Refined Petro Exp Dist'!$B$6:$B$78,0),MATCH(C3366,'Refined Petro Exp Dist'!$AD$2:$BC$2,0))*INDEX(ref_exp_by_year,MATCH(B3366,'Data Export'!$B$6:$B$78,0),1)))</f>
        <v>0</v>
      </c>
      <c r="E3366">
        <v>5</v>
      </c>
      <c r="F3366" t="s">
        <v>921</v>
      </c>
    </row>
    <row r="3367" spans="1:6">
      <c r="A3367" t="str">
        <f t="shared" si="52"/>
        <v>GenericE&amp;DtemplateCIandGOA</v>
      </c>
      <c r="B3367">
        <v>60</v>
      </c>
      <c r="C3367">
        <v>12</v>
      </c>
      <c r="D3367" s="649">
        <f ca="1">IF(E3367=4,INDEX(crude_exp_dist,MATCH(B3367,'Crude Exp Dist'!$B$6:$B$78,0),MATCH(C3367,'Crude Exp Dist'!$AD$2:$BC$2,0))*INDEX(crude_exp_by_year,MATCH(B3367,'Data Export'!$B$6:$B$78,0),1),IF(E3367=5,INDEX(ref_exp_dist,MATCH(B3367,'Refined Petro Exp Dist'!$B$6:$B$78,0),MATCH(C3367,'Refined Petro Exp Dist'!$AD$2:$BC$2,0))*INDEX(ref_exp_by_year,MATCH(B3367,'Data Export'!$B$6:$B$78,0),1)))</f>
        <v>0</v>
      </c>
      <c r="E3367">
        <v>5</v>
      </c>
      <c r="F3367" t="s">
        <v>208</v>
      </c>
    </row>
    <row r="3368" spans="1:6">
      <c r="A3368" t="str">
        <f t="shared" si="52"/>
        <v>GenericE&amp;DtemplateCIandGOA</v>
      </c>
      <c r="B3368">
        <v>60</v>
      </c>
      <c r="C3368">
        <v>13</v>
      </c>
      <c r="D3368" s="649">
        <f ca="1">IF(E3368=4,INDEX(crude_exp_dist,MATCH(B3368,'Crude Exp Dist'!$B$6:$B$78,0),MATCH(C3368,'Crude Exp Dist'!$AD$2:$BC$2,0))*INDEX(crude_exp_by_year,MATCH(B3368,'Data Export'!$B$6:$B$78,0),1),IF(E3368=5,INDEX(ref_exp_dist,MATCH(B3368,'Refined Petro Exp Dist'!$B$6:$B$78,0),MATCH(C3368,'Refined Petro Exp Dist'!$AD$2:$BC$2,0))*INDEX(ref_exp_by_year,MATCH(B3368,'Data Export'!$B$6:$B$78,0),1)))</f>
        <v>0</v>
      </c>
      <c r="E3368">
        <v>5</v>
      </c>
      <c r="F3368" t="s">
        <v>211</v>
      </c>
    </row>
    <row r="3369" spans="1:6">
      <c r="A3369" t="str">
        <f t="shared" si="52"/>
        <v>GenericE&amp;DtemplateCIandGOA</v>
      </c>
      <c r="B3369">
        <v>60</v>
      </c>
      <c r="C3369">
        <v>14</v>
      </c>
      <c r="D3369" s="649">
        <f ca="1">IF(E3369=4,INDEX(crude_exp_dist,MATCH(B3369,'Crude Exp Dist'!$B$6:$B$78,0),MATCH(C3369,'Crude Exp Dist'!$AD$2:$BC$2,0))*INDEX(crude_exp_by_year,MATCH(B3369,'Data Export'!$B$6:$B$78,0),1),IF(E3369=5,INDEX(ref_exp_dist,MATCH(B3369,'Refined Petro Exp Dist'!$B$6:$B$78,0),MATCH(C3369,'Refined Petro Exp Dist'!$AD$2:$BC$2,0))*INDEX(ref_exp_by_year,MATCH(B3369,'Data Export'!$B$6:$B$78,0),1)))</f>
        <v>0</v>
      </c>
      <c r="E3369">
        <v>5</v>
      </c>
      <c r="F3369" t="s">
        <v>213</v>
      </c>
    </row>
    <row r="3370" spans="1:6">
      <c r="A3370" t="str">
        <f t="shared" si="52"/>
        <v>GenericE&amp;DtemplateCIandGOA</v>
      </c>
      <c r="B3370">
        <v>60</v>
      </c>
      <c r="C3370">
        <v>15</v>
      </c>
      <c r="D3370" s="649">
        <f ca="1">IF(E3370=4,INDEX(crude_exp_dist,MATCH(B3370,'Crude Exp Dist'!$B$6:$B$78,0),MATCH(C3370,'Crude Exp Dist'!$AD$2:$BC$2,0))*INDEX(crude_exp_by_year,MATCH(B3370,'Data Export'!$B$6:$B$78,0),1),IF(E3370=5,INDEX(ref_exp_dist,MATCH(B3370,'Refined Petro Exp Dist'!$B$6:$B$78,0),MATCH(C3370,'Refined Petro Exp Dist'!$AD$2:$BC$2,0))*INDEX(ref_exp_by_year,MATCH(B3370,'Data Export'!$B$6:$B$78,0),1)))</f>
        <v>0</v>
      </c>
      <c r="E3370">
        <v>5</v>
      </c>
      <c r="F3370" t="s">
        <v>215</v>
      </c>
    </row>
    <row r="3371" spans="1:6">
      <c r="A3371" t="str">
        <f t="shared" si="52"/>
        <v>GenericE&amp;DtemplateCIandGOA</v>
      </c>
      <c r="B3371">
        <v>60</v>
      </c>
      <c r="C3371">
        <v>16</v>
      </c>
      <c r="D3371" s="649">
        <f ca="1">IF(E3371=4,INDEX(crude_exp_dist,MATCH(B3371,'Crude Exp Dist'!$B$6:$B$78,0),MATCH(C3371,'Crude Exp Dist'!$AD$2:$BC$2,0))*INDEX(crude_exp_by_year,MATCH(B3371,'Data Export'!$B$6:$B$78,0),1),IF(E3371=5,INDEX(ref_exp_dist,MATCH(B3371,'Refined Petro Exp Dist'!$B$6:$B$78,0),MATCH(C3371,'Refined Petro Exp Dist'!$AD$2:$BC$2,0))*INDEX(ref_exp_by_year,MATCH(B3371,'Data Export'!$B$6:$B$78,0),1)))</f>
        <v>0</v>
      </c>
      <c r="E3371">
        <v>5</v>
      </c>
      <c r="F3371" t="s">
        <v>219</v>
      </c>
    </row>
    <row r="3372" spans="1:6">
      <c r="A3372" t="str">
        <f t="shared" si="52"/>
        <v>GenericE&amp;DtemplateCIandGOA</v>
      </c>
      <c r="B3372">
        <v>60</v>
      </c>
      <c r="C3372">
        <v>17</v>
      </c>
      <c r="D3372" s="649">
        <f ca="1">IF(E3372=4,INDEX(crude_exp_dist,MATCH(B3372,'Crude Exp Dist'!$B$6:$B$78,0),MATCH(C3372,'Crude Exp Dist'!$AD$2:$BC$2,0))*INDEX(crude_exp_by_year,MATCH(B3372,'Data Export'!$B$6:$B$78,0),1),IF(E3372=5,INDEX(ref_exp_dist,MATCH(B3372,'Refined Petro Exp Dist'!$B$6:$B$78,0),MATCH(C3372,'Refined Petro Exp Dist'!$AD$2:$BC$2,0))*INDEX(ref_exp_by_year,MATCH(B3372,'Data Export'!$B$6:$B$78,0),1)))</f>
        <v>0</v>
      </c>
      <c r="E3372">
        <v>5</v>
      </c>
      <c r="F3372" t="s">
        <v>222</v>
      </c>
    </row>
    <row r="3373" spans="1:6">
      <c r="A3373" t="str">
        <f t="shared" si="52"/>
        <v>GenericE&amp;DtemplateCIandGOA</v>
      </c>
      <c r="B3373">
        <v>60</v>
      </c>
      <c r="C3373">
        <v>18</v>
      </c>
      <c r="D3373" s="649">
        <f ca="1">IF(E3373=4,INDEX(crude_exp_dist,MATCH(B3373,'Crude Exp Dist'!$B$6:$B$78,0),MATCH(C3373,'Crude Exp Dist'!$AD$2:$BC$2,0))*INDEX(crude_exp_by_year,MATCH(B3373,'Data Export'!$B$6:$B$78,0),1),IF(E3373=5,INDEX(ref_exp_dist,MATCH(B3373,'Refined Petro Exp Dist'!$B$6:$B$78,0),MATCH(C3373,'Refined Petro Exp Dist'!$AD$2:$BC$2,0))*INDEX(ref_exp_by_year,MATCH(B3373,'Data Export'!$B$6:$B$78,0),1)))</f>
        <v>0</v>
      </c>
      <c r="E3373">
        <v>5</v>
      </c>
      <c r="F3373" t="s">
        <v>224</v>
      </c>
    </row>
    <row r="3374" spans="1:6">
      <c r="A3374" t="str">
        <f t="shared" si="52"/>
        <v>GenericE&amp;DtemplateCIandGOA</v>
      </c>
      <c r="B3374">
        <v>60</v>
      </c>
      <c r="C3374">
        <v>19</v>
      </c>
      <c r="D3374" s="649">
        <f ca="1">IF(E3374=4,INDEX(crude_exp_dist,MATCH(B3374,'Crude Exp Dist'!$B$6:$B$78,0),MATCH(C3374,'Crude Exp Dist'!$AD$2:$BC$2,0))*INDEX(crude_exp_by_year,MATCH(B3374,'Data Export'!$B$6:$B$78,0),1),IF(E3374=5,INDEX(ref_exp_dist,MATCH(B3374,'Refined Petro Exp Dist'!$B$6:$B$78,0),MATCH(C3374,'Refined Petro Exp Dist'!$AD$2:$BC$2,0))*INDEX(ref_exp_by_year,MATCH(B3374,'Data Export'!$B$6:$B$78,0),1)))</f>
        <v>0</v>
      </c>
      <c r="E3374">
        <v>5</v>
      </c>
      <c r="F3374" t="s">
        <v>228</v>
      </c>
    </row>
    <row r="3375" spans="1:6">
      <c r="A3375" t="str">
        <f t="shared" si="52"/>
        <v>GenericE&amp;DtemplateCIandGOA</v>
      </c>
      <c r="B3375">
        <v>60</v>
      </c>
      <c r="C3375">
        <v>20</v>
      </c>
      <c r="D3375" s="649">
        <f ca="1">IF(E3375=4,INDEX(crude_exp_dist,MATCH(B3375,'Crude Exp Dist'!$B$6:$B$78,0),MATCH(C3375,'Crude Exp Dist'!$AD$2:$BC$2,0))*INDEX(crude_exp_by_year,MATCH(B3375,'Data Export'!$B$6:$B$78,0),1),IF(E3375=5,INDEX(ref_exp_dist,MATCH(B3375,'Refined Petro Exp Dist'!$B$6:$B$78,0),MATCH(C3375,'Refined Petro Exp Dist'!$AD$2:$BC$2,0))*INDEX(ref_exp_by_year,MATCH(B3375,'Data Export'!$B$6:$B$78,0),1)))</f>
        <v>0</v>
      </c>
      <c r="E3375">
        <v>5</v>
      </c>
      <c r="F3375" t="s">
        <v>231</v>
      </c>
    </row>
    <row r="3376" spans="1:6">
      <c r="A3376" t="str">
        <f t="shared" si="52"/>
        <v>GenericE&amp;DtemplateCIandGOA</v>
      </c>
      <c r="B3376">
        <v>60</v>
      </c>
      <c r="C3376">
        <v>21</v>
      </c>
      <c r="D3376" s="649">
        <f ca="1">IF(E3376=4,INDEX(crude_exp_dist,MATCH(B3376,'Crude Exp Dist'!$B$6:$B$78,0),MATCH(C3376,'Crude Exp Dist'!$AD$2:$BC$2,0))*INDEX(crude_exp_by_year,MATCH(B3376,'Data Export'!$B$6:$B$78,0),1),IF(E3376=5,INDEX(ref_exp_dist,MATCH(B3376,'Refined Petro Exp Dist'!$B$6:$B$78,0),MATCH(C3376,'Refined Petro Exp Dist'!$AD$2:$BC$2,0))*INDEX(ref_exp_by_year,MATCH(B3376,'Data Export'!$B$6:$B$78,0),1)))</f>
        <v>0</v>
      </c>
      <c r="E3376">
        <v>5</v>
      </c>
      <c r="F3376" t="s">
        <v>232</v>
      </c>
    </row>
    <row r="3377" spans="1:6">
      <c r="A3377" t="str">
        <f t="shared" si="52"/>
        <v>GenericE&amp;DtemplateCIandGOA</v>
      </c>
      <c r="B3377">
        <v>60</v>
      </c>
      <c r="C3377">
        <v>22</v>
      </c>
      <c r="D3377" s="649">
        <f ca="1">IF(E3377=4,INDEX(crude_exp_dist,MATCH(B3377,'Crude Exp Dist'!$B$6:$B$78,0),MATCH(C3377,'Crude Exp Dist'!$AD$2:$BC$2,0))*INDEX(crude_exp_by_year,MATCH(B3377,'Data Export'!$B$6:$B$78,0),1),IF(E3377=5,INDEX(ref_exp_dist,MATCH(B3377,'Refined Petro Exp Dist'!$B$6:$B$78,0),MATCH(C3377,'Refined Petro Exp Dist'!$AD$2:$BC$2,0))*INDEX(ref_exp_by_year,MATCH(B3377,'Data Export'!$B$6:$B$78,0),1)))</f>
        <v>0</v>
      </c>
      <c r="E3377">
        <v>5</v>
      </c>
      <c r="F3377" t="s">
        <v>235</v>
      </c>
    </row>
    <row r="3378" spans="1:6">
      <c r="A3378" t="str">
        <f t="shared" si="52"/>
        <v>GenericE&amp;DtemplateCIandGOA</v>
      </c>
      <c r="B3378">
        <v>60</v>
      </c>
      <c r="C3378">
        <v>23</v>
      </c>
      <c r="D3378" s="649">
        <f ca="1">IF(E3378=4,INDEX(crude_exp_dist,MATCH(B3378,'Crude Exp Dist'!$B$6:$B$78,0),MATCH(C3378,'Crude Exp Dist'!$AD$2:$BC$2,0))*INDEX(crude_exp_by_year,MATCH(B3378,'Data Export'!$B$6:$B$78,0),1),IF(E3378=5,INDEX(ref_exp_dist,MATCH(B3378,'Refined Petro Exp Dist'!$B$6:$B$78,0),MATCH(C3378,'Refined Petro Exp Dist'!$AD$2:$BC$2,0))*INDEX(ref_exp_by_year,MATCH(B3378,'Data Export'!$B$6:$B$78,0),1)))</f>
        <v>0</v>
      </c>
      <c r="E3378">
        <v>5</v>
      </c>
      <c r="F3378" t="s">
        <v>237</v>
      </c>
    </row>
    <row r="3379" spans="1:6">
      <c r="A3379" t="str">
        <f t="shared" si="52"/>
        <v>GenericE&amp;DtemplateCIandGOA</v>
      </c>
      <c r="B3379">
        <v>60</v>
      </c>
      <c r="C3379">
        <v>24</v>
      </c>
      <c r="D3379" s="649">
        <f ca="1">IF(E3379=4,INDEX(crude_exp_dist,MATCH(B3379,'Crude Exp Dist'!$B$6:$B$78,0),MATCH(C3379,'Crude Exp Dist'!$AD$2:$BC$2,0))*INDEX(crude_exp_by_year,MATCH(B3379,'Data Export'!$B$6:$B$78,0),1),IF(E3379=5,INDEX(ref_exp_dist,MATCH(B3379,'Refined Petro Exp Dist'!$B$6:$B$78,0),MATCH(C3379,'Refined Petro Exp Dist'!$AD$2:$BC$2,0))*INDEX(ref_exp_by_year,MATCH(B3379,'Data Export'!$B$6:$B$78,0),1)))</f>
        <v>0</v>
      </c>
      <c r="E3379">
        <v>5</v>
      </c>
      <c r="F3379" t="s">
        <v>239</v>
      </c>
    </row>
    <row r="3380" spans="1:6">
      <c r="A3380" t="str">
        <f t="shared" si="52"/>
        <v>GenericE&amp;DtemplateCIandGOA</v>
      </c>
      <c r="B3380">
        <v>60</v>
      </c>
      <c r="C3380">
        <v>25</v>
      </c>
      <c r="D3380" s="649">
        <f ca="1">IF(E3380=4,INDEX(crude_exp_dist,MATCH(B3380,'Crude Exp Dist'!$B$6:$B$78,0),MATCH(C3380,'Crude Exp Dist'!$AD$2:$BC$2,0))*INDEX(crude_exp_by_year,MATCH(B3380,'Data Export'!$B$6:$B$78,0),1),IF(E3380=5,INDEX(ref_exp_dist,MATCH(B3380,'Refined Petro Exp Dist'!$B$6:$B$78,0),MATCH(C3380,'Refined Petro Exp Dist'!$AD$2:$BC$2,0))*INDEX(ref_exp_by_year,MATCH(B3380,'Data Export'!$B$6:$B$78,0),1)))</f>
        <v>0</v>
      </c>
      <c r="E3380">
        <v>5</v>
      </c>
      <c r="F3380" t="s">
        <v>242</v>
      </c>
    </row>
    <row r="3381" spans="1:6">
      <c r="A3381" t="str">
        <f t="shared" si="52"/>
        <v>GenericE&amp;DtemplateCIandGOA</v>
      </c>
      <c r="B3381">
        <v>60</v>
      </c>
      <c r="C3381">
        <v>26</v>
      </c>
      <c r="D3381" s="649">
        <f ca="1">IF(E3381=4,INDEX(crude_exp_dist,MATCH(B3381,'Crude Exp Dist'!$B$6:$B$78,0),MATCH(C3381,'Crude Exp Dist'!$AD$2:$BC$2,0))*INDEX(crude_exp_by_year,MATCH(B3381,'Data Export'!$B$6:$B$78,0),1),IF(E3381=5,INDEX(ref_exp_dist,MATCH(B3381,'Refined Petro Exp Dist'!$B$6:$B$78,0),MATCH(C3381,'Refined Petro Exp Dist'!$AD$2:$BC$2,0))*INDEX(ref_exp_by_year,MATCH(B3381,'Data Export'!$B$6:$B$78,0),1)))</f>
        <v>0</v>
      </c>
      <c r="E3381">
        <v>5</v>
      </c>
      <c r="F3381" t="s">
        <v>245</v>
      </c>
    </row>
    <row r="3382" spans="1:6">
      <c r="A3382" t="str">
        <f t="shared" si="52"/>
        <v>GenericE&amp;DtemplateCIandGOA</v>
      </c>
      <c r="B3382">
        <v>61</v>
      </c>
      <c r="C3382">
        <v>1</v>
      </c>
      <c r="D3382" s="649">
        <f ca="1">IF(E3382=4,INDEX(crude_exp_dist,MATCH(B3382,'Crude Exp Dist'!$B$6:$B$78,0),MATCH(C3382,'Crude Exp Dist'!$AD$2:$BC$2,0))*INDEX(crude_exp_by_year,MATCH(B3382,'Data Export'!$B$6:$B$78,0),1),IF(E3382=5,INDEX(ref_exp_dist,MATCH(B3382,'Refined Petro Exp Dist'!$B$6:$B$78,0),MATCH(C3382,'Refined Petro Exp Dist'!$AD$2:$BC$2,0))*INDEX(ref_exp_by_year,MATCH(B3382,'Data Export'!$B$6:$B$78,0),1)))</f>
        <v>0</v>
      </c>
      <c r="E3382">
        <v>5</v>
      </c>
      <c r="F3382" t="s">
        <v>158</v>
      </c>
    </row>
    <row r="3383" spans="1:6">
      <c r="A3383" t="str">
        <f t="shared" si="52"/>
        <v>GenericE&amp;DtemplateCIandGOA</v>
      </c>
      <c r="B3383">
        <v>61</v>
      </c>
      <c r="C3383">
        <v>2</v>
      </c>
      <c r="D3383" s="649">
        <f ca="1">IF(E3383=4,INDEX(crude_exp_dist,MATCH(B3383,'Crude Exp Dist'!$B$6:$B$78,0),MATCH(C3383,'Crude Exp Dist'!$AD$2:$BC$2,0))*INDEX(crude_exp_by_year,MATCH(B3383,'Data Export'!$B$6:$B$78,0),1),IF(E3383=5,INDEX(ref_exp_dist,MATCH(B3383,'Refined Petro Exp Dist'!$B$6:$B$78,0),MATCH(C3383,'Refined Petro Exp Dist'!$AD$2:$BC$2,0))*INDEX(ref_exp_by_year,MATCH(B3383,'Data Export'!$B$6:$B$78,0),1)))</f>
        <v>0</v>
      </c>
      <c r="E3383">
        <v>5</v>
      </c>
      <c r="F3383" t="s">
        <v>166</v>
      </c>
    </row>
    <row r="3384" spans="1:6">
      <c r="A3384" t="str">
        <f t="shared" si="52"/>
        <v>GenericE&amp;DtemplateCIandGOA</v>
      </c>
      <c r="B3384">
        <v>61</v>
      </c>
      <c r="C3384">
        <v>3</v>
      </c>
      <c r="D3384" s="649">
        <f ca="1">IF(E3384=4,INDEX(crude_exp_dist,MATCH(B3384,'Crude Exp Dist'!$B$6:$B$78,0),MATCH(C3384,'Crude Exp Dist'!$AD$2:$BC$2,0))*INDEX(crude_exp_by_year,MATCH(B3384,'Data Export'!$B$6:$B$78,0),1),IF(E3384=5,INDEX(ref_exp_dist,MATCH(B3384,'Refined Petro Exp Dist'!$B$6:$B$78,0),MATCH(C3384,'Refined Petro Exp Dist'!$AD$2:$BC$2,0))*INDEX(ref_exp_by_year,MATCH(B3384,'Data Export'!$B$6:$B$78,0),1)))</f>
        <v>0</v>
      </c>
      <c r="E3384">
        <v>5</v>
      </c>
      <c r="F3384" t="s">
        <v>171</v>
      </c>
    </row>
    <row r="3385" spans="1:6">
      <c r="A3385" t="str">
        <f t="shared" si="52"/>
        <v>GenericE&amp;DtemplateCIandGOA</v>
      </c>
      <c r="B3385">
        <v>61</v>
      </c>
      <c r="C3385">
        <v>4</v>
      </c>
      <c r="D3385" s="649">
        <f ca="1">IF(E3385=4,INDEX(crude_exp_dist,MATCH(B3385,'Crude Exp Dist'!$B$6:$B$78,0),MATCH(C3385,'Crude Exp Dist'!$AD$2:$BC$2,0))*INDEX(crude_exp_by_year,MATCH(B3385,'Data Export'!$B$6:$B$78,0),1),IF(E3385=5,INDEX(ref_exp_dist,MATCH(B3385,'Refined Petro Exp Dist'!$B$6:$B$78,0),MATCH(C3385,'Refined Petro Exp Dist'!$AD$2:$BC$2,0))*INDEX(ref_exp_by_year,MATCH(B3385,'Data Export'!$B$6:$B$78,0),1)))</f>
        <v>0</v>
      </c>
      <c r="E3385">
        <v>5</v>
      </c>
      <c r="F3385" t="s">
        <v>173</v>
      </c>
    </row>
    <row r="3386" spans="1:6">
      <c r="A3386" t="str">
        <f t="shared" si="52"/>
        <v>GenericE&amp;DtemplateCIandGOA</v>
      </c>
      <c r="B3386">
        <v>61</v>
      </c>
      <c r="C3386">
        <v>5</v>
      </c>
      <c r="D3386" s="649">
        <f ca="1">IF(E3386=4,INDEX(crude_exp_dist,MATCH(B3386,'Crude Exp Dist'!$B$6:$B$78,0),MATCH(C3386,'Crude Exp Dist'!$AD$2:$BC$2,0))*INDEX(crude_exp_by_year,MATCH(B3386,'Data Export'!$B$6:$B$78,0),1),IF(E3386=5,INDEX(ref_exp_dist,MATCH(B3386,'Refined Petro Exp Dist'!$B$6:$B$78,0),MATCH(C3386,'Refined Petro Exp Dist'!$AD$2:$BC$2,0))*INDEX(ref_exp_by_year,MATCH(B3386,'Data Export'!$B$6:$B$78,0),1)))</f>
        <v>0</v>
      </c>
      <c r="E3386">
        <v>5</v>
      </c>
      <c r="F3386" t="s">
        <v>180</v>
      </c>
    </row>
    <row r="3387" spans="1:6">
      <c r="A3387" t="str">
        <f t="shared" si="52"/>
        <v>GenericE&amp;DtemplateCIandGOA</v>
      </c>
      <c r="B3387">
        <v>61</v>
      </c>
      <c r="C3387">
        <v>6</v>
      </c>
      <c r="D3387" s="649">
        <f ca="1">IF(E3387=4,INDEX(crude_exp_dist,MATCH(B3387,'Crude Exp Dist'!$B$6:$B$78,0),MATCH(C3387,'Crude Exp Dist'!$AD$2:$BC$2,0))*INDEX(crude_exp_by_year,MATCH(B3387,'Data Export'!$B$6:$B$78,0),1),IF(E3387=5,INDEX(ref_exp_dist,MATCH(B3387,'Refined Petro Exp Dist'!$B$6:$B$78,0),MATCH(C3387,'Refined Petro Exp Dist'!$AD$2:$BC$2,0))*INDEX(ref_exp_by_year,MATCH(B3387,'Data Export'!$B$6:$B$78,0),1)))</f>
        <v>0</v>
      </c>
      <c r="E3387">
        <v>5</v>
      </c>
      <c r="F3387" t="s">
        <v>186</v>
      </c>
    </row>
    <row r="3388" spans="1:6">
      <c r="A3388" t="str">
        <f t="shared" si="52"/>
        <v>GenericE&amp;DtemplateCIandGOA</v>
      </c>
      <c r="B3388">
        <v>61</v>
      </c>
      <c r="C3388">
        <v>7</v>
      </c>
      <c r="D3388" s="649">
        <f ca="1">IF(E3388=4,INDEX(crude_exp_dist,MATCH(B3388,'Crude Exp Dist'!$B$6:$B$78,0),MATCH(C3388,'Crude Exp Dist'!$AD$2:$BC$2,0))*INDEX(crude_exp_by_year,MATCH(B3388,'Data Export'!$B$6:$B$78,0),1),IF(E3388=5,INDEX(ref_exp_dist,MATCH(B3388,'Refined Petro Exp Dist'!$B$6:$B$78,0),MATCH(C3388,'Refined Petro Exp Dist'!$AD$2:$BC$2,0))*INDEX(ref_exp_by_year,MATCH(B3388,'Data Export'!$B$6:$B$78,0),1)))</f>
        <v>0</v>
      </c>
      <c r="E3388">
        <v>5</v>
      </c>
      <c r="F3388" t="s">
        <v>191</v>
      </c>
    </row>
    <row r="3389" spans="1:6">
      <c r="A3389" t="str">
        <f t="shared" si="52"/>
        <v>GenericE&amp;DtemplateCIandGOA</v>
      </c>
      <c r="B3389">
        <v>61</v>
      </c>
      <c r="C3389">
        <v>8</v>
      </c>
      <c r="D3389" s="649">
        <f ca="1">IF(E3389=4,INDEX(crude_exp_dist,MATCH(B3389,'Crude Exp Dist'!$B$6:$B$78,0),MATCH(C3389,'Crude Exp Dist'!$AD$2:$BC$2,0))*INDEX(crude_exp_by_year,MATCH(B3389,'Data Export'!$B$6:$B$78,0),1),IF(E3389=5,INDEX(ref_exp_dist,MATCH(B3389,'Refined Petro Exp Dist'!$B$6:$B$78,0),MATCH(C3389,'Refined Petro Exp Dist'!$AD$2:$BC$2,0))*INDEX(ref_exp_by_year,MATCH(B3389,'Data Export'!$B$6:$B$78,0),1)))</f>
        <v>0</v>
      </c>
      <c r="E3389">
        <v>5</v>
      </c>
      <c r="F3389" t="s">
        <v>197</v>
      </c>
    </row>
    <row r="3390" spans="1:6">
      <c r="A3390" t="str">
        <f t="shared" si="52"/>
        <v>GenericE&amp;DtemplateCIandGOA</v>
      </c>
      <c r="B3390">
        <v>61</v>
      </c>
      <c r="C3390">
        <v>9</v>
      </c>
      <c r="D3390" s="649">
        <f ca="1">IF(E3390=4,INDEX(crude_exp_dist,MATCH(B3390,'Crude Exp Dist'!$B$6:$B$78,0),MATCH(C3390,'Crude Exp Dist'!$AD$2:$BC$2,0))*INDEX(crude_exp_by_year,MATCH(B3390,'Data Export'!$B$6:$B$78,0),1),IF(E3390=5,INDEX(ref_exp_dist,MATCH(B3390,'Refined Petro Exp Dist'!$B$6:$B$78,0),MATCH(C3390,'Refined Petro Exp Dist'!$AD$2:$BC$2,0))*INDEX(ref_exp_by_year,MATCH(B3390,'Data Export'!$B$6:$B$78,0),1)))</f>
        <v>0</v>
      </c>
      <c r="E3390">
        <v>5</v>
      </c>
      <c r="F3390" t="s">
        <v>199</v>
      </c>
    </row>
    <row r="3391" spans="1:6">
      <c r="A3391" t="str">
        <f t="shared" si="52"/>
        <v>GenericE&amp;DtemplateCIandGOA</v>
      </c>
      <c r="B3391">
        <v>61</v>
      </c>
      <c r="C3391">
        <v>10</v>
      </c>
      <c r="D3391" s="649">
        <f ca="1">IF(E3391=4,INDEX(crude_exp_dist,MATCH(B3391,'Crude Exp Dist'!$B$6:$B$78,0),MATCH(C3391,'Crude Exp Dist'!$AD$2:$BC$2,0))*INDEX(crude_exp_by_year,MATCH(B3391,'Data Export'!$B$6:$B$78,0),1),IF(E3391=5,INDEX(ref_exp_dist,MATCH(B3391,'Refined Petro Exp Dist'!$B$6:$B$78,0),MATCH(C3391,'Refined Petro Exp Dist'!$AD$2:$BC$2,0))*INDEX(ref_exp_by_year,MATCH(B3391,'Data Export'!$B$6:$B$78,0),1)))</f>
        <v>0</v>
      </c>
      <c r="E3391">
        <v>5</v>
      </c>
      <c r="F3391" t="s">
        <v>201</v>
      </c>
    </row>
    <row r="3392" spans="1:6">
      <c r="A3392" t="str">
        <f t="shared" si="52"/>
        <v>GenericE&amp;DtemplateCIandGOA</v>
      </c>
      <c r="B3392">
        <v>61</v>
      </c>
      <c r="C3392">
        <v>11</v>
      </c>
      <c r="D3392" s="649">
        <f ca="1">IF(E3392=4,INDEX(crude_exp_dist,MATCH(B3392,'Crude Exp Dist'!$B$6:$B$78,0),MATCH(C3392,'Crude Exp Dist'!$AD$2:$BC$2,0))*INDEX(crude_exp_by_year,MATCH(B3392,'Data Export'!$B$6:$B$78,0),1),IF(E3392=5,INDEX(ref_exp_dist,MATCH(B3392,'Refined Petro Exp Dist'!$B$6:$B$78,0),MATCH(C3392,'Refined Petro Exp Dist'!$AD$2:$BC$2,0))*INDEX(ref_exp_by_year,MATCH(B3392,'Data Export'!$B$6:$B$78,0),1)))</f>
        <v>0</v>
      </c>
      <c r="E3392">
        <v>5</v>
      </c>
      <c r="F3392" t="s">
        <v>921</v>
      </c>
    </row>
    <row r="3393" spans="1:6">
      <c r="A3393" t="str">
        <f t="shared" si="52"/>
        <v>GenericE&amp;DtemplateCIandGOA</v>
      </c>
      <c r="B3393">
        <v>61</v>
      </c>
      <c r="C3393">
        <v>12</v>
      </c>
      <c r="D3393" s="649">
        <f ca="1">IF(E3393=4,INDEX(crude_exp_dist,MATCH(B3393,'Crude Exp Dist'!$B$6:$B$78,0),MATCH(C3393,'Crude Exp Dist'!$AD$2:$BC$2,0))*INDEX(crude_exp_by_year,MATCH(B3393,'Data Export'!$B$6:$B$78,0),1),IF(E3393=5,INDEX(ref_exp_dist,MATCH(B3393,'Refined Petro Exp Dist'!$B$6:$B$78,0),MATCH(C3393,'Refined Petro Exp Dist'!$AD$2:$BC$2,0))*INDEX(ref_exp_by_year,MATCH(B3393,'Data Export'!$B$6:$B$78,0),1)))</f>
        <v>0</v>
      </c>
      <c r="E3393">
        <v>5</v>
      </c>
      <c r="F3393" t="s">
        <v>208</v>
      </c>
    </row>
    <row r="3394" spans="1:6">
      <c r="A3394" t="str">
        <f t="shared" ref="A3394:A3457" si="53">scenario_name</f>
        <v>GenericE&amp;DtemplateCIandGOA</v>
      </c>
      <c r="B3394">
        <v>61</v>
      </c>
      <c r="C3394">
        <v>13</v>
      </c>
      <c r="D3394" s="649">
        <f ca="1">IF(E3394=4,INDEX(crude_exp_dist,MATCH(B3394,'Crude Exp Dist'!$B$6:$B$78,0),MATCH(C3394,'Crude Exp Dist'!$AD$2:$BC$2,0))*INDEX(crude_exp_by_year,MATCH(B3394,'Data Export'!$B$6:$B$78,0),1),IF(E3394=5,INDEX(ref_exp_dist,MATCH(B3394,'Refined Petro Exp Dist'!$B$6:$B$78,0),MATCH(C3394,'Refined Petro Exp Dist'!$AD$2:$BC$2,0))*INDEX(ref_exp_by_year,MATCH(B3394,'Data Export'!$B$6:$B$78,0),1)))</f>
        <v>0</v>
      </c>
      <c r="E3394">
        <v>5</v>
      </c>
      <c r="F3394" t="s">
        <v>211</v>
      </c>
    </row>
    <row r="3395" spans="1:6">
      <c r="A3395" t="str">
        <f t="shared" si="53"/>
        <v>GenericE&amp;DtemplateCIandGOA</v>
      </c>
      <c r="B3395">
        <v>61</v>
      </c>
      <c r="C3395">
        <v>14</v>
      </c>
      <c r="D3395" s="649">
        <f ca="1">IF(E3395=4,INDEX(crude_exp_dist,MATCH(B3395,'Crude Exp Dist'!$B$6:$B$78,0),MATCH(C3395,'Crude Exp Dist'!$AD$2:$BC$2,0))*INDEX(crude_exp_by_year,MATCH(B3395,'Data Export'!$B$6:$B$78,0),1),IF(E3395=5,INDEX(ref_exp_dist,MATCH(B3395,'Refined Petro Exp Dist'!$B$6:$B$78,0),MATCH(C3395,'Refined Petro Exp Dist'!$AD$2:$BC$2,0))*INDEX(ref_exp_by_year,MATCH(B3395,'Data Export'!$B$6:$B$78,0),1)))</f>
        <v>0</v>
      </c>
      <c r="E3395">
        <v>5</v>
      </c>
      <c r="F3395" t="s">
        <v>213</v>
      </c>
    </row>
    <row r="3396" spans="1:6">
      <c r="A3396" t="str">
        <f t="shared" si="53"/>
        <v>GenericE&amp;DtemplateCIandGOA</v>
      </c>
      <c r="B3396">
        <v>61</v>
      </c>
      <c r="C3396">
        <v>15</v>
      </c>
      <c r="D3396" s="649">
        <f ca="1">IF(E3396=4,INDEX(crude_exp_dist,MATCH(B3396,'Crude Exp Dist'!$B$6:$B$78,0),MATCH(C3396,'Crude Exp Dist'!$AD$2:$BC$2,0))*INDEX(crude_exp_by_year,MATCH(B3396,'Data Export'!$B$6:$B$78,0),1),IF(E3396=5,INDEX(ref_exp_dist,MATCH(B3396,'Refined Petro Exp Dist'!$B$6:$B$78,0),MATCH(C3396,'Refined Petro Exp Dist'!$AD$2:$BC$2,0))*INDEX(ref_exp_by_year,MATCH(B3396,'Data Export'!$B$6:$B$78,0),1)))</f>
        <v>0</v>
      </c>
      <c r="E3396">
        <v>5</v>
      </c>
      <c r="F3396" t="s">
        <v>215</v>
      </c>
    </row>
    <row r="3397" spans="1:6">
      <c r="A3397" t="str">
        <f t="shared" si="53"/>
        <v>GenericE&amp;DtemplateCIandGOA</v>
      </c>
      <c r="B3397">
        <v>61</v>
      </c>
      <c r="C3397">
        <v>16</v>
      </c>
      <c r="D3397" s="649">
        <f ca="1">IF(E3397=4,INDEX(crude_exp_dist,MATCH(B3397,'Crude Exp Dist'!$B$6:$B$78,0),MATCH(C3397,'Crude Exp Dist'!$AD$2:$BC$2,0))*INDEX(crude_exp_by_year,MATCH(B3397,'Data Export'!$B$6:$B$78,0),1),IF(E3397=5,INDEX(ref_exp_dist,MATCH(B3397,'Refined Petro Exp Dist'!$B$6:$B$78,0),MATCH(C3397,'Refined Petro Exp Dist'!$AD$2:$BC$2,0))*INDEX(ref_exp_by_year,MATCH(B3397,'Data Export'!$B$6:$B$78,0),1)))</f>
        <v>0</v>
      </c>
      <c r="E3397">
        <v>5</v>
      </c>
      <c r="F3397" t="s">
        <v>219</v>
      </c>
    </row>
    <row r="3398" spans="1:6">
      <c r="A3398" t="str">
        <f t="shared" si="53"/>
        <v>GenericE&amp;DtemplateCIandGOA</v>
      </c>
      <c r="B3398">
        <v>61</v>
      </c>
      <c r="C3398">
        <v>17</v>
      </c>
      <c r="D3398" s="649">
        <f ca="1">IF(E3398=4,INDEX(crude_exp_dist,MATCH(B3398,'Crude Exp Dist'!$B$6:$B$78,0),MATCH(C3398,'Crude Exp Dist'!$AD$2:$BC$2,0))*INDEX(crude_exp_by_year,MATCH(B3398,'Data Export'!$B$6:$B$78,0),1),IF(E3398=5,INDEX(ref_exp_dist,MATCH(B3398,'Refined Petro Exp Dist'!$B$6:$B$78,0),MATCH(C3398,'Refined Petro Exp Dist'!$AD$2:$BC$2,0))*INDEX(ref_exp_by_year,MATCH(B3398,'Data Export'!$B$6:$B$78,0),1)))</f>
        <v>0</v>
      </c>
      <c r="E3398">
        <v>5</v>
      </c>
      <c r="F3398" t="s">
        <v>222</v>
      </c>
    </row>
    <row r="3399" spans="1:6">
      <c r="A3399" t="str">
        <f t="shared" si="53"/>
        <v>GenericE&amp;DtemplateCIandGOA</v>
      </c>
      <c r="B3399">
        <v>61</v>
      </c>
      <c r="C3399">
        <v>18</v>
      </c>
      <c r="D3399" s="649">
        <f ca="1">IF(E3399=4,INDEX(crude_exp_dist,MATCH(B3399,'Crude Exp Dist'!$B$6:$B$78,0),MATCH(C3399,'Crude Exp Dist'!$AD$2:$BC$2,0))*INDEX(crude_exp_by_year,MATCH(B3399,'Data Export'!$B$6:$B$78,0),1),IF(E3399=5,INDEX(ref_exp_dist,MATCH(B3399,'Refined Petro Exp Dist'!$B$6:$B$78,0),MATCH(C3399,'Refined Petro Exp Dist'!$AD$2:$BC$2,0))*INDEX(ref_exp_by_year,MATCH(B3399,'Data Export'!$B$6:$B$78,0),1)))</f>
        <v>0</v>
      </c>
      <c r="E3399">
        <v>5</v>
      </c>
      <c r="F3399" t="s">
        <v>224</v>
      </c>
    </row>
    <row r="3400" spans="1:6">
      <c r="A3400" t="str">
        <f t="shared" si="53"/>
        <v>GenericE&amp;DtemplateCIandGOA</v>
      </c>
      <c r="B3400">
        <v>61</v>
      </c>
      <c r="C3400">
        <v>19</v>
      </c>
      <c r="D3400" s="649">
        <f ca="1">IF(E3400=4,INDEX(crude_exp_dist,MATCH(B3400,'Crude Exp Dist'!$B$6:$B$78,0),MATCH(C3400,'Crude Exp Dist'!$AD$2:$BC$2,0))*INDEX(crude_exp_by_year,MATCH(B3400,'Data Export'!$B$6:$B$78,0),1),IF(E3400=5,INDEX(ref_exp_dist,MATCH(B3400,'Refined Petro Exp Dist'!$B$6:$B$78,0),MATCH(C3400,'Refined Petro Exp Dist'!$AD$2:$BC$2,0))*INDEX(ref_exp_by_year,MATCH(B3400,'Data Export'!$B$6:$B$78,0),1)))</f>
        <v>0</v>
      </c>
      <c r="E3400">
        <v>5</v>
      </c>
      <c r="F3400" t="s">
        <v>228</v>
      </c>
    </row>
    <row r="3401" spans="1:6">
      <c r="A3401" t="str">
        <f t="shared" si="53"/>
        <v>GenericE&amp;DtemplateCIandGOA</v>
      </c>
      <c r="B3401">
        <v>61</v>
      </c>
      <c r="C3401">
        <v>20</v>
      </c>
      <c r="D3401" s="649">
        <f ca="1">IF(E3401=4,INDEX(crude_exp_dist,MATCH(B3401,'Crude Exp Dist'!$B$6:$B$78,0),MATCH(C3401,'Crude Exp Dist'!$AD$2:$BC$2,0))*INDEX(crude_exp_by_year,MATCH(B3401,'Data Export'!$B$6:$B$78,0),1),IF(E3401=5,INDEX(ref_exp_dist,MATCH(B3401,'Refined Petro Exp Dist'!$B$6:$B$78,0),MATCH(C3401,'Refined Petro Exp Dist'!$AD$2:$BC$2,0))*INDEX(ref_exp_by_year,MATCH(B3401,'Data Export'!$B$6:$B$78,0),1)))</f>
        <v>0</v>
      </c>
      <c r="E3401">
        <v>5</v>
      </c>
      <c r="F3401" t="s">
        <v>231</v>
      </c>
    </row>
    <row r="3402" spans="1:6">
      <c r="A3402" t="str">
        <f t="shared" si="53"/>
        <v>GenericE&amp;DtemplateCIandGOA</v>
      </c>
      <c r="B3402">
        <v>61</v>
      </c>
      <c r="C3402">
        <v>21</v>
      </c>
      <c r="D3402" s="649">
        <f ca="1">IF(E3402=4,INDEX(crude_exp_dist,MATCH(B3402,'Crude Exp Dist'!$B$6:$B$78,0),MATCH(C3402,'Crude Exp Dist'!$AD$2:$BC$2,0))*INDEX(crude_exp_by_year,MATCH(B3402,'Data Export'!$B$6:$B$78,0),1),IF(E3402=5,INDEX(ref_exp_dist,MATCH(B3402,'Refined Petro Exp Dist'!$B$6:$B$78,0),MATCH(C3402,'Refined Petro Exp Dist'!$AD$2:$BC$2,0))*INDEX(ref_exp_by_year,MATCH(B3402,'Data Export'!$B$6:$B$78,0),1)))</f>
        <v>0</v>
      </c>
      <c r="E3402">
        <v>5</v>
      </c>
      <c r="F3402" t="s">
        <v>232</v>
      </c>
    </row>
    <row r="3403" spans="1:6">
      <c r="A3403" t="str">
        <f t="shared" si="53"/>
        <v>GenericE&amp;DtemplateCIandGOA</v>
      </c>
      <c r="B3403">
        <v>61</v>
      </c>
      <c r="C3403">
        <v>22</v>
      </c>
      <c r="D3403" s="649">
        <f ca="1">IF(E3403=4,INDEX(crude_exp_dist,MATCH(B3403,'Crude Exp Dist'!$B$6:$B$78,0),MATCH(C3403,'Crude Exp Dist'!$AD$2:$BC$2,0))*INDEX(crude_exp_by_year,MATCH(B3403,'Data Export'!$B$6:$B$78,0),1),IF(E3403=5,INDEX(ref_exp_dist,MATCH(B3403,'Refined Petro Exp Dist'!$B$6:$B$78,0),MATCH(C3403,'Refined Petro Exp Dist'!$AD$2:$BC$2,0))*INDEX(ref_exp_by_year,MATCH(B3403,'Data Export'!$B$6:$B$78,0),1)))</f>
        <v>0</v>
      </c>
      <c r="E3403">
        <v>5</v>
      </c>
      <c r="F3403" t="s">
        <v>235</v>
      </c>
    </row>
    <row r="3404" spans="1:6">
      <c r="A3404" t="str">
        <f t="shared" si="53"/>
        <v>GenericE&amp;DtemplateCIandGOA</v>
      </c>
      <c r="B3404">
        <v>61</v>
      </c>
      <c r="C3404">
        <v>23</v>
      </c>
      <c r="D3404" s="649">
        <f ca="1">IF(E3404=4,INDEX(crude_exp_dist,MATCH(B3404,'Crude Exp Dist'!$B$6:$B$78,0),MATCH(C3404,'Crude Exp Dist'!$AD$2:$BC$2,0))*INDEX(crude_exp_by_year,MATCH(B3404,'Data Export'!$B$6:$B$78,0),1),IF(E3404=5,INDEX(ref_exp_dist,MATCH(B3404,'Refined Petro Exp Dist'!$B$6:$B$78,0),MATCH(C3404,'Refined Petro Exp Dist'!$AD$2:$BC$2,0))*INDEX(ref_exp_by_year,MATCH(B3404,'Data Export'!$B$6:$B$78,0),1)))</f>
        <v>0</v>
      </c>
      <c r="E3404">
        <v>5</v>
      </c>
      <c r="F3404" t="s">
        <v>237</v>
      </c>
    </row>
    <row r="3405" spans="1:6">
      <c r="A3405" t="str">
        <f t="shared" si="53"/>
        <v>GenericE&amp;DtemplateCIandGOA</v>
      </c>
      <c r="B3405">
        <v>61</v>
      </c>
      <c r="C3405">
        <v>24</v>
      </c>
      <c r="D3405" s="649">
        <f ca="1">IF(E3405=4,INDEX(crude_exp_dist,MATCH(B3405,'Crude Exp Dist'!$B$6:$B$78,0),MATCH(C3405,'Crude Exp Dist'!$AD$2:$BC$2,0))*INDEX(crude_exp_by_year,MATCH(B3405,'Data Export'!$B$6:$B$78,0),1),IF(E3405=5,INDEX(ref_exp_dist,MATCH(B3405,'Refined Petro Exp Dist'!$B$6:$B$78,0),MATCH(C3405,'Refined Petro Exp Dist'!$AD$2:$BC$2,0))*INDEX(ref_exp_by_year,MATCH(B3405,'Data Export'!$B$6:$B$78,0),1)))</f>
        <v>0</v>
      </c>
      <c r="E3405">
        <v>5</v>
      </c>
      <c r="F3405" t="s">
        <v>239</v>
      </c>
    </row>
    <row r="3406" spans="1:6">
      <c r="A3406" t="str">
        <f t="shared" si="53"/>
        <v>GenericE&amp;DtemplateCIandGOA</v>
      </c>
      <c r="B3406">
        <v>61</v>
      </c>
      <c r="C3406">
        <v>25</v>
      </c>
      <c r="D3406" s="649">
        <f ca="1">IF(E3406=4,INDEX(crude_exp_dist,MATCH(B3406,'Crude Exp Dist'!$B$6:$B$78,0),MATCH(C3406,'Crude Exp Dist'!$AD$2:$BC$2,0))*INDEX(crude_exp_by_year,MATCH(B3406,'Data Export'!$B$6:$B$78,0),1),IF(E3406=5,INDEX(ref_exp_dist,MATCH(B3406,'Refined Petro Exp Dist'!$B$6:$B$78,0),MATCH(C3406,'Refined Petro Exp Dist'!$AD$2:$BC$2,0))*INDEX(ref_exp_by_year,MATCH(B3406,'Data Export'!$B$6:$B$78,0),1)))</f>
        <v>0</v>
      </c>
      <c r="E3406">
        <v>5</v>
      </c>
      <c r="F3406" t="s">
        <v>242</v>
      </c>
    </row>
    <row r="3407" spans="1:6">
      <c r="A3407" t="str">
        <f t="shared" si="53"/>
        <v>GenericE&amp;DtemplateCIandGOA</v>
      </c>
      <c r="B3407">
        <v>61</v>
      </c>
      <c r="C3407">
        <v>26</v>
      </c>
      <c r="D3407" s="649">
        <f ca="1">IF(E3407=4,INDEX(crude_exp_dist,MATCH(B3407,'Crude Exp Dist'!$B$6:$B$78,0),MATCH(C3407,'Crude Exp Dist'!$AD$2:$BC$2,0))*INDEX(crude_exp_by_year,MATCH(B3407,'Data Export'!$B$6:$B$78,0),1),IF(E3407=5,INDEX(ref_exp_dist,MATCH(B3407,'Refined Petro Exp Dist'!$B$6:$B$78,0),MATCH(C3407,'Refined Petro Exp Dist'!$AD$2:$BC$2,0))*INDEX(ref_exp_by_year,MATCH(B3407,'Data Export'!$B$6:$B$78,0),1)))</f>
        <v>0</v>
      </c>
      <c r="E3407">
        <v>5</v>
      </c>
      <c r="F3407" t="s">
        <v>245</v>
      </c>
    </row>
    <row r="3408" spans="1:6">
      <c r="A3408" t="str">
        <f t="shared" si="53"/>
        <v>GenericE&amp;DtemplateCIandGOA</v>
      </c>
      <c r="B3408">
        <v>62</v>
      </c>
      <c r="C3408">
        <v>1</v>
      </c>
      <c r="D3408" s="649">
        <f ca="1">IF(E3408=4,INDEX(crude_exp_dist,MATCH(B3408,'Crude Exp Dist'!$B$6:$B$78,0),MATCH(C3408,'Crude Exp Dist'!$AD$2:$BC$2,0))*INDEX(crude_exp_by_year,MATCH(B3408,'Data Export'!$B$6:$B$78,0),1),IF(E3408=5,INDEX(ref_exp_dist,MATCH(B3408,'Refined Petro Exp Dist'!$B$6:$B$78,0),MATCH(C3408,'Refined Petro Exp Dist'!$AD$2:$BC$2,0))*INDEX(ref_exp_by_year,MATCH(B3408,'Data Export'!$B$6:$B$78,0),1)))</f>
        <v>0</v>
      </c>
      <c r="E3408">
        <v>5</v>
      </c>
      <c r="F3408" t="s">
        <v>158</v>
      </c>
    </row>
    <row r="3409" spans="1:6">
      <c r="A3409" t="str">
        <f t="shared" si="53"/>
        <v>GenericE&amp;DtemplateCIandGOA</v>
      </c>
      <c r="B3409">
        <v>62</v>
      </c>
      <c r="C3409">
        <v>2</v>
      </c>
      <c r="D3409" s="649">
        <f ca="1">IF(E3409=4,INDEX(crude_exp_dist,MATCH(B3409,'Crude Exp Dist'!$B$6:$B$78,0),MATCH(C3409,'Crude Exp Dist'!$AD$2:$BC$2,0))*INDEX(crude_exp_by_year,MATCH(B3409,'Data Export'!$B$6:$B$78,0),1),IF(E3409=5,INDEX(ref_exp_dist,MATCH(B3409,'Refined Petro Exp Dist'!$B$6:$B$78,0),MATCH(C3409,'Refined Petro Exp Dist'!$AD$2:$BC$2,0))*INDEX(ref_exp_by_year,MATCH(B3409,'Data Export'!$B$6:$B$78,0),1)))</f>
        <v>0</v>
      </c>
      <c r="E3409">
        <v>5</v>
      </c>
      <c r="F3409" t="s">
        <v>166</v>
      </c>
    </row>
    <row r="3410" spans="1:6">
      <c r="A3410" t="str">
        <f t="shared" si="53"/>
        <v>GenericE&amp;DtemplateCIandGOA</v>
      </c>
      <c r="B3410">
        <v>62</v>
      </c>
      <c r="C3410">
        <v>3</v>
      </c>
      <c r="D3410" s="649">
        <f ca="1">IF(E3410=4,INDEX(crude_exp_dist,MATCH(B3410,'Crude Exp Dist'!$B$6:$B$78,0),MATCH(C3410,'Crude Exp Dist'!$AD$2:$BC$2,0))*INDEX(crude_exp_by_year,MATCH(B3410,'Data Export'!$B$6:$B$78,0),1),IF(E3410=5,INDEX(ref_exp_dist,MATCH(B3410,'Refined Petro Exp Dist'!$B$6:$B$78,0),MATCH(C3410,'Refined Petro Exp Dist'!$AD$2:$BC$2,0))*INDEX(ref_exp_by_year,MATCH(B3410,'Data Export'!$B$6:$B$78,0),1)))</f>
        <v>0</v>
      </c>
      <c r="E3410">
        <v>5</v>
      </c>
      <c r="F3410" t="s">
        <v>171</v>
      </c>
    </row>
    <row r="3411" spans="1:6">
      <c r="A3411" t="str">
        <f t="shared" si="53"/>
        <v>GenericE&amp;DtemplateCIandGOA</v>
      </c>
      <c r="B3411">
        <v>62</v>
      </c>
      <c r="C3411">
        <v>4</v>
      </c>
      <c r="D3411" s="649">
        <f ca="1">IF(E3411=4,INDEX(crude_exp_dist,MATCH(B3411,'Crude Exp Dist'!$B$6:$B$78,0),MATCH(C3411,'Crude Exp Dist'!$AD$2:$BC$2,0))*INDEX(crude_exp_by_year,MATCH(B3411,'Data Export'!$B$6:$B$78,0),1),IF(E3411=5,INDEX(ref_exp_dist,MATCH(B3411,'Refined Petro Exp Dist'!$B$6:$B$78,0),MATCH(C3411,'Refined Petro Exp Dist'!$AD$2:$BC$2,0))*INDEX(ref_exp_by_year,MATCH(B3411,'Data Export'!$B$6:$B$78,0),1)))</f>
        <v>0</v>
      </c>
      <c r="E3411">
        <v>5</v>
      </c>
      <c r="F3411" t="s">
        <v>173</v>
      </c>
    </row>
    <row r="3412" spans="1:6">
      <c r="A3412" t="str">
        <f t="shared" si="53"/>
        <v>GenericE&amp;DtemplateCIandGOA</v>
      </c>
      <c r="B3412">
        <v>62</v>
      </c>
      <c r="C3412">
        <v>5</v>
      </c>
      <c r="D3412" s="649">
        <f ca="1">IF(E3412=4,INDEX(crude_exp_dist,MATCH(B3412,'Crude Exp Dist'!$B$6:$B$78,0),MATCH(C3412,'Crude Exp Dist'!$AD$2:$BC$2,0))*INDEX(crude_exp_by_year,MATCH(B3412,'Data Export'!$B$6:$B$78,0),1),IF(E3412=5,INDEX(ref_exp_dist,MATCH(B3412,'Refined Petro Exp Dist'!$B$6:$B$78,0),MATCH(C3412,'Refined Petro Exp Dist'!$AD$2:$BC$2,0))*INDEX(ref_exp_by_year,MATCH(B3412,'Data Export'!$B$6:$B$78,0),1)))</f>
        <v>0</v>
      </c>
      <c r="E3412">
        <v>5</v>
      </c>
      <c r="F3412" t="s">
        <v>180</v>
      </c>
    </row>
    <row r="3413" spans="1:6">
      <c r="A3413" t="str">
        <f t="shared" si="53"/>
        <v>GenericE&amp;DtemplateCIandGOA</v>
      </c>
      <c r="B3413">
        <v>62</v>
      </c>
      <c r="C3413">
        <v>6</v>
      </c>
      <c r="D3413" s="649">
        <f ca="1">IF(E3413=4,INDEX(crude_exp_dist,MATCH(B3413,'Crude Exp Dist'!$B$6:$B$78,0),MATCH(C3413,'Crude Exp Dist'!$AD$2:$BC$2,0))*INDEX(crude_exp_by_year,MATCH(B3413,'Data Export'!$B$6:$B$78,0),1),IF(E3413=5,INDEX(ref_exp_dist,MATCH(B3413,'Refined Petro Exp Dist'!$B$6:$B$78,0),MATCH(C3413,'Refined Petro Exp Dist'!$AD$2:$BC$2,0))*INDEX(ref_exp_by_year,MATCH(B3413,'Data Export'!$B$6:$B$78,0),1)))</f>
        <v>0</v>
      </c>
      <c r="E3413">
        <v>5</v>
      </c>
      <c r="F3413" t="s">
        <v>186</v>
      </c>
    </row>
    <row r="3414" spans="1:6">
      <c r="A3414" t="str">
        <f t="shared" si="53"/>
        <v>GenericE&amp;DtemplateCIandGOA</v>
      </c>
      <c r="B3414">
        <v>62</v>
      </c>
      <c r="C3414">
        <v>7</v>
      </c>
      <c r="D3414" s="649">
        <f ca="1">IF(E3414=4,INDEX(crude_exp_dist,MATCH(B3414,'Crude Exp Dist'!$B$6:$B$78,0),MATCH(C3414,'Crude Exp Dist'!$AD$2:$BC$2,0))*INDEX(crude_exp_by_year,MATCH(B3414,'Data Export'!$B$6:$B$78,0),1),IF(E3414=5,INDEX(ref_exp_dist,MATCH(B3414,'Refined Petro Exp Dist'!$B$6:$B$78,0),MATCH(C3414,'Refined Petro Exp Dist'!$AD$2:$BC$2,0))*INDEX(ref_exp_by_year,MATCH(B3414,'Data Export'!$B$6:$B$78,0),1)))</f>
        <v>0</v>
      </c>
      <c r="E3414">
        <v>5</v>
      </c>
      <c r="F3414" t="s">
        <v>191</v>
      </c>
    </row>
    <row r="3415" spans="1:6">
      <c r="A3415" t="str">
        <f t="shared" si="53"/>
        <v>GenericE&amp;DtemplateCIandGOA</v>
      </c>
      <c r="B3415">
        <v>62</v>
      </c>
      <c r="C3415">
        <v>8</v>
      </c>
      <c r="D3415" s="649">
        <f ca="1">IF(E3415=4,INDEX(crude_exp_dist,MATCH(B3415,'Crude Exp Dist'!$B$6:$B$78,0),MATCH(C3415,'Crude Exp Dist'!$AD$2:$BC$2,0))*INDEX(crude_exp_by_year,MATCH(B3415,'Data Export'!$B$6:$B$78,0),1),IF(E3415=5,INDEX(ref_exp_dist,MATCH(B3415,'Refined Petro Exp Dist'!$B$6:$B$78,0),MATCH(C3415,'Refined Petro Exp Dist'!$AD$2:$BC$2,0))*INDEX(ref_exp_by_year,MATCH(B3415,'Data Export'!$B$6:$B$78,0),1)))</f>
        <v>0</v>
      </c>
      <c r="E3415">
        <v>5</v>
      </c>
      <c r="F3415" t="s">
        <v>197</v>
      </c>
    </row>
    <row r="3416" spans="1:6">
      <c r="A3416" t="str">
        <f t="shared" si="53"/>
        <v>GenericE&amp;DtemplateCIandGOA</v>
      </c>
      <c r="B3416">
        <v>62</v>
      </c>
      <c r="C3416">
        <v>9</v>
      </c>
      <c r="D3416" s="649">
        <f ca="1">IF(E3416=4,INDEX(crude_exp_dist,MATCH(B3416,'Crude Exp Dist'!$B$6:$B$78,0),MATCH(C3416,'Crude Exp Dist'!$AD$2:$BC$2,0))*INDEX(crude_exp_by_year,MATCH(B3416,'Data Export'!$B$6:$B$78,0),1),IF(E3416=5,INDEX(ref_exp_dist,MATCH(B3416,'Refined Petro Exp Dist'!$B$6:$B$78,0),MATCH(C3416,'Refined Petro Exp Dist'!$AD$2:$BC$2,0))*INDEX(ref_exp_by_year,MATCH(B3416,'Data Export'!$B$6:$B$78,0),1)))</f>
        <v>0</v>
      </c>
      <c r="E3416">
        <v>5</v>
      </c>
      <c r="F3416" t="s">
        <v>199</v>
      </c>
    </row>
    <row r="3417" spans="1:6">
      <c r="A3417" t="str">
        <f t="shared" si="53"/>
        <v>GenericE&amp;DtemplateCIandGOA</v>
      </c>
      <c r="B3417">
        <v>62</v>
      </c>
      <c r="C3417">
        <v>10</v>
      </c>
      <c r="D3417" s="649">
        <f ca="1">IF(E3417=4,INDEX(crude_exp_dist,MATCH(B3417,'Crude Exp Dist'!$B$6:$B$78,0),MATCH(C3417,'Crude Exp Dist'!$AD$2:$BC$2,0))*INDEX(crude_exp_by_year,MATCH(B3417,'Data Export'!$B$6:$B$78,0),1),IF(E3417=5,INDEX(ref_exp_dist,MATCH(B3417,'Refined Petro Exp Dist'!$B$6:$B$78,0),MATCH(C3417,'Refined Petro Exp Dist'!$AD$2:$BC$2,0))*INDEX(ref_exp_by_year,MATCH(B3417,'Data Export'!$B$6:$B$78,0),1)))</f>
        <v>0</v>
      </c>
      <c r="E3417">
        <v>5</v>
      </c>
      <c r="F3417" t="s">
        <v>201</v>
      </c>
    </row>
    <row r="3418" spans="1:6">
      <c r="A3418" t="str">
        <f t="shared" si="53"/>
        <v>GenericE&amp;DtemplateCIandGOA</v>
      </c>
      <c r="B3418">
        <v>62</v>
      </c>
      <c r="C3418">
        <v>11</v>
      </c>
      <c r="D3418" s="649">
        <f ca="1">IF(E3418=4,INDEX(crude_exp_dist,MATCH(B3418,'Crude Exp Dist'!$B$6:$B$78,0),MATCH(C3418,'Crude Exp Dist'!$AD$2:$BC$2,0))*INDEX(crude_exp_by_year,MATCH(B3418,'Data Export'!$B$6:$B$78,0),1),IF(E3418=5,INDEX(ref_exp_dist,MATCH(B3418,'Refined Petro Exp Dist'!$B$6:$B$78,0),MATCH(C3418,'Refined Petro Exp Dist'!$AD$2:$BC$2,0))*INDEX(ref_exp_by_year,MATCH(B3418,'Data Export'!$B$6:$B$78,0),1)))</f>
        <v>0</v>
      </c>
      <c r="E3418">
        <v>5</v>
      </c>
      <c r="F3418" t="s">
        <v>921</v>
      </c>
    </row>
    <row r="3419" spans="1:6">
      <c r="A3419" t="str">
        <f t="shared" si="53"/>
        <v>GenericE&amp;DtemplateCIandGOA</v>
      </c>
      <c r="B3419">
        <v>62</v>
      </c>
      <c r="C3419">
        <v>12</v>
      </c>
      <c r="D3419" s="649">
        <f ca="1">IF(E3419=4,INDEX(crude_exp_dist,MATCH(B3419,'Crude Exp Dist'!$B$6:$B$78,0),MATCH(C3419,'Crude Exp Dist'!$AD$2:$BC$2,0))*INDEX(crude_exp_by_year,MATCH(B3419,'Data Export'!$B$6:$B$78,0),1),IF(E3419=5,INDEX(ref_exp_dist,MATCH(B3419,'Refined Petro Exp Dist'!$B$6:$B$78,0),MATCH(C3419,'Refined Petro Exp Dist'!$AD$2:$BC$2,0))*INDEX(ref_exp_by_year,MATCH(B3419,'Data Export'!$B$6:$B$78,0),1)))</f>
        <v>0</v>
      </c>
      <c r="E3419">
        <v>5</v>
      </c>
      <c r="F3419" t="s">
        <v>208</v>
      </c>
    </row>
    <row r="3420" spans="1:6">
      <c r="A3420" t="str">
        <f t="shared" si="53"/>
        <v>GenericE&amp;DtemplateCIandGOA</v>
      </c>
      <c r="B3420">
        <v>62</v>
      </c>
      <c r="C3420">
        <v>13</v>
      </c>
      <c r="D3420" s="649">
        <f ca="1">IF(E3420=4,INDEX(crude_exp_dist,MATCH(B3420,'Crude Exp Dist'!$B$6:$B$78,0),MATCH(C3420,'Crude Exp Dist'!$AD$2:$BC$2,0))*INDEX(crude_exp_by_year,MATCH(B3420,'Data Export'!$B$6:$B$78,0),1),IF(E3420=5,INDEX(ref_exp_dist,MATCH(B3420,'Refined Petro Exp Dist'!$B$6:$B$78,0),MATCH(C3420,'Refined Petro Exp Dist'!$AD$2:$BC$2,0))*INDEX(ref_exp_by_year,MATCH(B3420,'Data Export'!$B$6:$B$78,0),1)))</f>
        <v>0</v>
      </c>
      <c r="E3420">
        <v>5</v>
      </c>
      <c r="F3420" t="s">
        <v>211</v>
      </c>
    </row>
    <row r="3421" spans="1:6">
      <c r="A3421" t="str">
        <f t="shared" si="53"/>
        <v>GenericE&amp;DtemplateCIandGOA</v>
      </c>
      <c r="B3421">
        <v>62</v>
      </c>
      <c r="C3421">
        <v>14</v>
      </c>
      <c r="D3421" s="649">
        <f ca="1">IF(E3421=4,INDEX(crude_exp_dist,MATCH(B3421,'Crude Exp Dist'!$B$6:$B$78,0),MATCH(C3421,'Crude Exp Dist'!$AD$2:$BC$2,0))*INDEX(crude_exp_by_year,MATCH(B3421,'Data Export'!$B$6:$B$78,0),1),IF(E3421=5,INDEX(ref_exp_dist,MATCH(B3421,'Refined Petro Exp Dist'!$B$6:$B$78,0),MATCH(C3421,'Refined Petro Exp Dist'!$AD$2:$BC$2,0))*INDEX(ref_exp_by_year,MATCH(B3421,'Data Export'!$B$6:$B$78,0),1)))</f>
        <v>0</v>
      </c>
      <c r="E3421">
        <v>5</v>
      </c>
      <c r="F3421" t="s">
        <v>213</v>
      </c>
    </row>
    <row r="3422" spans="1:6">
      <c r="A3422" t="str">
        <f t="shared" si="53"/>
        <v>GenericE&amp;DtemplateCIandGOA</v>
      </c>
      <c r="B3422">
        <v>62</v>
      </c>
      <c r="C3422">
        <v>15</v>
      </c>
      <c r="D3422" s="649">
        <f ca="1">IF(E3422=4,INDEX(crude_exp_dist,MATCH(B3422,'Crude Exp Dist'!$B$6:$B$78,0),MATCH(C3422,'Crude Exp Dist'!$AD$2:$BC$2,0))*INDEX(crude_exp_by_year,MATCH(B3422,'Data Export'!$B$6:$B$78,0),1),IF(E3422=5,INDEX(ref_exp_dist,MATCH(B3422,'Refined Petro Exp Dist'!$B$6:$B$78,0),MATCH(C3422,'Refined Petro Exp Dist'!$AD$2:$BC$2,0))*INDEX(ref_exp_by_year,MATCH(B3422,'Data Export'!$B$6:$B$78,0),1)))</f>
        <v>0</v>
      </c>
      <c r="E3422">
        <v>5</v>
      </c>
      <c r="F3422" t="s">
        <v>215</v>
      </c>
    </row>
    <row r="3423" spans="1:6">
      <c r="A3423" t="str">
        <f t="shared" si="53"/>
        <v>GenericE&amp;DtemplateCIandGOA</v>
      </c>
      <c r="B3423">
        <v>62</v>
      </c>
      <c r="C3423">
        <v>16</v>
      </c>
      <c r="D3423" s="649">
        <f ca="1">IF(E3423=4,INDEX(crude_exp_dist,MATCH(B3423,'Crude Exp Dist'!$B$6:$B$78,0),MATCH(C3423,'Crude Exp Dist'!$AD$2:$BC$2,0))*INDEX(crude_exp_by_year,MATCH(B3423,'Data Export'!$B$6:$B$78,0),1),IF(E3423=5,INDEX(ref_exp_dist,MATCH(B3423,'Refined Petro Exp Dist'!$B$6:$B$78,0),MATCH(C3423,'Refined Petro Exp Dist'!$AD$2:$BC$2,0))*INDEX(ref_exp_by_year,MATCH(B3423,'Data Export'!$B$6:$B$78,0),1)))</f>
        <v>0</v>
      </c>
      <c r="E3423">
        <v>5</v>
      </c>
      <c r="F3423" t="s">
        <v>219</v>
      </c>
    </row>
    <row r="3424" spans="1:6">
      <c r="A3424" t="str">
        <f t="shared" si="53"/>
        <v>GenericE&amp;DtemplateCIandGOA</v>
      </c>
      <c r="B3424">
        <v>62</v>
      </c>
      <c r="C3424">
        <v>17</v>
      </c>
      <c r="D3424" s="649">
        <f ca="1">IF(E3424=4,INDEX(crude_exp_dist,MATCH(B3424,'Crude Exp Dist'!$B$6:$B$78,0),MATCH(C3424,'Crude Exp Dist'!$AD$2:$BC$2,0))*INDEX(crude_exp_by_year,MATCH(B3424,'Data Export'!$B$6:$B$78,0),1),IF(E3424=5,INDEX(ref_exp_dist,MATCH(B3424,'Refined Petro Exp Dist'!$B$6:$B$78,0),MATCH(C3424,'Refined Petro Exp Dist'!$AD$2:$BC$2,0))*INDEX(ref_exp_by_year,MATCH(B3424,'Data Export'!$B$6:$B$78,0),1)))</f>
        <v>0</v>
      </c>
      <c r="E3424">
        <v>5</v>
      </c>
      <c r="F3424" t="s">
        <v>222</v>
      </c>
    </row>
    <row r="3425" spans="1:6">
      <c r="A3425" t="str">
        <f t="shared" si="53"/>
        <v>GenericE&amp;DtemplateCIandGOA</v>
      </c>
      <c r="B3425">
        <v>62</v>
      </c>
      <c r="C3425">
        <v>18</v>
      </c>
      <c r="D3425" s="649">
        <f ca="1">IF(E3425=4,INDEX(crude_exp_dist,MATCH(B3425,'Crude Exp Dist'!$B$6:$B$78,0),MATCH(C3425,'Crude Exp Dist'!$AD$2:$BC$2,0))*INDEX(crude_exp_by_year,MATCH(B3425,'Data Export'!$B$6:$B$78,0),1),IF(E3425=5,INDEX(ref_exp_dist,MATCH(B3425,'Refined Petro Exp Dist'!$B$6:$B$78,0),MATCH(C3425,'Refined Petro Exp Dist'!$AD$2:$BC$2,0))*INDEX(ref_exp_by_year,MATCH(B3425,'Data Export'!$B$6:$B$78,0),1)))</f>
        <v>0</v>
      </c>
      <c r="E3425">
        <v>5</v>
      </c>
      <c r="F3425" t="s">
        <v>224</v>
      </c>
    </row>
    <row r="3426" spans="1:6">
      <c r="A3426" t="str">
        <f t="shared" si="53"/>
        <v>GenericE&amp;DtemplateCIandGOA</v>
      </c>
      <c r="B3426">
        <v>62</v>
      </c>
      <c r="C3426">
        <v>19</v>
      </c>
      <c r="D3426" s="649">
        <f ca="1">IF(E3426=4,INDEX(crude_exp_dist,MATCH(B3426,'Crude Exp Dist'!$B$6:$B$78,0),MATCH(C3426,'Crude Exp Dist'!$AD$2:$BC$2,0))*INDEX(crude_exp_by_year,MATCH(B3426,'Data Export'!$B$6:$B$78,0),1),IF(E3426=5,INDEX(ref_exp_dist,MATCH(B3426,'Refined Petro Exp Dist'!$B$6:$B$78,0),MATCH(C3426,'Refined Petro Exp Dist'!$AD$2:$BC$2,0))*INDEX(ref_exp_by_year,MATCH(B3426,'Data Export'!$B$6:$B$78,0),1)))</f>
        <v>0</v>
      </c>
      <c r="E3426">
        <v>5</v>
      </c>
      <c r="F3426" t="s">
        <v>228</v>
      </c>
    </row>
    <row r="3427" spans="1:6">
      <c r="A3427" t="str">
        <f t="shared" si="53"/>
        <v>GenericE&amp;DtemplateCIandGOA</v>
      </c>
      <c r="B3427">
        <v>62</v>
      </c>
      <c r="C3427">
        <v>20</v>
      </c>
      <c r="D3427" s="649">
        <f ca="1">IF(E3427=4,INDEX(crude_exp_dist,MATCH(B3427,'Crude Exp Dist'!$B$6:$B$78,0),MATCH(C3427,'Crude Exp Dist'!$AD$2:$BC$2,0))*INDEX(crude_exp_by_year,MATCH(B3427,'Data Export'!$B$6:$B$78,0),1),IF(E3427=5,INDEX(ref_exp_dist,MATCH(B3427,'Refined Petro Exp Dist'!$B$6:$B$78,0),MATCH(C3427,'Refined Petro Exp Dist'!$AD$2:$BC$2,0))*INDEX(ref_exp_by_year,MATCH(B3427,'Data Export'!$B$6:$B$78,0),1)))</f>
        <v>0</v>
      </c>
      <c r="E3427">
        <v>5</v>
      </c>
      <c r="F3427" t="s">
        <v>231</v>
      </c>
    </row>
    <row r="3428" spans="1:6">
      <c r="A3428" t="str">
        <f t="shared" si="53"/>
        <v>GenericE&amp;DtemplateCIandGOA</v>
      </c>
      <c r="B3428">
        <v>62</v>
      </c>
      <c r="C3428">
        <v>21</v>
      </c>
      <c r="D3428" s="649">
        <f ca="1">IF(E3428=4,INDEX(crude_exp_dist,MATCH(B3428,'Crude Exp Dist'!$B$6:$B$78,0),MATCH(C3428,'Crude Exp Dist'!$AD$2:$BC$2,0))*INDEX(crude_exp_by_year,MATCH(B3428,'Data Export'!$B$6:$B$78,0),1),IF(E3428=5,INDEX(ref_exp_dist,MATCH(B3428,'Refined Petro Exp Dist'!$B$6:$B$78,0),MATCH(C3428,'Refined Petro Exp Dist'!$AD$2:$BC$2,0))*INDEX(ref_exp_by_year,MATCH(B3428,'Data Export'!$B$6:$B$78,0),1)))</f>
        <v>0</v>
      </c>
      <c r="E3428">
        <v>5</v>
      </c>
      <c r="F3428" t="s">
        <v>232</v>
      </c>
    </row>
    <row r="3429" spans="1:6">
      <c r="A3429" t="str">
        <f t="shared" si="53"/>
        <v>GenericE&amp;DtemplateCIandGOA</v>
      </c>
      <c r="B3429">
        <v>62</v>
      </c>
      <c r="C3429">
        <v>22</v>
      </c>
      <c r="D3429" s="649">
        <f ca="1">IF(E3429=4,INDEX(crude_exp_dist,MATCH(B3429,'Crude Exp Dist'!$B$6:$B$78,0),MATCH(C3429,'Crude Exp Dist'!$AD$2:$BC$2,0))*INDEX(crude_exp_by_year,MATCH(B3429,'Data Export'!$B$6:$B$78,0),1),IF(E3429=5,INDEX(ref_exp_dist,MATCH(B3429,'Refined Petro Exp Dist'!$B$6:$B$78,0),MATCH(C3429,'Refined Petro Exp Dist'!$AD$2:$BC$2,0))*INDEX(ref_exp_by_year,MATCH(B3429,'Data Export'!$B$6:$B$78,0),1)))</f>
        <v>0</v>
      </c>
      <c r="E3429">
        <v>5</v>
      </c>
      <c r="F3429" t="s">
        <v>235</v>
      </c>
    </row>
    <row r="3430" spans="1:6">
      <c r="A3430" t="str">
        <f t="shared" si="53"/>
        <v>GenericE&amp;DtemplateCIandGOA</v>
      </c>
      <c r="B3430">
        <v>62</v>
      </c>
      <c r="C3430">
        <v>23</v>
      </c>
      <c r="D3430" s="649">
        <f ca="1">IF(E3430=4,INDEX(crude_exp_dist,MATCH(B3430,'Crude Exp Dist'!$B$6:$B$78,0),MATCH(C3430,'Crude Exp Dist'!$AD$2:$BC$2,0))*INDEX(crude_exp_by_year,MATCH(B3430,'Data Export'!$B$6:$B$78,0),1),IF(E3430=5,INDEX(ref_exp_dist,MATCH(B3430,'Refined Petro Exp Dist'!$B$6:$B$78,0),MATCH(C3430,'Refined Petro Exp Dist'!$AD$2:$BC$2,0))*INDEX(ref_exp_by_year,MATCH(B3430,'Data Export'!$B$6:$B$78,0),1)))</f>
        <v>0</v>
      </c>
      <c r="E3430">
        <v>5</v>
      </c>
      <c r="F3430" t="s">
        <v>237</v>
      </c>
    </row>
    <row r="3431" spans="1:6">
      <c r="A3431" t="str">
        <f t="shared" si="53"/>
        <v>GenericE&amp;DtemplateCIandGOA</v>
      </c>
      <c r="B3431">
        <v>62</v>
      </c>
      <c r="C3431">
        <v>24</v>
      </c>
      <c r="D3431" s="649">
        <f ca="1">IF(E3431=4,INDEX(crude_exp_dist,MATCH(B3431,'Crude Exp Dist'!$B$6:$B$78,0),MATCH(C3431,'Crude Exp Dist'!$AD$2:$BC$2,0))*INDEX(crude_exp_by_year,MATCH(B3431,'Data Export'!$B$6:$B$78,0),1),IF(E3431=5,INDEX(ref_exp_dist,MATCH(B3431,'Refined Petro Exp Dist'!$B$6:$B$78,0),MATCH(C3431,'Refined Petro Exp Dist'!$AD$2:$BC$2,0))*INDEX(ref_exp_by_year,MATCH(B3431,'Data Export'!$B$6:$B$78,0),1)))</f>
        <v>0</v>
      </c>
      <c r="E3431">
        <v>5</v>
      </c>
      <c r="F3431" t="s">
        <v>239</v>
      </c>
    </row>
    <row r="3432" spans="1:6">
      <c r="A3432" t="str">
        <f t="shared" si="53"/>
        <v>GenericE&amp;DtemplateCIandGOA</v>
      </c>
      <c r="B3432">
        <v>62</v>
      </c>
      <c r="C3432">
        <v>25</v>
      </c>
      <c r="D3432" s="649">
        <f ca="1">IF(E3432=4,INDEX(crude_exp_dist,MATCH(B3432,'Crude Exp Dist'!$B$6:$B$78,0),MATCH(C3432,'Crude Exp Dist'!$AD$2:$BC$2,0))*INDEX(crude_exp_by_year,MATCH(B3432,'Data Export'!$B$6:$B$78,0),1),IF(E3432=5,INDEX(ref_exp_dist,MATCH(B3432,'Refined Petro Exp Dist'!$B$6:$B$78,0),MATCH(C3432,'Refined Petro Exp Dist'!$AD$2:$BC$2,0))*INDEX(ref_exp_by_year,MATCH(B3432,'Data Export'!$B$6:$B$78,0),1)))</f>
        <v>0</v>
      </c>
      <c r="E3432">
        <v>5</v>
      </c>
      <c r="F3432" t="s">
        <v>242</v>
      </c>
    </row>
    <row r="3433" spans="1:6">
      <c r="A3433" t="str">
        <f t="shared" si="53"/>
        <v>GenericE&amp;DtemplateCIandGOA</v>
      </c>
      <c r="B3433">
        <v>62</v>
      </c>
      <c r="C3433">
        <v>26</v>
      </c>
      <c r="D3433" s="649">
        <f ca="1">IF(E3433=4,INDEX(crude_exp_dist,MATCH(B3433,'Crude Exp Dist'!$B$6:$B$78,0),MATCH(C3433,'Crude Exp Dist'!$AD$2:$BC$2,0))*INDEX(crude_exp_by_year,MATCH(B3433,'Data Export'!$B$6:$B$78,0),1),IF(E3433=5,INDEX(ref_exp_dist,MATCH(B3433,'Refined Petro Exp Dist'!$B$6:$B$78,0),MATCH(C3433,'Refined Petro Exp Dist'!$AD$2:$BC$2,0))*INDEX(ref_exp_by_year,MATCH(B3433,'Data Export'!$B$6:$B$78,0),1)))</f>
        <v>0</v>
      </c>
      <c r="E3433">
        <v>5</v>
      </c>
      <c r="F3433" t="s">
        <v>245</v>
      </c>
    </row>
    <row r="3434" spans="1:6">
      <c r="A3434" t="str">
        <f t="shared" si="53"/>
        <v>GenericE&amp;DtemplateCIandGOA</v>
      </c>
      <c r="B3434">
        <v>63</v>
      </c>
      <c r="C3434">
        <v>1</v>
      </c>
      <c r="D3434" s="649">
        <f ca="1">IF(E3434=4,INDEX(crude_exp_dist,MATCH(B3434,'Crude Exp Dist'!$B$6:$B$78,0),MATCH(C3434,'Crude Exp Dist'!$AD$2:$BC$2,0))*INDEX(crude_exp_by_year,MATCH(B3434,'Data Export'!$B$6:$B$78,0),1),IF(E3434=5,INDEX(ref_exp_dist,MATCH(B3434,'Refined Petro Exp Dist'!$B$6:$B$78,0),MATCH(C3434,'Refined Petro Exp Dist'!$AD$2:$BC$2,0))*INDEX(ref_exp_by_year,MATCH(B3434,'Data Export'!$B$6:$B$78,0),1)))</f>
        <v>0</v>
      </c>
      <c r="E3434">
        <v>5</v>
      </c>
      <c r="F3434" t="s">
        <v>158</v>
      </c>
    </row>
    <row r="3435" spans="1:6">
      <c r="A3435" t="str">
        <f t="shared" si="53"/>
        <v>GenericE&amp;DtemplateCIandGOA</v>
      </c>
      <c r="B3435">
        <v>63</v>
      </c>
      <c r="C3435">
        <v>2</v>
      </c>
      <c r="D3435" s="649">
        <f ca="1">IF(E3435=4,INDEX(crude_exp_dist,MATCH(B3435,'Crude Exp Dist'!$B$6:$B$78,0),MATCH(C3435,'Crude Exp Dist'!$AD$2:$BC$2,0))*INDEX(crude_exp_by_year,MATCH(B3435,'Data Export'!$B$6:$B$78,0),1),IF(E3435=5,INDEX(ref_exp_dist,MATCH(B3435,'Refined Petro Exp Dist'!$B$6:$B$78,0),MATCH(C3435,'Refined Petro Exp Dist'!$AD$2:$BC$2,0))*INDEX(ref_exp_by_year,MATCH(B3435,'Data Export'!$B$6:$B$78,0),1)))</f>
        <v>0</v>
      </c>
      <c r="E3435">
        <v>5</v>
      </c>
      <c r="F3435" t="s">
        <v>166</v>
      </c>
    </row>
    <row r="3436" spans="1:6">
      <c r="A3436" t="str">
        <f t="shared" si="53"/>
        <v>GenericE&amp;DtemplateCIandGOA</v>
      </c>
      <c r="B3436">
        <v>63</v>
      </c>
      <c r="C3436">
        <v>3</v>
      </c>
      <c r="D3436" s="649">
        <f ca="1">IF(E3436=4,INDEX(crude_exp_dist,MATCH(B3436,'Crude Exp Dist'!$B$6:$B$78,0),MATCH(C3436,'Crude Exp Dist'!$AD$2:$BC$2,0))*INDEX(crude_exp_by_year,MATCH(B3436,'Data Export'!$B$6:$B$78,0),1),IF(E3436=5,INDEX(ref_exp_dist,MATCH(B3436,'Refined Petro Exp Dist'!$B$6:$B$78,0),MATCH(C3436,'Refined Petro Exp Dist'!$AD$2:$BC$2,0))*INDEX(ref_exp_by_year,MATCH(B3436,'Data Export'!$B$6:$B$78,0),1)))</f>
        <v>0</v>
      </c>
      <c r="E3436">
        <v>5</v>
      </c>
      <c r="F3436" t="s">
        <v>171</v>
      </c>
    </row>
    <row r="3437" spans="1:6">
      <c r="A3437" t="str">
        <f t="shared" si="53"/>
        <v>GenericE&amp;DtemplateCIandGOA</v>
      </c>
      <c r="B3437">
        <v>63</v>
      </c>
      <c r="C3437">
        <v>4</v>
      </c>
      <c r="D3437" s="649">
        <f ca="1">IF(E3437=4,INDEX(crude_exp_dist,MATCH(B3437,'Crude Exp Dist'!$B$6:$B$78,0),MATCH(C3437,'Crude Exp Dist'!$AD$2:$BC$2,0))*INDEX(crude_exp_by_year,MATCH(B3437,'Data Export'!$B$6:$B$78,0),1),IF(E3437=5,INDEX(ref_exp_dist,MATCH(B3437,'Refined Petro Exp Dist'!$B$6:$B$78,0),MATCH(C3437,'Refined Petro Exp Dist'!$AD$2:$BC$2,0))*INDEX(ref_exp_by_year,MATCH(B3437,'Data Export'!$B$6:$B$78,0),1)))</f>
        <v>0</v>
      </c>
      <c r="E3437">
        <v>5</v>
      </c>
      <c r="F3437" t="s">
        <v>173</v>
      </c>
    </row>
    <row r="3438" spans="1:6">
      <c r="A3438" t="str">
        <f t="shared" si="53"/>
        <v>GenericE&amp;DtemplateCIandGOA</v>
      </c>
      <c r="B3438">
        <v>63</v>
      </c>
      <c r="C3438">
        <v>5</v>
      </c>
      <c r="D3438" s="649">
        <f ca="1">IF(E3438=4,INDEX(crude_exp_dist,MATCH(B3438,'Crude Exp Dist'!$B$6:$B$78,0),MATCH(C3438,'Crude Exp Dist'!$AD$2:$BC$2,0))*INDEX(crude_exp_by_year,MATCH(B3438,'Data Export'!$B$6:$B$78,0),1),IF(E3438=5,INDEX(ref_exp_dist,MATCH(B3438,'Refined Petro Exp Dist'!$B$6:$B$78,0),MATCH(C3438,'Refined Petro Exp Dist'!$AD$2:$BC$2,0))*INDEX(ref_exp_by_year,MATCH(B3438,'Data Export'!$B$6:$B$78,0),1)))</f>
        <v>0</v>
      </c>
      <c r="E3438">
        <v>5</v>
      </c>
      <c r="F3438" t="s">
        <v>180</v>
      </c>
    </row>
    <row r="3439" spans="1:6">
      <c r="A3439" t="str">
        <f t="shared" si="53"/>
        <v>GenericE&amp;DtemplateCIandGOA</v>
      </c>
      <c r="B3439">
        <v>63</v>
      </c>
      <c r="C3439">
        <v>6</v>
      </c>
      <c r="D3439" s="649">
        <f ca="1">IF(E3439=4,INDEX(crude_exp_dist,MATCH(B3439,'Crude Exp Dist'!$B$6:$B$78,0),MATCH(C3439,'Crude Exp Dist'!$AD$2:$BC$2,0))*INDEX(crude_exp_by_year,MATCH(B3439,'Data Export'!$B$6:$B$78,0),1),IF(E3439=5,INDEX(ref_exp_dist,MATCH(B3439,'Refined Petro Exp Dist'!$B$6:$B$78,0),MATCH(C3439,'Refined Petro Exp Dist'!$AD$2:$BC$2,0))*INDEX(ref_exp_by_year,MATCH(B3439,'Data Export'!$B$6:$B$78,0),1)))</f>
        <v>0</v>
      </c>
      <c r="E3439">
        <v>5</v>
      </c>
      <c r="F3439" t="s">
        <v>186</v>
      </c>
    </row>
    <row r="3440" spans="1:6">
      <c r="A3440" t="str">
        <f t="shared" si="53"/>
        <v>GenericE&amp;DtemplateCIandGOA</v>
      </c>
      <c r="B3440">
        <v>63</v>
      </c>
      <c r="C3440">
        <v>7</v>
      </c>
      <c r="D3440" s="649">
        <f ca="1">IF(E3440=4,INDEX(crude_exp_dist,MATCH(B3440,'Crude Exp Dist'!$B$6:$B$78,0),MATCH(C3440,'Crude Exp Dist'!$AD$2:$BC$2,0))*INDEX(crude_exp_by_year,MATCH(B3440,'Data Export'!$B$6:$B$78,0),1),IF(E3440=5,INDEX(ref_exp_dist,MATCH(B3440,'Refined Petro Exp Dist'!$B$6:$B$78,0),MATCH(C3440,'Refined Petro Exp Dist'!$AD$2:$BC$2,0))*INDEX(ref_exp_by_year,MATCH(B3440,'Data Export'!$B$6:$B$78,0),1)))</f>
        <v>0</v>
      </c>
      <c r="E3440">
        <v>5</v>
      </c>
      <c r="F3440" t="s">
        <v>191</v>
      </c>
    </row>
    <row r="3441" spans="1:6">
      <c r="A3441" t="str">
        <f t="shared" si="53"/>
        <v>GenericE&amp;DtemplateCIandGOA</v>
      </c>
      <c r="B3441">
        <v>63</v>
      </c>
      <c r="C3441">
        <v>8</v>
      </c>
      <c r="D3441" s="649">
        <f ca="1">IF(E3441=4,INDEX(crude_exp_dist,MATCH(B3441,'Crude Exp Dist'!$B$6:$B$78,0),MATCH(C3441,'Crude Exp Dist'!$AD$2:$BC$2,0))*INDEX(crude_exp_by_year,MATCH(B3441,'Data Export'!$B$6:$B$78,0),1),IF(E3441=5,INDEX(ref_exp_dist,MATCH(B3441,'Refined Petro Exp Dist'!$B$6:$B$78,0),MATCH(C3441,'Refined Petro Exp Dist'!$AD$2:$BC$2,0))*INDEX(ref_exp_by_year,MATCH(B3441,'Data Export'!$B$6:$B$78,0),1)))</f>
        <v>0</v>
      </c>
      <c r="E3441">
        <v>5</v>
      </c>
      <c r="F3441" t="s">
        <v>197</v>
      </c>
    </row>
    <row r="3442" spans="1:6">
      <c r="A3442" t="str">
        <f t="shared" si="53"/>
        <v>GenericE&amp;DtemplateCIandGOA</v>
      </c>
      <c r="B3442">
        <v>63</v>
      </c>
      <c r="C3442">
        <v>9</v>
      </c>
      <c r="D3442" s="649">
        <f ca="1">IF(E3442=4,INDEX(crude_exp_dist,MATCH(B3442,'Crude Exp Dist'!$B$6:$B$78,0),MATCH(C3442,'Crude Exp Dist'!$AD$2:$BC$2,0))*INDEX(crude_exp_by_year,MATCH(B3442,'Data Export'!$B$6:$B$78,0),1),IF(E3442=5,INDEX(ref_exp_dist,MATCH(B3442,'Refined Petro Exp Dist'!$B$6:$B$78,0),MATCH(C3442,'Refined Petro Exp Dist'!$AD$2:$BC$2,0))*INDEX(ref_exp_by_year,MATCH(B3442,'Data Export'!$B$6:$B$78,0),1)))</f>
        <v>0</v>
      </c>
      <c r="E3442">
        <v>5</v>
      </c>
      <c r="F3442" t="s">
        <v>199</v>
      </c>
    </row>
    <row r="3443" spans="1:6">
      <c r="A3443" t="str">
        <f t="shared" si="53"/>
        <v>GenericE&amp;DtemplateCIandGOA</v>
      </c>
      <c r="B3443">
        <v>63</v>
      </c>
      <c r="C3443">
        <v>10</v>
      </c>
      <c r="D3443" s="649">
        <f ca="1">IF(E3443=4,INDEX(crude_exp_dist,MATCH(B3443,'Crude Exp Dist'!$B$6:$B$78,0),MATCH(C3443,'Crude Exp Dist'!$AD$2:$BC$2,0))*INDEX(crude_exp_by_year,MATCH(B3443,'Data Export'!$B$6:$B$78,0),1),IF(E3443=5,INDEX(ref_exp_dist,MATCH(B3443,'Refined Petro Exp Dist'!$B$6:$B$78,0),MATCH(C3443,'Refined Petro Exp Dist'!$AD$2:$BC$2,0))*INDEX(ref_exp_by_year,MATCH(B3443,'Data Export'!$B$6:$B$78,0),1)))</f>
        <v>0</v>
      </c>
      <c r="E3443">
        <v>5</v>
      </c>
      <c r="F3443" t="s">
        <v>201</v>
      </c>
    </row>
    <row r="3444" spans="1:6">
      <c r="A3444" t="str">
        <f t="shared" si="53"/>
        <v>GenericE&amp;DtemplateCIandGOA</v>
      </c>
      <c r="B3444">
        <v>63</v>
      </c>
      <c r="C3444">
        <v>11</v>
      </c>
      <c r="D3444" s="649">
        <f ca="1">IF(E3444=4,INDEX(crude_exp_dist,MATCH(B3444,'Crude Exp Dist'!$B$6:$B$78,0),MATCH(C3444,'Crude Exp Dist'!$AD$2:$BC$2,0))*INDEX(crude_exp_by_year,MATCH(B3444,'Data Export'!$B$6:$B$78,0),1),IF(E3444=5,INDEX(ref_exp_dist,MATCH(B3444,'Refined Petro Exp Dist'!$B$6:$B$78,0),MATCH(C3444,'Refined Petro Exp Dist'!$AD$2:$BC$2,0))*INDEX(ref_exp_by_year,MATCH(B3444,'Data Export'!$B$6:$B$78,0),1)))</f>
        <v>0</v>
      </c>
      <c r="E3444">
        <v>5</v>
      </c>
      <c r="F3444" t="s">
        <v>921</v>
      </c>
    </row>
    <row r="3445" spans="1:6">
      <c r="A3445" t="str">
        <f t="shared" si="53"/>
        <v>GenericE&amp;DtemplateCIandGOA</v>
      </c>
      <c r="B3445">
        <v>63</v>
      </c>
      <c r="C3445">
        <v>12</v>
      </c>
      <c r="D3445" s="649">
        <f ca="1">IF(E3445=4,INDEX(crude_exp_dist,MATCH(B3445,'Crude Exp Dist'!$B$6:$B$78,0),MATCH(C3445,'Crude Exp Dist'!$AD$2:$BC$2,0))*INDEX(crude_exp_by_year,MATCH(B3445,'Data Export'!$B$6:$B$78,0),1),IF(E3445=5,INDEX(ref_exp_dist,MATCH(B3445,'Refined Petro Exp Dist'!$B$6:$B$78,0),MATCH(C3445,'Refined Petro Exp Dist'!$AD$2:$BC$2,0))*INDEX(ref_exp_by_year,MATCH(B3445,'Data Export'!$B$6:$B$78,0),1)))</f>
        <v>0</v>
      </c>
      <c r="E3445">
        <v>5</v>
      </c>
      <c r="F3445" t="s">
        <v>208</v>
      </c>
    </row>
    <row r="3446" spans="1:6">
      <c r="A3446" t="str">
        <f t="shared" si="53"/>
        <v>GenericE&amp;DtemplateCIandGOA</v>
      </c>
      <c r="B3446">
        <v>63</v>
      </c>
      <c r="C3446">
        <v>13</v>
      </c>
      <c r="D3446" s="649">
        <f ca="1">IF(E3446=4,INDEX(crude_exp_dist,MATCH(B3446,'Crude Exp Dist'!$B$6:$B$78,0),MATCH(C3446,'Crude Exp Dist'!$AD$2:$BC$2,0))*INDEX(crude_exp_by_year,MATCH(B3446,'Data Export'!$B$6:$B$78,0),1),IF(E3446=5,INDEX(ref_exp_dist,MATCH(B3446,'Refined Petro Exp Dist'!$B$6:$B$78,0),MATCH(C3446,'Refined Petro Exp Dist'!$AD$2:$BC$2,0))*INDEX(ref_exp_by_year,MATCH(B3446,'Data Export'!$B$6:$B$78,0),1)))</f>
        <v>0</v>
      </c>
      <c r="E3446">
        <v>5</v>
      </c>
      <c r="F3446" t="s">
        <v>211</v>
      </c>
    </row>
    <row r="3447" spans="1:6">
      <c r="A3447" t="str">
        <f t="shared" si="53"/>
        <v>GenericE&amp;DtemplateCIandGOA</v>
      </c>
      <c r="B3447">
        <v>63</v>
      </c>
      <c r="C3447">
        <v>14</v>
      </c>
      <c r="D3447" s="649">
        <f ca="1">IF(E3447=4,INDEX(crude_exp_dist,MATCH(B3447,'Crude Exp Dist'!$B$6:$B$78,0),MATCH(C3447,'Crude Exp Dist'!$AD$2:$BC$2,0))*INDEX(crude_exp_by_year,MATCH(B3447,'Data Export'!$B$6:$B$78,0),1),IF(E3447=5,INDEX(ref_exp_dist,MATCH(B3447,'Refined Petro Exp Dist'!$B$6:$B$78,0),MATCH(C3447,'Refined Petro Exp Dist'!$AD$2:$BC$2,0))*INDEX(ref_exp_by_year,MATCH(B3447,'Data Export'!$B$6:$B$78,0),1)))</f>
        <v>0</v>
      </c>
      <c r="E3447">
        <v>5</v>
      </c>
      <c r="F3447" t="s">
        <v>213</v>
      </c>
    </row>
    <row r="3448" spans="1:6">
      <c r="A3448" t="str">
        <f t="shared" si="53"/>
        <v>GenericE&amp;DtemplateCIandGOA</v>
      </c>
      <c r="B3448">
        <v>63</v>
      </c>
      <c r="C3448">
        <v>15</v>
      </c>
      <c r="D3448" s="649">
        <f ca="1">IF(E3448=4,INDEX(crude_exp_dist,MATCH(B3448,'Crude Exp Dist'!$B$6:$B$78,0),MATCH(C3448,'Crude Exp Dist'!$AD$2:$BC$2,0))*INDEX(crude_exp_by_year,MATCH(B3448,'Data Export'!$B$6:$B$78,0),1),IF(E3448=5,INDEX(ref_exp_dist,MATCH(B3448,'Refined Petro Exp Dist'!$B$6:$B$78,0),MATCH(C3448,'Refined Petro Exp Dist'!$AD$2:$BC$2,0))*INDEX(ref_exp_by_year,MATCH(B3448,'Data Export'!$B$6:$B$78,0),1)))</f>
        <v>0</v>
      </c>
      <c r="E3448">
        <v>5</v>
      </c>
      <c r="F3448" t="s">
        <v>215</v>
      </c>
    </row>
    <row r="3449" spans="1:6">
      <c r="A3449" t="str">
        <f t="shared" si="53"/>
        <v>GenericE&amp;DtemplateCIandGOA</v>
      </c>
      <c r="B3449">
        <v>63</v>
      </c>
      <c r="C3449">
        <v>16</v>
      </c>
      <c r="D3449" s="649">
        <f ca="1">IF(E3449=4,INDEX(crude_exp_dist,MATCH(B3449,'Crude Exp Dist'!$B$6:$B$78,0),MATCH(C3449,'Crude Exp Dist'!$AD$2:$BC$2,0))*INDEX(crude_exp_by_year,MATCH(B3449,'Data Export'!$B$6:$B$78,0),1),IF(E3449=5,INDEX(ref_exp_dist,MATCH(B3449,'Refined Petro Exp Dist'!$B$6:$B$78,0),MATCH(C3449,'Refined Petro Exp Dist'!$AD$2:$BC$2,0))*INDEX(ref_exp_by_year,MATCH(B3449,'Data Export'!$B$6:$B$78,0),1)))</f>
        <v>0</v>
      </c>
      <c r="E3449">
        <v>5</v>
      </c>
      <c r="F3449" t="s">
        <v>219</v>
      </c>
    </row>
    <row r="3450" spans="1:6">
      <c r="A3450" t="str">
        <f t="shared" si="53"/>
        <v>GenericE&amp;DtemplateCIandGOA</v>
      </c>
      <c r="B3450">
        <v>63</v>
      </c>
      <c r="C3450">
        <v>17</v>
      </c>
      <c r="D3450" s="649">
        <f ca="1">IF(E3450=4,INDEX(crude_exp_dist,MATCH(B3450,'Crude Exp Dist'!$B$6:$B$78,0),MATCH(C3450,'Crude Exp Dist'!$AD$2:$BC$2,0))*INDEX(crude_exp_by_year,MATCH(B3450,'Data Export'!$B$6:$B$78,0),1),IF(E3450=5,INDEX(ref_exp_dist,MATCH(B3450,'Refined Petro Exp Dist'!$B$6:$B$78,0),MATCH(C3450,'Refined Petro Exp Dist'!$AD$2:$BC$2,0))*INDEX(ref_exp_by_year,MATCH(B3450,'Data Export'!$B$6:$B$78,0),1)))</f>
        <v>0</v>
      </c>
      <c r="E3450">
        <v>5</v>
      </c>
      <c r="F3450" t="s">
        <v>222</v>
      </c>
    </row>
    <row r="3451" spans="1:6">
      <c r="A3451" t="str">
        <f t="shared" si="53"/>
        <v>GenericE&amp;DtemplateCIandGOA</v>
      </c>
      <c r="B3451">
        <v>63</v>
      </c>
      <c r="C3451">
        <v>18</v>
      </c>
      <c r="D3451" s="649">
        <f ca="1">IF(E3451=4,INDEX(crude_exp_dist,MATCH(B3451,'Crude Exp Dist'!$B$6:$B$78,0),MATCH(C3451,'Crude Exp Dist'!$AD$2:$BC$2,0))*INDEX(crude_exp_by_year,MATCH(B3451,'Data Export'!$B$6:$B$78,0),1),IF(E3451=5,INDEX(ref_exp_dist,MATCH(B3451,'Refined Petro Exp Dist'!$B$6:$B$78,0),MATCH(C3451,'Refined Petro Exp Dist'!$AD$2:$BC$2,0))*INDEX(ref_exp_by_year,MATCH(B3451,'Data Export'!$B$6:$B$78,0),1)))</f>
        <v>0</v>
      </c>
      <c r="E3451">
        <v>5</v>
      </c>
      <c r="F3451" t="s">
        <v>224</v>
      </c>
    </row>
    <row r="3452" spans="1:6">
      <c r="A3452" t="str">
        <f t="shared" si="53"/>
        <v>GenericE&amp;DtemplateCIandGOA</v>
      </c>
      <c r="B3452">
        <v>63</v>
      </c>
      <c r="C3452">
        <v>19</v>
      </c>
      <c r="D3452" s="649">
        <f ca="1">IF(E3452=4,INDEX(crude_exp_dist,MATCH(B3452,'Crude Exp Dist'!$B$6:$B$78,0),MATCH(C3452,'Crude Exp Dist'!$AD$2:$BC$2,0))*INDEX(crude_exp_by_year,MATCH(B3452,'Data Export'!$B$6:$B$78,0),1),IF(E3452=5,INDEX(ref_exp_dist,MATCH(B3452,'Refined Petro Exp Dist'!$B$6:$B$78,0),MATCH(C3452,'Refined Petro Exp Dist'!$AD$2:$BC$2,0))*INDEX(ref_exp_by_year,MATCH(B3452,'Data Export'!$B$6:$B$78,0),1)))</f>
        <v>0</v>
      </c>
      <c r="E3452">
        <v>5</v>
      </c>
      <c r="F3452" t="s">
        <v>228</v>
      </c>
    </row>
    <row r="3453" spans="1:6">
      <c r="A3453" t="str">
        <f t="shared" si="53"/>
        <v>GenericE&amp;DtemplateCIandGOA</v>
      </c>
      <c r="B3453">
        <v>63</v>
      </c>
      <c r="C3453">
        <v>20</v>
      </c>
      <c r="D3453" s="649">
        <f ca="1">IF(E3453=4,INDEX(crude_exp_dist,MATCH(B3453,'Crude Exp Dist'!$B$6:$B$78,0),MATCH(C3453,'Crude Exp Dist'!$AD$2:$BC$2,0))*INDEX(crude_exp_by_year,MATCH(B3453,'Data Export'!$B$6:$B$78,0),1),IF(E3453=5,INDEX(ref_exp_dist,MATCH(B3453,'Refined Petro Exp Dist'!$B$6:$B$78,0),MATCH(C3453,'Refined Petro Exp Dist'!$AD$2:$BC$2,0))*INDEX(ref_exp_by_year,MATCH(B3453,'Data Export'!$B$6:$B$78,0),1)))</f>
        <v>0</v>
      </c>
      <c r="E3453">
        <v>5</v>
      </c>
      <c r="F3453" t="s">
        <v>231</v>
      </c>
    </row>
    <row r="3454" spans="1:6">
      <c r="A3454" t="str">
        <f t="shared" si="53"/>
        <v>GenericE&amp;DtemplateCIandGOA</v>
      </c>
      <c r="B3454">
        <v>63</v>
      </c>
      <c r="C3454">
        <v>21</v>
      </c>
      <c r="D3454" s="649">
        <f ca="1">IF(E3454=4,INDEX(crude_exp_dist,MATCH(B3454,'Crude Exp Dist'!$B$6:$B$78,0),MATCH(C3454,'Crude Exp Dist'!$AD$2:$BC$2,0))*INDEX(crude_exp_by_year,MATCH(B3454,'Data Export'!$B$6:$B$78,0),1),IF(E3454=5,INDEX(ref_exp_dist,MATCH(B3454,'Refined Petro Exp Dist'!$B$6:$B$78,0),MATCH(C3454,'Refined Petro Exp Dist'!$AD$2:$BC$2,0))*INDEX(ref_exp_by_year,MATCH(B3454,'Data Export'!$B$6:$B$78,0),1)))</f>
        <v>0</v>
      </c>
      <c r="E3454">
        <v>5</v>
      </c>
      <c r="F3454" t="s">
        <v>232</v>
      </c>
    </row>
    <row r="3455" spans="1:6">
      <c r="A3455" t="str">
        <f t="shared" si="53"/>
        <v>GenericE&amp;DtemplateCIandGOA</v>
      </c>
      <c r="B3455">
        <v>63</v>
      </c>
      <c r="C3455">
        <v>22</v>
      </c>
      <c r="D3455" s="649">
        <f ca="1">IF(E3455=4,INDEX(crude_exp_dist,MATCH(B3455,'Crude Exp Dist'!$B$6:$B$78,0),MATCH(C3455,'Crude Exp Dist'!$AD$2:$BC$2,0))*INDEX(crude_exp_by_year,MATCH(B3455,'Data Export'!$B$6:$B$78,0),1),IF(E3455=5,INDEX(ref_exp_dist,MATCH(B3455,'Refined Petro Exp Dist'!$B$6:$B$78,0),MATCH(C3455,'Refined Petro Exp Dist'!$AD$2:$BC$2,0))*INDEX(ref_exp_by_year,MATCH(B3455,'Data Export'!$B$6:$B$78,0),1)))</f>
        <v>0</v>
      </c>
      <c r="E3455">
        <v>5</v>
      </c>
      <c r="F3455" t="s">
        <v>235</v>
      </c>
    </row>
    <row r="3456" spans="1:6">
      <c r="A3456" t="str">
        <f t="shared" si="53"/>
        <v>GenericE&amp;DtemplateCIandGOA</v>
      </c>
      <c r="B3456">
        <v>63</v>
      </c>
      <c r="C3456">
        <v>23</v>
      </c>
      <c r="D3456" s="649">
        <f ca="1">IF(E3456=4,INDEX(crude_exp_dist,MATCH(B3456,'Crude Exp Dist'!$B$6:$B$78,0),MATCH(C3456,'Crude Exp Dist'!$AD$2:$BC$2,0))*INDEX(crude_exp_by_year,MATCH(B3456,'Data Export'!$B$6:$B$78,0),1),IF(E3456=5,INDEX(ref_exp_dist,MATCH(B3456,'Refined Petro Exp Dist'!$B$6:$B$78,0),MATCH(C3456,'Refined Petro Exp Dist'!$AD$2:$BC$2,0))*INDEX(ref_exp_by_year,MATCH(B3456,'Data Export'!$B$6:$B$78,0),1)))</f>
        <v>0</v>
      </c>
      <c r="E3456">
        <v>5</v>
      </c>
      <c r="F3456" t="s">
        <v>237</v>
      </c>
    </row>
    <row r="3457" spans="1:6">
      <c r="A3457" t="str">
        <f t="shared" si="53"/>
        <v>GenericE&amp;DtemplateCIandGOA</v>
      </c>
      <c r="B3457">
        <v>63</v>
      </c>
      <c r="C3457">
        <v>24</v>
      </c>
      <c r="D3457" s="649">
        <f ca="1">IF(E3457=4,INDEX(crude_exp_dist,MATCH(B3457,'Crude Exp Dist'!$B$6:$B$78,0),MATCH(C3457,'Crude Exp Dist'!$AD$2:$BC$2,0))*INDEX(crude_exp_by_year,MATCH(B3457,'Data Export'!$B$6:$B$78,0),1),IF(E3457=5,INDEX(ref_exp_dist,MATCH(B3457,'Refined Petro Exp Dist'!$B$6:$B$78,0),MATCH(C3457,'Refined Petro Exp Dist'!$AD$2:$BC$2,0))*INDEX(ref_exp_by_year,MATCH(B3457,'Data Export'!$B$6:$B$78,0),1)))</f>
        <v>0</v>
      </c>
      <c r="E3457">
        <v>5</v>
      </c>
      <c r="F3457" t="s">
        <v>239</v>
      </c>
    </row>
    <row r="3458" spans="1:6">
      <c r="A3458" t="str">
        <f t="shared" ref="A3458:A3521" si="54">scenario_name</f>
        <v>GenericE&amp;DtemplateCIandGOA</v>
      </c>
      <c r="B3458">
        <v>63</v>
      </c>
      <c r="C3458">
        <v>25</v>
      </c>
      <c r="D3458" s="649">
        <f ca="1">IF(E3458=4,INDEX(crude_exp_dist,MATCH(B3458,'Crude Exp Dist'!$B$6:$B$78,0),MATCH(C3458,'Crude Exp Dist'!$AD$2:$BC$2,0))*INDEX(crude_exp_by_year,MATCH(B3458,'Data Export'!$B$6:$B$78,0),1),IF(E3458=5,INDEX(ref_exp_dist,MATCH(B3458,'Refined Petro Exp Dist'!$B$6:$B$78,0),MATCH(C3458,'Refined Petro Exp Dist'!$AD$2:$BC$2,0))*INDEX(ref_exp_by_year,MATCH(B3458,'Data Export'!$B$6:$B$78,0),1)))</f>
        <v>0</v>
      </c>
      <c r="E3458">
        <v>5</v>
      </c>
      <c r="F3458" t="s">
        <v>242</v>
      </c>
    </row>
    <row r="3459" spans="1:6">
      <c r="A3459" t="str">
        <f t="shared" si="54"/>
        <v>GenericE&amp;DtemplateCIandGOA</v>
      </c>
      <c r="B3459">
        <v>63</v>
      </c>
      <c r="C3459">
        <v>26</v>
      </c>
      <c r="D3459" s="649">
        <f ca="1">IF(E3459=4,INDEX(crude_exp_dist,MATCH(B3459,'Crude Exp Dist'!$B$6:$B$78,0),MATCH(C3459,'Crude Exp Dist'!$AD$2:$BC$2,0))*INDEX(crude_exp_by_year,MATCH(B3459,'Data Export'!$B$6:$B$78,0),1),IF(E3459=5,INDEX(ref_exp_dist,MATCH(B3459,'Refined Petro Exp Dist'!$B$6:$B$78,0),MATCH(C3459,'Refined Petro Exp Dist'!$AD$2:$BC$2,0))*INDEX(ref_exp_by_year,MATCH(B3459,'Data Export'!$B$6:$B$78,0),1)))</f>
        <v>0</v>
      </c>
      <c r="E3459">
        <v>5</v>
      </c>
      <c r="F3459" t="s">
        <v>245</v>
      </c>
    </row>
    <row r="3460" spans="1:6">
      <c r="A3460" t="str">
        <f t="shared" si="54"/>
        <v>GenericE&amp;DtemplateCIandGOA</v>
      </c>
      <c r="B3460">
        <v>64</v>
      </c>
      <c r="C3460">
        <v>1</v>
      </c>
      <c r="D3460" s="649">
        <f ca="1">IF(E3460=4,INDEX(crude_exp_dist,MATCH(B3460,'Crude Exp Dist'!$B$6:$B$78,0),MATCH(C3460,'Crude Exp Dist'!$AD$2:$BC$2,0))*INDEX(crude_exp_by_year,MATCH(B3460,'Data Export'!$B$6:$B$78,0),1),IF(E3460=5,INDEX(ref_exp_dist,MATCH(B3460,'Refined Petro Exp Dist'!$B$6:$B$78,0),MATCH(C3460,'Refined Petro Exp Dist'!$AD$2:$BC$2,0))*INDEX(ref_exp_by_year,MATCH(B3460,'Data Export'!$B$6:$B$78,0),1)))</f>
        <v>0</v>
      </c>
      <c r="E3460">
        <v>5</v>
      </c>
      <c r="F3460" t="s">
        <v>158</v>
      </c>
    </row>
    <row r="3461" spans="1:6">
      <c r="A3461" t="str">
        <f t="shared" si="54"/>
        <v>GenericE&amp;DtemplateCIandGOA</v>
      </c>
      <c r="B3461">
        <v>64</v>
      </c>
      <c r="C3461">
        <v>2</v>
      </c>
      <c r="D3461" s="649">
        <f ca="1">IF(E3461=4,INDEX(crude_exp_dist,MATCH(B3461,'Crude Exp Dist'!$B$6:$B$78,0),MATCH(C3461,'Crude Exp Dist'!$AD$2:$BC$2,0))*INDEX(crude_exp_by_year,MATCH(B3461,'Data Export'!$B$6:$B$78,0),1),IF(E3461=5,INDEX(ref_exp_dist,MATCH(B3461,'Refined Petro Exp Dist'!$B$6:$B$78,0),MATCH(C3461,'Refined Petro Exp Dist'!$AD$2:$BC$2,0))*INDEX(ref_exp_by_year,MATCH(B3461,'Data Export'!$B$6:$B$78,0),1)))</f>
        <v>0</v>
      </c>
      <c r="E3461">
        <v>5</v>
      </c>
      <c r="F3461" t="s">
        <v>166</v>
      </c>
    </row>
    <row r="3462" spans="1:6">
      <c r="A3462" t="str">
        <f t="shared" si="54"/>
        <v>GenericE&amp;DtemplateCIandGOA</v>
      </c>
      <c r="B3462">
        <v>64</v>
      </c>
      <c r="C3462">
        <v>3</v>
      </c>
      <c r="D3462" s="649">
        <f ca="1">IF(E3462=4,INDEX(crude_exp_dist,MATCH(B3462,'Crude Exp Dist'!$B$6:$B$78,0),MATCH(C3462,'Crude Exp Dist'!$AD$2:$BC$2,0))*INDEX(crude_exp_by_year,MATCH(B3462,'Data Export'!$B$6:$B$78,0),1),IF(E3462=5,INDEX(ref_exp_dist,MATCH(B3462,'Refined Petro Exp Dist'!$B$6:$B$78,0),MATCH(C3462,'Refined Petro Exp Dist'!$AD$2:$BC$2,0))*INDEX(ref_exp_by_year,MATCH(B3462,'Data Export'!$B$6:$B$78,0),1)))</f>
        <v>0</v>
      </c>
      <c r="E3462">
        <v>5</v>
      </c>
      <c r="F3462" t="s">
        <v>171</v>
      </c>
    </row>
    <row r="3463" spans="1:6">
      <c r="A3463" t="str">
        <f t="shared" si="54"/>
        <v>GenericE&amp;DtemplateCIandGOA</v>
      </c>
      <c r="B3463">
        <v>64</v>
      </c>
      <c r="C3463">
        <v>4</v>
      </c>
      <c r="D3463" s="649">
        <f ca="1">IF(E3463=4,INDEX(crude_exp_dist,MATCH(B3463,'Crude Exp Dist'!$B$6:$B$78,0),MATCH(C3463,'Crude Exp Dist'!$AD$2:$BC$2,0))*INDEX(crude_exp_by_year,MATCH(B3463,'Data Export'!$B$6:$B$78,0),1),IF(E3463=5,INDEX(ref_exp_dist,MATCH(B3463,'Refined Petro Exp Dist'!$B$6:$B$78,0),MATCH(C3463,'Refined Petro Exp Dist'!$AD$2:$BC$2,0))*INDEX(ref_exp_by_year,MATCH(B3463,'Data Export'!$B$6:$B$78,0),1)))</f>
        <v>0</v>
      </c>
      <c r="E3463">
        <v>5</v>
      </c>
      <c r="F3463" t="s">
        <v>173</v>
      </c>
    </row>
    <row r="3464" spans="1:6">
      <c r="A3464" t="str">
        <f t="shared" si="54"/>
        <v>GenericE&amp;DtemplateCIandGOA</v>
      </c>
      <c r="B3464">
        <v>64</v>
      </c>
      <c r="C3464">
        <v>5</v>
      </c>
      <c r="D3464" s="649">
        <f ca="1">IF(E3464=4,INDEX(crude_exp_dist,MATCH(B3464,'Crude Exp Dist'!$B$6:$B$78,0),MATCH(C3464,'Crude Exp Dist'!$AD$2:$BC$2,0))*INDEX(crude_exp_by_year,MATCH(B3464,'Data Export'!$B$6:$B$78,0),1),IF(E3464=5,INDEX(ref_exp_dist,MATCH(B3464,'Refined Petro Exp Dist'!$B$6:$B$78,0),MATCH(C3464,'Refined Petro Exp Dist'!$AD$2:$BC$2,0))*INDEX(ref_exp_by_year,MATCH(B3464,'Data Export'!$B$6:$B$78,0),1)))</f>
        <v>0</v>
      </c>
      <c r="E3464">
        <v>5</v>
      </c>
      <c r="F3464" t="s">
        <v>180</v>
      </c>
    </row>
    <row r="3465" spans="1:6">
      <c r="A3465" t="str">
        <f t="shared" si="54"/>
        <v>GenericE&amp;DtemplateCIandGOA</v>
      </c>
      <c r="B3465">
        <v>64</v>
      </c>
      <c r="C3465">
        <v>6</v>
      </c>
      <c r="D3465" s="649">
        <f ca="1">IF(E3465=4,INDEX(crude_exp_dist,MATCH(B3465,'Crude Exp Dist'!$B$6:$B$78,0),MATCH(C3465,'Crude Exp Dist'!$AD$2:$BC$2,0))*INDEX(crude_exp_by_year,MATCH(B3465,'Data Export'!$B$6:$B$78,0),1),IF(E3465=5,INDEX(ref_exp_dist,MATCH(B3465,'Refined Petro Exp Dist'!$B$6:$B$78,0),MATCH(C3465,'Refined Petro Exp Dist'!$AD$2:$BC$2,0))*INDEX(ref_exp_by_year,MATCH(B3465,'Data Export'!$B$6:$B$78,0),1)))</f>
        <v>0</v>
      </c>
      <c r="E3465">
        <v>5</v>
      </c>
      <c r="F3465" t="s">
        <v>186</v>
      </c>
    </row>
    <row r="3466" spans="1:6">
      <c r="A3466" t="str">
        <f t="shared" si="54"/>
        <v>GenericE&amp;DtemplateCIandGOA</v>
      </c>
      <c r="B3466">
        <v>64</v>
      </c>
      <c r="C3466">
        <v>7</v>
      </c>
      <c r="D3466" s="649">
        <f ca="1">IF(E3466=4,INDEX(crude_exp_dist,MATCH(B3466,'Crude Exp Dist'!$B$6:$B$78,0),MATCH(C3466,'Crude Exp Dist'!$AD$2:$BC$2,0))*INDEX(crude_exp_by_year,MATCH(B3466,'Data Export'!$B$6:$B$78,0),1),IF(E3466=5,INDEX(ref_exp_dist,MATCH(B3466,'Refined Petro Exp Dist'!$B$6:$B$78,0),MATCH(C3466,'Refined Petro Exp Dist'!$AD$2:$BC$2,0))*INDEX(ref_exp_by_year,MATCH(B3466,'Data Export'!$B$6:$B$78,0),1)))</f>
        <v>0</v>
      </c>
      <c r="E3466">
        <v>5</v>
      </c>
      <c r="F3466" t="s">
        <v>191</v>
      </c>
    </row>
    <row r="3467" spans="1:6">
      <c r="A3467" t="str">
        <f t="shared" si="54"/>
        <v>GenericE&amp;DtemplateCIandGOA</v>
      </c>
      <c r="B3467">
        <v>64</v>
      </c>
      <c r="C3467">
        <v>8</v>
      </c>
      <c r="D3467" s="649">
        <f ca="1">IF(E3467=4,INDEX(crude_exp_dist,MATCH(B3467,'Crude Exp Dist'!$B$6:$B$78,0),MATCH(C3467,'Crude Exp Dist'!$AD$2:$BC$2,0))*INDEX(crude_exp_by_year,MATCH(B3467,'Data Export'!$B$6:$B$78,0),1),IF(E3467=5,INDEX(ref_exp_dist,MATCH(B3467,'Refined Petro Exp Dist'!$B$6:$B$78,0),MATCH(C3467,'Refined Petro Exp Dist'!$AD$2:$BC$2,0))*INDEX(ref_exp_by_year,MATCH(B3467,'Data Export'!$B$6:$B$78,0),1)))</f>
        <v>0</v>
      </c>
      <c r="E3467">
        <v>5</v>
      </c>
      <c r="F3467" t="s">
        <v>197</v>
      </c>
    </row>
    <row r="3468" spans="1:6">
      <c r="A3468" t="str">
        <f t="shared" si="54"/>
        <v>GenericE&amp;DtemplateCIandGOA</v>
      </c>
      <c r="B3468">
        <v>64</v>
      </c>
      <c r="C3468">
        <v>9</v>
      </c>
      <c r="D3468" s="649">
        <f ca="1">IF(E3468=4,INDEX(crude_exp_dist,MATCH(B3468,'Crude Exp Dist'!$B$6:$B$78,0),MATCH(C3468,'Crude Exp Dist'!$AD$2:$BC$2,0))*INDEX(crude_exp_by_year,MATCH(B3468,'Data Export'!$B$6:$B$78,0),1),IF(E3468=5,INDEX(ref_exp_dist,MATCH(B3468,'Refined Petro Exp Dist'!$B$6:$B$78,0),MATCH(C3468,'Refined Petro Exp Dist'!$AD$2:$BC$2,0))*INDEX(ref_exp_by_year,MATCH(B3468,'Data Export'!$B$6:$B$78,0),1)))</f>
        <v>0</v>
      </c>
      <c r="E3468">
        <v>5</v>
      </c>
      <c r="F3468" t="s">
        <v>199</v>
      </c>
    </row>
    <row r="3469" spans="1:6">
      <c r="A3469" t="str">
        <f t="shared" si="54"/>
        <v>GenericE&amp;DtemplateCIandGOA</v>
      </c>
      <c r="B3469">
        <v>64</v>
      </c>
      <c r="C3469">
        <v>10</v>
      </c>
      <c r="D3469" s="649">
        <f ca="1">IF(E3469=4,INDEX(crude_exp_dist,MATCH(B3469,'Crude Exp Dist'!$B$6:$B$78,0),MATCH(C3469,'Crude Exp Dist'!$AD$2:$BC$2,0))*INDEX(crude_exp_by_year,MATCH(B3469,'Data Export'!$B$6:$B$78,0),1),IF(E3469=5,INDEX(ref_exp_dist,MATCH(B3469,'Refined Petro Exp Dist'!$B$6:$B$78,0),MATCH(C3469,'Refined Petro Exp Dist'!$AD$2:$BC$2,0))*INDEX(ref_exp_by_year,MATCH(B3469,'Data Export'!$B$6:$B$78,0),1)))</f>
        <v>0</v>
      </c>
      <c r="E3469">
        <v>5</v>
      </c>
      <c r="F3469" t="s">
        <v>201</v>
      </c>
    </row>
    <row r="3470" spans="1:6">
      <c r="A3470" t="str">
        <f t="shared" si="54"/>
        <v>GenericE&amp;DtemplateCIandGOA</v>
      </c>
      <c r="B3470">
        <v>64</v>
      </c>
      <c r="C3470">
        <v>11</v>
      </c>
      <c r="D3470" s="649">
        <f ca="1">IF(E3470=4,INDEX(crude_exp_dist,MATCH(B3470,'Crude Exp Dist'!$B$6:$B$78,0),MATCH(C3470,'Crude Exp Dist'!$AD$2:$BC$2,0))*INDEX(crude_exp_by_year,MATCH(B3470,'Data Export'!$B$6:$B$78,0),1),IF(E3470=5,INDEX(ref_exp_dist,MATCH(B3470,'Refined Petro Exp Dist'!$B$6:$B$78,0),MATCH(C3470,'Refined Petro Exp Dist'!$AD$2:$BC$2,0))*INDEX(ref_exp_by_year,MATCH(B3470,'Data Export'!$B$6:$B$78,0),1)))</f>
        <v>0</v>
      </c>
      <c r="E3470">
        <v>5</v>
      </c>
      <c r="F3470" t="s">
        <v>921</v>
      </c>
    </row>
    <row r="3471" spans="1:6">
      <c r="A3471" t="str">
        <f t="shared" si="54"/>
        <v>GenericE&amp;DtemplateCIandGOA</v>
      </c>
      <c r="B3471">
        <v>64</v>
      </c>
      <c r="C3471">
        <v>12</v>
      </c>
      <c r="D3471" s="649">
        <f ca="1">IF(E3471=4,INDEX(crude_exp_dist,MATCH(B3471,'Crude Exp Dist'!$B$6:$B$78,0),MATCH(C3471,'Crude Exp Dist'!$AD$2:$BC$2,0))*INDEX(crude_exp_by_year,MATCH(B3471,'Data Export'!$B$6:$B$78,0),1),IF(E3471=5,INDEX(ref_exp_dist,MATCH(B3471,'Refined Petro Exp Dist'!$B$6:$B$78,0),MATCH(C3471,'Refined Petro Exp Dist'!$AD$2:$BC$2,0))*INDEX(ref_exp_by_year,MATCH(B3471,'Data Export'!$B$6:$B$78,0),1)))</f>
        <v>0</v>
      </c>
      <c r="E3471">
        <v>5</v>
      </c>
      <c r="F3471" t="s">
        <v>208</v>
      </c>
    </row>
    <row r="3472" spans="1:6">
      <c r="A3472" t="str">
        <f t="shared" si="54"/>
        <v>GenericE&amp;DtemplateCIandGOA</v>
      </c>
      <c r="B3472">
        <v>64</v>
      </c>
      <c r="C3472">
        <v>13</v>
      </c>
      <c r="D3472" s="649">
        <f ca="1">IF(E3472=4,INDEX(crude_exp_dist,MATCH(B3472,'Crude Exp Dist'!$B$6:$B$78,0),MATCH(C3472,'Crude Exp Dist'!$AD$2:$BC$2,0))*INDEX(crude_exp_by_year,MATCH(B3472,'Data Export'!$B$6:$B$78,0),1),IF(E3472=5,INDEX(ref_exp_dist,MATCH(B3472,'Refined Petro Exp Dist'!$B$6:$B$78,0),MATCH(C3472,'Refined Petro Exp Dist'!$AD$2:$BC$2,0))*INDEX(ref_exp_by_year,MATCH(B3472,'Data Export'!$B$6:$B$78,0),1)))</f>
        <v>0</v>
      </c>
      <c r="E3472">
        <v>5</v>
      </c>
      <c r="F3472" t="s">
        <v>211</v>
      </c>
    </row>
    <row r="3473" spans="1:6">
      <c r="A3473" t="str">
        <f t="shared" si="54"/>
        <v>GenericE&amp;DtemplateCIandGOA</v>
      </c>
      <c r="B3473">
        <v>64</v>
      </c>
      <c r="C3473">
        <v>14</v>
      </c>
      <c r="D3473" s="649">
        <f ca="1">IF(E3473=4,INDEX(crude_exp_dist,MATCH(B3473,'Crude Exp Dist'!$B$6:$B$78,0),MATCH(C3473,'Crude Exp Dist'!$AD$2:$BC$2,0))*INDEX(crude_exp_by_year,MATCH(B3473,'Data Export'!$B$6:$B$78,0),1),IF(E3473=5,INDEX(ref_exp_dist,MATCH(B3473,'Refined Petro Exp Dist'!$B$6:$B$78,0),MATCH(C3473,'Refined Petro Exp Dist'!$AD$2:$BC$2,0))*INDEX(ref_exp_by_year,MATCH(B3473,'Data Export'!$B$6:$B$78,0),1)))</f>
        <v>0</v>
      </c>
      <c r="E3473">
        <v>5</v>
      </c>
      <c r="F3473" t="s">
        <v>213</v>
      </c>
    </row>
    <row r="3474" spans="1:6">
      <c r="A3474" t="str">
        <f t="shared" si="54"/>
        <v>GenericE&amp;DtemplateCIandGOA</v>
      </c>
      <c r="B3474">
        <v>64</v>
      </c>
      <c r="C3474">
        <v>15</v>
      </c>
      <c r="D3474" s="649">
        <f ca="1">IF(E3474=4,INDEX(crude_exp_dist,MATCH(B3474,'Crude Exp Dist'!$B$6:$B$78,0),MATCH(C3474,'Crude Exp Dist'!$AD$2:$BC$2,0))*INDEX(crude_exp_by_year,MATCH(B3474,'Data Export'!$B$6:$B$78,0),1),IF(E3474=5,INDEX(ref_exp_dist,MATCH(B3474,'Refined Petro Exp Dist'!$B$6:$B$78,0),MATCH(C3474,'Refined Petro Exp Dist'!$AD$2:$BC$2,0))*INDEX(ref_exp_by_year,MATCH(B3474,'Data Export'!$B$6:$B$78,0),1)))</f>
        <v>0</v>
      </c>
      <c r="E3474">
        <v>5</v>
      </c>
      <c r="F3474" t="s">
        <v>215</v>
      </c>
    </row>
    <row r="3475" spans="1:6">
      <c r="A3475" t="str">
        <f t="shared" si="54"/>
        <v>GenericE&amp;DtemplateCIandGOA</v>
      </c>
      <c r="B3475">
        <v>64</v>
      </c>
      <c r="C3475">
        <v>16</v>
      </c>
      <c r="D3475" s="649">
        <f ca="1">IF(E3475=4,INDEX(crude_exp_dist,MATCH(B3475,'Crude Exp Dist'!$B$6:$B$78,0),MATCH(C3475,'Crude Exp Dist'!$AD$2:$BC$2,0))*INDEX(crude_exp_by_year,MATCH(B3475,'Data Export'!$B$6:$B$78,0),1),IF(E3475=5,INDEX(ref_exp_dist,MATCH(B3475,'Refined Petro Exp Dist'!$B$6:$B$78,0),MATCH(C3475,'Refined Petro Exp Dist'!$AD$2:$BC$2,0))*INDEX(ref_exp_by_year,MATCH(B3475,'Data Export'!$B$6:$B$78,0),1)))</f>
        <v>0</v>
      </c>
      <c r="E3475">
        <v>5</v>
      </c>
      <c r="F3475" t="s">
        <v>219</v>
      </c>
    </row>
    <row r="3476" spans="1:6">
      <c r="A3476" t="str">
        <f t="shared" si="54"/>
        <v>GenericE&amp;DtemplateCIandGOA</v>
      </c>
      <c r="B3476">
        <v>64</v>
      </c>
      <c r="C3476">
        <v>17</v>
      </c>
      <c r="D3476" s="649">
        <f ca="1">IF(E3476=4,INDEX(crude_exp_dist,MATCH(B3476,'Crude Exp Dist'!$B$6:$B$78,0),MATCH(C3476,'Crude Exp Dist'!$AD$2:$BC$2,0))*INDEX(crude_exp_by_year,MATCH(B3476,'Data Export'!$B$6:$B$78,0),1),IF(E3476=5,INDEX(ref_exp_dist,MATCH(B3476,'Refined Petro Exp Dist'!$B$6:$B$78,0),MATCH(C3476,'Refined Petro Exp Dist'!$AD$2:$BC$2,0))*INDEX(ref_exp_by_year,MATCH(B3476,'Data Export'!$B$6:$B$78,0),1)))</f>
        <v>0</v>
      </c>
      <c r="E3476">
        <v>5</v>
      </c>
      <c r="F3476" t="s">
        <v>222</v>
      </c>
    </row>
    <row r="3477" spans="1:6">
      <c r="A3477" t="str">
        <f t="shared" si="54"/>
        <v>GenericE&amp;DtemplateCIandGOA</v>
      </c>
      <c r="B3477">
        <v>64</v>
      </c>
      <c r="C3477">
        <v>18</v>
      </c>
      <c r="D3477" s="649">
        <f ca="1">IF(E3477=4,INDEX(crude_exp_dist,MATCH(B3477,'Crude Exp Dist'!$B$6:$B$78,0),MATCH(C3477,'Crude Exp Dist'!$AD$2:$BC$2,0))*INDEX(crude_exp_by_year,MATCH(B3477,'Data Export'!$B$6:$B$78,0),1),IF(E3477=5,INDEX(ref_exp_dist,MATCH(B3477,'Refined Petro Exp Dist'!$B$6:$B$78,0),MATCH(C3477,'Refined Petro Exp Dist'!$AD$2:$BC$2,0))*INDEX(ref_exp_by_year,MATCH(B3477,'Data Export'!$B$6:$B$78,0),1)))</f>
        <v>0</v>
      </c>
      <c r="E3477">
        <v>5</v>
      </c>
      <c r="F3477" t="s">
        <v>224</v>
      </c>
    </row>
    <row r="3478" spans="1:6">
      <c r="A3478" t="str">
        <f t="shared" si="54"/>
        <v>GenericE&amp;DtemplateCIandGOA</v>
      </c>
      <c r="B3478">
        <v>64</v>
      </c>
      <c r="C3478">
        <v>19</v>
      </c>
      <c r="D3478" s="649">
        <f ca="1">IF(E3478=4,INDEX(crude_exp_dist,MATCH(B3478,'Crude Exp Dist'!$B$6:$B$78,0),MATCH(C3478,'Crude Exp Dist'!$AD$2:$BC$2,0))*INDEX(crude_exp_by_year,MATCH(B3478,'Data Export'!$B$6:$B$78,0),1),IF(E3478=5,INDEX(ref_exp_dist,MATCH(B3478,'Refined Petro Exp Dist'!$B$6:$B$78,0),MATCH(C3478,'Refined Petro Exp Dist'!$AD$2:$BC$2,0))*INDEX(ref_exp_by_year,MATCH(B3478,'Data Export'!$B$6:$B$78,0),1)))</f>
        <v>0</v>
      </c>
      <c r="E3478">
        <v>5</v>
      </c>
      <c r="F3478" t="s">
        <v>228</v>
      </c>
    </row>
    <row r="3479" spans="1:6">
      <c r="A3479" t="str">
        <f t="shared" si="54"/>
        <v>GenericE&amp;DtemplateCIandGOA</v>
      </c>
      <c r="B3479">
        <v>64</v>
      </c>
      <c r="C3479">
        <v>20</v>
      </c>
      <c r="D3479" s="649">
        <f ca="1">IF(E3479=4,INDEX(crude_exp_dist,MATCH(B3479,'Crude Exp Dist'!$B$6:$B$78,0),MATCH(C3479,'Crude Exp Dist'!$AD$2:$BC$2,0))*INDEX(crude_exp_by_year,MATCH(B3479,'Data Export'!$B$6:$B$78,0),1),IF(E3479=5,INDEX(ref_exp_dist,MATCH(B3479,'Refined Petro Exp Dist'!$B$6:$B$78,0),MATCH(C3479,'Refined Petro Exp Dist'!$AD$2:$BC$2,0))*INDEX(ref_exp_by_year,MATCH(B3479,'Data Export'!$B$6:$B$78,0),1)))</f>
        <v>0</v>
      </c>
      <c r="E3479">
        <v>5</v>
      </c>
      <c r="F3479" t="s">
        <v>231</v>
      </c>
    </row>
    <row r="3480" spans="1:6">
      <c r="A3480" t="str">
        <f t="shared" si="54"/>
        <v>GenericE&amp;DtemplateCIandGOA</v>
      </c>
      <c r="B3480">
        <v>64</v>
      </c>
      <c r="C3480">
        <v>21</v>
      </c>
      <c r="D3480" s="649">
        <f ca="1">IF(E3480=4,INDEX(crude_exp_dist,MATCH(B3480,'Crude Exp Dist'!$B$6:$B$78,0),MATCH(C3480,'Crude Exp Dist'!$AD$2:$BC$2,0))*INDEX(crude_exp_by_year,MATCH(B3480,'Data Export'!$B$6:$B$78,0),1),IF(E3480=5,INDEX(ref_exp_dist,MATCH(B3480,'Refined Petro Exp Dist'!$B$6:$B$78,0),MATCH(C3480,'Refined Petro Exp Dist'!$AD$2:$BC$2,0))*INDEX(ref_exp_by_year,MATCH(B3480,'Data Export'!$B$6:$B$78,0),1)))</f>
        <v>0</v>
      </c>
      <c r="E3480">
        <v>5</v>
      </c>
      <c r="F3480" t="s">
        <v>232</v>
      </c>
    </row>
    <row r="3481" spans="1:6">
      <c r="A3481" t="str">
        <f t="shared" si="54"/>
        <v>GenericE&amp;DtemplateCIandGOA</v>
      </c>
      <c r="B3481">
        <v>64</v>
      </c>
      <c r="C3481">
        <v>22</v>
      </c>
      <c r="D3481" s="649">
        <f ca="1">IF(E3481=4,INDEX(crude_exp_dist,MATCH(B3481,'Crude Exp Dist'!$B$6:$B$78,0),MATCH(C3481,'Crude Exp Dist'!$AD$2:$BC$2,0))*INDEX(crude_exp_by_year,MATCH(B3481,'Data Export'!$B$6:$B$78,0),1),IF(E3481=5,INDEX(ref_exp_dist,MATCH(B3481,'Refined Petro Exp Dist'!$B$6:$B$78,0),MATCH(C3481,'Refined Petro Exp Dist'!$AD$2:$BC$2,0))*INDEX(ref_exp_by_year,MATCH(B3481,'Data Export'!$B$6:$B$78,0),1)))</f>
        <v>0</v>
      </c>
      <c r="E3481">
        <v>5</v>
      </c>
      <c r="F3481" t="s">
        <v>235</v>
      </c>
    </row>
    <row r="3482" spans="1:6">
      <c r="A3482" t="str">
        <f t="shared" si="54"/>
        <v>GenericE&amp;DtemplateCIandGOA</v>
      </c>
      <c r="B3482">
        <v>64</v>
      </c>
      <c r="C3482">
        <v>23</v>
      </c>
      <c r="D3482" s="649">
        <f ca="1">IF(E3482=4,INDEX(crude_exp_dist,MATCH(B3482,'Crude Exp Dist'!$B$6:$B$78,0),MATCH(C3482,'Crude Exp Dist'!$AD$2:$BC$2,0))*INDEX(crude_exp_by_year,MATCH(B3482,'Data Export'!$B$6:$B$78,0),1),IF(E3482=5,INDEX(ref_exp_dist,MATCH(B3482,'Refined Petro Exp Dist'!$B$6:$B$78,0),MATCH(C3482,'Refined Petro Exp Dist'!$AD$2:$BC$2,0))*INDEX(ref_exp_by_year,MATCH(B3482,'Data Export'!$B$6:$B$78,0),1)))</f>
        <v>0</v>
      </c>
      <c r="E3482">
        <v>5</v>
      </c>
      <c r="F3482" t="s">
        <v>237</v>
      </c>
    </row>
    <row r="3483" spans="1:6">
      <c r="A3483" t="str">
        <f t="shared" si="54"/>
        <v>GenericE&amp;DtemplateCIandGOA</v>
      </c>
      <c r="B3483">
        <v>64</v>
      </c>
      <c r="C3483">
        <v>24</v>
      </c>
      <c r="D3483" s="649">
        <f ca="1">IF(E3483=4,INDEX(crude_exp_dist,MATCH(B3483,'Crude Exp Dist'!$B$6:$B$78,0),MATCH(C3483,'Crude Exp Dist'!$AD$2:$BC$2,0))*INDEX(crude_exp_by_year,MATCH(B3483,'Data Export'!$B$6:$B$78,0),1),IF(E3483=5,INDEX(ref_exp_dist,MATCH(B3483,'Refined Petro Exp Dist'!$B$6:$B$78,0),MATCH(C3483,'Refined Petro Exp Dist'!$AD$2:$BC$2,0))*INDEX(ref_exp_by_year,MATCH(B3483,'Data Export'!$B$6:$B$78,0),1)))</f>
        <v>0</v>
      </c>
      <c r="E3483">
        <v>5</v>
      </c>
      <c r="F3483" t="s">
        <v>239</v>
      </c>
    </row>
    <row r="3484" spans="1:6">
      <c r="A3484" t="str">
        <f t="shared" si="54"/>
        <v>GenericE&amp;DtemplateCIandGOA</v>
      </c>
      <c r="B3484">
        <v>64</v>
      </c>
      <c r="C3484">
        <v>25</v>
      </c>
      <c r="D3484" s="649">
        <f ca="1">IF(E3484=4,INDEX(crude_exp_dist,MATCH(B3484,'Crude Exp Dist'!$B$6:$B$78,0),MATCH(C3484,'Crude Exp Dist'!$AD$2:$BC$2,0))*INDEX(crude_exp_by_year,MATCH(B3484,'Data Export'!$B$6:$B$78,0),1),IF(E3484=5,INDEX(ref_exp_dist,MATCH(B3484,'Refined Petro Exp Dist'!$B$6:$B$78,0),MATCH(C3484,'Refined Petro Exp Dist'!$AD$2:$BC$2,0))*INDEX(ref_exp_by_year,MATCH(B3484,'Data Export'!$B$6:$B$78,0),1)))</f>
        <v>0</v>
      </c>
      <c r="E3484">
        <v>5</v>
      </c>
      <c r="F3484" t="s">
        <v>242</v>
      </c>
    </row>
    <row r="3485" spans="1:6">
      <c r="A3485" t="str">
        <f t="shared" si="54"/>
        <v>GenericE&amp;DtemplateCIandGOA</v>
      </c>
      <c r="B3485">
        <v>64</v>
      </c>
      <c r="C3485">
        <v>26</v>
      </c>
      <c r="D3485" s="649">
        <f ca="1">IF(E3485=4,INDEX(crude_exp_dist,MATCH(B3485,'Crude Exp Dist'!$B$6:$B$78,0),MATCH(C3485,'Crude Exp Dist'!$AD$2:$BC$2,0))*INDEX(crude_exp_by_year,MATCH(B3485,'Data Export'!$B$6:$B$78,0),1),IF(E3485=5,INDEX(ref_exp_dist,MATCH(B3485,'Refined Petro Exp Dist'!$B$6:$B$78,0),MATCH(C3485,'Refined Petro Exp Dist'!$AD$2:$BC$2,0))*INDEX(ref_exp_by_year,MATCH(B3485,'Data Export'!$B$6:$B$78,0),1)))</f>
        <v>0</v>
      </c>
      <c r="E3485">
        <v>5</v>
      </c>
      <c r="F3485" t="s">
        <v>245</v>
      </c>
    </row>
    <row r="3486" spans="1:6">
      <c r="A3486" t="str">
        <f t="shared" si="54"/>
        <v>GenericE&amp;DtemplateCIandGOA</v>
      </c>
      <c r="B3486">
        <v>65</v>
      </c>
      <c r="C3486">
        <v>1</v>
      </c>
      <c r="D3486" s="649">
        <f ca="1">IF(E3486=4,INDEX(crude_exp_dist,MATCH(B3486,'Crude Exp Dist'!$B$6:$B$78,0),MATCH(C3486,'Crude Exp Dist'!$AD$2:$BC$2,0))*INDEX(crude_exp_by_year,MATCH(B3486,'Data Export'!$B$6:$B$78,0),1),IF(E3486=5,INDEX(ref_exp_dist,MATCH(B3486,'Refined Petro Exp Dist'!$B$6:$B$78,0),MATCH(C3486,'Refined Petro Exp Dist'!$AD$2:$BC$2,0))*INDEX(ref_exp_by_year,MATCH(B3486,'Data Export'!$B$6:$B$78,0),1)))</f>
        <v>0</v>
      </c>
      <c r="E3486">
        <v>5</v>
      </c>
      <c r="F3486" t="s">
        <v>158</v>
      </c>
    </row>
    <row r="3487" spans="1:6">
      <c r="A3487" t="str">
        <f t="shared" si="54"/>
        <v>GenericE&amp;DtemplateCIandGOA</v>
      </c>
      <c r="B3487">
        <v>65</v>
      </c>
      <c r="C3487">
        <v>2</v>
      </c>
      <c r="D3487" s="649">
        <f ca="1">IF(E3487=4,INDEX(crude_exp_dist,MATCH(B3487,'Crude Exp Dist'!$B$6:$B$78,0),MATCH(C3487,'Crude Exp Dist'!$AD$2:$BC$2,0))*INDEX(crude_exp_by_year,MATCH(B3487,'Data Export'!$B$6:$B$78,0),1),IF(E3487=5,INDEX(ref_exp_dist,MATCH(B3487,'Refined Petro Exp Dist'!$B$6:$B$78,0),MATCH(C3487,'Refined Petro Exp Dist'!$AD$2:$BC$2,0))*INDEX(ref_exp_by_year,MATCH(B3487,'Data Export'!$B$6:$B$78,0),1)))</f>
        <v>0</v>
      </c>
      <c r="E3487">
        <v>5</v>
      </c>
      <c r="F3487" t="s">
        <v>166</v>
      </c>
    </row>
    <row r="3488" spans="1:6">
      <c r="A3488" t="str">
        <f t="shared" si="54"/>
        <v>GenericE&amp;DtemplateCIandGOA</v>
      </c>
      <c r="B3488">
        <v>65</v>
      </c>
      <c r="C3488">
        <v>3</v>
      </c>
      <c r="D3488" s="649">
        <f ca="1">IF(E3488=4,INDEX(crude_exp_dist,MATCH(B3488,'Crude Exp Dist'!$B$6:$B$78,0),MATCH(C3488,'Crude Exp Dist'!$AD$2:$BC$2,0))*INDEX(crude_exp_by_year,MATCH(B3488,'Data Export'!$B$6:$B$78,0),1),IF(E3488=5,INDEX(ref_exp_dist,MATCH(B3488,'Refined Petro Exp Dist'!$B$6:$B$78,0),MATCH(C3488,'Refined Petro Exp Dist'!$AD$2:$BC$2,0))*INDEX(ref_exp_by_year,MATCH(B3488,'Data Export'!$B$6:$B$78,0),1)))</f>
        <v>0</v>
      </c>
      <c r="E3488">
        <v>5</v>
      </c>
      <c r="F3488" t="s">
        <v>171</v>
      </c>
    </row>
    <row r="3489" spans="1:6">
      <c r="A3489" t="str">
        <f t="shared" si="54"/>
        <v>GenericE&amp;DtemplateCIandGOA</v>
      </c>
      <c r="B3489">
        <v>65</v>
      </c>
      <c r="C3489">
        <v>4</v>
      </c>
      <c r="D3489" s="649">
        <f ca="1">IF(E3489=4,INDEX(crude_exp_dist,MATCH(B3489,'Crude Exp Dist'!$B$6:$B$78,0),MATCH(C3489,'Crude Exp Dist'!$AD$2:$BC$2,0))*INDEX(crude_exp_by_year,MATCH(B3489,'Data Export'!$B$6:$B$78,0),1),IF(E3489=5,INDEX(ref_exp_dist,MATCH(B3489,'Refined Petro Exp Dist'!$B$6:$B$78,0),MATCH(C3489,'Refined Petro Exp Dist'!$AD$2:$BC$2,0))*INDEX(ref_exp_by_year,MATCH(B3489,'Data Export'!$B$6:$B$78,0),1)))</f>
        <v>0</v>
      </c>
      <c r="E3489">
        <v>5</v>
      </c>
      <c r="F3489" t="s">
        <v>173</v>
      </c>
    </row>
    <row r="3490" spans="1:6">
      <c r="A3490" t="str">
        <f t="shared" si="54"/>
        <v>GenericE&amp;DtemplateCIandGOA</v>
      </c>
      <c r="B3490">
        <v>65</v>
      </c>
      <c r="C3490">
        <v>5</v>
      </c>
      <c r="D3490" s="649">
        <f ca="1">IF(E3490=4,INDEX(crude_exp_dist,MATCH(B3490,'Crude Exp Dist'!$B$6:$B$78,0),MATCH(C3490,'Crude Exp Dist'!$AD$2:$BC$2,0))*INDEX(crude_exp_by_year,MATCH(B3490,'Data Export'!$B$6:$B$78,0),1),IF(E3490=5,INDEX(ref_exp_dist,MATCH(B3490,'Refined Petro Exp Dist'!$B$6:$B$78,0),MATCH(C3490,'Refined Petro Exp Dist'!$AD$2:$BC$2,0))*INDEX(ref_exp_by_year,MATCH(B3490,'Data Export'!$B$6:$B$78,0),1)))</f>
        <v>0</v>
      </c>
      <c r="E3490">
        <v>5</v>
      </c>
      <c r="F3490" t="s">
        <v>180</v>
      </c>
    </row>
    <row r="3491" spans="1:6">
      <c r="A3491" t="str">
        <f t="shared" si="54"/>
        <v>GenericE&amp;DtemplateCIandGOA</v>
      </c>
      <c r="B3491">
        <v>65</v>
      </c>
      <c r="C3491">
        <v>6</v>
      </c>
      <c r="D3491" s="649">
        <f ca="1">IF(E3491=4,INDEX(crude_exp_dist,MATCH(B3491,'Crude Exp Dist'!$B$6:$B$78,0),MATCH(C3491,'Crude Exp Dist'!$AD$2:$BC$2,0))*INDEX(crude_exp_by_year,MATCH(B3491,'Data Export'!$B$6:$B$78,0),1),IF(E3491=5,INDEX(ref_exp_dist,MATCH(B3491,'Refined Petro Exp Dist'!$B$6:$B$78,0),MATCH(C3491,'Refined Petro Exp Dist'!$AD$2:$BC$2,0))*INDEX(ref_exp_by_year,MATCH(B3491,'Data Export'!$B$6:$B$78,0),1)))</f>
        <v>0</v>
      </c>
      <c r="E3491">
        <v>5</v>
      </c>
      <c r="F3491" t="s">
        <v>186</v>
      </c>
    </row>
    <row r="3492" spans="1:6">
      <c r="A3492" t="str">
        <f t="shared" si="54"/>
        <v>GenericE&amp;DtemplateCIandGOA</v>
      </c>
      <c r="B3492">
        <v>65</v>
      </c>
      <c r="C3492">
        <v>7</v>
      </c>
      <c r="D3492" s="649">
        <f ca="1">IF(E3492=4,INDEX(crude_exp_dist,MATCH(B3492,'Crude Exp Dist'!$B$6:$B$78,0),MATCH(C3492,'Crude Exp Dist'!$AD$2:$BC$2,0))*INDEX(crude_exp_by_year,MATCH(B3492,'Data Export'!$B$6:$B$78,0),1),IF(E3492=5,INDEX(ref_exp_dist,MATCH(B3492,'Refined Petro Exp Dist'!$B$6:$B$78,0),MATCH(C3492,'Refined Petro Exp Dist'!$AD$2:$BC$2,0))*INDEX(ref_exp_by_year,MATCH(B3492,'Data Export'!$B$6:$B$78,0),1)))</f>
        <v>0</v>
      </c>
      <c r="E3492">
        <v>5</v>
      </c>
      <c r="F3492" t="s">
        <v>191</v>
      </c>
    </row>
    <row r="3493" spans="1:6">
      <c r="A3493" t="str">
        <f t="shared" si="54"/>
        <v>GenericE&amp;DtemplateCIandGOA</v>
      </c>
      <c r="B3493">
        <v>65</v>
      </c>
      <c r="C3493">
        <v>8</v>
      </c>
      <c r="D3493" s="649">
        <f ca="1">IF(E3493=4,INDEX(crude_exp_dist,MATCH(B3493,'Crude Exp Dist'!$B$6:$B$78,0),MATCH(C3493,'Crude Exp Dist'!$AD$2:$BC$2,0))*INDEX(crude_exp_by_year,MATCH(B3493,'Data Export'!$B$6:$B$78,0),1),IF(E3493=5,INDEX(ref_exp_dist,MATCH(B3493,'Refined Petro Exp Dist'!$B$6:$B$78,0),MATCH(C3493,'Refined Petro Exp Dist'!$AD$2:$BC$2,0))*INDEX(ref_exp_by_year,MATCH(B3493,'Data Export'!$B$6:$B$78,0),1)))</f>
        <v>0</v>
      </c>
      <c r="E3493">
        <v>5</v>
      </c>
      <c r="F3493" t="s">
        <v>197</v>
      </c>
    </row>
    <row r="3494" spans="1:6">
      <c r="A3494" t="str">
        <f t="shared" si="54"/>
        <v>GenericE&amp;DtemplateCIandGOA</v>
      </c>
      <c r="B3494">
        <v>65</v>
      </c>
      <c r="C3494">
        <v>9</v>
      </c>
      <c r="D3494" s="649">
        <f ca="1">IF(E3494=4,INDEX(crude_exp_dist,MATCH(B3494,'Crude Exp Dist'!$B$6:$B$78,0),MATCH(C3494,'Crude Exp Dist'!$AD$2:$BC$2,0))*INDEX(crude_exp_by_year,MATCH(B3494,'Data Export'!$B$6:$B$78,0),1),IF(E3494=5,INDEX(ref_exp_dist,MATCH(B3494,'Refined Petro Exp Dist'!$B$6:$B$78,0),MATCH(C3494,'Refined Petro Exp Dist'!$AD$2:$BC$2,0))*INDEX(ref_exp_by_year,MATCH(B3494,'Data Export'!$B$6:$B$78,0),1)))</f>
        <v>0</v>
      </c>
      <c r="E3494">
        <v>5</v>
      </c>
      <c r="F3494" t="s">
        <v>199</v>
      </c>
    </row>
    <row r="3495" spans="1:6">
      <c r="A3495" t="str">
        <f t="shared" si="54"/>
        <v>GenericE&amp;DtemplateCIandGOA</v>
      </c>
      <c r="B3495">
        <v>65</v>
      </c>
      <c r="C3495">
        <v>10</v>
      </c>
      <c r="D3495" s="649">
        <f ca="1">IF(E3495=4,INDEX(crude_exp_dist,MATCH(B3495,'Crude Exp Dist'!$B$6:$B$78,0),MATCH(C3495,'Crude Exp Dist'!$AD$2:$BC$2,0))*INDEX(crude_exp_by_year,MATCH(B3495,'Data Export'!$B$6:$B$78,0),1),IF(E3495=5,INDEX(ref_exp_dist,MATCH(B3495,'Refined Petro Exp Dist'!$B$6:$B$78,0),MATCH(C3495,'Refined Petro Exp Dist'!$AD$2:$BC$2,0))*INDEX(ref_exp_by_year,MATCH(B3495,'Data Export'!$B$6:$B$78,0),1)))</f>
        <v>0</v>
      </c>
      <c r="E3495">
        <v>5</v>
      </c>
      <c r="F3495" t="s">
        <v>201</v>
      </c>
    </row>
    <row r="3496" spans="1:6">
      <c r="A3496" t="str">
        <f t="shared" si="54"/>
        <v>GenericE&amp;DtemplateCIandGOA</v>
      </c>
      <c r="B3496">
        <v>65</v>
      </c>
      <c r="C3496">
        <v>11</v>
      </c>
      <c r="D3496" s="649">
        <f ca="1">IF(E3496=4,INDEX(crude_exp_dist,MATCH(B3496,'Crude Exp Dist'!$B$6:$B$78,0),MATCH(C3496,'Crude Exp Dist'!$AD$2:$BC$2,0))*INDEX(crude_exp_by_year,MATCH(B3496,'Data Export'!$B$6:$B$78,0),1),IF(E3496=5,INDEX(ref_exp_dist,MATCH(B3496,'Refined Petro Exp Dist'!$B$6:$B$78,0),MATCH(C3496,'Refined Petro Exp Dist'!$AD$2:$BC$2,0))*INDEX(ref_exp_by_year,MATCH(B3496,'Data Export'!$B$6:$B$78,0),1)))</f>
        <v>0</v>
      </c>
      <c r="E3496">
        <v>5</v>
      </c>
      <c r="F3496" t="s">
        <v>921</v>
      </c>
    </row>
    <row r="3497" spans="1:6">
      <c r="A3497" t="str">
        <f t="shared" si="54"/>
        <v>GenericE&amp;DtemplateCIandGOA</v>
      </c>
      <c r="B3497">
        <v>65</v>
      </c>
      <c r="C3497">
        <v>12</v>
      </c>
      <c r="D3497" s="649">
        <f ca="1">IF(E3497=4,INDEX(crude_exp_dist,MATCH(B3497,'Crude Exp Dist'!$B$6:$B$78,0),MATCH(C3497,'Crude Exp Dist'!$AD$2:$BC$2,0))*INDEX(crude_exp_by_year,MATCH(B3497,'Data Export'!$B$6:$B$78,0),1),IF(E3497=5,INDEX(ref_exp_dist,MATCH(B3497,'Refined Petro Exp Dist'!$B$6:$B$78,0),MATCH(C3497,'Refined Petro Exp Dist'!$AD$2:$BC$2,0))*INDEX(ref_exp_by_year,MATCH(B3497,'Data Export'!$B$6:$B$78,0),1)))</f>
        <v>0</v>
      </c>
      <c r="E3497">
        <v>5</v>
      </c>
      <c r="F3497" t="s">
        <v>208</v>
      </c>
    </row>
    <row r="3498" spans="1:6">
      <c r="A3498" t="str">
        <f t="shared" si="54"/>
        <v>GenericE&amp;DtemplateCIandGOA</v>
      </c>
      <c r="B3498">
        <v>65</v>
      </c>
      <c r="C3498">
        <v>13</v>
      </c>
      <c r="D3498" s="649">
        <f ca="1">IF(E3498=4,INDEX(crude_exp_dist,MATCH(B3498,'Crude Exp Dist'!$B$6:$B$78,0),MATCH(C3498,'Crude Exp Dist'!$AD$2:$BC$2,0))*INDEX(crude_exp_by_year,MATCH(B3498,'Data Export'!$B$6:$B$78,0),1),IF(E3498=5,INDEX(ref_exp_dist,MATCH(B3498,'Refined Petro Exp Dist'!$B$6:$B$78,0),MATCH(C3498,'Refined Petro Exp Dist'!$AD$2:$BC$2,0))*INDEX(ref_exp_by_year,MATCH(B3498,'Data Export'!$B$6:$B$78,0),1)))</f>
        <v>0</v>
      </c>
      <c r="E3498">
        <v>5</v>
      </c>
      <c r="F3498" t="s">
        <v>211</v>
      </c>
    </row>
    <row r="3499" spans="1:6">
      <c r="A3499" t="str">
        <f t="shared" si="54"/>
        <v>GenericE&amp;DtemplateCIandGOA</v>
      </c>
      <c r="B3499">
        <v>65</v>
      </c>
      <c r="C3499">
        <v>14</v>
      </c>
      <c r="D3499" s="649">
        <f ca="1">IF(E3499=4,INDEX(crude_exp_dist,MATCH(B3499,'Crude Exp Dist'!$B$6:$B$78,0),MATCH(C3499,'Crude Exp Dist'!$AD$2:$BC$2,0))*INDEX(crude_exp_by_year,MATCH(B3499,'Data Export'!$B$6:$B$78,0),1),IF(E3499=5,INDEX(ref_exp_dist,MATCH(B3499,'Refined Petro Exp Dist'!$B$6:$B$78,0),MATCH(C3499,'Refined Petro Exp Dist'!$AD$2:$BC$2,0))*INDEX(ref_exp_by_year,MATCH(B3499,'Data Export'!$B$6:$B$78,0),1)))</f>
        <v>0</v>
      </c>
      <c r="E3499">
        <v>5</v>
      </c>
      <c r="F3499" t="s">
        <v>213</v>
      </c>
    </row>
    <row r="3500" spans="1:6">
      <c r="A3500" t="str">
        <f t="shared" si="54"/>
        <v>GenericE&amp;DtemplateCIandGOA</v>
      </c>
      <c r="B3500">
        <v>65</v>
      </c>
      <c r="C3500">
        <v>15</v>
      </c>
      <c r="D3500" s="649">
        <f ca="1">IF(E3500=4,INDEX(crude_exp_dist,MATCH(B3500,'Crude Exp Dist'!$B$6:$B$78,0),MATCH(C3500,'Crude Exp Dist'!$AD$2:$BC$2,0))*INDEX(crude_exp_by_year,MATCH(B3500,'Data Export'!$B$6:$B$78,0),1),IF(E3500=5,INDEX(ref_exp_dist,MATCH(B3500,'Refined Petro Exp Dist'!$B$6:$B$78,0),MATCH(C3500,'Refined Petro Exp Dist'!$AD$2:$BC$2,0))*INDEX(ref_exp_by_year,MATCH(B3500,'Data Export'!$B$6:$B$78,0),1)))</f>
        <v>0</v>
      </c>
      <c r="E3500">
        <v>5</v>
      </c>
      <c r="F3500" t="s">
        <v>215</v>
      </c>
    </row>
    <row r="3501" spans="1:6">
      <c r="A3501" t="str">
        <f t="shared" si="54"/>
        <v>GenericE&amp;DtemplateCIandGOA</v>
      </c>
      <c r="B3501">
        <v>65</v>
      </c>
      <c r="C3501">
        <v>16</v>
      </c>
      <c r="D3501" s="649">
        <f ca="1">IF(E3501=4,INDEX(crude_exp_dist,MATCH(B3501,'Crude Exp Dist'!$B$6:$B$78,0),MATCH(C3501,'Crude Exp Dist'!$AD$2:$BC$2,0))*INDEX(crude_exp_by_year,MATCH(B3501,'Data Export'!$B$6:$B$78,0),1),IF(E3501=5,INDEX(ref_exp_dist,MATCH(B3501,'Refined Petro Exp Dist'!$B$6:$B$78,0),MATCH(C3501,'Refined Petro Exp Dist'!$AD$2:$BC$2,0))*INDEX(ref_exp_by_year,MATCH(B3501,'Data Export'!$B$6:$B$78,0),1)))</f>
        <v>0</v>
      </c>
      <c r="E3501">
        <v>5</v>
      </c>
      <c r="F3501" t="s">
        <v>219</v>
      </c>
    </row>
    <row r="3502" spans="1:6">
      <c r="A3502" t="str">
        <f t="shared" si="54"/>
        <v>GenericE&amp;DtemplateCIandGOA</v>
      </c>
      <c r="B3502">
        <v>65</v>
      </c>
      <c r="C3502">
        <v>17</v>
      </c>
      <c r="D3502" s="649">
        <f ca="1">IF(E3502=4,INDEX(crude_exp_dist,MATCH(B3502,'Crude Exp Dist'!$B$6:$B$78,0),MATCH(C3502,'Crude Exp Dist'!$AD$2:$BC$2,0))*INDEX(crude_exp_by_year,MATCH(B3502,'Data Export'!$B$6:$B$78,0),1),IF(E3502=5,INDEX(ref_exp_dist,MATCH(B3502,'Refined Petro Exp Dist'!$B$6:$B$78,0),MATCH(C3502,'Refined Petro Exp Dist'!$AD$2:$BC$2,0))*INDEX(ref_exp_by_year,MATCH(B3502,'Data Export'!$B$6:$B$78,0),1)))</f>
        <v>0</v>
      </c>
      <c r="E3502">
        <v>5</v>
      </c>
      <c r="F3502" t="s">
        <v>222</v>
      </c>
    </row>
    <row r="3503" spans="1:6">
      <c r="A3503" t="str">
        <f t="shared" si="54"/>
        <v>GenericE&amp;DtemplateCIandGOA</v>
      </c>
      <c r="B3503">
        <v>65</v>
      </c>
      <c r="C3503">
        <v>18</v>
      </c>
      <c r="D3503" s="649">
        <f ca="1">IF(E3503=4,INDEX(crude_exp_dist,MATCH(B3503,'Crude Exp Dist'!$B$6:$B$78,0),MATCH(C3503,'Crude Exp Dist'!$AD$2:$BC$2,0))*INDEX(crude_exp_by_year,MATCH(B3503,'Data Export'!$B$6:$B$78,0),1),IF(E3503=5,INDEX(ref_exp_dist,MATCH(B3503,'Refined Petro Exp Dist'!$B$6:$B$78,0),MATCH(C3503,'Refined Petro Exp Dist'!$AD$2:$BC$2,0))*INDEX(ref_exp_by_year,MATCH(B3503,'Data Export'!$B$6:$B$78,0),1)))</f>
        <v>0</v>
      </c>
      <c r="E3503">
        <v>5</v>
      </c>
      <c r="F3503" t="s">
        <v>224</v>
      </c>
    </row>
    <row r="3504" spans="1:6">
      <c r="A3504" t="str">
        <f t="shared" si="54"/>
        <v>GenericE&amp;DtemplateCIandGOA</v>
      </c>
      <c r="B3504">
        <v>65</v>
      </c>
      <c r="C3504">
        <v>19</v>
      </c>
      <c r="D3504" s="649">
        <f ca="1">IF(E3504=4,INDEX(crude_exp_dist,MATCH(B3504,'Crude Exp Dist'!$B$6:$B$78,0),MATCH(C3504,'Crude Exp Dist'!$AD$2:$BC$2,0))*INDEX(crude_exp_by_year,MATCH(B3504,'Data Export'!$B$6:$B$78,0),1),IF(E3504=5,INDEX(ref_exp_dist,MATCH(B3504,'Refined Petro Exp Dist'!$B$6:$B$78,0),MATCH(C3504,'Refined Petro Exp Dist'!$AD$2:$BC$2,0))*INDEX(ref_exp_by_year,MATCH(B3504,'Data Export'!$B$6:$B$78,0),1)))</f>
        <v>0</v>
      </c>
      <c r="E3504">
        <v>5</v>
      </c>
      <c r="F3504" t="s">
        <v>228</v>
      </c>
    </row>
    <row r="3505" spans="1:6">
      <c r="A3505" t="str">
        <f t="shared" si="54"/>
        <v>GenericE&amp;DtemplateCIandGOA</v>
      </c>
      <c r="B3505">
        <v>65</v>
      </c>
      <c r="C3505">
        <v>20</v>
      </c>
      <c r="D3505" s="649">
        <f ca="1">IF(E3505=4,INDEX(crude_exp_dist,MATCH(B3505,'Crude Exp Dist'!$B$6:$B$78,0),MATCH(C3505,'Crude Exp Dist'!$AD$2:$BC$2,0))*INDEX(crude_exp_by_year,MATCH(B3505,'Data Export'!$B$6:$B$78,0),1),IF(E3505=5,INDEX(ref_exp_dist,MATCH(B3505,'Refined Petro Exp Dist'!$B$6:$B$78,0),MATCH(C3505,'Refined Petro Exp Dist'!$AD$2:$BC$2,0))*INDEX(ref_exp_by_year,MATCH(B3505,'Data Export'!$B$6:$B$78,0),1)))</f>
        <v>0</v>
      </c>
      <c r="E3505">
        <v>5</v>
      </c>
      <c r="F3505" t="s">
        <v>231</v>
      </c>
    </row>
    <row r="3506" spans="1:6">
      <c r="A3506" t="str">
        <f t="shared" si="54"/>
        <v>GenericE&amp;DtemplateCIandGOA</v>
      </c>
      <c r="B3506">
        <v>65</v>
      </c>
      <c r="C3506">
        <v>21</v>
      </c>
      <c r="D3506" s="649">
        <f ca="1">IF(E3506=4,INDEX(crude_exp_dist,MATCH(B3506,'Crude Exp Dist'!$B$6:$B$78,0),MATCH(C3506,'Crude Exp Dist'!$AD$2:$BC$2,0))*INDEX(crude_exp_by_year,MATCH(B3506,'Data Export'!$B$6:$B$78,0),1),IF(E3506=5,INDEX(ref_exp_dist,MATCH(B3506,'Refined Petro Exp Dist'!$B$6:$B$78,0),MATCH(C3506,'Refined Petro Exp Dist'!$AD$2:$BC$2,0))*INDEX(ref_exp_by_year,MATCH(B3506,'Data Export'!$B$6:$B$78,0),1)))</f>
        <v>0</v>
      </c>
      <c r="E3506">
        <v>5</v>
      </c>
      <c r="F3506" t="s">
        <v>232</v>
      </c>
    </row>
    <row r="3507" spans="1:6">
      <c r="A3507" t="str">
        <f t="shared" si="54"/>
        <v>GenericE&amp;DtemplateCIandGOA</v>
      </c>
      <c r="B3507">
        <v>65</v>
      </c>
      <c r="C3507">
        <v>22</v>
      </c>
      <c r="D3507" s="649">
        <f ca="1">IF(E3507=4,INDEX(crude_exp_dist,MATCH(B3507,'Crude Exp Dist'!$B$6:$B$78,0),MATCH(C3507,'Crude Exp Dist'!$AD$2:$BC$2,0))*INDEX(crude_exp_by_year,MATCH(B3507,'Data Export'!$B$6:$B$78,0),1),IF(E3507=5,INDEX(ref_exp_dist,MATCH(B3507,'Refined Petro Exp Dist'!$B$6:$B$78,0),MATCH(C3507,'Refined Petro Exp Dist'!$AD$2:$BC$2,0))*INDEX(ref_exp_by_year,MATCH(B3507,'Data Export'!$B$6:$B$78,0),1)))</f>
        <v>0</v>
      </c>
      <c r="E3507">
        <v>5</v>
      </c>
      <c r="F3507" t="s">
        <v>235</v>
      </c>
    </row>
    <row r="3508" spans="1:6">
      <c r="A3508" t="str">
        <f t="shared" si="54"/>
        <v>GenericE&amp;DtemplateCIandGOA</v>
      </c>
      <c r="B3508">
        <v>65</v>
      </c>
      <c r="C3508">
        <v>23</v>
      </c>
      <c r="D3508" s="649">
        <f ca="1">IF(E3508=4,INDEX(crude_exp_dist,MATCH(B3508,'Crude Exp Dist'!$B$6:$B$78,0),MATCH(C3508,'Crude Exp Dist'!$AD$2:$BC$2,0))*INDEX(crude_exp_by_year,MATCH(B3508,'Data Export'!$B$6:$B$78,0),1),IF(E3508=5,INDEX(ref_exp_dist,MATCH(B3508,'Refined Petro Exp Dist'!$B$6:$B$78,0),MATCH(C3508,'Refined Petro Exp Dist'!$AD$2:$BC$2,0))*INDEX(ref_exp_by_year,MATCH(B3508,'Data Export'!$B$6:$B$78,0),1)))</f>
        <v>0</v>
      </c>
      <c r="E3508">
        <v>5</v>
      </c>
      <c r="F3508" t="s">
        <v>237</v>
      </c>
    </row>
    <row r="3509" spans="1:6">
      <c r="A3509" t="str">
        <f t="shared" si="54"/>
        <v>GenericE&amp;DtemplateCIandGOA</v>
      </c>
      <c r="B3509">
        <v>65</v>
      </c>
      <c r="C3509">
        <v>24</v>
      </c>
      <c r="D3509" s="649">
        <f ca="1">IF(E3509=4,INDEX(crude_exp_dist,MATCH(B3509,'Crude Exp Dist'!$B$6:$B$78,0),MATCH(C3509,'Crude Exp Dist'!$AD$2:$BC$2,0))*INDEX(crude_exp_by_year,MATCH(B3509,'Data Export'!$B$6:$B$78,0),1),IF(E3509=5,INDEX(ref_exp_dist,MATCH(B3509,'Refined Petro Exp Dist'!$B$6:$B$78,0),MATCH(C3509,'Refined Petro Exp Dist'!$AD$2:$BC$2,0))*INDEX(ref_exp_by_year,MATCH(B3509,'Data Export'!$B$6:$B$78,0),1)))</f>
        <v>0</v>
      </c>
      <c r="E3509">
        <v>5</v>
      </c>
      <c r="F3509" t="s">
        <v>239</v>
      </c>
    </row>
    <row r="3510" spans="1:6">
      <c r="A3510" t="str">
        <f t="shared" si="54"/>
        <v>GenericE&amp;DtemplateCIandGOA</v>
      </c>
      <c r="B3510">
        <v>65</v>
      </c>
      <c r="C3510">
        <v>25</v>
      </c>
      <c r="D3510" s="649">
        <f ca="1">IF(E3510=4,INDEX(crude_exp_dist,MATCH(B3510,'Crude Exp Dist'!$B$6:$B$78,0),MATCH(C3510,'Crude Exp Dist'!$AD$2:$BC$2,0))*INDEX(crude_exp_by_year,MATCH(B3510,'Data Export'!$B$6:$B$78,0),1),IF(E3510=5,INDEX(ref_exp_dist,MATCH(B3510,'Refined Petro Exp Dist'!$B$6:$B$78,0),MATCH(C3510,'Refined Petro Exp Dist'!$AD$2:$BC$2,0))*INDEX(ref_exp_by_year,MATCH(B3510,'Data Export'!$B$6:$B$78,0),1)))</f>
        <v>0</v>
      </c>
      <c r="E3510">
        <v>5</v>
      </c>
      <c r="F3510" t="s">
        <v>242</v>
      </c>
    </row>
    <row r="3511" spans="1:6">
      <c r="A3511" t="str">
        <f t="shared" si="54"/>
        <v>GenericE&amp;DtemplateCIandGOA</v>
      </c>
      <c r="B3511">
        <v>65</v>
      </c>
      <c r="C3511">
        <v>26</v>
      </c>
      <c r="D3511" s="649">
        <f ca="1">IF(E3511=4,INDEX(crude_exp_dist,MATCH(B3511,'Crude Exp Dist'!$B$6:$B$78,0),MATCH(C3511,'Crude Exp Dist'!$AD$2:$BC$2,0))*INDEX(crude_exp_by_year,MATCH(B3511,'Data Export'!$B$6:$B$78,0),1),IF(E3511=5,INDEX(ref_exp_dist,MATCH(B3511,'Refined Petro Exp Dist'!$B$6:$B$78,0),MATCH(C3511,'Refined Petro Exp Dist'!$AD$2:$BC$2,0))*INDEX(ref_exp_by_year,MATCH(B3511,'Data Export'!$B$6:$B$78,0),1)))</f>
        <v>0</v>
      </c>
      <c r="E3511">
        <v>5</v>
      </c>
      <c r="F3511" t="s">
        <v>245</v>
      </c>
    </row>
    <row r="3512" spans="1:6">
      <c r="A3512" t="str">
        <f t="shared" si="54"/>
        <v>GenericE&amp;DtemplateCIandGOA</v>
      </c>
      <c r="B3512">
        <v>66</v>
      </c>
      <c r="C3512">
        <v>1</v>
      </c>
      <c r="D3512" s="649">
        <f ca="1">IF(E3512=4,INDEX(crude_exp_dist,MATCH(B3512,'Crude Exp Dist'!$B$6:$B$78,0),MATCH(C3512,'Crude Exp Dist'!$AD$2:$BC$2,0))*INDEX(crude_exp_by_year,MATCH(B3512,'Data Export'!$B$6:$B$78,0),1),IF(E3512=5,INDEX(ref_exp_dist,MATCH(B3512,'Refined Petro Exp Dist'!$B$6:$B$78,0),MATCH(C3512,'Refined Petro Exp Dist'!$AD$2:$BC$2,0))*INDEX(ref_exp_by_year,MATCH(B3512,'Data Export'!$B$6:$B$78,0),1)))</f>
        <v>0</v>
      </c>
      <c r="E3512">
        <v>5</v>
      </c>
      <c r="F3512" t="s">
        <v>158</v>
      </c>
    </row>
    <row r="3513" spans="1:6">
      <c r="A3513" t="str">
        <f t="shared" si="54"/>
        <v>GenericE&amp;DtemplateCIandGOA</v>
      </c>
      <c r="B3513">
        <v>66</v>
      </c>
      <c r="C3513">
        <v>2</v>
      </c>
      <c r="D3513" s="649">
        <f ca="1">IF(E3513=4,INDEX(crude_exp_dist,MATCH(B3513,'Crude Exp Dist'!$B$6:$B$78,0),MATCH(C3513,'Crude Exp Dist'!$AD$2:$BC$2,0))*INDEX(crude_exp_by_year,MATCH(B3513,'Data Export'!$B$6:$B$78,0),1),IF(E3513=5,INDEX(ref_exp_dist,MATCH(B3513,'Refined Petro Exp Dist'!$B$6:$B$78,0),MATCH(C3513,'Refined Petro Exp Dist'!$AD$2:$BC$2,0))*INDEX(ref_exp_by_year,MATCH(B3513,'Data Export'!$B$6:$B$78,0),1)))</f>
        <v>0</v>
      </c>
      <c r="E3513">
        <v>5</v>
      </c>
      <c r="F3513" t="s">
        <v>166</v>
      </c>
    </row>
    <row r="3514" spans="1:6">
      <c r="A3514" t="str">
        <f t="shared" si="54"/>
        <v>GenericE&amp;DtemplateCIandGOA</v>
      </c>
      <c r="B3514">
        <v>66</v>
      </c>
      <c r="C3514">
        <v>3</v>
      </c>
      <c r="D3514" s="649">
        <f ca="1">IF(E3514=4,INDEX(crude_exp_dist,MATCH(B3514,'Crude Exp Dist'!$B$6:$B$78,0),MATCH(C3514,'Crude Exp Dist'!$AD$2:$BC$2,0))*INDEX(crude_exp_by_year,MATCH(B3514,'Data Export'!$B$6:$B$78,0),1),IF(E3514=5,INDEX(ref_exp_dist,MATCH(B3514,'Refined Petro Exp Dist'!$B$6:$B$78,0),MATCH(C3514,'Refined Petro Exp Dist'!$AD$2:$BC$2,0))*INDEX(ref_exp_by_year,MATCH(B3514,'Data Export'!$B$6:$B$78,0),1)))</f>
        <v>0</v>
      </c>
      <c r="E3514">
        <v>5</v>
      </c>
      <c r="F3514" t="s">
        <v>171</v>
      </c>
    </row>
    <row r="3515" spans="1:6">
      <c r="A3515" t="str">
        <f t="shared" si="54"/>
        <v>GenericE&amp;DtemplateCIandGOA</v>
      </c>
      <c r="B3515">
        <v>66</v>
      </c>
      <c r="C3515">
        <v>4</v>
      </c>
      <c r="D3515" s="649">
        <f ca="1">IF(E3515=4,INDEX(crude_exp_dist,MATCH(B3515,'Crude Exp Dist'!$B$6:$B$78,0),MATCH(C3515,'Crude Exp Dist'!$AD$2:$BC$2,0))*INDEX(crude_exp_by_year,MATCH(B3515,'Data Export'!$B$6:$B$78,0),1),IF(E3515=5,INDEX(ref_exp_dist,MATCH(B3515,'Refined Petro Exp Dist'!$B$6:$B$78,0),MATCH(C3515,'Refined Petro Exp Dist'!$AD$2:$BC$2,0))*INDEX(ref_exp_by_year,MATCH(B3515,'Data Export'!$B$6:$B$78,0),1)))</f>
        <v>0</v>
      </c>
      <c r="E3515">
        <v>5</v>
      </c>
      <c r="F3515" t="s">
        <v>173</v>
      </c>
    </row>
    <row r="3516" spans="1:6">
      <c r="A3516" t="str">
        <f t="shared" si="54"/>
        <v>GenericE&amp;DtemplateCIandGOA</v>
      </c>
      <c r="B3516">
        <v>66</v>
      </c>
      <c r="C3516">
        <v>5</v>
      </c>
      <c r="D3516" s="649">
        <f ca="1">IF(E3516=4,INDEX(crude_exp_dist,MATCH(B3516,'Crude Exp Dist'!$B$6:$B$78,0),MATCH(C3516,'Crude Exp Dist'!$AD$2:$BC$2,0))*INDEX(crude_exp_by_year,MATCH(B3516,'Data Export'!$B$6:$B$78,0),1),IF(E3516=5,INDEX(ref_exp_dist,MATCH(B3516,'Refined Petro Exp Dist'!$B$6:$B$78,0),MATCH(C3516,'Refined Petro Exp Dist'!$AD$2:$BC$2,0))*INDEX(ref_exp_by_year,MATCH(B3516,'Data Export'!$B$6:$B$78,0),1)))</f>
        <v>0</v>
      </c>
      <c r="E3516">
        <v>5</v>
      </c>
      <c r="F3516" t="s">
        <v>180</v>
      </c>
    </row>
    <row r="3517" spans="1:6">
      <c r="A3517" t="str">
        <f t="shared" si="54"/>
        <v>GenericE&amp;DtemplateCIandGOA</v>
      </c>
      <c r="B3517">
        <v>66</v>
      </c>
      <c r="C3517">
        <v>6</v>
      </c>
      <c r="D3517" s="649">
        <f ca="1">IF(E3517=4,INDEX(crude_exp_dist,MATCH(B3517,'Crude Exp Dist'!$B$6:$B$78,0),MATCH(C3517,'Crude Exp Dist'!$AD$2:$BC$2,0))*INDEX(crude_exp_by_year,MATCH(B3517,'Data Export'!$B$6:$B$78,0),1),IF(E3517=5,INDEX(ref_exp_dist,MATCH(B3517,'Refined Petro Exp Dist'!$B$6:$B$78,0),MATCH(C3517,'Refined Petro Exp Dist'!$AD$2:$BC$2,0))*INDEX(ref_exp_by_year,MATCH(B3517,'Data Export'!$B$6:$B$78,0),1)))</f>
        <v>0</v>
      </c>
      <c r="E3517">
        <v>5</v>
      </c>
      <c r="F3517" t="s">
        <v>186</v>
      </c>
    </row>
    <row r="3518" spans="1:6">
      <c r="A3518" t="str">
        <f t="shared" si="54"/>
        <v>GenericE&amp;DtemplateCIandGOA</v>
      </c>
      <c r="B3518">
        <v>66</v>
      </c>
      <c r="C3518">
        <v>7</v>
      </c>
      <c r="D3518" s="649">
        <f ca="1">IF(E3518=4,INDEX(crude_exp_dist,MATCH(B3518,'Crude Exp Dist'!$B$6:$B$78,0),MATCH(C3518,'Crude Exp Dist'!$AD$2:$BC$2,0))*INDEX(crude_exp_by_year,MATCH(B3518,'Data Export'!$B$6:$B$78,0),1),IF(E3518=5,INDEX(ref_exp_dist,MATCH(B3518,'Refined Petro Exp Dist'!$B$6:$B$78,0),MATCH(C3518,'Refined Petro Exp Dist'!$AD$2:$BC$2,0))*INDEX(ref_exp_by_year,MATCH(B3518,'Data Export'!$B$6:$B$78,0),1)))</f>
        <v>0</v>
      </c>
      <c r="E3518">
        <v>5</v>
      </c>
      <c r="F3518" t="s">
        <v>191</v>
      </c>
    </row>
    <row r="3519" spans="1:6">
      <c r="A3519" t="str">
        <f t="shared" si="54"/>
        <v>GenericE&amp;DtemplateCIandGOA</v>
      </c>
      <c r="B3519">
        <v>66</v>
      </c>
      <c r="C3519">
        <v>8</v>
      </c>
      <c r="D3519" s="649">
        <f ca="1">IF(E3519=4,INDEX(crude_exp_dist,MATCH(B3519,'Crude Exp Dist'!$B$6:$B$78,0),MATCH(C3519,'Crude Exp Dist'!$AD$2:$BC$2,0))*INDEX(crude_exp_by_year,MATCH(B3519,'Data Export'!$B$6:$B$78,0),1),IF(E3519=5,INDEX(ref_exp_dist,MATCH(B3519,'Refined Petro Exp Dist'!$B$6:$B$78,0),MATCH(C3519,'Refined Petro Exp Dist'!$AD$2:$BC$2,0))*INDEX(ref_exp_by_year,MATCH(B3519,'Data Export'!$B$6:$B$78,0),1)))</f>
        <v>0</v>
      </c>
      <c r="E3519">
        <v>5</v>
      </c>
      <c r="F3519" t="s">
        <v>197</v>
      </c>
    </row>
    <row r="3520" spans="1:6">
      <c r="A3520" t="str">
        <f t="shared" si="54"/>
        <v>GenericE&amp;DtemplateCIandGOA</v>
      </c>
      <c r="B3520">
        <v>66</v>
      </c>
      <c r="C3520">
        <v>9</v>
      </c>
      <c r="D3520" s="649">
        <f ca="1">IF(E3520=4,INDEX(crude_exp_dist,MATCH(B3520,'Crude Exp Dist'!$B$6:$B$78,0),MATCH(C3520,'Crude Exp Dist'!$AD$2:$BC$2,0))*INDEX(crude_exp_by_year,MATCH(B3520,'Data Export'!$B$6:$B$78,0),1),IF(E3520=5,INDEX(ref_exp_dist,MATCH(B3520,'Refined Petro Exp Dist'!$B$6:$B$78,0),MATCH(C3520,'Refined Petro Exp Dist'!$AD$2:$BC$2,0))*INDEX(ref_exp_by_year,MATCH(B3520,'Data Export'!$B$6:$B$78,0),1)))</f>
        <v>0</v>
      </c>
      <c r="E3520">
        <v>5</v>
      </c>
      <c r="F3520" t="s">
        <v>199</v>
      </c>
    </row>
    <row r="3521" spans="1:6">
      <c r="A3521" t="str">
        <f t="shared" si="54"/>
        <v>GenericE&amp;DtemplateCIandGOA</v>
      </c>
      <c r="B3521">
        <v>66</v>
      </c>
      <c r="C3521">
        <v>10</v>
      </c>
      <c r="D3521" s="649">
        <f ca="1">IF(E3521=4,INDEX(crude_exp_dist,MATCH(B3521,'Crude Exp Dist'!$B$6:$B$78,0),MATCH(C3521,'Crude Exp Dist'!$AD$2:$BC$2,0))*INDEX(crude_exp_by_year,MATCH(B3521,'Data Export'!$B$6:$B$78,0),1),IF(E3521=5,INDEX(ref_exp_dist,MATCH(B3521,'Refined Petro Exp Dist'!$B$6:$B$78,0),MATCH(C3521,'Refined Petro Exp Dist'!$AD$2:$BC$2,0))*INDEX(ref_exp_by_year,MATCH(B3521,'Data Export'!$B$6:$B$78,0),1)))</f>
        <v>0</v>
      </c>
      <c r="E3521">
        <v>5</v>
      </c>
      <c r="F3521" t="s">
        <v>201</v>
      </c>
    </row>
    <row r="3522" spans="1:6">
      <c r="A3522" t="str">
        <f t="shared" ref="A3522:A3585" si="55">scenario_name</f>
        <v>GenericE&amp;DtemplateCIandGOA</v>
      </c>
      <c r="B3522">
        <v>66</v>
      </c>
      <c r="C3522">
        <v>11</v>
      </c>
      <c r="D3522" s="649">
        <f ca="1">IF(E3522=4,INDEX(crude_exp_dist,MATCH(B3522,'Crude Exp Dist'!$B$6:$B$78,0),MATCH(C3522,'Crude Exp Dist'!$AD$2:$BC$2,0))*INDEX(crude_exp_by_year,MATCH(B3522,'Data Export'!$B$6:$B$78,0),1),IF(E3522=5,INDEX(ref_exp_dist,MATCH(B3522,'Refined Petro Exp Dist'!$B$6:$B$78,0),MATCH(C3522,'Refined Petro Exp Dist'!$AD$2:$BC$2,0))*INDEX(ref_exp_by_year,MATCH(B3522,'Data Export'!$B$6:$B$78,0),1)))</f>
        <v>0</v>
      </c>
      <c r="E3522">
        <v>5</v>
      </c>
      <c r="F3522" t="s">
        <v>921</v>
      </c>
    </row>
    <row r="3523" spans="1:6">
      <c r="A3523" t="str">
        <f t="shared" si="55"/>
        <v>GenericE&amp;DtemplateCIandGOA</v>
      </c>
      <c r="B3523">
        <v>66</v>
      </c>
      <c r="C3523">
        <v>12</v>
      </c>
      <c r="D3523" s="649">
        <f ca="1">IF(E3523=4,INDEX(crude_exp_dist,MATCH(B3523,'Crude Exp Dist'!$B$6:$B$78,0),MATCH(C3523,'Crude Exp Dist'!$AD$2:$BC$2,0))*INDEX(crude_exp_by_year,MATCH(B3523,'Data Export'!$B$6:$B$78,0),1),IF(E3523=5,INDEX(ref_exp_dist,MATCH(B3523,'Refined Petro Exp Dist'!$B$6:$B$78,0),MATCH(C3523,'Refined Petro Exp Dist'!$AD$2:$BC$2,0))*INDEX(ref_exp_by_year,MATCH(B3523,'Data Export'!$B$6:$B$78,0),1)))</f>
        <v>0</v>
      </c>
      <c r="E3523">
        <v>5</v>
      </c>
      <c r="F3523" t="s">
        <v>208</v>
      </c>
    </row>
    <row r="3524" spans="1:6">
      <c r="A3524" t="str">
        <f t="shared" si="55"/>
        <v>GenericE&amp;DtemplateCIandGOA</v>
      </c>
      <c r="B3524">
        <v>66</v>
      </c>
      <c r="C3524">
        <v>13</v>
      </c>
      <c r="D3524" s="649">
        <f ca="1">IF(E3524=4,INDEX(crude_exp_dist,MATCH(B3524,'Crude Exp Dist'!$B$6:$B$78,0),MATCH(C3524,'Crude Exp Dist'!$AD$2:$BC$2,0))*INDEX(crude_exp_by_year,MATCH(B3524,'Data Export'!$B$6:$B$78,0),1),IF(E3524=5,INDEX(ref_exp_dist,MATCH(B3524,'Refined Petro Exp Dist'!$B$6:$B$78,0),MATCH(C3524,'Refined Petro Exp Dist'!$AD$2:$BC$2,0))*INDEX(ref_exp_by_year,MATCH(B3524,'Data Export'!$B$6:$B$78,0),1)))</f>
        <v>0</v>
      </c>
      <c r="E3524">
        <v>5</v>
      </c>
      <c r="F3524" t="s">
        <v>211</v>
      </c>
    </row>
    <row r="3525" spans="1:6">
      <c r="A3525" t="str">
        <f t="shared" si="55"/>
        <v>GenericE&amp;DtemplateCIandGOA</v>
      </c>
      <c r="B3525">
        <v>66</v>
      </c>
      <c r="C3525">
        <v>14</v>
      </c>
      <c r="D3525" s="649">
        <f ca="1">IF(E3525=4,INDEX(crude_exp_dist,MATCH(B3525,'Crude Exp Dist'!$B$6:$B$78,0),MATCH(C3525,'Crude Exp Dist'!$AD$2:$BC$2,0))*INDEX(crude_exp_by_year,MATCH(B3525,'Data Export'!$B$6:$B$78,0),1),IF(E3525=5,INDEX(ref_exp_dist,MATCH(B3525,'Refined Petro Exp Dist'!$B$6:$B$78,0),MATCH(C3525,'Refined Petro Exp Dist'!$AD$2:$BC$2,0))*INDEX(ref_exp_by_year,MATCH(B3525,'Data Export'!$B$6:$B$78,0),1)))</f>
        <v>0</v>
      </c>
      <c r="E3525">
        <v>5</v>
      </c>
      <c r="F3525" t="s">
        <v>213</v>
      </c>
    </row>
    <row r="3526" spans="1:6">
      <c r="A3526" t="str">
        <f t="shared" si="55"/>
        <v>GenericE&amp;DtemplateCIandGOA</v>
      </c>
      <c r="B3526">
        <v>66</v>
      </c>
      <c r="C3526">
        <v>15</v>
      </c>
      <c r="D3526" s="649">
        <f ca="1">IF(E3526=4,INDEX(crude_exp_dist,MATCH(B3526,'Crude Exp Dist'!$B$6:$B$78,0),MATCH(C3526,'Crude Exp Dist'!$AD$2:$BC$2,0))*INDEX(crude_exp_by_year,MATCH(B3526,'Data Export'!$B$6:$B$78,0),1),IF(E3526=5,INDEX(ref_exp_dist,MATCH(B3526,'Refined Petro Exp Dist'!$B$6:$B$78,0),MATCH(C3526,'Refined Petro Exp Dist'!$AD$2:$BC$2,0))*INDEX(ref_exp_by_year,MATCH(B3526,'Data Export'!$B$6:$B$78,0),1)))</f>
        <v>0</v>
      </c>
      <c r="E3526">
        <v>5</v>
      </c>
      <c r="F3526" t="s">
        <v>215</v>
      </c>
    </row>
    <row r="3527" spans="1:6">
      <c r="A3527" t="str">
        <f t="shared" si="55"/>
        <v>GenericE&amp;DtemplateCIandGOA</v>
      </c>
      <c r="B3527">
        <v>66</v>
      </c>
      <c r="C3527">
        <v>16</v>
      </c>
      <c r="D3527" s="649">
        <f ca="1">IF(E3527=4,INDEX(crude_exp_dist,MATCH(B3527,'Crude Exp Dist'!$B$6:$B$78,0),MATCH(C3527,'Crude Exp Dist'!$AD$2:$BC$2,0))*INDEX(crude_exp_by_year,MATCH(B3527,'Data Export'!$B$6:$B$78,0),1),IF(E3527=5,INDEX(ref_exp_dist,MATCH(B3527,'Refined Petro Exp Dist'!$B$6:$B$78,0),MATCH(C3527,'Refined Petro Exp Dist'!$AD$2:$BC$2,0))*INDEX(ref_exp_by_year,MATCH(B3527,'Data Export'!$B$6:$B$78,0),1)))</f>
        <v>0</v>
      </c>
      <c r="E3527">
        <v>5</v>
      </c>
      <c r="F3527" t="s">
        <v>219</v>
      </c>
    </row>
    <row r="3528" spans="1:6">
      <c r="A3528" t="str">
        <f t="shared" si="55"/>
        <v>GenericE&amp;DtemplateCIandGOA</v>
      </c>
      <c r="B3528">
        <v>66</v>
      </c>
      <c r="C3528">
        <v>17</v>
      </c>
      <c r="D3528" s="649">
        <f ca="1">IF(E3528=4,INDEX(crude_exp_dist,MATCH(B3528,'Crude Exp Dist'!$B$6:$B$78,0),MATCH(C3528,'Crude Exp Dist'!$AD$2:$BC$2,0))*INDEX(crude_exp_by_year,MATCH(B3528,'Data Export'!$B$6:$B$78,0),1),IF(E3528=5,INDEX(ref_exp_dist,MATCH(B3528,'Refined Petro Exp Dist'!$B$6:$B$78,0),MATCH(C3528,'Refined Petro Exp Dist'!$AD$2:$BC$2,0))*INDEX(ref_exp_by_year,MATCH(B3528,'Data Export'!$B$6:$B$78,0),1)))</f>
        <v>0</v>
      </c>
      <c r="E3528">
        <v>5</v>
      </c>
      <c r="F3528" t="s">
        <v>222</v>
      </c>
    </row>
    <row r="3529" spans="1:6">
      <c r="A3529" t="str">
        <f t="shared" si="55"/>
        <v>GenericE&amp;DtemplateCIandGOA</v>
      </c>
      <c r="B3529">
        <v>66</v>
      </c>
      <c r="C3529">
        <v>18</v>
      </c>
      <c r="D3529" s="649">
        <f ca="1">IF(E3529=4,INDEX(crude_exp_dist,MATCH(B3529,'Crude Exp Dist'!$B$6:$B$78,0),MATCH(C3529,'Crude Exp Dist'!$AD$2:$BC$2,0))*INDEX(crude_exp_by_year,MATCH(B3529,'Data Export'!$B$6:$B$78,0),1),IF(E3529=5,INDEX(ref_exp_dist,MATCH(B3529,'Refined Petro Exp Dist'!$B$6:$B$78,0),MATCH(C3529,'Refined Petro Exp Dist'!$AD$2:$BC$2,0))*INDEX(ref_exp_by_year,MATCH(B3529,'Data Export'!$B$6:$B$78,0),1)))</f>
        <v>0</v>
      </c>
      <c r="E3529">
        <v>5</v>
      </c>
      <c r="F3529" t="s">
        <v>224</v>
      </c>
    </row>
    <row r="3530" spans="1:6">
      <c r="A3530" t="str">
        <f t="shared" si="55"/>
        <v>GenericE&amp;DtemplateCIandGOA</v>
      </c>
      <c r="B3530">
        <v>66</v>
      </c>
      <c r="C3530">
        <v>19</v>
      </c>
      <c r="D3530" s="649">
        <f ca="1">IF(E3530=4,INDEX(crude_exp_dist,MATCH(B3530,'Crude Exp Dist'!$B$6:$B$78,0),MATCH(C3530,'Crude Exp Dist'!$AD$2:$BC$2,0))*INDEX(crude_exp_by_year,MATCH(B3530,'Data Export'!$B$6:$B$78,0),1),IF(E3530=5,INDEX(ref_exp_dist,MATCH(B3530,'Refined Petro Exp Dist'!$B$6:$B$78,0),MATCH(C3530,'Refined Petro Exp Dist'!$AD$2:$BC$2,0))*INDEX(ref_exp_by_year,MATCH(B3530,'Data Export'!$B$6:$B$78,0),1)))</f>
        <v>0</v>
      </c>
      <c r="E3530">
        <v>5</v>
      </c>
      <c r="F3530" t="s">
        <v>228</v>
      </c>
    </row>
    <row r="3531" spans="1:6">
      <c r="A3531" t="str">
        <f t="shared" si="55"/>
        <v>GenericE&amp;DtemplateCIandGOA</v>
      </c>
      <c r="B3531">
        <v>66</v>
      </c>
      <c r="C3531">
        <v>20</v>
      </c>
      <c r="D3531" s="649">
        <f ca="1">IF(E3531=4,INDEX(crude_exp_dist,MATCH(B3531,'Crude Exp Dist'!$B$6:$B$78,0),MATCH(C3531,'Crude Exp Dist'!$AD$2:$BC$2,0))*INDEX(crude_exp_by_year,MATCH(B3531,'Data Export'!$B$6:$B$78,0),1),IF(E3531=5,INDEX(ref_exp_dist,MATCH(B3531,'Refined Petro Exp Dist'!$B$6:$B$78,0),MATCH(C3531,'Refined Petro Exp Dist'!$AD$2:$BC$2,0))*INDEX(ref_exp_by_year,MATCH(B3531,'Data Export'!$B$6:$B$78,0),1)))</f>
        <v>0</v>
      </c>
      <c r="E3531">
        <v>5</v>
      </c>
      <c r="F3531" t="s">
        <v>231</v>
      </c>
    </row>
    <row r="3532" spans="1:6">
      <c r="A3532" t="str">
        <f t="shared" si="55"/>
        <v>GenericE&amp;DtemplateCIandGOA</v>
      </c>
      <c r="B3532">
        <v>66</v>
      </c>
      <c r="C3532">
        <v>21</v>
      </c>
      <c r="D3532" s="649">
        <f ca="1">IF(E3532=4,INDEX(crude_exp_dist,MATCH(B3532,'Crude Exp Dist'!$B$6:$B$78,0),MATCH(C3532,'Crude Exp Dist'!$AD$2:$BC$2,0))*INDEX(crude_exp_by_year,MATCH(B3532,'Data Export'!$B$6:$B$78,0),1),IF(E3532=5,INDEX(ref_exp_dist,MATCH(B3532,'Refined Petro Exp Dist'!$B$6:$B$78,0),MATCH(C3532,'Refined Petro Exp Dist'!$AD$2:$BC$2,0))*INDEX(ref_exp_by_year,MATCH(B3532,'Data Export'!$B$6:$B$78,0),1)))</f>
        <v>0</v>
      </c>
      <c r="E3532">
        <v>5</v>
      </c>
      <c r="F3532" t="s">
        <v>232</v>
      </c>
    </row>
    <row r="3533" spans="1:6">
      <c r="A3533" t="str">
        <f t="shared" si="55"/>
        <v>GenericE&amp;DtemplateCIandGOA</v>
      </c>
      <c r="B3533">
        <v>66</v>
      </c>
      <c r="C3533">
        <v>22</v>
      </c>
      <c r="D3533" s="649">
        <f ca="1">IF(E3533=4,INDEX(crude_exp_dist,MATCH(B3533,'Crude Exp Dist'!$B$6:$B$78,0),MATCH(C3533,'Crude Exp Dist'!$AD$2:$BC$2,0))*INDEX(crude_exp_by_year,MATCH(B3533,'Data Export'!$B$6:$B$78,0),1),IF(E3533=5,INDEX(ref_exp_dist,MATCH(B3533,'Refined Petro Exp Dist'!$B$6:$B$78,0),MATCH(C3533,'Refined Petro Exp Dist'!$AD$2:$BC$2,0))*INDEX(ref_exp_by_year,MATCH(B3533,'Data Export'!$B$6:$B$78,0),1)))</f>
        <v>0</v>
      </c>
      <c r="E3533">
        <v>5</v>
      </c>
      <c r="F3533" t="s">
        <v>235</v>
      </c>
    </row>
    <row r="3534" spans="1:6">
      <c r="A3534" t="str">
        <f t="shared" si="55"/>
        <v>GenericE&amp;DtemplateCIandGOA</v>
      </c>
      <c r="B3534">
        <v>66</v>
      </c>
      <c r="C3534">
        <v>23</v>
      </c>
      <c r="D3534" s="649">
        <f ca="1">IF(E3534=4,INDEX(crude_exp_dist,MATCH(B3534,'Crude Exp Dist'!$B$6:$B$78,0),MATCH(C3534,'Crude Exp Dist'!$AD$2:$BC$2,0))*INDEX(crude_exp_by_year,MATCH(B3534,'Data Export'!$B$6:$B$78,0),1),IF(E3534=5,INDEX(ref_exp_dist,MATCH(B3534,'Refined Petro Exp Dist'!$B$6:$B$78,0),MATCH(C3534,'Refined Petro Exp Dist'!$AD$2:$BC$2,0))*INDEX(ref_exp_by_year,MATCH(B3534,'Data Export'!$B$6:$B$78,0),1)))</f>
        <v>0</v>
      </c>
      <c r="E3534">
        <v>5</v>
      </c>
      <c r="F3534" t="s">
        <v>237</v>
      </c>
    </row>
    <row r="3535" spans="1:6">
      <c r="A3535" t="str">
        <f t="shared" si="55"/>
        <v>GenericE&amp;DtemplateCIandGOA</v>
      </c>
      <c r="B3535">
        <v>66</v>
      </c>
      <c r="C3535">
        <v>24</v>
      </c>
      <c r="D3535" s="649">
        <f ca="1">IF(E3535=4,INDEX(crude_exp_dist,MATCH(B3535,'Crude Exp Dist'!$B$6:$B$78,0),MATCH(C3535,'Crude Exp Dist'!$AD$2:$BC$2,0))*INDEX(crude_exp_by_year,MATCH(B3535,'Data Export'!$B$6:$B$78,0),1),IF(E3535=5,INDEX(ref_exp_dist,MATCH(B3535,'Refined Petro Exp Dist'!$B$6:$B$78,0),MATCH(C3535,'Refined Petro Exp Dist'!$AD$2:$BC$2,0))*INDEX(ref_exp_by_year,MATCH(B3535,'Data Export'!$B$6:$B$78,0),1)))</f>
        <v>0</v>
      </c>
      <c r="E3535">
        <v>5</v>
      </c>
      <c r="F3535" t="s">
        <v>239</v>
      </c>
    </row>
    <row r="3536" spans="1:6">
      <c r="A3536" t="str">
        <f t="shared" si="55"/>
        <v>GenericE&amp;DtemplateCIandGOA</v>
      </c>
      <c r="B3536">
        <v>66</v>
      </c>
      <c r="C3536">
        <v>25</v>
      </c>
      <c r="D3536" s="649">
        <f ca="1">IF(E3536=4,INDEX(crude_exp_dist,MATCH(B3536,'Crude Exp Dist'!$B$6:$B$78,0),MATCH(C3536,'Crude Exp Dist'!$AD$2:$BC$2,0))*INDEX(crude_exp_by_year,MATCH(B3536,'Data Export'!$B$6:$B$78,0),1),IF(E3536=5,INDEX(ref_exp_dist,MATCH(B3536,'Refined Petro Exp Dist'!$B$6:$B$78,0),MATCH(C3536,'Refined Petro Exp Dist'!$AD$2:$BC$2,0))*INDEX(ref_exp_by_year,MATCH(B3536,'Data Export'!$B$6:$B$78,0),1)))</f>
        <v>0</v>
      </c>
      <c r="E3536">
        <v>5</v>
      </c>
      <c r="F3536" t="s">
        <v>242</v>
      </c>
    </row>
    <row r="3537" spans="1:6">
      <c r="A3537" t="str">
        <f t="shared" si="55"/>
        <v>GenericE&amp;DtemplateCIandGOA</v>
      </c>
      <c r="B3537">
        <v>66</v>
      </c>
      <c r="C3537">
        <v>26</v>
      </c>
      <c r="D3537" s="649">
        <f ca="1">IF(E3537=4,INDEX(crude_exp_dist,MATCH(B3537,'Crude Exp Dist'!$B$6:$B$78,0),MATCH(C3537,'Crude Exp Dist'!$AD$2:$BC$2,0))*INDEX(crude_exp_by_year,MATCH(B3537,'Data Export'!$B$6:$B$78,0),1),IF(E3537=5,INDEX(ref_exp_dist,MATCH(B3537,'Refined Petro Exp Dist'!$B$6:$B$78,0),MATCH(C3537,'Refined Petro Exp Dist'!$AD$2:$BC$2,0))*INDEX(ref_exp_by_year,MATCH(B3537,'Data Export'!$B$6:$B$78,0),1)))</f>
        <v>0</v>
      </c>
      <c r="E3537">
        <v>5</v>
      </c>
      <c r="F3537" t="s">
        <v>245</v>
      </c>
    </row>
    <row r="3538" spans="1:6">
      <c r="A3538" t="str">
        <f t="shared" si="55"/>
        <v>GenericE&amp;DtemplateCIandGOA</v>
      </c>
      <c r="B3538">
        <v>67</v>
      </c>
      <c r="C3538">
        <v>1</v>
      </c>
      <c r="D3538" s="649">
        <f ca="1">IF(E3538=4,INDEX(crude_exp_dist,MATCH(B3538,'Crude Exp Dist'!$B$6:$B$78,0),MATCH(C3538,'Crude Exp Dist'!$AD$2:$BC$2,0))*INDEX(crude_exp_by_year,MATCH(B3538,'Data Export'!$B$6:$B$78,0),1),IF(E3538=5,INDEX(ref_exp_dist,MATCH(B3538,'Refined Petro Exp Dist'!$B$6:$B$78,0),MATCH(C3538,'Refined Petro Exp Dist'!$AD$2:$BC$2,0))*INDEX(ref_exp_by_year,MATCH(B3538,'Data Export'!$B$6:$B$78,0),1)))</f>
        <v>0</v>
      </c>
      <c r="E3538">
        <v>5</v>
      </c>
      <c r="F3538" t="s">
        <v>158</v>
      </c>
    </row>
    <row r="3539" spans="1:6">
      <c r="A3539" t="str">
        <f t="shared" si="55"/>
        <v>GenericE&amp;DtemplateCIandGOA</v>
      </c>
      <c r="B3539">
        <v>67</v>
      </c>
      <c r="C3539">
        <v>2</v>
      </c>
      <c r="D3539" s="649">
        <f ca="1">IF(E3539=4,INDEX(crude_exp_dist,MATCH(B3539,'Crude Exp Dist'!$B$6:$B$78,0),MATCH(C3539,'Crude Exp Dist'!$AD$2:$BC$2,0))*INDEX(crude_exp_by_year,MATCH(B3539,'Data Export'!$B$6:$B$78,0),1),IF(E3539=5,INDEX(ref_exp_dist,MATCH(B3539,'Refined Petro Exp Dist'!$B$6:$B$78,0),MATCH(C3539,'Refined Petro Exp Dist'!$AD$2:$BC$2,0))*INDEX(ref_exp_by_year,MATCH(B3539,'Data Export'!$B$6:$B$78,0),1)))</f>
        <v>0</v>
      </c>
      <c r="E3539">
        <v>5</v>
      </c>
      <c r="F3539" t="s">
        <v>166</v>
      </c>
    </row>
    <row r="3540" spans="1:6">
      <c r="A3540" t="str">
        <f t="shared" si="55"/>
        <v>GenericE&amp;DtemplateCIandGOA</v>
      </c>
      <c r="B3540">
        <v>67</v>
      </c>
      <c r="C3540">
        <v>3</v>
      </c>
      <c r="D3540" s="649">
        <f ca="1">IF(E3540=4,INDEX(crude_exp_dist,MATCH(B3540,'Crude Exp Dist'!$B$6:$B$78,0),MATCH(C3540,'Crude Exp Dist'!$AD$2:$BC$2,0))*INDEX(crude_exp_by_year,MATCH(B3540,'Data Export'!$B$6:$B$78,0),1),IF(E3540=5,INDEX(ref_exp_dist,MATCH(B3540,'Refined Petro Exp Dist'!$B$6:$B$78,0),MATCH(C3540,'Refined Petro Exp Dist'!$AD$2:$BC$2,0))*INDEX(ref_exp_by_year,MATCH(B3540,'Data Export'!$B$6:$B$78,0),1)))</f>
        <v>0</v>
      </c>
      <c r="E3540">
        <v>5</v>
      </c>
      <c r="F3540" t="s">
        <v>171</v>
      </c>
    </row>
    <row r="3541" spans="1:6">
      <c r="A3541" t="str">
        <f t="shared" si="55"/>
        <v>GenericE&amp;DtemplateCIandGOA</v>
      </c>
      <c r="B3541">
        <v>67</v>
      </c>
      <c r="C3541">
        <v>4</v>
      </c>
      <c r="D3541" s="649">
        <f ca="1">IF(E3541=4,INDEX(crude_exp_dist,MATCH(B3541,'Crude Exp Dist'!$B$6:$B$78,0),MATCH(C3541,'Crude Exp Dist'!$AD$2:$BC$2,0))*INDEX(crude_exp_by_year,MATCH(B3541,'Data Export'!$B$6:$B$78,0),1),IF(E3541=5,INDEX(ref_exp_dist,MATCH(B3541,'Refined Petro Exp Dist'!$B$6:$B$78,0),MATCH(C3541,'Refined Petro Exp Dist'!$AD$2:$BC$2,0))*INDEX(ref_exp_by_year,MATCH(B3541,'Data Export'!$B$6:$B$78,0),1)))</f>
        <v>0</v>
      </c>
      <c r="E3541">
        <v>5</v>
      </c>
      <c r="F3541" t="s">
        <v>173</v>
      </c>
    </row>
    <row r="3542" spans="1:6">
      <c r="A3542" t="str">
        <f t="shared" si="55"/>
        <v>GenericE&amp;DtemplateCIandGOA</v>
      </c>
      <c r="B3542">
        <v>67</v>
      </c>
      <c r="C3542">
        <v>5</v>
      </c>
      <c r="D3542" s="649">
        <f ca="1">IF(E3542=4,INDEX(crude_exp_dist,MATCH(B3542,'Crude Exp Dist'!$B$6:$B$78,0),MATCH(C3542,'Crude Exp Dist'!$AD$2:$BC$2,0))*INDEX(crude_exp_by_year,MATCH(B3542,'Data Export'!$B$6:$B$78,0),1),IF(E3542=5,INDEX(ref_exp_dist,MATCH(B3542,'Refined Petro Exp Dist'!$B$6:$B$78,0),MATCH(C3542,'Refined Petro Exp Dist'!$AD$2:$BC$2,0))*INDEX(ref_exp_by_year,MATCH(B3542,'Data Export'!$B$6:$B$78,0),1)))</f>
        <v>0</v>
      </c>
      <c r="E3542">
        <v>5</v>
      </c>
      <c r="F3542" t="s">
        <v>180</v>
      </c>
    </row>
    <row r="3543" spans="1:6">
      <c r="A3543" t="str">
        <f t="shared" si="55"/>
        <v>GenericE&amp;DtemplateCIandGOA</v>
      </c>
      <c r="B3543">
        <v>67</v>
      </c>
      <c r="C3543">
        <v>6</v>
      </c>
      <c r="D3543" s="649">
        <f ca="1">IF(E3543=4,INDEX(crude_exp_dist,MATCH(B3543,'Crude Exp Dist'!$B$6:$B$78,0),MATCH(C3543,'Crude Exp Dist'!$AD$2:$BC$2,0))*INDEX(crude_exp_by_year,MATCH(B3543,'Data Export'!$B$6:$B$78,0),1),IF(E3543=5,INDEX(ref_exp_dist,MATCH(B3543,'Refined Petro Exp Dist'!$B$6:$B$78,0),MATCH(C3543,'Refined Petro Exp Dist'!$AD$2:$BC$2,0))*INDEX(ref_exp_by_year,MATCH(B3543,'Data Export'!$B$6:$B$78,0),1)))</f>
        <v>0</v>
      </c>
      <c r="E3543">
        <v>5</v>
      </c>
      <c r="F3543" t="s">
        <v>186</v>
      </c>
    </row>
    <row r="3544" spans="1:6">
      <c r="A3544" t="str">
        <f t="shared" si="55"/>
        <v>GenericE&amp;DtemplateCIandGOA</v>
      </c>
      <c r="B3544">
        <v>67</v>
      </c>
      <c r="C3544">
        <v>7</v>
      </c>
      <c r="D3544" s="649">
        <f ca="1">IF(E3544=4,INDEX(crude_exp_dist,MATCH(B3544,'Crude Exp Dist'!$B$6:$B$78,0),MATCH(C3544,'Crude Exp Dist'!$AD$2:$BC$2,0))*INDEX(crude_exp_by_year,MATCH(B3544,'Data Export'!$B$6:$B$78,0),1),IF(E3544=5,INDEX(ref_exp_dist,MATCH(B3544,'Refined Petro Exp Dist'!$B$6:$B$78,0),MATCH(C3544,'Refined Petro Exp Dist'!$AD$2:$BC$2,0))*INDEX(ref_exp_by_year,MATCH(B3544,'Data Export'!$B$6:$B$78,0),1)))</f>
        <v>0</v>
      </c>
      <c r="E3544">
        <v>5</v>
      </c>
      <c r="F3544" t="s">
        <v>191</v>
      </c>
    </row>
    <row r="3545" spans="1:6">
      <c r="A3545" t="str">
        <f t="shared" si="55"/>
        <v>GenericE&amp;DtemplateCIandGOA</v>
      </c>
      <c r="B3545">
        <v>67</v>
      </c>
      <c r="C3545">
        <v>8</v>
      </c>
      <c r="D3545" s="649">
        <f ca="1">IF(E3545=4,INDEX(crude_exp_dist,MATCH(B3545,'Crude Exp Dist'!$B$6:$B$78,0),MATCH(C3545,'Crude Exp Dist'!$AD$2:$BC$2,0))*INDEX(crude_exp_by_year,MATCH(B3545,'Data Export'!$B$6:$B$78,0),1),IF(E3545=5,INDEX(ref_exp_dist,MATCH(B3545,'Refined Petro Exp Dist'!$B$6:$B$78,0),MATCH(C3545,'Refined Petro Exp Dist'!$AD$2:$BC$2,0))*INDEX(ref_exp_by_year,MATCH(B3545,'Data Export'!$B$6:$B$78,0),1)))</f>
        <v>0</v>
      </c>
      <c r="E3545">
        <v>5</v>
      </c>
      <c r="F3545" t="s">
        <v>197</v>
      </c>
    </row>
    <row r="3546" spans="1:6">
      <c r="A3546" t="str">
        <f t="shared" si="55"/>
        <v>GenericE&amp;DtemplateCIandGOA</v>
      </c>
      <c r="B3546">
        <v>67</v>
      </c>
      <c r="C3546">
        <v>9</v>
      </c>
      <c r="D3546" s="649">
        <f ca="1">IF(E3546=4,INDEX(crude_exp_dist,MATCH(B3546,'Crude Exp Dist'!$B$6:$B$78,0),MATCH(C3546,'Crude Exp Dist'!$AD$2:$BC$2,0))*INDEX(crude_exp_by_year,MATCH(B3546,'Data Export'!$B$6:$B$78,0),1),IF(E3546=5,INDEX(ref_exp_dist,MATCH(B3546,'Refined Petro Exp Dist'!$B$6:$B$78,0),MATCH(C3546,'Refined Petro Exp Dist'!$AD$2:$BC$2,0))*INDEX(ref_exp_by_year,MATCH(B3546,'Data Export'!$B$6:$B$78,0),1)))</f>
        <v>0</v>
      </c>
      <c r="E3546">
        <v>5</v>
      </c>
      <c r="F3546" t="s">
        <v>199</v>
      </c>
    </row>
    <row r="3547" spans="1:6">
      <c r="A3547" t="str">
        <f t="shared" si="55"/>
        <v>GenericE&amp;DtemplateCIandGOA</v>
      </c>
      <c r="B3547">
        <v>67</v>
      </c>
      <c r="C3547">
        <v>10</v>
      </c>
      <c r="D3547" s="649">
        <f ca="1">IF(E3547=4,INDEX(crude_exp_dist,MATCH(B3547,'Crude Exp Dist'!$B$6:$B$78,0),MATCH(C3547,'Crude Exp Dist'!$AD$2:$BC$2,0))*INDEX(crude_exp_by_year,MATCH(B3547,'Data Export'!$B$6:$B$78,0),1),IF(E3547=5,INDEX(ref_exp_dist,MATCH(B3547,'Refined Petro Exp Dist'!$B$6:$B$78,0),MATCH(C3547,'Refined Petro Exp Dist'!$AD$2:$BC$2,0))*INDEX(ref_exp_by_year,MATCH(B3547,'Data Export'!$B$6:$B$78,0),1)))</f>
        <v>0</v>
      </c>
      <c r="E3547">
        <v>5</v>
      </c>
      <c r="F3547" t="s">
        <v>201</v>
      </c>
    </row>
    <row r="3548" spans="1:6">
      <c r="A3548" t="str">
        <f t="shared" si="55"/>
        <v>GenericE&amp;DtemplateCIandGOA</v>
      </c>
      <c r="B3548">
        <v>67</v>
      </c>
      <c r="C3548">
        <v>11</v>
      </c>
      <c r="D3548" s="649">
        <f ca="1">IF(E3548=4,INDEX(crude_exp_dist,MATCH(B3548,'Crude Exp Dist'!$B$6:$B$78,0),MATCH(C3548,'Crude Exp Dist'!$AD$2:$BC$2,0))*INDEX(crude_exp_by_year,MATCH(B3548,'Data Export'!$B$6:$B$78,0),1),IF(E3548=5,INDEX(ref_exp_dist,MATCH(B3548,'Refined Petro Exp Dist'!$B$6:$B$78,0),MATCH(C3548,'Refined Petro Exp Dist'!$AD$2:$BC$2,0))*INDEX(ref_exp_by_year,MATCH(B3548,'Data Export'!$B$6:$B$78,0),1)))</f>
        <v>0</v>
      </c>
      <c r="E3548">
        <v>5</v>
      </c>
      <c r="F3548" t="s">
        <v>921</v>
      </c>
    </row>
    <row r="3549" spans="1:6">
      <c r="A3549" t="str">
        <f t="shared" si="55"/>
        <v>GenericE&amp;DtemplateCIandGOA</v>
      </c>
      <c r="B3549">
        <v>67</v>
      </c>
      <c r="C3549">
        <v>12</v>
      </c>
      <c r="D3549" s="649">
        <f ca="1">IF(E3549=4,INDEX(crude_exp_dist,MATCH(B3549,'Crude Exp Dist'!$B$6:$B$78,0),MATCH(C3549,'Crude Exp Dist'!$AD$2:$BC$2,0))*INDEX(crude_exp_by_year,MATCH(B3549,'Data Export'!$B$6:$B$78,0),1),IF(E3549=5,INDEX(ref_exp_dist,MATCH(B3549,'Refined Petro Exp Dist'!$B$6:$B$78,0),MATCH(C3549,'Refined Petro Exp Dist'!$AD$2:$BC$2,0))*INDEX(ref_exp_by_year,MATCH(B3549,'Data Export'!$B$6:$B$78,0),1)))</f>
        <v>0</v>
      </c>
      <c r="E3549">
        <v>5</v>
      </c>
      <c r="F3549" t="s">
        <v>208</v>
      </c>
    </row>
    <row r="3550" spans="1:6">
      <c r="A3550" t="str">
        <f t="shared" si="55"/>
        <v>GenericE&amp;DtemplateCIandGOA</v>
      </c>
      <c r="B3550">
        <v>67</v>
      </c>
      <c r="C3550">
        <v>13</v>
      </c>
      <c r="D3550" s="649">
        <f ca="1">IF(E3550=4,INDEX(crude_exp_dist,MATCH(B3550,'Crude Exp Dist'!$B$6:$B$78,0),MATCH(C3550,'Crude Exp Dist'!$AD$2:$BC$2,0))*INDEX(crude_exp_by_year,MATCH(B3550,'Data Export'!$B$6:$B$78,0),1),IF(E3550=5,INDEX(ref_exp_dist,MATCH(B3550,'Refined Petro Exp Dist'!$B$6:$B$78,0),MATCH(C3550,'Refined Petro Exp Dist'!$AD$2:$BC$2,0))*INDEX(ref_exp_by_year,MATCH(B3550,'Data Export'!$B$6:$B$78,0),1)))</f>
        <v>0</v>
      </c>
      <c r="E3550">
        <v>5</v>
      </c>
      <c r="F3550" t="s">
        <v>211</v>
      </c>
    </row>
    <row r="3551" spans="1:6">
      <c r="A3551" t="str">
        <f t="shared" si="55"/>
        <v>GenericE&amp;DtemplateCIandGOA</v>
      </c>
      <c r="B3551">
        <v>67</v>
      </c>
      <c r="C3551">
        <v>14</v>
      </c>
      <c r="D3551" s="649">
        <f ca="1">IF(E3551=4,INDEX(crude_exp_dist,MATCH(B3551,'Crude Exp Dist'!$B$6:$B$78,0),MATCH(C3551,'Crude Exp Dist'!$AD$2:$BC$2,0))*INDEX(crude_exp_by_year,MATCH(B3551,'Data Export'!$B$6:$B$78,0),1),IF(E3551=5,INDEX(ref_exp_dist,MATCH(B3551,'Refined Petro Exp Dist'!$B$6:$B$78,0),MATCH(C3551,'Refined Petro Exp Dist'!$AD$2:$BC$2,0))*INDEX(ref_exp_by_year,MATCH(B3551,'Data Export'!$B$6:$B$78,0),1)))</f>
        <v>0</v>
      </c>
      <c r="E3551">
        <v>5</v>
      </c>
      <c r="F3551" t="s">
        <v>213</v>
      </c>
    </row>
    <row r="3552" spans="1:6">
      <c r="A3552" t="str">
        <f t="shared" si="55"/>
        <v>GenericE&amp;DtemplateCIandGOA</v>
      </c>
      <c r="B3552">
        <v>67</v>
      </c>
      <c r="C3552">
        <v>15</v>
      </c>
      <c r="D3552" s="649">
        <f ca="1">IF(E3552=4,INDEX(crude_exp_dist,MATCH(B3552,'Crude Exp Dist'!$B$6:$B$78,0),MATCH(C3552,'Crude Exp Dist'!$AD$2:$BC$2,0))*INDEX(crude_exp_by_year,MATCH(B3552,'Data Export'!$B$6:$B$78,0),1),IF(E3552=5,INDEX(ref_exp_dist,MATCH(B3552,'Refined Petro Exp Dist'!$B$6:$B$78,0),MATCH(C3552,'Refined Petro Exp Dist'!$AD$2:$BC$2,0))*INDEX(ref_exp_by_year,MATCH(B3552,'Data Export'!$B$6:$B$78,0),1)))</f>
        <v>0</v>
      </c>
      <c r="E3552">
        <v>5</v>
      </c>
      <c r="F3552" t="s">
        <v>215</v>
      </c>
    </row>
    <row r="3553" spans="1:6">
      <c r="A3553" t="str">
        <f t="shared" si="55"/>
        <v>GenericE&amp;DtemplateCIandGOA</v>
      </c>
      <c r="B3553">
        <v>67</v>
      </c>
      <c r="C3553">
        <v>16</v>
      </c>
      <c r="D3553" s="649">
        <f ca="1">IF(E3553=4,INDEX(crude_exp_dist,MATCH(B3553,'Crude Exp Dist'!$B$6:$B$78,0),MATCH(C3553,'Crude Exp Dist'!$AD$2:$BC$2,0))*INDEX(crude_exp_by_year,MATCH(B3553,'Data Export'!$B$6:$B$78,0),1),IF(E3553=5,INDEX(ref_exp_dist,MATCH(B3553,'Refined Petro Exp Dist'!$B$6:$B$78,0),MATCH(C3553,'Refined Petro Exp Dist'!$AD$2:$BC$2,0))*INDEX(ref_exp_by_year,MATCH(B3553,'Data Export'!$B$6:$B$78,0),1)))</f>
        <v>0</v>
      </c>
      <c r="E3553">
        <v>5</v>
      </c>
      <c r="F3553" t="s">
        <v>219</v>
      </c>
    </row>
    <row r="3554" spans="1:6">
      <c r="A3554" t="str">
        <f t="shared" si="55"/>
        <v>GenericE&amp;DtemplateCIandGOA</v>
      </c>
      <c r="B3554">
        <v>67</v>
      </c>
      <c r="C3554">
        <v>17</v>
      </c>
      <c r="D3554" s="649">
        <f ca="1">IF(E3554=4,INDEX(crude_exp_dist,MATCH(B3554,'Crude Exp Dist'!$B$6:$B$78,0),MATCH(C3554,'Crude Exp Dist'!$AD$2:$BC$2,0))*INDEX(crude_exp_by_year,MATCH(B3554,'Data Export'!$B$6:$B$78,0),1),IF(E3554=5,INDEX(ref_exp_dist,MATCH(B3554,'Refined Petro Exp Dist'!$B$6:$B$78,0),MATCH(C3554,'Refined Petro Exp Dist'!$AD$2:$BC$2,0))*INDEX(ref_exp_by_year,MATCH(B3554,'Data Export'!$B$6:$B$78,0),1)))</f>
        <v>0</v>
      </c>
      <c r="E3554">
        <v>5</v>
      </c>
      <c r="F3554" t="s">
        <v>222</v>
      </c>
    </row>
    <row r="3555" spans="1:6">
      <c r="A3555" t="str">
        <f t="shared" si="55"/>
        <v>GenericE&amp;DtemplateCIandGOA</v>
      </c>
      <c r="B3555">
        <v>67</v>
      </c>
      <c r="C3555">
        <v>18</v>
      </c>
      <c r="D3555" s="649">
        <f ca="1">IF(E3555=4,INDEX(crude_exp_dist,MATCH(B3555,'Crude Exp Dist'!$B$6:$B$78,0),MATCH(C3555,'Crude Exp Dist'!$AD$2:$BC$2,0))*INDEX(crude_exp_by_year,MATCH(B3555,'Data Export'!$B$6:$B$78,0),1),IF(E3555=5,INDEX(ref_exp_dist,MATCH(B3555,'Refined Petro Exp Dist'!$B$6:$B$78,0),MATCH(C3555,'Refined Petro Exp Dist'!$AD$2:$BC$2,0))*INDEX(ref_exp_by_year,MATCH(B3555,'Data Export'!$B$6:$B$78,0),1)))</f>
        <v>0</v>
      </c>
      <c r="E3555">
        <v>5</v>
      </c>
      <c r="F3555" t="s">
        <v>224</v>
      </c>
    </row>
    <row r="3556" spans="1:6">
      <c r="A3556" t="str">
        <f t="shared" si="55"/>
        <v>GenericE&amp;DtemplateCIandGOA</v>
      </c>
      <c r="B3556">
        <v>67</v>
      </c>
      <c r="C3556">
        <v>19</v>
      </c>
      <c r="D3556" s="649">
        <f ca="1">IF(E3556=4,INDEX(crude_exp_dist,MATCH(B3556,'Crude Exp Dist'!$B$6:$B$78,0),MATCH(C3556,'Crude Exp Dist'!$AD$2:$BC$2,0))*INDEX(crude_exp_by_year,MATCH(B3556,'Data Export'!$B$6:$B$78,0),1),IF(E3556=5,INDEX(ref_exp_dist,MATCH(B3556,'Refined Petro Exp Dist'!$B$6:$B$78,0),MATCH(C3556,'Refined Petro Exp Dist'!$AD$2:$BC$2,0))*INDEX(ref_exp_by_year,MATCH(B3556,'Data Export'!$B$6:$B$78,0),1)))</f>
        <v>0</v>
      </c>
      <c r="E3556">
        <v>5</v>
      </c>
      <c r="F3556" t="s">
        <v>228</v>
      </c>
    </row>
    <row r="3557" spans="1:6">
      <c r="A3557" t="str">
        <f t="shared" si="55"/>
        <v>GenericE&amp;DtemplateCIandGOA</v>
      </c>
      <c r="B3557">
        <v>67</v>
      </c>
      <c r="C3557">
        <v>20</v>
      </c>
      <c r="D3557" s="649">
        <f ca="1">IF(E3557=4,INDEX(crude_exp_dist,MATCH(B3557,'Crude Exp Dist'!$B$6:$B$78,0),MATCH(C3557,'Crude Exp Dist'!$AD$2:$BC$2,0))*INDEX(crude_exp_by_year,MATCH(B3557,'Data Export'!$B$6:$B$78,0),1),IF(E3557=5,INDEX(ref_exp_dist,MATCH(B3557,'Refined Petro Exp Dist'!$B$6:$B$78,0),MATCH(C3557,'Refined Petro Exp Dist'!$AD$2:$BC$2,0))*INDEX(ref_exp_by_year,MATCH(B3557,'Data Export'!$B$6:$B$78,0),1)))</f>
        <v>0</v>
      </c>
      <c r="E3557">
        <v>5</v>
      </c>
      <c r="F3557" t="s">
        <v>231</v>
      </c>
    </row>
    <row r="3558" spans="1:6">
      <c r="A3558" t="str">
        <f t="shared" si="55"/>
        <v>GenericE&amp;DtemplateCIandGOA</v>
      </c>
      <c r="B3558">
        <v>67</v>
      </c>
      <c r="C3558">
        <v>21</v>
      </c>
      <c r="D3558" s="649">
        <f ca="1">IF(E3558=4,INDEX(crude_exp_dist,MATCH(B3558,'Crude Exp Dist'!$B$6:$B$78,0),MATCH(C3558,'Crude Exp Dist'!$AD$2:$BC$2,0))*INDEX(crude_exp_by_year,MATCH(B3558,'Data Export'!$B$6:$B$78,0),1),IF(E3558=5,INDEX(ref_exp_dist,MATCH(B3558,'Refined Petro Exp Dist'!$B$6:$B$78,0),MATCH(C3558,'Refined Petro Exp Dist'!$AD$2:$BC$2,0))*INDEX(ref_exp_by_year,MATCH(B3558,'Data Export'!$B$6:$B$78,0),1)))</f>
        <v>0</v>
      </c>
      <c r="E3558">
        <v>5</v>
      </c>
      <c r="F3558" t="s">
        <v>232</v>
      </c>
    </row>
    <row r="3559" spans="1:6">
      <c r="A3559" t="str">
        <f t="shared" si="55"/>
        <v>GenericE&amp;DtemplateCIandGOA</v>
      </c>
      <c r="B3559">
        <v>67</v>
      </c>
      <c r="C3559">
        <v>22</v>
      </c>
      <c r="D3559" s="649">
        <f ca="1">IF(E3559=4,INDEX(crude_exp_dist,MATCH(B3559,'Crude Exp Dist'!$B$6:$B$78,0),MATCH(C3559,'Crude Exp Dist'!$AD$2:$BC$2,0))*INDEX(crude_exp_by_year,MATCH(B3559,'Data Export'!$B$6:$B$78,0),1),IF(E3559=5,INDEX(ref_exp_dist,MATCH(B3559,'Refined Petro Exp Dist'!$B$6:$B$78,0),MATCH(C3559,'Refined Petro Exp Dist'!$AD$2:$BC$2,0))*INDEX(ref_exp_by_year,MATCH(B3559,'Data Export'!$B$6:$B$78,0),1)))</f>
        <v>0</v>
      </c>
      <c r="E3559">
        <v>5</v>
      </c>
      <c r="F3559" t="s">
        <v>235</v>
      </c>
    </row>
    <row r="3560" spans="1:6">
      <c r="A3560" t="str">
        <f t="shared" si="55"/>
        <v>GenericE&amp;DtemplateCIandGOA</v>
      </c>
      <c r="B3560">
        <v>67</v>
      </c>
      <c r="C3560">
        <v>23</v>
      </c>
      <c r="D3560" s="649">
        <f ca="1">IF(E3560=4,INDEX(crude_exp_dist,MATCH(B3560,'Crude Exp Dist'!$B$6:$B$78,0),MATCH(C3560,'Crude Exp Dist'!$AD$2:$BC$2,0))*INDEX(crude_exp_by_year,MATCH(B3560,'Data Export'!$B$6:$B$78,0),1),IF(E3560=5,INDEX(ref_exp_dist,MATCH(B3560,'Refined Petro Exp Dist'!$B$6:$B$78,0),MATCH(C3560,'Refined Petro Exp Dist'!$AD$2:$BC$2,0))*INDEX(ref_exp_by_year,MATCH(B3560,'Data Export'!$B$6:$B$78,0),1)))</f>
        <v>0</v>
      </c>
      <c r="E3560">
        <v>5</v>
      </c>
      <c r="F3560" t="s">
        <v>237</v>
      </c>
    </row>
    <row r="3561" spans="1:6">
      <c r="A3561" t="str">
        <f t="shared" si="55"/>
        <v>GenericE&amp;DtemplateCIandGOA</v>
      </c>
      <c r="B3561">
        <v>67</v>
      </c>
      <c r="C3561">
        <v>24</v>
      </c>
      <c r="D3561" s="649">
        <f ca="1">IF(E3561=4,INDEX(crude_exp_dist,MATCH(B3561,'Crude Exp Dist'!$B$6:$B$78,0),MATCH(C3561,'Crude Exp Dist'!$AD$2:$BC$2,0))*INDEX(crude_exp_by_year,MATCH(B3561,'Data Export'!$B$6:$B$78,0),1),IF(E3561=5,INDEX(ref_exp_dist,MATCH(B3561,'Refined Petro Exp Dist'!$B$6:$B$78,0),MATCH(C3561,'Refined Petro Exp Dist'!$AD$2:$BC$2,0))*INDEX(ref_exp_by_year,MATCH(B3561,'Data Export'!$B$6:$B$78,0),1)))</f>
        <v>0</v>
      </c>
      <c r="E3561">
        <v>5</v>
      </c>
      <c r="F3561" t="s">
        <v>239</v>
      </c>
    </row>
    <row r="3562" spans="1:6">
      <c r="A3562" t="str">
        <f t="shared" si="55"/>
        <v>GenericE&amp;DtemplateCIandGOA</v>
      </c>
      <c r="B3562">
        <v>67</v>
      </c>
      <c r="C3562">
        <v>25</v>
      </c>
      <c r="D3562" s="649">
        <f ca="1">IF(E3562=4,INDEX(crude_exp_dist,MATCH(B3562,'Crude Exp Dist'!$B$6:$B$78,0),MATCH(C3562,'Crude Exp Dist'!$AD$2:$BC$2,0))*INDEX(crude_exp_by_year,MATCH(B3562,'Data Export'!$B$6:$B$78,0),1),IF(E3562=5,INDEX(ref_exp_dist,MATCH(B3562,'Refined Petro Exp Dist'!$B$6:$B$78,0),MATCH(C3562,'Refined Petro Exp Dist'!$AD$2:$BC$2,0))*INDEX(ref_exp_by_year,MATCH(B3562,'Data Export'!$B$6:$B$78,0),1)))</f>
        <v>0</v>
      </c>
      <c r="E3562">
        <v>5</v>
      </c>
      <c r="F3562" t="s">
        <v>242</v>
      </c>
    </row>
    <row r="3563" spans="1:6">
      <c r="A3563" t="str">
        <f t="shared" si="55"/>
        <v>GenericE&amp;DtemplateCIandGOA</v>
      </c>
      <c r="B3563">
        <v>67</v>
      </c>
      <c r="C3563">
        <v>26</v>
      </c>
      <c r="D3563" s="649">
        <f ca="1">IF(E3563=4,INDEX(crude_exp_dist,MATCH(B3563,'Crude Exp Dist'!$B$6:$B$78,0),MATCH(C3563,'Crude Exp Dist'!$AD$2:$BC$2,0))*INDEX(crude_exp_by_year,MATCH(B3563,'Data Export'!$B$6:$B$78,0),1),IF(E3563=5,INDEX(ref_exp_dist,MATCH(B3563,'Refined Petro Exp Dist'!$B$6:$B$78,0),MATCH(C3563,'Refined Petro Exp Dist'!$AD$2:$BC$2,0))*INDEX(ref_exp_by_year,MATCH(B3563,'Data Export'!$B$6:$B$78,0),1)))</f>
        <v>0</v>
      </c>
      <c r="E3563">
        <v>5</v>
      </c>
      <c r="F3563" t="s">
        <v>245</v>
      </c>
    </row>
    <row r="3564" spans="1:6">
      <c r="A3564" t="str">
        <f t="shared" si="55"/>
        <v>GenericE&amp;DtemplateCIandGOA</v>
      </c>
      <c r="B3564">
        <v>68</v>
      </c>
      <c r="C3564">
        <v>1</v>
      </c>
      <c r="D3564" s="649">
        <f ca="1">IF(E3564=4,INDEX(crude_exp_dist,MATCH(B3564,'Crude Exp Dist'!$B$6:$B$78,0),MATCH(C3564,'Crude Exp Dist'!$AD$2:$BC$2,0))*INDEX(crude_exp_by_year,MATCH(B3564,'Data Export'!$B$6:$B$78,0),1),IF(E3564=5,INDEX(ref_exp_dist,MATCH(B3564,'Refined Petro Exp Dist'!$B$6:$B$78,0),MATCH(C3564,'Refined Petro Exp Dist'!$AD$2:$BC$2,0))*INDEX(ref_exp_by_year,MATCH(B3564,'Data Export'!$B$6:$B$78,0),1)))</f>
        <v>0</v>
      </c>
      <c r="E3564">
        <v>5</v>
      </c>
      <c r="F3564" t="s">
        <v>158</v>
      </c>
    </row>
    <row r="3565" spans="1:6">
      <c r="A3565" t="str">
        <f t="shared" si="55"/>
        <v>GenericE&amp;DtemplateCIandGOA</v>
      </c>
      <c r="B3565">
        <v>68</v>
      </c>
      <c r="C3565">
        <v>2</v>
      </c>
      <c r="D3565" s="649">
        <f ca="1">IF(E3565=4,INDEX(crude_exp_dist,MATCH(B3565,'Crude Exp Dist'!$B$6:$B$78,0),MATCH(C3565,'Crude Exp Dist'!$AD$2:$BC$2,0))*INDEX(crude_exp_by_year,MATCH(B3565,'Data Export'!$B$6:$B$78,0),1),IF(E3565=5,INDEX(ref_exp_dist,MATCH(B3565,'Refined Petro Exp Dist'!$B$6:$B$78,0),MATCH(C3565,'Refined Petro Exp Dist'!$AD$2:$BC$2,0))*INDEX(ref_exp_by_year,MATCH(B3565,'Data Export'!$B$6:$B$78,0),1)))</f>
        <v>0</v>
      </c>
      <c r="E3565">
        <v>5</v>
      </c>
      <c r="F3565" t="s">
        <v>166</v>
      </c>
    </row>
    <row r="3566" spans="1:6">
      <c r="A3566" t="str">
        <f t="shared" si="55"/>
        <v>GenericE&amp;DtemplateCIandGOA</v>
      </c>
      <c r="B3566">
        <v>68</v>
      </c>
      <c r="C3566">
        <v>3</v>
      </c>
      <c r="D3566" s="649">
        <f ca="1">IF(E3566=4,INDEX(crude_exp_dist,MATCH(B3566,'Crude Exp Dist'!$B$6:$B$78,0),MATCH(C3566,'Crude Exp Dist'!$AD$2:$BC$2,0))*INDEX(crude_exp_by_year,MATCH(B3566,'Data Export'!$B$6:$B$78,0),1),IF(E3566=5,INDEX(ref_exp_dist,MATCH(B3566,'Refined Petro Exp Dist'!$B$6:$B$78,0),MATCH(C3566,'Refined Petro Exp Dist'!$AD$2:$BC$2,0))*INDEX(ref_exp_by_year,MATCH(B3566,'Data Export'!$B$6:$B$78,0),1)))</f>
        <v>0</v>
      </c>
      <c r="E3566">
        <v>5</v>
      </c>
      <c r="F3566" t="s">
        <v>171</v>
      </c>
    </row>
    <row r="3567" spans="1:6">
      <c r="A3567" t="str">
        <f t="shared" si="55"/>
        <v>GenericE&amp;DtemplateCIandGOA</v>
      </c>
      <c r="B3567">
        <v>68</v>
      </c>
      <c r="C3567">
        <v>4</v>
      </c>
      <c r="D3567" s="649">
        <f ca="1">IF(E3567=4,INDEX(crude_exp_dist,MATCH(B3567,'Crude Exp Dist'!$B$6:$B$78,0),MATCH(C3567,'Crude Exp Dist'!$AD$2:$BC$2,0))*INDEX(crude_exp_by_year,MATCH(B3567,'Data Export'!$B$6:$B$78,0),1),IF(E3567=5,INDEX(ref_exp_dist,MATCH(B3567,'Refined Petro Exp Dist'!$B$6:$B$78,0),MATCH(C3567,'Refined Petro Exp Dist'!$AD$2:$BC$2,0))*INDEX(ref_exp_by_year,MATCH(B3567,'Data Export'!$B$6:$B$78,0),1)))</f>
        <v>0</v>
      </c>
      <c r="E3567">
        <v>5</v>
      </c>
      <c r="F3567" t="s">
        <v>173</v>
      </c>
    </row>
    <row r="3568" spans="1:6">
      <c r="A3568" t="str">
        <f t="shared" si="55"/>
        <v>GenericE&amp;DtemplateCIandGOA</v>
      </c>
      <c r="B3568">
        <v>68</v>
      </c>
      <c r="C3568">
        <v>5</v>
      </c>
      <c r="D3568" s="649">
        <f ca="1">IF(E3568=4,INDEX(crude_exp_dist,MATCH(B3568,'Crude Exp Dist'!$B$6:$B$78,0),MATCH(C3568,'Crude Exp Dist'!$AD$2:$BC$2,0))*INDEX(crude_exp_by_year,MATCH(B3568,'Data Export'!$B$6:$B$78,0),1),IF(E3568=5,INDEX(ref_exp_dist,MATCH(B3568,'Refined Petro Exp Dist'!$B$6:$B$78,0),MATCH(C3568,'Refined Petro Exp Dist'!$AD$2:$BC$2,0))*INDEX(ref_exp_by_year,MATCH(B3568,'Data Export'!$B$6:$B$78,0),1)))</f>
        <v>0</v>
      </c>
      <c r="E3568">
        <v>5</v>
      </c>
      <c r="F3568" t="s">
        <v>180</v>
      </c>
    </row>
    <row r="3569" spans="1:6">
      <c r="A3569" t="str">
        <f t="shared" si="55"/>
        <v>GenericE&amp;DtemplateCIandGOA</v>
      </c>
      <c r="B3569">
        <v>68</v>
      </c>
      <c r="C3569">
        <v>6</v>
      </c>
      <c r="D3569" s="649">
        <f ca="1">IF(E3569=4,INDEX(crude_exp_dist,MATCH(B3569,'Crude Exp Dist'!$B$6:$B$78,0),MATCH(C3569,'Crude Exp Dist'!$AD$2:$BC$2,0))*INDEX(crude_exp_by_year,MATCH(B3569,'Data Export'!$B$6:$B$78,0),1),IF(E3569=5,INDEX(ref_exp_dist,MATCH(B3569,'Refined Petro Exp Dist'!$B$6:$B$78,0),MATCH(C3569,'Refined Petro Exp Dist'!$AD$2:$BC$2,0))*INDEX(ref_exp_by_year,MATCH(B3569,'Data Export'!$B$6:$B$78,0),1)))</f>
        <v>0</v>
      </c>
      <c r="E3569">
        <v>5</v>
      </c>
      <c r="F3569" t="s">
        <v>186</v>
      </c>
    </row>
    <row r="3570" spans="1:6">
      <c r="A3570" t="str">
        <f t="shared" si="55"/>
        <v>GenericE&amp;DtemplateCIandGOA</v>
      </c>
      <c r="B3570">
        <v>68</v>
      </c>
      <c r="C3570">
        <v>7</v>
      </c>
      <c r="D3570" s="649">
        <f ca="1">IF(E3570=4,INDEX(crude_exp_dist,MATCH(B3570,'Crude Exp Dist'!$B$6:$B$78,0),MATCH(C3570,'Crude Exp Dist'!$AD$2:$BC$2,0))*INDEX(crude_exp_by_year,MATCH(B3570,'Data Export'!$B$6:$B$78,0),1),IF(E3570=5,INDEX(ref_exp_dist,MATCH(B3570,'Refined Petro Exp Dist'!$B$6:$B$78,0),MATCH(C3570,'Refined Petro Exp Dist'!$AD$2:$BC$2,0))*INDEX(ref_exp_by_year,MATCH(B3570,'Data Export'!$B$6:$B$78,0),1)))</f>
        <v>0</v>
      </c>
      <c r="E3570">
        <v>5</v>
      </c>
      <c r="F3570" t="s">
        <v>191</v>
      </c>
    </row>
    <row r="3571" spans="1:6">
      <c r="A3571" t="str">
        <f t="shared" si="55"/>
        <v>GenericE&amp;DtemplateCIandGOA</v>
      </c>
      <c r="B3571">
        <v>68</v>
      </c>
      <c r="C3571">
        <v>8</v>
      </c>
      <c r="D3571" s="649">
        <f ca="1">IF(E3571=4,INDEX(crude_exp_dist,MATCH(B3571,'Crude Exp Dist'!$B$6:$B$78,0),MATCH(C3571,'Crude Exp Dist'!$AD$2:$BC$2,0))*INDEX(crude_exp_by_year,MATCH(B3571,'Data Export'!$B$6:$B$78,0),1),IF(E3571=5,INDEX(ref_exp_dist,MATCH(B3571,'Refined Petro Exp Dist'!$B$6:$B$78,0),MATCH(C3571,'Refined Petro Exp Dist'!$AD$2:$BC$2,0))*INDEX(ref_exp_by_year,MATCH(B3571,'Data Export'!$B$6:$B$78,0),1)))</f>
        <v>0</v>
      </c>
      <c r="E3571">
        <v>5</v>
      </c>
      <c r="F3571" t="s">
        <v>197</v>
      </c>
    </row>
    <row r="3572" spans="1:6">
      <c r="A3572" t="str">
        <f t="shared" si="55"/>
        <v>GenericE&amp;DtemplateCIandGOA</v>
      </c>
      <c r="B3572">
        <v>68</v>
      </c>
      <c r="C3572">
        <v>9</v>
      </c>
      <c r="D3572" s="649">
        <f ca="1">IF(E3572=4,INDEX(crude_exp_dist,MATCH(B3572,'Crude Exp Dist'!$B$6:$B$78,0),MATCH(C3572,'Crude Exp Dist'!$AD$2:$BC$2,0))*INDEX(crude_exp_by_year,MATCH(B3572,'Data Export'!$B$6:$B$78,0),1),IF(E3572=5,INDEX(ref_exp_dist,MATCH(B3572,'Refined Petro Exp Dist'!$B$6:$B$78,0),MATCH(C3572,'Refined Petro Exp Dist'!$AD$2:$BC$2,0))*INDEX(ref_exp_by_year,MATCH(B3572,'Data Export'!$B$6:$B$78,0),1)))</f>
        <v>0</v>
      </c>
      <c r="E3572">
        <v>5</v>
      </c>
      <c r="F3572" t="s">
        <v>199</v>
      </c>
    </row>
    <row r="3573" spans="1:6">
      <c r="A3573" t="str">
        <f t="shared" si="55"/>
        <v>GenericE&amp;DtemplateCIandGOA</v>
      </c>
      <c r="B3573">
        <v>68</v>
      </c>
      <c r="C3573">
        <v>10</v>
      </c>
      <c r="D3573" s="649">
        <f ca="1">IF(E3573=4,INDEX(crude_exp_dist,MATCH(B3573,'Crude Exp Dist'!$B$6:$B$78,0),MATCH(C3573,'Crude Exp Dist'!$AD$2:$BC$2,0))*INDEX(crude_exp_by_year,MATCH(B3573,'Data Export'!$B$6:$B$78,0),1),IF(E3573=5,INDEX(ref_exp_dist,MATCH(B3573,'Refined Petro Exp Dist'!$B$6:$B$78,0),MATCH(C3573,'Refined Petro Exp Dist'!$AD$2:$BC$2,0))*INDEX(ref_exp_by_year,MATCH(B3573,'Data Export'!$B$6:$B$78,0),1)))</f>
        <v>0</v>
      </c>
      <c r="E3573">
        <v>5</v>
      </c>
      <c r="F3573" t="s">
        <v>201</v>
      </c>
    </row>
    <row r="3574" spans="1:6">
      <c r="A3574" t="str">
        <f t="shared" si="55"/>
        <v>GenericE&amp;DtemplateCIandGOA</v>
      </c>
      <c r="B3574">
        <v>68</v>
      </c>
      <c r="C3574">
        <v>11</v>
      </c>
      <c r="D3574" s="649">
        <f ca="1">IF(E3574=4,INDEX(crude_exp_dist,MATCH(B3574,'Crude Exp Dist'!$B$6:$B$78,0),MATCH(C3574,'Crude Exp Dist'!$AD$2:$BC$2,0))*INDEX(crude_exp_by_year,MATCH(B3574,'Data Export'!$B$6:$B$78,0),1),IF(E3574=5,INDEX(ref_exp_dist,MATCH(B3574,'Refined Petro Exp Dist'!$B$6:$B$78,0),MATCH(C3574,'Refined Petro Exp Dist'!$AD$2:$BC$2,0))*INDEX(ref_exp_by_year,MATCH(B3574,'Data Export'!$B$6:$B$78,0),1)))</f>
        <v>0</v>
      </c>
      <c r="E3574">
        <v>5</v>
      </c>
      <c r="F3574" t="s">
        <v>921</v>
      </c>
    </row>
    <row r="3575" spans="1:6">
      <c r="A3575" t="str">
        <f t="shared" si="55"/>
        <v>GenericE&amp;DtemplateCIandGOA</v>
      </c>
      <c r="B3575">
        <v>68</v>
      </c>
      <c r="C3575">
        <v>12</v>
      </c>
      <c r="D3575" s="649">
        <f ca="1">IF(E3575=4,INDEX(crude_exp_dist,MATCH(B3575,'Crude Exp Dist'!$B$6:$B$78,0),MATCH(C3575,'Crude Exp Dist'!$AD$2:$BC$2,0))*INDEX(crude_exp_by_year,MATCH(B3575,'Data Export'!$B$6:$B$78,0),1),IF(E3575=5,INDEX(ref_exp_dist,MATCH(B3575,'Refined Petro Exp Dist'!$B$6:$B$78,0),MATCH(C3575,'Refined Petro Exp Dist'!$AD$2:$BC$2,0))*INDEX(ref_exp_by_year,MATCH(B3575,'Data Export'!$B$6:$B$78,0),1)))</f>
        <v>0</v>
      </c>
      <c r="E3575">
        <v>5</v>
      </c>
      <c r="F3575" t="s">
        <v>208</v>
      </c>
    </row>
    <row r="3576" spans="1:6">
      <c r="A3576" t="str">
        <f t="shared" si="55"/>
        <v>GenericE&amp;DtemplateCIandGOA</v>
      </c>
      <c r="B3576">
        <v>68</v>
      </c>
      <c r="C3576">
        <v>13</v>
      </c>
      <c r="D3576" s="649">
        <f ca="1">IF(E3576=4,INDEX(crude_exp_dist,MATCH(B3576,'Crude Exp Dist'!$B$6:$B$78,0),MATCH(C3576,'Crude Exp Dist'!$AD$2:$BC$2,0))*INDEX(crude_exp_by_year,MATCH(B3576,'Data Export'!$B$6:$B$78,0),1),IF(E3576=5,INDEX(ref_exp_dist,MATCH(B3576,'Refined Petro Exp Dist'!$B$6:$B$78,0),MATCH(C3576,'Refined Petro Exp Dist'!$AD$2:$BC$2,0))*INDEX(ref_exp_by_year,MATCH(B3576,'Data Export'!$B$6:$B$78,0),1)))</f>
        <v>0</v>
      </c>
      <c r="E3576">
        <v>5</v>
      </c>
      <c r="F3576" t="s">
        <v>211</v>
      </c>
    </row>
    <row r="3577" spans="1:6">
      <c r="A3577" t="str">
        <f t="shared" si="55"/>
        <v>GenericE&amp;DtemplateCIandGOA</v>
      </c>
      <c r="B3577">
        <v>68</v>
      </c>
      <c r="C3577">
        <v>14</v>
      </c>
      <c r="D3577" s="649">
        <f ca="1">IF(E3577=4,INDEX(crude_exp_dist,MATCH(B3577,'Crude Exp Dist'!$B$6:$B$78,0),MATCH(C3577,'Crude Exp Dist'!$AD$2:$BC$2,0))*INDEX(crude_exp_by_year,MATCH(B3577,'Data Export'!$B$6:$B$78,0),1),IF(E3577=5,INDEX(ref_exp_dist,MATCH(B3577,'Refined Petro Exp Dist'!$B$6:$B$78,0),MATCH(C3577,'Refined Petro Exp Dist'!$AD$2:$BC$2,0))*INDEX(ref_exp_by_year,MATCH(B3577,'Data Export'!$B$6:$B$78,0),1)))</f>
        <v>0</v>
      </c>
      <c r="E3577">
        <v>5</v>
      </c>
      <c r="F3577" t="s">
        <v>213</v>
      </c>
    </row>
    <row r="3578" spans="1:6">
      <c r="A3578" t="str">
        <f t="shared" si="55"/>
        <v>GenericE&amp;DtemplateCIandGOA</v>
      </c>
      <c r="B3578">
        <v>68</v>
      </c>
      <c r="C3578">
        <v>15</v>
      </c>
      <c r="D3578" s="649">
        <f ca="1">IF(E3578=4,INDEX(crude_exp_dist,MATCH(B3578,'Crude Exp Dist'!$B$6:$B$78,0),MATCH(C3578,'Crude Exp Dist'!$AD$2:$BC$2,0))*INDEX(crude_exp_by_year,MATCH(B3578,'Data Export'!$B$6:$B$78,0),1),IF(E3578=5,INDEX(ref_exp_dist,MATCH(B3578,'Refined Petro Exp Dist'!$B$6:$B$78,0),MATCH(C3578,'Refined Petro Exp Dist'!$AD$2:$BC$2,0))*INDEX(ref_exp_by_year,MATCH(B3578,'Data Export'!$B$6:$B$78,0),1)))</f>
        <v>0</v>
      </c>
      <c r="E3578">
        <v>5</v>
      </c>
      <c r="F3578" t="s">
        <v>215</v>
      </c>
    </row>
    <row r="3579" spans="1:6">
      <c r="A3579" t="str">
        <f t="shared" si="55"/>
        <v>GenericE&amp;DtemplateCIandGOA</v>
      </c>
      <c r="B3579">
        <v>68</v>
      </c>
      <c r="C3579">
        <v>16</v>
      </c>
      <c r="D3579" s="649">
        <f ca="1">IF(E3579=4,INDEX(crude_exp_dist,MATCH(B3579,'Crude Exp Dist'!$B$6:$B$78,0),MATCH(C3579,'Crude Exp Dist'!$AD$2:$BC$2,0))*INDEX(crude_exp_by_year,MATCH(B3579,'Data Export'!$B$6:$B$78,0),1),IF(E3579=5,INDEX(ref_exp_dist,MATCH(B3579,'Refined Petro Exp Dist'!$B$6:$B$78,0),MATCH(C3579,'Refined Petro Exp Dist'!$AD$2:$BC$2,0))*INDEX(ref_exp_by_year,MATCH(B3579,'Data Export'!$B$6:$B$78,0),1)))</f>
        <v>0</v>
      </c>
      <c r="E3579">
        <v>5</v>
      </c>
      <c r="F3579" t="s">
        <v>219</v>
      </c>
    </row>
    <row r="3580" spans="1:6">
      <c r="A3580" t="str">
        <f t="shared" si="55"/>
        <v>GenericE&amp;DtemplateCIandGOA</v>
      </c>
      <c r="B3580">
        <v>68</v>
      </c>
      <c r="C3580">
        <v>17</v>
      </c>
      <c r="D3580" s="649">
        <f ca="1">IF(E3580=4,INDEX(crude_exp_dist,MATCH(B3580,'Crude Exp Dist'!$B$6:$B$78,0),MATCH(C3580,'Crude Exp Dist'!$AD$2:$BC$2,0))*INDEX(crude_exp_by_year,MATCH(B3580,'Data Export'!$B$6:$B$78,0),1),IF(E3580=5,INDEX(ref_exp_dist,MATCH(B3580,'Refined Petro Exp Dist'!$B$6:$B$78,0),MATCH(C3580,'Refined Petro Exp Dist'!$AD$2:$BC$2,0))*INDEX(ref_exp_by_year,MATCH(B3580,'Data Export'!$B$6:$B$78,0),1)))</f>
        <v>0</v>
      </c>
      <c r="E3580">
        <v>5</v>
      </c>
      <c r="F3580" t="s">
        <v>222</v>
      </c>
    </row>
    <row r="3581" spans="1:6">
      <c r="A3581" t="str">
        <f t="shared" si="55"/>
        <v>GenericE&amp;DtemplateCIandGOA</v>
      </c>
      <c r="B3581">
        <v>68</v>
      </c>
      <c r="C3581">
        <v>18</v>
      </c>
      <c r="D3581" s="649">
        <f ca="1">IF(E3581=4,INDEX(crude_exp_dist,MATCH(B3581,'Crude Exp Dist'!$B$6:$B$78,0),MATCH(C3581,'Crude Exp Dist'!$AD$2:$BC$2,0))*INDEX(crude_exp_by_year,MATCH(B3581,'Data Export'!$B$6:$B$78,0),1),IF(E3581=5,INDEX(ref_exp_dist,MATCH(B3581,'Refined Petro Exp Dist'!$B$6:$B$78,0),MATCH(C3581,'Refined Petro Exp Dist'!$AD$2:$BC$2,0))*INDEX(ref_exp_by_year,MATCH(B3581,'Data Export'!$B$6:$B$78,0),1)))</f>
        <v>0</v>
      </c>
      <c r="E3581">
        <v>5</v>
      </c>
      <c r="F3581" t="s">
        <v>224</v>
      </c>
    </row>
    <row r="3582" spans="1:6">
      <c r="A3582" t="str">
        <f t="shared" si="55"/>
        <v>GenericE&amp;DtemplateCIandGOA</v>
      </c>
      <c r="B3582">
        <v>68</v>
      </c>
      <c r="C3582">
        <v>19</v>
      </c>
      <c r="D3582" s="649">
        <f ca="1">IF(E3582=4,INDEX(crude_exp_dist,MATCH(B3582,'Crude Exp Dist'!$B$6:$B$78,0),MATCH(C3582,'Crude Exp Dist'!$AD$2:$BC$2,0))*INDEX(crude_exp_by_year,MATCH(B3582,'Data Export'!$B$6:$B$78,0),1),IF(E3582=5,INDEX(ref_exp_dist,MATCH(B3582,'Refined Petro Exp Dist'!$B$6:$B$78,0),MATCH(C3582,'Refined Petro Exp Dist'!$AD$2:$BC$2,0))*INDEX(ref_exp_by_year,MATCH(B3582,'Data Export'!$B$6:$B$78,0),1)))</f>
        <v>0</v>
      </c>
      <c r="E3582">
        <v>5</v>
      </c>
      <c r="F3582" t="s">
        <v>228</v>
      </c>
    </row>
    <row r="3583" spans="1:6">
      <c r="A3583" t="str">
        <f t="shared" si="55"/>
        <v>GenericE&amp;DtemplateCIandGOA</v>
      </c>
      <c r="B3583">
        <v>68</v>
      </c>
      <c r="C3583">
        <v>20</v>
      </c>
      <c r="D3583" s="649">
        <f ca="1">IF(E3583=4,INDEX(crude_exp_dist,MATCH(B3583,'Crude Exp Dist'!$B$6:$B$78,0),MATCH(C3583,'Crude Exp Dist'!$AD$2:$BC$2,0))*INDEX(crude_exp_by_year,MATCH(B3583,'Data Export'!$B$6:$B$78,0),1),IF(E3583=5,INDEX(ref_exp_dist,MATCH(B3583,'Refined Petro Exp Dist'!$B$6:$B$78,0),MATCH(C3583,'Refined Petro Exp Dist'!$AD$2:$BC$2,0))*INDEX(ref_exp_by_year,MATCH(B3583,'Data Export'!$B$6:$B$78,0),1)))</f>
        <v>0</v>
      </c>
      <c r="E3583">
        <v>5</v>
      </c>
      <c r="F3583" t="s">
        <v>231</v>
      </c>
    </row>
    <row r="3584" spans="1:6">
      <c r="A3584" t="str">
        <f t="shared" si="55"/>
        <v>GenericE&amp;DtemplateCIandGOA</v>
      </c>
      <c r="B3584">
        <v>68</v>
      </c>
      <c r="C3584">
        <v>21</v>
      </c>
      <c r="D3584" s="649">
        <f ca="1">IF(E3584=4,INDEX(crude_exp_dist,MATCH(B3584,'Crude Exp Dist'!$B$6:$B$78,0),MATCH(C3584,'Crude Exp Dist'!$AD$2:$BC$2,0))*INDEX(crude_exp_by_year,MATCH(B3584,'Data Export'!$B$6:$B$78,0),1),IF(E3584=5,INDEX(ref_exp_dist,MATCH(B3584,'Refined Petro Exp Dist'!$B$6:$B$78,0),MATCH(C3584,'Refined Petro Exp Dist'!$AD$2:$BC$2,0))*INDEX(ref_exp_by_year,MATCH(B3584,'Data Export'!$B$6:$B$78,0),1)))</f>
        <v>0</v>
      </c>
      <c r="E3584">
        <v>5</v>
      </c>
      <c r="F3584" t="s">
        <v>232</v>
      </c>
    </row>
    <row r="3585" spans="1:6">
      <c r="A3585" t="str">
        <f t="shared" si="55"/>
        <v>GenericE&amp;DtemplateCIandGOA</v>
      </c>
      <c r="B3585">
        <v>68</v>
      </c>
      <c r="C3585">
        <v>22</v>
      </c>
      <c r="D3585" s="649">
        <f ca="1">IF(E3585=4,INDEX(crude_exp_dist,MATCH(B3585,'Crude Exp Dist'!$B$6:$B$78,0),MATCH(C3585,'Crude Exp Dist'!$AD$2:$BC$2,0))*INDEX(crude_exp_by_year,MATCH(B3585,'Data Export'!$B$6:$B$78,0),1),IF(E3585=5,INDEX(ref_exp_dist,MATCH(B3585,'Refined Petro Exp Dist'!$B$6:$B$78,0),MATCH(C3585,'Refined Petro Exp Dist'!$AD$2:$BC$2,0))*INDEX(ref_exp_by_year,MATCH(B3585,'Data Export'!$B$6:$B$78,0),1)))</f>
        <v>0</v>
      </c>
      <c r="E3585">
        <v>5</v>
      </c>
      <c r="F3585" t="s">
        <v>235</v>
      </c>
    </row>
    <row r="3586" spans="1:6">
      <c r="A3586" t="str">
        <f t="shared" ref="A3586:A3641" si="56">scenario_name</f>
        <v>GenericE&amp;DtemplateCIandGOA</v>
      </c>
      <c r="B3586">
        <v>68</v>
      </c>
      <c r="C3586">
        <v>23</v>
      </c>
      <c r="D3586" s="649">
        <f ca="1">IF(E3586=4,INDEX(crude_exp_dist,MATCH(B3586,'Crude Exp Dist'!$B$6:$B$78,0),MATCH(C3586,'Crude Exp Dist'!$AD$2:$BC$2,0))*INDEX(crude_exp_by_year,MATCH(B3586,'Data Export'!$B$6:$B$78,0),1),IF(E3586=5,INDEX(ref_exp_dist,MATCH(B3586,'Refined Petro Exp Dist'!$B$6:$B$78,0),MATCH(C3586,'Refined Petro Exp Dist'!$AD$2:$BC$2,0))*INDEX(ref_exp_by_year,MATCH(B3586,'Data Export'!$B$6:$B$78,0),1)))</f>
        <v>0</v>
      </c>
      <c r="E3586">
        <v>5</v>
      </c>
      <c r="F3586" t="s">
        <v>237</v>
      </c>
    </row>
    <row r="3587" spans="1:6">
      <c r="A3587" t="str">
        <f t="shared" si="56"/>
        <v>GenericE&amp;DtemplateCIandGOA</v>
      </c>
      <c r="B3587">
        <v>68</v>
      </c>
      <c r="C3587">
        <v>24</v>
      </c>
      <c r="D3587" s="649">
        <f ca="1">IF(E3587=4,INDEX(crude_exp_dist,MATCH(B3587,'Crude Exp Dist'!$B$6:$B$78,0),MATCH(C3587,'Crude Exp Dist'!$AD$2:$BC$2,0))*INDEX(crude_exp_by_year,MATCH(B3587,'Data Export'!$B$6:$B$78,0),1),IF(E3587=5,INDEX(ref_exp_dist,MATCH(B3587,'Refined Petro Exp Dist'!$B$6:$B$78,0),MATCH(C3587,'Refined Petro Exp Dist'!$AD$2:$BC$2,0))*INDEX(ref_exp_by_year,MATCH(B3587,'Data Export'!$B$6:$B$78,0),1)))</f>
        <v>0</v>
      </c>
      <c r="E3587">
        <v>5</v>
      </c>
      <c r="F3587" t="s">
        <v>239</v>
      </c>
    </row>
    <row r="3588" spans="1:6">
      <c r="A3588" t="str">
        <f t="shared" si="56"/>
        <v>GenericE&amp;DtemplateCIandGOA</v>
      </c>
      <c r="B3588">
        <v>68</v>
      </c>
      <c r="C3588">
        <v>25</v>
      </c>
      <c r="D3588" s="649">
        <f ca="1">IF(E3588=4,INDEX(crude_exp_dist,MATCH(B3588,'Crude Exp Dist'!$B$6:$B$78,0),MATCH(C3588,'Crude Exp Dist'!$AD$2:$BC$2,0))*INDEX(crude_exp_by_year,MATCH(B3588,'Data Export'!$B$6:$B$78,0),1),IF(E3588=5,INDEX(ref_exp_dist,MATCH(B3588,'Refined Petro Exp Dist'!$B$6:$B$78,0),MATCH(C3588,'Refined Petro Exp Dist'!$AD$2:$BC$2,0))*INDEX(ref_exp_by_year,MATCH(B3588,'Data Export'!$B$6:$B$78,0),1)))</f>
        <v>0</v>
      </c>
      <c r="E3588">
        <v>5</v>
      </c>
      <c r="F3588" t="s">
        <v>242</v>
      </c>
    </row>
    <row r="3589" spans="1:6">
      <c r="A3589" t="str">
        <f t="shared" si="56"/>
        <v>GenericE&amp;DtemplateCIandGOA</v>
      </c>
      <c r="B3589">
        <v>68</v>
      </c>
      <c r="C3589">
        <v>26</v>
      </c>
      <c r="D3589" s="649">
        <f ca="1">IF(E3589=4,INDEX(crude_exp_dist,MATCH(B3589,'Crude Exp Dist'!$B$6:$B$78,0),MATCH(C3589,'Crude Exp Dist'!$AD$2:$BC$2,0))*INDEX(crude_exp_by_year,MATCH(B3589,'Data Export'!$B$6:$B$78,0),1),IF(E3589=5,INDEX(ref_exp_dist,MATCH(B3589,'Refined Petro Exp Dist'!$B$6:$B$78,0),MATCH(C3589,'Refined Petro Exp Dist'!$AD$2:$BC$2,0))*INDEX(ref_exp_by_year,MATCH(B3589,'Data Export'!$B$6:$B$78,0),1)))</f>
        <v>0</v>
      </c>
      <c r="E3589">
        <v>5</v>
      </c>
      <c r="F3589" t="s">
        <v>245</v>
      </c>
    </row>
    <row r="3590" spans="1:6">
      <c r="A3590" t="str">
        <f t="shared" si="56"/>
        <v>GenericE&amp;DtemplateCIandGOA</v>
      </c>
      <c r="B3590">
        <v>69</v>
      </c>
      <c r="C3590">
        <v>1</v>
      </c>
      <c r="D3590" s="649">
        <f ca="1">IF(E3590=4,INDEX(crude_exp_dist,MATCH(B3590,'Crude Exp Dist'!$B$6:$B$78,0),MATCH(C3590,'Crude Exp Dist'!$AD$2:$BC$2,0))*INDEX(crude_exp_by_year,MATCH(B3590,'Data Export'!$B$6:$B$78,0),1),IF(E3590=5,INDEX(ref_exp_dist,MATCH(B3590,'Refined Petro Exp Dist'!$B$6:$B$78,0),MATCH(C3590,'Refined Petro Exp Dist'!$AD$2:$BC$2,0))*INDEX(ref_exp_by_year,MATCH(B3590,'Data Export'!$B$6:$B$78,0),1)))</f>
        <v>0</v>
      </c>
      <c r="E3590">
        <v>5</v>
      </c>
      <c r="F3590" t="s">
        <v>158</v>
      </c>
    </row>
    <row r="3591" spans="1:6">
      <c r="A3591" t="str">
        <f t="shared" si="56"/>
        <v>GenericE&amp;DtemplateCIandGOA</v>
      </c>
      <c r="B3591">
        <v>69</v>
      </c>
      <c r="C3591">
        <v>2</v>
      </c>
      <c r="D3591" s="649">
        <f ca="1">IF(E3591=4,INDEX(crude_exp_dist,MATCH(B3591,'Crude Exp Dist'!$B$6:$B$78,0),MATCH(C3591,'Crude Exp Dist'!$AD$2:$BC$2,0))*INDEX(crude_exp_by_year,MATCH(B3591,'Data Export'!$B$6:$B$78,0),1),IF(E3591=5,INDEX(ref_exp_dist,MATCH(B3591,'Refined Petro Exp Dist'!$B$6:$B$78,0),MATCH(C3591,'Refined Petro Exp Dist'!$AD$2:$BC$2,0))*INDEX(ref_exp_by_year,MATCH(B3591,'Data Export'!$B$6:$B$78,0),1)))</f>
        <v>0</v>
      </c>
      <c r="E3591">
        <v>5</v>
      </c>
      <c r="F3591" t="s">
        <v>166</v>
      </c>
    </row>
    <row r="3592" spans="1:6">
      <c r="A3592" t="str">
        <f t="shared" si="56"/>
        <v>GenericE&amp;DtemplateCIandGOA</v>
      </c>
      <c r="B3592">
        <v>69</v>
      </c>
      <c r="C3592">
        <v>3</v>
      </c>
      <c r="D3592" s="649">
        <f ca="1">IF(E3592=4,INDEX(crude_exp_dist,MATCH(B3592,'Crude Exp Dist'!$B$6:$B$78,0),MATCH(C3592,'Crude Exp Dist'!$AD$2:$BC$2,0))*INDEX(crude_exp_by_year,MATCH(B3592,'Data Export'!$B$6:$B$78,0),1),IF(E3592=5,INDEX(ref_exp_dist,MATCH(B3592,'Refined Petro Exp Dist'!$B$6:$B$78,0),MATCH(C3592,'Refined Petro Exp Dist'!$AD$2:$BC$2,0))*INDEX(ref_exp_by_year,MATCH(B3592,'Data Export'!$B$6:$B$78,0),1)))</f>
        <v>0</v>
      </c>
      <c r="E3592">
        <v>5</v>
      </c>
      <c r="F3592" t="s">
        <v>171</v>
      </c>
    </row>
    <row r="3593" spans="1:6">
      <c r="A3593" t="str">
        <f t="shared" si="56"/>
        <v>GenericE&amp;DtemplateCIandGOA</v>
      </c>
      <c r="B3593">
        <v>69</v>
      </c>
      <c r="C3593">
        <v>4</v>
      </c>
      <c r="D3593" s="649">
        <f ca="1">IF(E3593=4,INDEX(crude_exp_dist,MATCH(B3593,'Crude Exp Dist'!$B$6:$B$78,0),MATCH(C3593,'Crude Exp Dist'!$AD$2:$BC$2,0))*INDEX(crude_exp_by_year,MATCH(B3593,'Data Export'!$B$6:$B$78,0),1),IF(E3593=5,INDEX(ref_exp_dist,MATCH(B3593,'Refined Petro Exp Dist'!$B$6:$B$78,0),MATCH(C3593,'Refined Petro Exp Dist'!$AD$2:$BC$2,0))*INDEX(ref_exp_by_year,MATCH(B3593,'Data Export'!$B$6:$B$78,0),1)))</f>
        <v>0</v>
      </c>
      <c r="E3593">
        <v>5</v>
      </c>
      <c r="F3593" t="s">
        <v>173</v>
      </c>
    </row>
    <row r="3594" spans="1:6">
      <c r="A3594" t="str">
        <f t="shared" si="56"/>
        <v>GenericE&amp;DtemplateCIandGOA</v>
      </c>
      <c r="B3594">
        <v>69</v>
      </c>
      <c r="C3594">
        <v>5</v>
      </c>
      <c r="D3594" s="649">
        <f ca="1">IF(E3594=4,INDEX(crude_exp_dist,MATCH(B3594,'Crude Exp Dist'!$B$6:$B$78,0),MATCH(C3594,'Crude Exp Dist'!$AD$2:$BC$2,0))*INDEX(crude_exp_by_year,MATCH(B3594,'Data Export'!$B$6:$B$78,0),1),IF(E3594=5,INDEX(ref_exp_dist,MATCH(B3594,'Refined Petro Exp Dist'!$B$6:$B$78,0),MATCH(C3594,'Refined Petro Exp Dist'!$AD$2:$BC$2,0))*INDEX(ref_exp_by_year,MATCH(B3594,'Data Export'!$B$6:$B$78,0),1)))</f>
        <v>0</v>
      </c>
      <c r="E3594">
        <v>5</v>
      </c>
      <c r="F3594" t="s">
        <v>180</v>
      </c>
    </row>
    <row r="3595" spans="1:6">
      <c r="A3595" t="str">
        <f t="shared" si="56"/>
        <v>GenericE&amp;DtemplateCIandGOA</v>
      </c>
      <c r="B3595">
        <v>69</v>
      </c>
      <c r="C3595">
        <v>6</v>
      </c>
      <c r="D3595" s="649">
        <f ca="1">IF(E3595=4,INDEX(crude_exp_dist,MATCH(B3595,'Crude Exp Dist'!$B$6:$B$78,0),MATCH(C3595,'Crude Exp Dist'!$AD$2:$BC$2,0))*INDEX(crude_exp_by_year,MATCH(B3595,'Data Export'!$B$6:$B$78,0),1),IF(E3595=5,INDEX(ref_exp_dist,MATCH(B3595,'Refined Petro Exp Dist'!$B$6:$B$78,0),MATCH(C3595,'Refined Petro Exp Dist'!$AD$2:$BC$2,0))*INDEX(ref_exp_by_year,MATCH(B3595,'Data Export'!$B$6:$B$78,0),1)))</f>
        <v>0</v>
      </c>
      <c r="E3595">
        <v>5</v>
      </c>
      <c r="F3595" t="s">
        <v>186</v>
      </c>
    </row>
    <row r="3596" spans="1:6">
      <c r="A3596" t="str">
        <f t="shared" si="56"/>
        <v>GenericE&amp;DtemplateCIandGOA</v>
      </c>
      <c r="B3596">
        <v>69</v>
      </c>
      <c r="C3596">
        <v>7</v>
      </c>
      <c r="D3596" s="649">
        <f ca="1">IF(E3596=4,INDEX(crude_exp_dist,MATCH(B3596,'Crude Exp Dist'!$B$6:$B$78,0),MATCH(C3596,'Crude Exp Dist'!$AD$2:$BC$2,0))*INDEX(crude_exp_by_year,MATCH(B3596,'Data Export'!$B$6:$B$78,0),1),IF(E3596=5,INDEX(ref_exp_dist,MATCH(B3596,'Refined Petro Exp Dist'!$B$6:$B$78,0),MATCH(C3596,'Refined Petro Exp Dist'!$AD$2:$BC$2,0))*INDEX(ref_exp_by_year,MATCH(B3596,'Data Export'!$B$6:$B$78,0),1)))</f>
        <v>0</v>
      </c>
      <c r="E3596">
        <v>5</v>
      </c>
      <c r="F3596" t="s">
        <v>191</v>
      </c>
    </row>
    <row r="3597" spans="1:6">
      <c r="A3597" t="str">
        <f t="shared" si="56"/>
        <v>GenericE&amp;DtemplateCIandGOA</v>
      </c>
      <c r="B3597">
        <v>69</v>
      </c>
      <c r="C3597">
        <v>8</v>
      </c>
      <c r="D3597" s="649">
        <f ca="1">IF(E3597=4,INDEX(crude_exp_dist,MATCH(B3597,'Crude Exp Dist'!$B$6:$B$78,0),MATCH(C3597,'Crude Exp Dist'!$AD$2:$BC$2,0))*INDEX(crude_exp_by_year,MATCH(B3597,'Data Export'!$B$6:$B$78,0),1),IF(E3597=5,INDEX(ref_exp_dist,MATCH(B3597,'Refined Petro Exp Dist'!$B$6:$B$78,0),MATCH(C3597,'Refined Petro Exp Dist'!$AD$2:$BC$2,0))*INDEX(ref_exp_by_year,MATCH(B3597,'Data Export'!$B$6:$B$78,0),1)))</f>
        <v>0</v>
      </c>
      <c r="E3597">
        <v>5</v>
      </c>
      <c r="F3597" t="s">
        <v>197</v>
      </c>
    </row>
    <row r="3598" spans="1:6">
      <c r="A3598" t="str">
        <f t="shared" si="56"/>
        <v>GenericE&amp;DtemplateCIandGOA</v>
      </c>
      <c r="B3598">
        <v>69</v>
      </c>
      <c r="C3598">
        <v>9</v>
      </c>
      <c r="D3598" s="649">
        <f ca="1">IF(E3598=4,INDEX(crude_exp_dist,MATCH(B3598,'Crude Exp Dist'!$B$6:$B$78,0),MATCH(C3598,'Crude Exp Dist'!$AD$2:$BC$2,0))*INDEX(crude_exp_by_year,MATCH(B3598,'Data Export'!$B$6:$B$78,0),1),IF(E3598=5,INDEX(ref_exp_dist,MATCH(B3598,'Refined Petro Exp Dist'!$B$6:$B$78,0),MATCH(C3598,'Refined Petro Exp Dist'!$AD$2:$BC$2,0))*INDEX(ref_exp_by_year,MATCH(B3598,'Data Export'!$B$6:$B$78,0),1)))</f>
        <v>0</v>
      </c>
      <c r="E3598">
        <v>5</v>
      </c>
      <c r="F3598" t="s">
        <v>199</v>
      </c>
    </row>
    <row r="3599" spans="1:6">
      <c r="A3599" t="str">
        <f t="shared" si="56"/>
        <v>GenericE&amp;DtemplateCIandGOA</v>
      </c>
      <c r="B3599">
        <v>69</v>
      </c>
      <c r="C3599">
        <v>10</v>
      </c>
      <c r="D3599" s="649">
        <f ca="1">IF(E3599=4,INDEX(crude_exp_dist,MATCH(B3599,'Crude Exp Dist'!$B$6:$B$78,0),MATCH(C3599,'Crude Exp Dist'!$AD$2:$BC$2,0))*INDEX(crude_exp_by_year,MATCH(B3599,'Data Export'!$B$6:$B$78,0),1),IF(E3599=5,INDEX(ref_exp_dist,MATCH(B3599,'Refined Petro Exp Dist'!$B$6:$B$78,0),MATCH(C3599,'Refined Petro Exp Dist'!$AD$2:$BC$2,0))*INDEX(ref_exp_by_year,MATCH(B3599,'Data Export'!$B$6:$B$78,0),1)))</f>
        <v>0</v>
      </c>
      <c r="E3599">
        <v>5</v>
      </c>
      <c r="F3599" t="s">
        <v>201</v>
      </c>
    </row>
    <row r="3600" spans="1:6">
      <c r="A3600" t="str">
        <f t="shared" si="56"/>
        <v>GenericE&amp;DtemplateCIandGOA</v>
      </c>
      <c r="B3600">
        <v>69</v>
      </c>
      <c r="C3600">
        <v>11</v>
      </c>
      <c r="D3600" s="649">
        <f ca="1">IF(E3600=4,INDEX(crude_exp_dist,MATCH(B3600,'Crude Exp Dist'!$B$6:$B$78,0),MATCH(C3600,'Crude Exp Dist'!$AD$2:$BC$2,0))*INDEX(crude_exp_by_year,MATCH(B3600,'Data Export'!$B$6:$B$78,0),1),IF(E3600=5,INDEX(ref_exp_dist,MATCH(B3600,'Refined Petro Exp Dist'!$B$6:$B$78,0),MATCH(C3600,'Refined Petro Exp Dist'!$AD$2:$BC$2,0))*INDEX(ref_exp_by_year,MATCH(B3600,'Data Export'!$B$6:$B$78,0),1)))</f>
        <v>0</v>
      </c>
      <c r="E3600">
        <v>5</v>
      </c>
      <c r="F3600" t="s">
        <v>921</v>
      </c>
    </row>
    <row r="3601" spans="1:6">
      <c r="A3601" t="str">
        <f t="shared" si="56"/>
        <v>GenericE&amp;DtemplateCIandGOA</v>
      </c>
      <c r="B3601">
        <v>69</v>
      </c>
      <c r="C3601">
        <v>12</v>
      </c>
      <c r="D3601" s="649">
        <f ca="1">IF(E3601=4,INDEX(crude_exp_dist,MATCH(B3601,'Crude Exp Dist'!$B$6:$B$78,0),MATCH(C3601,'Crude Exp Dist'!$AD$2:$BC$2,0))*INDEX(crude_exp_by_year,MATCH(B3601,'Data Export'!$B$6:$B$78,0),1),IF(E3601=5,INDEX(ref_exp_dist,MATCH(B3601,'Refined Petro Exp Dist'!$B$6:$B$78,0),MATCH(C3601,'Refined Petro Exp Dist'!$AD$2:$BC$2,0))*INDEX(ref_exp_by_year,MATCH(B3601,'Data Export'!$B$6:$B$78,0),1)))</f>
        <v>0</v>
      </c>
      <c r="E3601">
        <v>5</v>
      </c>
      <c r="F3601" t="s">
        <v>208</v>
      </c>
    </row>
    <row r="3602" spans="1:6">
      <c r="A3602" t="str">
        <f t="shared" si="56"/>
        <v>GenericE&amp;DtemplateCIandGOA</v>
      </c>
      <c r="B3602">
        <v>69</v>
      </c>
      <c r="C3602">
        <v>13</v>
      </c>
      <c r="D3602" s="649">
        <f ca="1">IF(E3602=4,INDEX(crude_exp_dist,MATCH(B3602,'Crude Exp Dist'!$B$6:$B$78,0),MATCH(C3602,'Crude Exp Dist'!$AD$2:$BC$2,0))*INDEX(crude_exp_by_year,MATCH(B3602,'Data Export'!$B$6:$B$78,0),1),IF(E3602=5,INDEX(ref_exp_dist,MATCH(B3602,'Refined Petro Exp Dist'!$B$6:$B$78,0),MATCH(C3602,'Refined Petro Exp Dist'!$AD$2:$BC$2,0))*INDEX(ref_exp_by_year,MATCH(B3602,'Data Export'!$B$6:$B$78,0),1)))</f>
        <v>0</v>
      </c>
      <c r="E3602">
        <v>5</v>
      </c>
      <c r="F3602" t="s">
        <v>211</v>
      </c>
    </row>
    <row r="3603" spans="1:6">
      <c r="A3603" t="str">
        <f t="shared" si="56"/>
        <v>GenericE&amp;DtemplateCIandGOA</v>
      </c>
      <c r="B3603">
        <v>69</v>
      </c>
      <c r="C3603">
        <v>14</v>
      </c>
      <c r="D3603" s="649">
        <f ca="1">IF(E3603=4,INDEX(crude_exp_dist,MATCH(B3603,'Crude Exp Dist'!$B$6:$B$78,0),MATCH(C3603,'Crude Exp Dist'!$AD$2:$BC$2,0))*INDEX(crude_exp_by_year,MATCH(B3603,'Data Export'!$B$6:$B$78,0),1),IF(E3603=5,INDEX(ref_exp_dist,MATCH(B3603,'Refined Petro Exp Dist'!$B$6:$B$78,0),MATCH(C3603,'Refined Petro Exp Dist'!$AD$2:$BC$2,0))*INDEX(ref_exp_by_year,MATCH(B3603,'Data Export'!$B$6:$B$78,0),1)))</f>
        <v>0</v>
      </c>
      <c r="E3603">
        <v>5</v>
      </c>
      <c r="F3603" t="s">
        <v>213</v>
      </c>
    </row>
    <row r="3604" spans="1:6">
      <c r="A3604" t="str">
        <f t="shared" si="56"/>
        <v>GenericE&amp;DtemplateCIandGOA</v>
      </c>
      <c r="B3604">
        <v>69</v>
      </c>
      <c r="C3604">
        <v>15</v>
      </c>
      <c r="D3604" s="649">
        <f ca="1">IF(E3604=4,INDEX(crude_exp_dist,MATCH(B3604,'Crude Exp Dist'!$B$6:$B$78,0),MATCH(C3604,'Crude Exp Dist'!$AD$2:$BC$2,0))*INDEX(crude_exp_by_year,MATCH(B3604,'Data Export'!$B$6:$B$78,0),1),IF(E3604=5,INDEX(ref_exp_dist,MATCH(B3604,'Refined Petro Exp Dist'!$B$6:$B$78,0),MATCH(C3604,'Refined Petro Exp Dist'!$AD$2:$BC$2,0))*INDEX(ref_exp_by_year,MATCH(B3604,'Data Export'!$B$6:$B$78,0),1)))</f>
        <v>0</v>
      </c>
      <c r="E3604">
        <v>5</v>
      </c>
      <c r="F3604" t="s">
        <v>215</v>
      </c>
    </row>
    <row r="3605" spans="1:6">
      <c r="A3605" t="str">
        <f t="shared" si="56"/>
        <v>GenericE&amp;DtemplateCIandGOA</v>
      </c>
      <c r="B3605">
        <v>69</v>
      </c>
      <c r="C3605">
        <v>16</v>
      </c>
      <c r="D3605" s="649">
        <f ca="1">IF(E3605=4,INDEX(crude_exp_dist,MATCH(B3605,'Crude Exp Dist'!$B$6:$B$78,0),MATCH(C3605,'Crude Exp Dist'!$AD$2:$BC$2,0))*INDEX(crude_exp_by_year,MATCH(B3605,'Data Export'!$B$6:$B$78,0),1),IF(E3605=5,INDEX(ref_exp_dist,MATCH(B3605,'Refined Petro Exp Dist'!$B$6:$B$78,0),MATCH(C3605,'Refined Petro Exp Dist'!$AD$2:$BC$2,0))*INDEX(ref_exp_by_year,MATCH(B3605,'Data Export'!$B$6:$B$78,0),1)))</f>
        <v>0</v>
      </c>
      <c r="E3605">
        <v>5</v>
      </c>
      <c r="F3605" t="s">
        <v>219</v>
      </c>
    </row>
    <row r="3606" spans="1:6">
      <c r="A3606" t="str">
        <f t="shared" si="56"/>
        <v>GenericE&amp;DtemplateCIandGOA</v>
      </c>
      <c r="B3606">
        <v>69</v>
      </c>
      <c r="C3606">
        <v>17</v>
      </c>
      <c r="D3606" s="649">
        <f ca="1">IF(E3606=4,INDEX(crude_exp_dist,MATCH(B3606,'Crude Exp Dist'!$B$6:$B$78,0),MATCH(C3606,'Crude Exp Dist'!$AD$2:$BC$2,0))*INDEX(crude_exp_by_year,MATCH(B3606,'Data Export'!$B$6:$B$78,0),1),IF(E3606=5,INDEX(ref_exp_dist,MATCH(B3606,'Refined Petro Exp Dist'!$B$6:$B$78,0),MATCH(C3606,'Refined Petro Exp Dist'!$AD$2:$BC$2,0))*INDEX(ref_exp_by_year,MATCH(B3606,'Data Export'!$B$6:$B$78,0),1)))</f>
        <v>0</v>
      </c>
      <c r="E3606">
        <v>5</v>
      </c>
      <c r="F3606" t="s">
        <v>222</v>
      </c>
    </row>
    <row r="3607" spans="1:6">
      <c r="A3607" t="str">
        <f t="shared" si="56"/>
        <v>GenericE&amp;DtemplateCIandGOA</v>
      </c>
      <c r="B3607">
        <v>69</v>
      </c>
      <c r="C3607">
        <v>18</v>
      </c>
      <c r="D3607" s="649">
        <f ca="1">IF(E3607=4,INDEX(crude_exp_dist,MATCH(B3607,'Crude Exp Dist'!$B$6:$B$78,0),MATCH(C3607,'Crude Exp Dist'!$AD$2:$BC$2,0))*INDEX(crude_exp_by_year,MATCH(B3607,'Data Export'!$B$6:$B$78,0),1),IF(E3607=5,INDEX(ref_exp_dist,MATCH(B3607,'Refined Petro Exp Dist'!$B$6:$B$78,0),MATCH(C3607,'Refined Petro Exp Dist'!$AD$2:$BC$2,0))*INDEX(ref_exp_by_year,MATCH(B3607,'Data Export'!$B$6:$B$78,0),1)))</f>
        <v>0</v>
      </c>
      <c r="E3607">
        <v>5</v>
      </c>
      <c r="F3607" t="s">
        <v>224</v>
      </c>
    </row>
    <row r="3608" spans="1:6">
      <c r="A3608" t="str">
        <f t="shared" si="56"/>
        <v>GenericE&amp;DtemplateCIandGOA</v>
      </c>
      <c r="B3608">
        <v>69</v>
      </c>
      <c r="C3608">
        <v>19</v>
      </c>
      <c r="D3608" s="649">
        <f ca="1">IF(E3608=4,INDEX(crude_exp_dist,MATCH(B3608,'Crude Exp Dist'!$B$6:$B$78,0),MATCH(C3608,'Crude Exp Dist'!$AD$2:$BC$2,0))*INDEX(crude_exp_by_year,MATCH(B3608,'Data Export'!$B$6:$B$78,0),1),IF(E3608=5,INDEX(ref_exp_dist,MATCH(B3608,'Refined Petro Exp Dist'!$B$6:$B$78,0),MATCH(C3608,'Refined Petro Exp Dist'!$AD$2:$BC$2,0))*INDEX(ref_exp_by_year,MATCH(B3608,'Data Export'!$B$6:$B$78,0),1)))</f>
        <v>0</v>
      </c>
      <c r="E3608">
        <v>5</v>
      </c>
      <c r="F3608" t="s">
        <v>228</v>
      </c>
    </row>
    <row r="3609" spans="1:6">
      <c r="A3609" t="str">
        <f t="shared" si="56"/>
        <v>GenericE&amp;DtemplateCIandGOA</v>
      </c>
      <c r="B3609">
        <v>69</v>
      </c>
      <c r="C3609">
        <v>20</v>
      </c>
      <c r="D3609" s="649">
        <f ca="1">IF(E3609=4,INDEX(crude_exp_dist,MATCH(B3609,'Crude Exp Dist'!$B$6:$B$78,0),MATCH(C3609,'Crude Exp Dist'!$AD$2:$BC$2,0))*INDEX(crude_exp_by_year,MATCH(B3609,'Data Export'!$B$6:$B$78,0),1),IF(E3609=5,INDEX(ref_exp_dist,MATCH(B3609,'Refined Petro Exp Dist'!$B$6:$B$78,0),MATCH(C3609,'Refined Petro Exp Dist'!$AD$2:$BC$2,0))*INDEX(ref_exp_by_year,MATCH(B3609,'Data Export'!$B$6:$B$78,0),1)))</f>
        <v>0</v>
      </c>
      <c r="E3609">
        <v>5</v>
      </c>
      <c r="F3609" t="s">
        <v>231</v>
      </c>
    </row>
    <row r="3610" spans="1:6">
      <c r="A3610" t="str">
        <f t="shared" si="56"/>
        <v>GenericE&amp;DtemplateCIandGOA</v>
      </c>
      <c r="B3610">
        <v>69</v>
      </c>
      <c r="C3610">
        <v>21</v>
      </c>
      <c r="D3610" s="649">
        <f ca="1">IF(E3610=4,INDEX(crude_exp_dist,MATCH(B3610,'Crude Exp Dist'!$B$6:$B$78,0),MATCH(C3610,'Crude Exp Dist'!$AD$2:$BC$2,0))*INDEX(crude_exp_by_year,MATCH(B3610,'Data Export'!$B$6:$B$78,0),1),IF(E3610=5,INDEX(ref_exp_dist,MATCH(B3610,'Refined Petro Exp Dist'!$B$6:$B$78,0),MATCH(C3610,'Refined Petro Exp Dist'!$AD$2:$BC$2,0))*INDEX(ref_exp_by_year,MATCH(B3610,'Data Export'!$B$6:$B$78,0),1)))</f>
        <v>0</v>
      </c>
      <c r="E3610">
        <v>5</v>
      </c>
      <c r="F3610" t="s">
        <v>232</v>
      </c>
    </row>
    <row r="3611" spans="1:6">
      <c r="A3611" t="str">
        <f t="shared" si="56"/>
        <v>GenericE&amp;DtemplateCIandGOA</v>
      </c>
      <c r="B3611">
        <v>69</v>
      </c>
      <c r="C3611">
        <v>22</v>
      </c>
      <c r="D3611" s="649">
        <f ca="1">IF(E3611=4,INDEX(crude_exp_dist,MATCH(B3611,'Crude Exp Dist'!$B$6:$B$78,0),MATCH(C3611,'Crude Exp Dist'!$AD$2:$BC$2,0))*INDEX(crude_exp_by_year,MATCH(B3611,'Data Export'!$B$6:$B$78,0),1),IF(E3611=5,INDEX(ref_exp_dist,MATCH(B3611,'Refined Petro Exp Dist'!$B$6:$B$78,0),MATCH(C3611,'Refined Petro Exp Dist'!$AD$2:$BC$2,0))*INDEX(ref_exp_by_year,MATCH(B3611,'Data Export'!$B$6:$B$78,0),1)))</f>
        <v>0</v>
      </c>
      <c r="E3611">
        <v>5</v>
      </c>
      <c r="F3611" t="s">
        <v>235</v>
      </c>
    </row>
    <row r="3612" spans="1:6">
      <c r="A3612" t="str">
        <f t="shared" si="56"/>
        <v>GenericE&amp;DtemplateCIandGOA</v>
      </c>
      <c r="B3612">
        <v>69</v>
      </c>
      <c r="C3612">
        <v>23</v>
      </c>
      <c r="D3612" s="649">
        <f ca="1">IF(E3612=4,INDEX(crude_exp_dist,MATCH(B3612,'Crude Exp Dist'!$B$6:$B$78,0),MATCH(C3612,'Crude Exp Dist'!$AD$2:$BC$2,0))*INDEX(crude_exp_by_year,MATCH(B3612,'Data Export'!$B$6:$B$78,0),1),IF(E3612=5,INDEX(ref_exp_dist,MATCH(B3612,'Refined Petro Exp Dist'!$B$6:$B$78,0),MATCH(C3612,'Refined Petro Exp Dist'!$AD$2:$BC$2,0))*INDEX(ref_exp_by_year,MATCH(B3612,'Data Export'!$B$6:$B$78,0),1)))</f>
        <v>0</v>
      </c>
      <c r="E3612">
        <v>5</v>
      </c>
      <c r="F3612" t="s">
        <v>237</v>
      </c>
    </row>
    <row r="3613" spans="1:6">
      <c r="A3613" t="str">
        <f t="shared" si="56"/>
        <v>GenericE&amp;DtemplateCIandGOA</v>
      </c>
      <c r="B3613">
        <v>69</v>
      </c>
      <c r="C3613">
        <v>24</v>
      </c>
      <c r="D3613" s="649">
        <f ca="1">IF(E3613=4,INDEX(crude_exp_dist,MATCH(B3613,'Crude Exp Dist'!$B$6:$B$78,0),MATCH(C3613,'Crude Exp Dist'!$AD$2:$BC$2,0))*INDEX(crude_exp_by_year,MATCH(B3613,'Data Export'!$B$6:$B$78,0),1),IF(E3613=5,INDEX(ref_exp_dist,MATCH(B3613,'Refined Petro Exp Dist'!$B$6:$B$78,0),MATCH(C3613,'Refined Petro Exp Dist'!$AD$2:$BC$2,0))*INDEX(ref_exp_by_year,MATCH(B3613,'Data Export'!$B$6:$B$78,0),1)))</f>
        <v>0</v>
      </c>
      <c r="E3613">
        <v>5</v>
      </c>
      <c r="F3613" t="s">
        <v>239</v>
      </c>
    </row>
    <row r="3614" spans="1:6">
      <c r="A3614" t="str">
        <f t="shared" si="56"/>
        <v>GenericE&amp;DtemplateCIandGOA</v>
      </c>
      <c r="B3614">
        <v>69</v>
      </c>
      <c r="C3614">
        <v>25</v>
      </c>
      <c r="D3614" s="649">
        <f ca="1">IF(E3614=4,INDEX(crude_exp_dist,MATCH(B3614,'Crude Exp Dist'!$B$6:$B$78,0),MATCH(C3614,'Crude Exp Dist'!$AD$2:$BC$2,0))*INDEX(crude_exp_by_year,MATCH(B3614,'Data Export'!$B$6:$B$78,0),1),IF(E3614=5,INDEX(ref_exp_dist,MATCH(B3614,'Refined Petro Exp Dist'!$B$6:$B$78,0),MATCH(C3614,'Refined Petro Exp Dist'!$AD$2:$BC$2,0))*INDEX(ref_exp_by_year,MATCH(B3614,'Data Export'!$B$6:$B$78,0),1)))</f>
        <v>0</v>
      </c>
      <c r="E3614">
        <v>5</v>
      </c>
      <c r="F3614" t="s">
        <v>242</v>
      </c>
    </row>
    <row r="3615" spans="1:6">
      <c r="A3615" t="str">
        <f t="shared" si="56"/>
        <v>GenericE&amp;DtemplateCIandGOA</v>
      </c>
      <c r="B3615">
        <v>69</v>
      </c>
      <c r="C3615">
        <v>26</v>
      </c>
      <c r="D3615" s="649">
        <f ca="1">IF(E3615=4,INDEX(crude_exp_dist,MATCH(B3615,'Crude Exp Dist'!$B$6:$B$78,0),MATCH(C3615,'Crude Exp Dist'!$AD$2:$BC$2,0))*INDEX(crude_exp_by_year,MATCH(B3615,'Data Export'!$B$6:$B$78,0),1),IF(E3615=5,INDEX(ref_exp_dist,MATCH(B3615,'Refined Petro Exp Dist'!$B$6:$B$78,0),MATCH(C3615,'Refined Petro Exp Dist'!$AD$2:$BC$2,0))*INDEX(ref_exp_by_year,MATCH(B3615,'Data Export'!$B$6:$B$78,0),1)))</f>
        <v>0</v>
      </c>
      <c r="E3615">
        <v>5</v>
      </c>
      <c r="F3615" t="s">
        <v>245</v>
      </c>
    </row>
    <row r="3616" spans="1:6">
      <c r="A3616" t="str">
        <f t="shared" si="56"/>
        <v>GenericE&amp;DtemplateCIandGOA</v>
      </c>
      <c r="B3616">
        <v>70</v>
      </c>
      <c r="C3616">
        <v>1</v>
      </c>
      <c r="D3616" s="649">
        <f ca="1">IF(E3616=4,INDEX(crude_exp_dist,MATCH(B3616,'Crude Exp Dist'!$B$6:$B$78,0),MATCH(C3616,'Crude Exp Dist'!$AD$2:$BC$2,0))*INDEX(crude_exp_by_year,MATCH(B3616,'Data Export'!$B$6:$B$78,0),1),IF(E3616=5,INDEX(ref_exp_dist,MATCH(B3616,'Refined Petro Exp Dist'!$B$6:$B$78,0),MATCH(C3616,'Refined Petro Exp Dist'!$AD$2:$BC$2,0))*INDEX(ref_exp_by_year,MATCH(B3616,'Data Export'!$B$6:$B$78,0),1)))</f>
        <v>0</v>
      </c>
      <c r="E3616">
        <v>5</v>
      </c>
      <c r="F3616" t="s">
        <v>158</v>
      </c>
    </row>
    <row r="3617" spans="1:6">
      <c r="A3617" t="str">
        <f t="shared" si="56"/>
        <v>GenericE&amp;DtemplateCIandGOA</v>
      </c>
      <c r="B3617">
        <v>70</v>
      </c>
      <c r="C3617">
        <v>2</v>
      </c>
      <c r="D3617" s="649">
        <f ca="1">IF(E3617=4,INDEX(crude_exp_dist,MATCH(B3617,'Crude Exp Dist'!$B$6:$B$78,0),MATCH(C3617,'Crude Exp Dist'!$AD$2:$BC$2,0))*INDEX(crude_exp_by_year,MATCH(B3617,'Data Export'!$B$6:$B$78,0),1),IF(E3617=5,INDEX(ref_exp_dist,MATCH(B3617,'Refined Petro Exp Dist'!$B$6:$B$78,0),MATCH(C3617,'Refined Petro Exp Dist'!$AD$2:$BC$2,0))*INDEX(ref_exp_by_year,MATCH(B3617,'Data Export'!$B$6:$B$78,0),1)))</f>
        <v>0</v>
      </c>
      <c r="E3617">
        <v>5</v>
      </c>
      <c r="F3617" t="s">
        <v>166</v>
      </c>
    </row>
    <row r="3618" spans="1:6">
      <c r="A3618" t="str">
        <f t="shared" si="56"/>
        <v>GenericE&amp;DtemplateCIandGOA</v>
      </c>
      <c r="B3618">
        <v>70</v>
      </c>
      <c r="C3618">
        <v>3</v>
      </c>
      <c r="D3618" s="649">
        <f ca="1">IF(E3618=4,INDEX(crude_exp_dist,MATCH(B3618,'Crude Exp Dist'!$B$6:$B$78,0),MATCH(C3618,'Crude Exp Dist'!$AD$2:$BC$2,0))*INDEX(crude_exp_by_year,MATCH(B3618,'Data Export'!$B$6:$B$78,0),1),IF(E3618=5,INDEX(ref_exp_dist,MATCH(B3618,'Refined Petro Exp Dist'!$B$6:$B$78,0),MATCH(C3618,'Refined Petro Exp Dist'!$AD$2:$BC$2,0))*INDEX(ref_exp_by_year,MATCH(B3618,'Data Export'!$B$6:$B$78,0),1)))</f>
        <v>0</v>
      </c>
      <c r="E3618">
        <v>5</v>
      </c>
      <c r="F3618" t="s">
        <v>171</v>
      </c>
    </row>
    <row r="3619" spans="1:6">
      <c r="A3619" t="str">
        <f t="shared" si="56"/>
        <v>GenericE&amp;DtemplateCIandGOA</v>
      </c>
      <c r="B3619">
        <v>70</v>
      </c>
      <c r="C3619">
        <v>4</v>
      </c>
      <c r="D3619" s="649">
        <f ca="1">IF(E3619=4,INDEX(crude_exp_dist,MATCH(B3619,'Crude Exp Dist'!$B$6:$B$78,0),MATCH(C3619,'Crude Exp Dist'!$AD$2:$BC$2,0))*INDEX(crude_exp_by_year,MATCH(B3619,'Data Export'!$B$6:$B$78,0),1),IF(E3619=5,INDEX(ref_exp_dist,MATCH(B3619,'Refined Petro Exp Dist'!$B$6:$B$78,0),MATCH(C3619,'Refined Petro Exp Dist'!$AD$2:$BC$2,0))*INDEX(ref_exp_by_year,MATCH(B3619,'Data Export'!$B$6:$B$78,0),1)))</f>
        <v>0</v>
      </c>
      <c r="E3619">
        <v>5</v>
      </c>
      <c r="F3619" t="s">
        <v>173</v>
      </c>
    </row>
    <row r="3620" spans="1:6">
      <c r="A3620" t="str">
        <f t="shared" si="56"/>
        <v>GenericE&amp;DtemplateCIandGOA</v>
      </c>
      <c r="B3620">
        <v>70</v>
      </c>
      <c r="C3620">
        <v>5</v>
      </c>
      <c r="D3620" s="649">
        <f ca="1">IF(E3620=4,INDEX(crude_exp_dist,MATCH(B3620,'Crude Exp Dist'!$B$6:$B$78,0),MATCH(C3620,'Crude Exp Dist'!$AD$2:$BC$2,0))*INDEX(crude_exp_by_year,MATCH(B3620,'Data Export'!$B$6:$B$78,0),1),IF(E3620=5,INDEX(ref_exp_dist,MATCH(B3620,'Refined Petro Exp Dist'!$B$6:$B$78,0),MATCH(C3620,'Refined Petro Exp Dist'!$AD$2:$BC$2,0))*INDEX(ref_exp_by_year,MATCH(B3620,'Data Export'!$B$6:$B$78,0),1)))</f>
        <v>0</v>
      </c>
      <c r="E3620">
        <v>5</v>
      </c>
      <c r="F3620" t="s">
        <v>180</v>
      </c>
    </row>
    <row r="3621" spans="1:6">
      <c r="A3621" t="str">
        <f t="shared" si="56"/>
        <v>GenericE&amp;DtemplateCIandGOA</v>
      </c>
      <c r="B3621">
        <v>70</v>
      </c>
      <c r="C3621">
        <v>6</v>
      </c>
      <c r="D3621" s="649">
        <f ca="1">IF(E3621=4,INDEX(crude_exp_dist,MATCH(B3621,'Crude Exp Dist'!$B$6:$B$78,0),MATCH(C3621,'Crude Exp Dist'!$AD$2:$BC$2,0))*INDEX(crude_exp_by_year,MATCH(B3621,'Data Export'!$B$6:$B$78,0),1),IF(E3621=5,INDEX(ref_exp_dist,MATCH(B3621,'Refined Petro Exp Dist'!$B$6:$B$78,0),MATCH(C3621,'Refined Petro Exp Dist'!$AD$2:$BC$2,0))*INDEX(ref_exp_by_year,MATCH(B3621,'Data Export'!$B$6:$B$78,0),1)))</f>
        <v>0</v>
      </c>
      <c r="E3621">
        <v>5</v>
      </c>
      <c r="F3621" t="s">
        <v>186</v>
      </c>
    </row>
    <row r="3622" spans="1:6">
      <c r="A3622" t="str">
        <f t="shared" si="56"/>
        <v>GenericE&amp;DtemplateCIandGOA</v>
      </c>
      <c r="B3622">
        <v>70</v>
      </c>
      <c r="C3622">
        <v>7</v>
      </c>
      <c r="D3622" s="649">
        <f ca="1">IF(E3622=4,INDEX(crude_exp_dist,MATCH(B3622,'Crude Exp Dist'!$B$6:$B$78,0),MATCH(C3622,'Crude Exp Dist'!$AD$2:$BC$2,0))*INDEX(crude_exp_by_year,MATCH(B3622,'Data Export'!$B$6:$B$78,0),1),IF(E3622=5,INDEX(ref_exp_dist,MATCH(B3622,'Refined Petro Exp Dist'!$B$6:$B$78,0),MATCH(C3622,'Refined Petro Exp Dist'!$AD$2:$BC$2,0))*INDEX(ref_exp_by_year,MATCH(B3622,'Data Export'!$B$6:$B$78,0),1)))</f>
        <v>0</v>
      </c>
      <c r="E3622">
        <v>5</v>
      </c>
      <c r="F3622" t="s">
        <v>191</v>
      </c>
    </row>
    <row r="3623" spans="1:6">
      <c r="A3623" t="str">
        <f t="shared" si="56"/>
        <v>GenericE&amp;DtemplateCIandGOA</v>
      </c>
      <c r="B3623">
        <v>70</v>
      </c>
      <c r="C3623">
        <v>8</v>
      </c>
      <c r="D3623" s="649">
        <f ca="1">IF(E3623=4,INDEX(crude_exp_dist,MATCH(B3623,'Crude Exp Dist'!$B$6:$B$78,0),MATCH(C3623,'Crude Exp Dist'!$AD$2:$BC$2,0))*INDEX(crude_exp_by_year,MATCH(B3623,'Data Export'!$B$6:$B$78,0),1),IF(E3623=5,INDEX(ref_exp_dist,MATCH(B3623,'Refined Petro Exp Dist'!$B$6:$B$78,0),MATCH(C3623,'Refined Petro Exp Dist'!$AD$2:$BC$2,0))*INDEX(ref_exp_by_year,MATCH(B3623,'Data Export'!$B$6:$B$78,0),1)))</f>
        <v>0</v>
      </c>
      <c r="E3623">
        <v>5</v>
      </c>
      <c r="F3623" t="s">
        <v>197</v>
      </c>
    </row>
    <row r="3624" spans="1:6">
      <c r="A3624" t="str">
        <f t="shared" si="56"/>
        <v>GenericE&amp;DtemplateCIandGOA</v>
      </c>
      <c r="B3624">
        <v>70</v>
      </c>
      <c r="C3624">
        <v>9</v>
      </c>
      <c r="D3624" s="649">
        <f ca="1">IF(E3624=4,INDEX(crude_exp_dist,MATCH(B3624,'Crude Exp Dist'!$B$6:$B$78,0),MATCH(C3624,'Crude Exp Dist'!$AD$2:$BC$2,0))*INDEX(crude_exp_by_year,MATCH(B3624,'Data Export'!$B$6:$B$78,0),1),IF(E3624=5,INDEX(ref_exp_dist,MATCH(B3624,'Refined Petro Exp Dist'!$B$6:$B$78,0),MATCH(C3624,'Refined Petro Exp Dist'!$AD$2:$BC$2,0))*INDEX(ref_exp_by_year,MATCH(B3624,'Data Export'!$B$6:$B$78,0),1)))</f>
        <v>0</v>
      </c>
      <c r="E3624">
        <v>5</v>
      </c>
      <c r="F3624" t="s">
        <v>199</v>
      </c>
    </row>
    <row r="3625" spans="1:6">
      <c r="A3625" t="str">
        <f t="shared" si="56"/>
        <v>GenericE&amp;DtemplateCIandGOA</v>
      </c>
      <c r="B3625">
        <v>70</v>
      </c>
      <c r="C3625">
        <v>10</v>
      </c>
      <c r="D3625" s="649">
        <f ca="1">IF(E3625=4,INDEX(crude_exp_dist,MATCH(B3625,'Crude Exp Dist'!$B$6:$B$78,0),MATCH(C3625,'Crude Exp Dist'!$AD$2:$BC$2,0))*INDEX(crude_exp_by_year,MATCH(B3625,'Data Export'!$B$6:$B$78,0),1),IF(E3625=5,INDEX(ref_exp_dist,MATCH(B3625,'Refined Petro Exp Dist'!$B$6:$B$78,0),MATCH(C3625,'Refined Petro Exp Dist'!$AD$2:$BC$2,0))*INDEX(ref_exp_by_year,MATCH(B3625,'Data Export'!$B$6:$B$78,0),1)))</f>
        <v>0</v>
      </c>
      <c r="E3625">
        <v>5</v>
      </c>
      <c r="F3625" t="s">
        <v>201</v>
      </c>
    </row>
    <row r="3626" spans="1:6">
      <c r="A3626" t="str">
        <f t="shared" si="56"/>
        <v>GenericE&amp;DtemplateCIandGOA</v>
      </c>
      <c r="B3626">
        <v>70</v>
      </c>
      <c r="C3626">
        <v>11</v>
      </c>
      <c r="D3626" s="649">
        <f ca="1">IF(E3626=4,INDEX(crude_exp_dist,MATCH(B3626,'Crude Exp Dist'!$B$6:$B$78,0),MATCH(C3626,'Crude Exp Dist'!$AD$2:$BC$2,0))*INDEX(crude_exp_by_year,MATCH(B3626,'Data Export'!$B$6:$B$78,0),1),IF(E3626=5,INDEX(ref_exp_dist,MATCH(B3626,'Refined Petro Exp Dist'!$B$6:$B$78,0),MATCH(C3626,'Refined Petro Exp Dist'!$AD$2:$BC$2,0))*INDEX(ref_exp_by_year,MATCH(B3626,'Data Export'!$B$6:$B$78,0),1)))</f>
        <v>0</v>
      </c>
      <c r="E3626">
        <v>5</v>
      </c>
      <c r="F3626" t="s">
        <v>921</v>
      </c>
    </row>
    <row r="3627" spans="1:6">
      <c r="A3627" t="str">
        <f t="shared" si="56"/>
        <v>GenericE&amp;DtemplateCIandGOA</v>
      </c>
      <c r="B3627">
        <v>70</v>
      </c>
      <c r="C3627">
        <v>12</v>
      </c>
      <c r="D3627" s="649">
        <f ca="1">IF(E3627=4,INDEX(crude_exp_dist,MATCH(B3627,'Crude Exp Dist'!$B$6:$B$78,0),MATCH(C3627,'Crude Exp Dist'!$AD$2:$BC$2,0))*INDEX(crude_exp_by_year,MATCH(B3627,'Data Export'!$B$6:$B$78,0),1),IF(E3627=5,INDEX(ref_exp_dist,MATCH(B3627,'Refined Petro Exp Dist'!$B$6:$B$78,0),MATCH(C3627,'Refined Petro Exp Dist'!$AD$2:$BC$2,0))*INDEX(ref_exp_by_year,MATCH(B3627,'Data Export'!$B$6:$B$78,0),1)))</f>
        <v>0</v>
      </c>
      <c r="E3627">
        <v>5</v>
      </c>
      <c r="F3627" t="s">
        <v>208</v>
      </c>
    </row>
    <row r="3628" spans="1:6">
      <c r="A3628" t="str">
        <f t="shared" si="56"/>
        <v>GenericE&amp;DtemplateCIandGOA</v>
      </c>
      <c r="B3628">
        <v>70</v>
      </c>
      <c r="C3628">
        <v>13</v>
      </c>
      <c r="D3628" s="649">
        <f ca="1">IF(E3628=4,INDEX(crude_exp_dist,MATCH(B3628,'Crude Exp Dist'!$B$6:$B$78,0),MATCH(C3628,'Crude Exp Dist'!$AD$2:$BC$2,0))*INDEX(crude_exp_by_year,MATCH(B3628,'Data Export'!$B$6:$B$78,0),1),IF(E3628=5,INDEX(ref_exp_dist,MATCH(B3628,'Refined Petro Exp Dist'!$B$6:$B$78,0),MATCH(C3628,'Refined Petro Exp Dist'!$AD$2:$BC$2,0))*INDEX(ref_exp_by_year,MATCH(B3628,'Data Export'!$B$6:$B$78,0),1)))</f>
        <v>0</v>
      </c>
      <c r="E3628">
        <v>5</v>
      </c>
      <c r="F3628" t="s">
        <v>211</v>
      </c>
    </row>
    <row r="3629" spans="1:6">
      <c r="A3629" t="str">
        <f t="shared" si="56"/>
        <v>GenericE&amp;DtemplateCIandGOA</v>
      </c>
      <c r="B3629">
        <v>70</v>
      </c>
      <c r="C3629">
        <v>14</v>
      </c>
      <c r="D3629" s="649">
        <f ca="1">IF(E3629=4,INDEX(crude_exp_dist,MATCH(B3629,'Crude Exp Dist'!$B$6:$B$78,0),MATCH(C3629,'Crude Exp Dist'!$AD$2:$BC$2,0))*INDEX(crude_exp_by_year,MATCH(B3629,'Data Export'!$B$6:$B$78,0),1),IF(E3629=5,INDEX(ref_exp_dist,MATCH(B3629,'Refined Petro Exp Dist'!$B$6:$B$78,0),MATCH(C3629,'Refined Petro Exp Dist'!$AD$2:$BC$2,0))*INDEX(ref_exp_by_year,MATCH(B3629,'Data Export'!$B$6:$B$78,0),1)))</f>
        <v>0</v>
      </c>
      <c r="E3629">
        <v>5</v>
      </c>
      <c r="F3629" t="s">
        <v>213</v>
      </c>
    </row>
    <row r="3630" spans="1:6">
      <c r="A3630" t="str">
        <f t="shared" si="56"/>
        <v>GenericE&amp;DtemplateCIandGOA</v>
      </c>
      <c r="B3630">
        <v>70</v>
      </c>
      <c r="C3630">
        <v>15</v>
      </c>
      <c r="D3630" s="649">
        <f ca="1">IF(E3630=4,INDEX(crude_exp_dist,MATCH(B3630,'Crude Exp Dist'!$B$6:$B$78,0),MATCH(C3630,'Crude Exp Dist'!$AD$2:$BC$2,0))*INDEX(crude_exp_by_year,MATCH(B3630,'Data Export'!$B$6:$B$78,0),1),IF(E3630=5,INDEX(ref_exp_dist,MATCH(B3630,'Refined Petro Exp Dist'!$B$6:$B$78,0),MATCH(C3630,'Refined Petro Exp Dist'!$AD$2:$BC$2,0))*INDEX(ref_exp_by_year,MATCH(B3630,'Data Export'!$B$6:$B$78,0),1)))</f>
        <v>0</v>
      </c>
      <c r="E3630">
        <v>5</v>
      </c>
      <c r="F3630" t="s">
        <v>215</v>
      </c>
    </row>
    <row r="3631" spans="1:6">
      <c r="A3631" t="str">
        <f t="shared" si="56"/>
        <v>GenericE&amp;DtemplateCIandGOA</v>
      </c>
      <c r="B3631">
        <v>70</v>
      </c>
      <c r="C3631">
        <v>16</v>
      </c>
      <c r="D3631" s="649">
        <f ca="1">IF(E3631=4,INDEX(crude_exp_dist,MATCH(B3631,'Crude Exp Dist'!$B$6:$B$78,0),MATCH(C3631,'Crude Exp Dist'!$AD$2:$BC$2,0))*INDEX(crude_exp_by_year,MATCH(B3631,'Data Export'!$B$6:$B$78,0),1),IF(E3631=5,INDEX(ref_exp_dist,MATCH(B3631,'Refined Petro Exp Dist'!$B$6:$B$78,0),MATCH(C3631,'Refined Petro Exp Dist'!$AD$2:$BC$2,0))*INDEX(ref_exp_by_year,MATCH(B3631,'Data Export'!$B$6:$B$78,0),1)))</f>
        <v>0</v>
      </c>
      <c r="E3631">
        <v>5</v>
      </c>
      <c r="F3631" t="s">
        <v>219</v>
      </c>
    </row>
    <row r="3632" spans="1:6">
      <c r="A3632" t="str">
        <f t="shared" si="56"/>
        <v>GenericE&amp;DtemplateCIandGOA</v>
      </c>
      <c r="B3632">
        <v>70</v>
      </c>
      <c r="C3632">
        <v>17</v>
      </c>
      <c r="D3632" s="649">
        <f ca="1">IF(E3632=4,INDEX(crude_exp_dist,MATCH(B3632,'Crude Exp Dist'!$B$6:$B$78,0),MATCH(C3632,'Crude Exp Dist'!$AD$2:$BC$2,0))*INDEX(crude_exp_by_year,MATCH(B3632,'Data Export'!$B$6:$B$78,0),1),IF(E3632=5,INDEX(ref_exp_dist,MATCH(B3632,'Refined Petro Exp Dist'!$B$6:$B$78,0),MATCH(C3632,'Refined Petro Exp Dist'!$AD$2:$BC$2,0))*INDEX(ref_exp_by_year,MATCH(B3632,'Data Export'!$B$6:$B$78,0),1)))</f>
        <v>0</v>
      </c>
      <c r="E3632">
        <v>5</v>
      </c>
      <c r="F3632" t="s">
        <v>222</v>
      </c>
    </row>
    <row r="3633" spans="1:6">
      <c r="A3633" t="str">
        <f t="shared" si="56"/>
        <v>GenericE&amp;DtemplateCIandGOA</v>
      </c>
      <c r="B3633">
        <v>70</v>
      </c>
      <c r="C3633">
        <v>18</v>
      </c>
      <c r="D3633" s="649">
        <f ca="1">IF(E3633=4,INDEX(crude_exp_dist,MATCH(B3633,'Crude Exp Dist'!$B$6:$B$78,0),MATCH(C3633,'Crude Exp Dist'!$AD$2:$BC$2,0))*INDEX(crude_exp_by_year,MATCH(B3633,'Data Export'!$B$6:$B$78,0),1),IF(E3633=5,INDEX(ref_exp_dist,MATCH(B3633,'Refined Petro Exp Dist'!$B$6:$B$78,0),MATCH(C3633,'Refined Petro Exp Dist'!$AD$2:$BC$2,0))*INDEX(ref_exp_by_year,MATCH(B3633,'Data Export'!$B$6:$B$78,0),1)))</f>
        <v>0</v>
      </c>
      <c r="E3633">
        <v>5</v>
      </c>
      <c r="F3633" t="s">
        <v>224</v>
      </c>
    </row>
    <row r="3634" spans="1:6">
      <c r="A3634" t="str">
        <f t="shared" si="56"/>
        <v>GenericE&amp;DtemplateCIandGOA</v>
      </c>
      <c r="B3634">
        <v>70</v>
      </c>
      <c r="C3634">
        <v>19</v>
      </c>
      <c r="D3634" s="649">
        <f ca="1">IF(E3634=4,INDEX(crude_exp_dist,MATCH(B3634,'Crude Exp Dist'!$B$6:$B$78,0),MATCH(C3634,'Crude Exp Dist'!$AD$2:$BC$2,0))*INDEX(crude_exp_by_year,MATCH(B3634,'Data Export'!$B$6:$B$78,0),1),IF(E3634=5,INDEX(ref_exp_dist,MATCH(B3634,'Refined Petro Exp Dist'!$B$6:$B$78,0),MATCH(C3634,'Refined Petro Exp Dist'!$AD$2:$BC$2,0))*INDEX(ref_exp_by_year,MATCH(B3634,'Data Export'!$B$6:$B$78,0),1)))</f>
        <v>0</v>
      </c>
      <c r="E3634">
        <v>5</v>
      </c>
      <c r="F3634" t="s">
        <v>228</v>
      </c>
    </row>
    <row r="3635" spans="1:6">
      <c r="A3635" t="str">
        <f t="shared" si="56"/>
        <v>GenericE&amp;DtemplateCIandGOA</v>
      </c>
      <c r="B3635">
        <v>70</v>
      </c>
      <c r="C3635">
        <v>20</v>
      </c>
      <c r="D3635" s="649">
        <f ca="1">IF(E3635=4,INDEX(crude_exp_dist,MATCH(B3635,'Crude Exp Dist'!$B$6:$B$78,0),MATCH(C3635,'Crude Exp Dist'!$AD$2:$BC$2,0))*INDEX(crude_exp_by_year,MATCH(B3635,'Data Export'!$B$6:$B$78,0),1),IF(E3635=5,INDEX(ref_exp_dist,MATCH(B3635,'Refined Petro Exp Dist'!$B$6:$B$78,0),MATCH(C3635,'Refined Petro Exp Dist'!$AD$2:$BC$2,0))*INDEX(ref_exp_by_year,MATCH(B3635,'Data Export'!$B$6:$B$78,0),1)))</f>
        <v>0</v>
      </c>
      <c r="E3635">
        <v>5</v>
      </c>
      <c r="F3635" t="s">
        <v>231</v>
      </c>
    </row>
    <row r="3636" spans="1:6">
      <c r="A3636" t="str">
        <f t="shared" si="56"/>
        <v>GenericE&amp;DtemplateCIandGOA</v>
      </c>
      <c r="B3636">
        <v>70</v>
      </c>
      <c r="C3636">
        <v>21</v>
      </c>
      <c r="D3636" s="649">
        <f ca="1">IF(E3636=4,INDEX(crude_exp_dist,MATCH(B3636,'Crude Exp Dist'!$B$6:$B$78,0),MATCH(C3636,'Crude Exp Dist'!$AD$2:$BC$2,0))*INDEX(crude_exp_by_year,MATCH(B3636,'Data Export'!$B$6:$B$78,0),1),IF(E3636=5,INDEX(ref_exp_dist,MATCH(B3636,'Refined Petro Exp Dist'!$B$6:$B$78,0),MATCH(C3636,'Refined Petro Exp Dist'!$AD$2:$BC$2,0))*INDEX(ref_exp_by_year,MATCH(B3636,'Data Export'!$B$6:$B$78,0),1)))</f>
        <v>0</v>
      </c>
      <c r="E3636">
        <v>5</v>
      </c>
      <c r="F3636" t="s">
        <v>232</v>
      </c>
    </row>
    <row r="3637" spans="1:6">
      <c r="A3637" t="str">
        <f t="shared" si="56"/>
        <v>GenericE&amp;DtemplateCIandGOA</v>
      </c>
      <c r="B3637">
        <v>70</v>
      </c>
      <c r="C3637">
        <v>22</v>
      </c>
      <c r="D3637" s="649">
        <f ca="1">IF(E3637=4,INDEX(crude_exp_dist,MATCH(B3637,'Crude Exp Dist'!$B$6:$B$78,0),MATCH(C3637,'Crude Exp Dist'!$AD$2:$BC$2,0))*INDEX(crude_exp_by_year,MATCH(B3637,'Data Export'!$B$6:$B$78,0),1),IF(E3637=5,INDEX(ref_exp_dist,MATCH(B3637,'Refined Petro Exp Dist'!$B$6:$B$78,0),MATCH(C3637,'Refined Petro Exp Dist'!$AD$2:$BC$2,0))*INDEX(ref_exp_by_year,MATCH(B3637,'Data Export'!$B$6:$B$78,0),1)))</f>
        <v>0</v>
      </c>
      <c r="E3637">
        <v>5</v>
      </c>
      <c r="F3637" t="s">
        <v>235</v>
      </c>
    </row>
    <row r="3638" spans="1:6">
      <c r="A3638" t="str">
        <f t="shared" si="56"/>
        <v>GenericE&amp;DtemplateCIandGOA</v>
      </c>
      <c r="B3638">
        <v>70</v>
      </c>
      <c r="C3638">
        <v>23</v>
      </c>
      <c r="D3638" s="649">
        <f ca="1">IF(E3638=4,INDEX(crude_exp_dist,MATCH(B3638,'Crude Exp Dist'!$B$6:$B$78,0),MATCH(C3638,'Crude Exp Dist'!$AD$2:$BC$2,0))*INDEX(crude_exp_by_year,MATCH(B3638,'Data Export'!$B$6:$B$78,0),1),IF(E3638=5,INDEX(ref_exp_dist,MATCH(B3638,'Refined Petro Exp Dist'!$B$6:$B$78,0),MATCH(C3638,'Refined Petro Exp Dist'!$AD$2:$BC$2,0))*INDEX(ref_exp_by_year,MATCH(B3638,'Data Export'!$B$6:$B$78,0),1)))</f>
        <v>0</v>
      </c>
      <c r="E3638">
        <v>5</v>
      </c>
      <c r="F3638" t="s">
        <v>237</v>
      </c>
    </row>
    <row r="3639" spans="1:6">
      <c r="A3639" t="str">
        <f t="shared" si="56"/>
        <v>GenericE&amp;DtemplateCIandGOA</v>
      </c>
      <c r="B3639">
        <v>70</v>
      </c>
      <c r="C3639">
        <v>24</v>
      </c>
      <c r="D3639" s="649">
        <f ca="1">IF(E3639=4,INDEX(crude_exp_dist,MATCH(B3639,'Crude Exp Dist'!$B$6:$B$78,0),MATCH(C3639,'Crude Exp Dist'!$AD$2:$BC$2,0))*INDEX(crude_exp_by_year,MATCH(B3639,'Data Export'!$B$6:$B$78,0),1),IF(E3639=5,INDEX(ref_exp_dist,MATCH(B3639,'Refined Petro Exp Dist'!$B$6:$B$78,0),MATCH(C3639,'Refined Petro Exp Dist'!$AD$2:$BC$2,0))*INDEX(ref_exp_by_year,MATCH(B3639,'Data Export'!$B$6:$B$78,0),1)))</f>
        <v>0</v>
      </c>
      <c r="E3639">
        <v>5</v>
      </c>
      <c r="F3639" t="s">
        <v>239</v>
      </c>
    </row>
    <row r="3640" spans="1:6">
      <c r="A3640" t="str">
        <f t="shared" si="56"/>
        <v>GenericE&amp;DtemplateCIandGOA</v>
      </c>
      <c r="B3640">
        <v>70</v>
      </c>
      <c r="C3640">
        <v>25</v>
      </c>
      <c r="D3640" s="649">
        <f ca="1">IF(E3640=4,INDEX(crude_exp_dist,MATCH(B3640,'Crude Exp Dist'!$B$6:$B$78,0),MATCH(C3640,'Crude Exp Dist'!$AD$2:$BC$2,0))*INDEX(crude_exp_by_year,MATCH(B3640,'Data Export'!$B$6:$B$78,0),1),IF(E3640=5,INDEX(ref_exp_dist,MATCH(B3640,'Refined Petro Exp Dist'!$B$6:$B$78,0),MATCH(C3640,'Refined Petro Exp Dist'!$AD$2:$BC$2,0))*INDEX(ref_exp_by_year,MATCH(B3640,'Data Export'!$B$6:$B$78,0),1)))</f>
        <v>0</v>
      </c>
      <c r="E3640">
        <v>5</v>
      </c>
      <c r="F3640" t="s">
        <v>242</v>
      </c>
    </row>
    <row r="3641" spans="1:6">
      <c r="A3641" t="str">
        <f t="shared" si="56"/>
        <v>GenericE&amp;DtemplateCIandGOA</v>
      </c>
      <c r="B3641">
        <v>70</v>
      </c>
      <c r="C3641">
        <v>26</v>
      </c>
      <c r="D3641" s="649">
        <f ca="1">IF(E3641=4,INDEX(crude_exp_dist,MATCH(B3641,'Crude Exp Dist'!$B$6:$B$78,0),MATCH(C3641,'Crude Exp Dist'!$AD$2:$BC$2,0))*INDEX(crude_exp_by_year,MATCH(B3641,'Data Export'!$B$6:$B$78,0),1),IF(E3641=5,INDEX(ref_exp_dist,MATCH(B3641,'Refined Petro Exp Dist'!$B$6:$B$78,0),MATCH(C3641,'Refined Petro Exp Dist'!$AD$2:$BC$2,0))*INDEX(ref_exp_by_year,MATCH(B3641,'Data Export'!$B$6:$B$78,0),1)))</f>
        <v>0</v>
      </c>
      <c r="E3641">
        <v>5</v>
      </c>
      <c r="F3641" t="s">
        <v>245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79346A6FE3BBB43881B522B27317A42" ma:contentTypeVersion="11" ma:contentTypeDescription="Create a new document." ma:contentTypeScope="" ma:versionID="f9332ba27ddc0c2b0de78c58efbdf60c">
  <xsd:schema xmlns:xsd="http://www.w3.org/2001/XMLSchema" xmlns:xs="http://www.w3.org/2001/XMLSchema" xmlns:p="http://schemas.microsoft.com/office/2006/metadata/properties" xmlns:ns2="b1388771-6f73-42c2-9c51-f9c4a3c72160" xmlns:ns3="65a1283a-b37f-4f5d-8513-da4f27f989bd" targetNamespace="http://schemas.microsoft.com/office/2006/metadata/properties" ma:root="true" ma:fieldsID="57764e12f5c1d8f40a581884fa8b0b20" ns2:_="" ns3:_="">
    <xsd:import namespace="b1388771-6f73-42c2-9c51-f9c4a3c72160"/>
    <xsd:import namespace="65a1283a-b37f-4f5d-8513-da4f27f989b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388771-6f73-42c2-9c51-f9c4a3c721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5a1283a-b37f-4f5d-8513-da4f27f989b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F46291-67FC-4646-961D-A844AC9A5B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388771-6f73-42c2-9c51-f9c4a3c72160"/>
    <ds:schemaRef ds:uri="65a1283a-b37f-4f5d-8513-da4f27f989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6B2EE70-F00F-4899-8126-96D47D98F68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E05C61D-930C-46F4-8085-92B102710CD7}">
  <ds:schemaRefs>
    <ds:schemaRef ds:uri="http://schemas.microsoft.com/sharepoint/v3/contenttype/forms"/>
  </ds:schemaRefs>
</ds:datastoreItem>
</file>

<file path=docMetadata/LabelInfo.xml><?xml version="1.0" encoding="utf-8"?>
<clbl:labelList xmlns:clbl="http://schemas.microsoft.com/office/2020/mipLabelMetadata">
  <clbl:label id="{6dd02d64-b7f3-43f7-a145-cfd68d338edf}" enabled="1" method="Standard" siteId="{0693b5ba-4b18-4d7b-9341-f32f400a549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48</vt:i4>
      </vt:variant>
      <vt:variant>
        <vt:lpstr>Named Ranges</vt:lpstr>
      </vt:variant>
      <vt:variant>
        <vt:i4>815</vt:i4>
      </vt:variant>
    </vt:vector>
  </HeadingPairs>
  <TitlesOfParts>
    <vt:vector size="863" baseType="lpstr">
      <vt:lpstr>Table of Contents</vt:lpstr>
      <vt:lpstr>Update Directions</vt:lpstr>
      <vt:lpstr>Model Run Interface</vt:lpstr>
      <vt:lpstr>Detailed Results</vt:lpstr>
      <vt:lpstr>Inflation</vt:lpstr>
      <vt:lpstr>Oil supply projection</vt:lpstr>
      <vt:lpstr>Gas supply projection</vt:lpstr>
      <vt:lpstr>Electricity supply projection</vt:lpstr>
      <vt:lpstr>Coal supply projection</vt:lpstr>
      <vt:lpstr>Oil demand projection</vt:lpstr>
      <vt:lpstr>Gas demand projection</vt:lpstr>
      <vt:lpstr>Electricity demand projection</vt:lpstr>
      <vt:lpstr>Coal demand projection</vt:lpstr>
      <vt:lpstr>Oil supply SIM</vt:lpstr>
      <vt:lpstr>Gas supply SIM</vt:lpstr>
      <vt:lpstr>Electricity supply SIM</vt:lpstr>
      <vt:lpstr>Coal supply SIM</vt:lpstr>
      <vt:lpstr>OCS Refined Product Data</vt:lpstr>
      <vt:lpstr>API Production and Imports</vt:lpstr>
      <vt:lpstr>OCS Oil API</vt:lpstr>
      <vt:lpstr>OCS Crude Exports</vt:lpstr>
      <vt:lpstr>Data Import</vt:lpstr>
      <vt:lpstr>OCS Oil SIM</vt:lpstr>
      <vt:lpstr>OCS Gas SIM</vt:lpstr>
      <vt:lpstr>OCS Percentage BOE</vt:lpstr>
      <vt:lpstr>Oil demand SIM</vt:lpstr>
      <vt:lpstr>Gas demand SIM</vt:lpstr>
      <vt:lpstr>Electricity demand SIM</vt:lpstr>
      <vt:lpstr>Coal demand SIM</vt:lpstr>
      <vt:lpstr>Oil demand elasticities</vt:lpstr>
      <vt:lpstr>Gas demand elasticities</vt:lpstr>
      <vt:lpstr>Electricity demand elasticities</vt:lpstr>
      <vt:lpstr>Coal demand elasticities</vt:lpstr>
      <vt:lpstr>Defaults</vt:lpstr>
      <vt:lpstr>Oil supply elasticities</vt:lpstr>
      <vt:lpstr>Gas supply elasticities</vt:lpstr>
      <vt:lpstr>Electricity supply elasticities</vt:lpstr>
      <vt:lpstr>Coal supply elasticities</vt:lpstr>
      <vt:lpstr>Consumer surplus</vt:lpstr>
      <vt:lpstr>Prices</vt:lpstr>
      <vt:lpstr>Adjustment</vt:lpstr>
      <vt:lpstr>Parameters demand</vt:lpstr>
      <vt:lpstr>Parameters supply</vt:lpstr>
      <vt:lpstr>Data Export</vt:lpstr>
      <vt:lpstr>Historical exports</vt:lpstr>
      <vt:lpstr>Crude Exp Dist</vt:lpstr>
      <vt:lpstr>Refined Petro Exp Dist</vt:lpstr>
      <vt:lpstr>Oil Export OECM</vt:lpstr>
      <vt:lpstr>a_coa_exp</vt:lpstr>
      <vt:lpstr>a_coa_ind</vt:lpstr>
      <vt:lpstr>a_coa_oth</vt:lpstr>
      <vt:lpstr>a_ele_com</vt:lpstr>
      <vt:lpstr>a_ele_ind</vt:lpstr>
      <vt:lpstr>a_ele_oth</vt:lpstr>
      <vt:lpstr>a_ele_res</vt:lpstr>
      <vt:lpstr>a_ele_tra</vt:lpstr>
      <vt:lpstr>a_gas_com</vt:lpstr>
      <vt:lpstr>a_gas_exp</vt:lpstr>
      <vt:lpstr>a_gas_ind</vt:lpstr>
      <vt:lpstr>a_gas_res</vt:lpstr>
      <vt:lpstr>a_gas_tra</vt:lpstr>
      <vt:lpstr>a_oil_com</vt:lpstr>
      <vt:lpstr>a_oil_ind</vt:lpstr>
      <vt:lpstr>a_oil_res</vt:lpstr>
      <vt:lpstr>a_oil_row_crude</vt:lpstr>
      <vt:lpstr>a_oil_row_non_us</vt:lpstr>
      <vt:lpstr>a_oil_row_ref</vt:lpstr>
      <vt:lpstr>a_oil_tra</vt:lpstr>
      <vt:lpstr>aeo_dem_coa_2010</vt:lpstr>
      <vt:lpstr>aeo_dem_coa_ele</vt:lpstr>
      <vt:lpstr>aeo_dem_coa_exp</vt:lpstr>
      <vt:lpstr>aeo_dem_coa_ind</vt:lpstr>
      <vt:lpstr>aeo_dem_coa_oth</vt:lpstr>
      <vt:lpstr>aeo_dem_coa_tot</vt:lpstr>
      <vt:lpstr>aeo_dem_ele_2010</vt:lpstr>
      <vt:lpstr>aeo_dem_ele_com</vt:lpstr>
      <vt:lpstr>aeo_dem_ele_ind</vt:lpstr>
      <vt:lpstr>aeo_dem_ele_oth</vt:lpstr>
      <vt:lpstr>aeo_dem_ele_res</vt:lpstr>
      <vt:lpstr>aeo_dem_ele_tot</vt:lpstr>
      <vt:lpstr>aeo_dem_ele_tra</vt:lpstr>
      <vt:lpstr>aeo_dem_gas_2010</vt:lpstr>
      <vt:lpstr>aeo_dem_gas_com</vt:lpstr>
      <vt:lpstr>aeo_dem_gas_ele</vt:lpstr>
      <vt:lpstr>aeo_dem_gas_exp</vt:lpstr>
      <vt:lpstr>aeo_dem_gas_ind</vt:lpstr>
      <vt:lpstr>aeo_dem_gas_res</vt:lpstr>
      <vt:lpstr>aeo_dem_gas_tot</vt:lpstr>
      <vt:lpstr>aeo_dem_gas_tra</vt:lpstr>
      <vt:lpstr>aeo_dem_oil_2010</vt:lpstr>
      <vt:lpstr>aeo_dem_oil_com</vt:lpstr>
      <vt:lpstr>aeo_dem_oil_ele</vt:lpstr>
      <vt:lpstr>aeo_dem_oil_ind</vt:lpstr>
      <vt:lpstr>aeo_dem_oil_res</vt:lpstr>
      <vt:lpstr>aeo_dem_oil_row</vt:lpstr>
      <vt:lpstr>aeo_dem_oil_row_2010</vt:lpstr>
      <vt:lpstr>aeo_dem_oil_row_crude</vt:lpstr>
      <vt:lpstr>aeo_dem_oil_row_non_us</vt:lpstr>
      <vt:lpstr>aeo_dem_oil_row_ref</vt:lpstr>
      <vt:lpstr>aeo_dem_oil_tot</vt:lpstr>
      <vt:lpstr>aeo_dem_oil_tra</vt:lpstr>
      <vt:lpstr>aeo_price_2010</vt:lpstr>
      <vt:lpstr>aeo_price_coa</vt:lpstr>
      <vt:lpstr>aeo_price_ele</vt:lpstr>
      <vt:lpstr>aeo_price_gas</vt:lpstr>
      <vt:lpstr>aeo_price_oil</vt:lpstr>
      <vt:lpstr>aeo_prices</vt:lpstr>
      <vt:lpstr>aeo_sup_coa_2010</vt:lpstr>
      <vt:lpstr>aeo_sup_coa_dom</vt:lpstr>
      <vt:lpstr>aeo_sup_coa_imp</vt:lpstr>
      <vt:lpstr>aeo_sup_coa_tot</vt:lpstr>
      <vt:lpstr>aeo_sup_ele_2010</vt:lpstr>
      <vt:lpstr>aeo_sup_ele_coa</vt:lpstr>
      <vt:lpstr>aeo_sup_ele_gas</vt:lpstr>
      <vt:lpstr>aeo_sup_ele_hyd</vt:lpstr>
      <vt:lpstr>aeo_sup_ele_imp</vt:lpstr>
      <vt:lpstr>aeo_sup_ele_nuc</vt:lpstr>
      <vt:lpstr>aeo_sup_ele_oil</vt:lpstr>
      <vt:lpstr>aeo_sup_ele_oth</vt:lpstr>
      <vt:lpstr>aeo_sup_ele_sol</vt:lpstr>
      <vt:lpstr>aeo_sup_ele_tot</vt:lpstr>
      <vt:lpstr>aeo_sup_ele_wof</vt:lpstr>
      <vt:lpstr>aeo_sup_ele_won</vt:lpstr>
      <vt:lpstr>aeo_sup_gas_2010</vt:lpstr>
      <vt:lpstr>aeo_sup_gas_ala_off</vt:lpstr>
      <vt:lpstr>aeo_sup_gas_ala_on</vt:lpstr>
      <vt:lpstr>aeo_sup_gas_con</vt:lpstr>
      <vt:lpstr>aeo_sup_gas_lng</vt:lpstr>
      <vt:lpstr>aeo_sup_gas_off</vt:lpstr>
      <vt:lpstr>aeo_sup_gas_oth</vt:lpstr>
      <vt:lpstr>aeo_sup_gas_pip</vt:lpstr>
      <vt:lpstr>aeo_sup_gas_tot</vt:lpstr>
      <vt:lpstr>aeo_sup_gas_unc</vt:lpstr>
      <vt:lpstr>aeo_sup_oil_2010</vt:lpstr>
      <vt:lpstr>aeo_sup_oil_ala_off</vt:lpstr>
      <vt:lpstr>aeo_sup_oil_ala_on</vt:lpstr>
      <vt:lpstr>aeo_sup_oil_bio</vt:lpstr>
      <vt:lpstr>aeo_sup_oil_can</vt:lpstr>
      <vt:lpstr>aeo_sup_oil_l48</vt:lpstr>
      <vt:lpstr>aeo_sup_oil_l48_t</vt:lpstr>
      <vt:lpstr>aeo_sup_oil_off</vt:lpstr>
      <vt:lpstr>aeo_sup_oil_oth</vt:lpstr>
      <vt:lpstr>aeo_sup_oil_row</vt:lpstr>
      <vt:lpstr>aeo_sup_oil_tot</vt:lpstr>
      <vt:lpstr>ak_crude_exp_propensity</vt:lpstr>
      <vt:lpstr>ak_ref_exp_propensity</vt:lpstr>
      <vt:lpstr>akcorrections</vt:lpstr>
      <vt:lpstr>atlantic_crude_exp_propensity</vt:lpstr>
      <vt:lpstr>atlantic_ref_exp_propensity</vt:lpstr>
      <vt:lpstr>b_coa_dom</vt:lpstr>
      <vt:lpstr>b_coa_imp</vt:lpstr>
      <vt:lpstr>b_gas_ala_off</vt:lpstr>
      <vt:lpstr>b_gas_ala_on</vt:lpstr>
      <vt:lpstr>b_gas_con</vt:lpstr>
      <vt:lpstr>b_gas_lng</vt:lpstr>
      <vt:lpstr>b_gas_off</vt:lpstr>
      <vt:lpstr>b_gas_oth</vt:lpstr>
      <vt:lpstr>b_gas_pip</vt:lpstr>
      <vt:lpstr>b_gas_unc</vt:lpstr>
      <vt:lpstr>b_oil_ala_off</vt:lpstr>
      <vt:lpstr>b_oil_ala_on</vt:lpstr>
      <vt:lpstr>b_oil_bio</vt:lpstr>
      <vt:lpstr>b_oil_can</vt:lpstr>
      <vt:lpstr>b_oil_l48</vt:lpstr>
      <vt:lpstr>b_oil_l48_t</vt:lpstr>
      <vt:lpstr>b_oil_off</vt:lpstr>
      <vt:lpstr>b_oil_oth</vt:lpstr>
      <vt:lpstr>b_oil_row</vt:lpstr>
      <vt:lpstr>baseline_aeo_end_year</vt:lpstr>
      <vt:lpstr>baseline_start_year</vt:lpstr>
      <vt:lpstr>begin_year</vt:lpstr>
      <vt:lpstr>c_ele_coa</vt:lpstr>
      <vt:lpstr>c_ele_gas</vt:lpstr>
      <vt:lpstr>c_ele_hyd</vt:lpstr>
      <vt:lpstr>c_ele_imp</vt:lpstr>
      <vt:lpstr>c_ele_nuc</vt:lpstr>
      <vt:lpstr>c_ele_oil</vt:lpstr>
      <vt:lpstr>c_ele_oth</vt:lpstr>
      <vt:lpstr>c_ele_sol</vt:lpstr>
      <vt:lpstr>c_ele_wof</vt:lpstr>
      <vt:lpstr>c_ele_won</vt:lpstr>
      <vt:lpstr>coal_forecast</vt:lpstr>
      <vt:lpstr>coal_price_growth</vt:lpstr>
      <vt:lpstr>crude_exp_by_year</vt:lpstr>
      <vt:lpstr>crude_exp_dist</vt:lpstr>
      <vt:lpstr>dcs_coa</vt:lpstr>
      <vt:lpstr>dcs_ele</vt:lpstr>
      <vt:lpstr>dcs_gas</vt:lpstr>
      <vt:lpstr>dcs_oil</vt:lpstr>
      <vt:lpstr>dcs_tot</vt:lpstr>
      <vt:lpstr>def_coa_ind_ele</vt:lpstr>
      <vt:lpstr>def_coa_ind_gas</vt:lpstr>
      <vt:lpstr>def_coa_ind_oil</vt:lpstr>
      <vt:lpstr>def_coa_oth_ele</vt:lpstr>
      <vt:lpstr>def_coa_oth_gas</vt:lpstr>
      <vt:lpstr>def_coa_oth_oil</vt:lpstr>
      <vt:lpstr>def_dem_coa_exp</vt:lpstr>
      <vt:lpstr>def_dem_coa_ind</vt:lpstr>
      <vt:lpstr>def_dem_coa_oth</vt:lpstr>
      <vt:lpstr>def_dem_ele_com</vt:lpstr>
      <vt:lpstr>def_dem_ele_ind</vt:lpstr>
      <vt:lpstr>def_dem_ele_oth</vt:lpstr>
      <vt:lpstr>def_dem_ele_res</vt:lpstr>
      <vt:lpstr>def_dem_ele_tra</vt:lpstr>
      <vt:lpstr>def_dem_gas_com</vt:lpstr>
      <vt:lpstr>def_dem_gas_exp</vt:lpstr>
      <vt:lpstr>def_dem_gas_ind</vt:lpstr>
      <vt:lpstr>def_dem_gas_res</vt:lpstr>
      <vt:lpstr>def_dem_gas_tra</vt:lpstr>
      <vt:lpstr>def_dem_oil_com</vt:lpstr>
      <vt:lpstr>def_dem_oil_ind</vt:lpstr>
      <vt:lpstr>def_dem_oil_res</vt:lpstr>
      <vt:lpstr>def_dem_oil_row_crude</vt:lpstr>
      <vt:lpstr>def_dem_oil_row_non_us</vt:lpstr>
      <vt:lpstr>def_dem_oil_row_nonus</vt:lpstr>
      <vt:lpstr>def_dem_oil_row_ref</vt:lpstr>
      <vt:lpstr>def_dem_oil_tra</vt:lpstr>
      <vt:lpstr>def_ele_com_gas</vt:lpstr>
      <vt:lpstr>def_ele_com_oil</vt:lpstr>
      <vt:lpstr>def_ele_ind_coa</vt:lpstr>
      <vt:lpstr>def_ele_ind_gas</vt:lpstr>
      <vt:lpstr>def_ele_ind_oil</vt:lpstr>
      <vt:lpstr>def_ele_oth_coa</vt:lpstr>
      <vt:lpstr>def_ele_oth_gas</vt:lpstr>
      <vt:lpstr>def_ele_oth_oil</vt:lpstr>
      <vt:lpstr>def_ele_res_gas</vt:lpstr>
      <vt:lpstr>def_ele_res_oil</vt:lpstr>
      <vt:lpstr>def_ele_tra_gas</vt:lpstr>
      <vt:lpstr>def_ele_tra_oil</vt:lpstr>
      <vt:lpstr>def_g_dem_coa_exp</vt:lpstr>
      <vt:lpstr>def_g_dem_coa_ind</vt:lpstr>
      <vt:lpstr>def_g_dem_coa_oth</vt:lpstr>
      <vt:lpstr>def_g_dem_ele_com</vt:lpstr>
      <vt:lpstr>def_g_dem_ele_ind</vt:lpstr>
      <vt:lpstr>def_g_dem_ele_oth</vt:lpstr>
      <vt:lpstr>def_g_dem_ele_res</vt:lpstr>
      <vt:lpstr>def_g_dem_ele_tra</vt:lpstr>
      <vt:lpstr>def_g_dem_gas_com</vt:lpstr>
      <vt:lpstr>def_g_dem_gas_exp</vt:lpstr>
      <vt:lpstr>def_g_dem_gas_ind</vt:lpstr>
      <vt:lpstr>def_g_dem_gas_res</vt:lpstr>
      <vt:lpstr>def_g_dem_gas_tra</vt:lpstr>
      <vt:lpstr>def_g_dem_oil_com</vt:lpstr>
      <vt:lpstr>def_g_dem_oil_ind</vt:lpstr>
      <vt:lpstr>def_g_dem_oil_res</vt:lpstr>
      <vt:lpstr>def_g_dem_oil_row_crude</vt:lpstr>
      <vt:lpstr>def_g_dem_oil_row_non_us</vt:lpstr>
      <vt:lpstr>def_g_dem_oil_row_nonus</vt:lpstr>
      <vt:lpstr>def_g_dem_oil_row_ref</vt:lpstr>
      <vt:lpstr>def_g_dem_oil_tra</vt:lpstr>
      <vt:lpstr>def_g_sup_coa_dom</vt:lpstr>
      <vt:lpstr>def_g_sup_coa_imp</vt:lpstr>
      <vt:lpstr>def_g_sup_ele_coa</vt:lpstr>
      <vt:lpstr>def_g_sup_ele_gas</vt:lpstr>
      <vt:lpstr>def_g_sup_ele_hyd</vt:lpstr>
      <vt:lpstr>def_g_sup_ele_imp</vt:lpstr>
      <vt:lpstr>def_g_sup_ele_nuc</vt:lpstr>
      <vt:lpstr>def_g_sup_ele_oil</vt:lpstr>
      <vt:lpstr>def_g_sup_ele_oth</vt:lpstr>
      <vt:lpstr>def_g_sup_ele_sol</vt:lpstr>
      <vt:lpstr>def_g_sup_ele_wof</vt:lpstr>
      <vt:lpstr>def_g_sup_ele_won</vt:lpstr>
      <vt:lpstr>def_g_sup_gas_ala_off</vt:lpstr>
      <vt:lpstr>def_g_sup_gas_ala_on</vt:lpstr>
      <vt:lpstr>def_g_sup_gas_con</vt:lpstr>
      <vt:lpstr>def_g_sup_gas_lng</vt:lpstr>
      <vt:lpstr>def_g_sup_gas_off</vt:lpstr>
      <vt:lpstr>def_g_sup_gas_oth</vt:lpstr>
      <vt:lpstr>def_g_sup_gas_pip</vt:lpstr>
      <vt:lpstr>def_g_sup_gas_unc</vt:lpstr>
      <vt:lpstr>def_g_sup_oil_ala_off</vt:lpstr>
      <vt:lpstr>def_g_sup_oil_ala_on</vt:lpstr>
      <vt:lpstr>def_g_sup_oil_bio</vt:lpstr>
      <vt:lpstr>def_g_sup_oil_can</vt:lpstr>
      <vt:lpstr>def_g_sup_oil_l48</vt:lpstr>
      <vt:lpstr>def_g_sup_oil_l48_t</vt:lpstr>
      <vt:lpstr>def_g_sup_oil_off</vt:lpstr>
      <vt:lpstr>def_g_sup_oil_oth</vt:lpstr>
      <vt:lpstr>def_g_sup_oil_row</vt:lpstr>
      <vt:lpstr>def_gas_com_ele</vt:lpstr>
      <vt:lpstr>def_gas_com_oil</vt:lpstr>
      <vt:lpstr>def_gas_ind_coa</vt:lpstr>
      <vt:lpstr>def_gas_ind_ele</vt:lpstr>
      <vt:lpstr>def_gas_ind_oil</vt:lpstr>
      <vt:lpstr>def_gas_res_ele</vt:lpstr>
      <vt:lpstr>def_gas_res_oil</vt:lpstr>
      <vt:lpstr>def_gas_tra_ele</vt:lpstr>
      <vt:lpstr>def_gas_tra_oil</vt:lpstr>
      <vt:lpstr>def_oil_com_ele</vt:lpstr>
      <vt:lpstr>def_oil_com_gas</vt:lpstr>
      <vt:lpstr>def_oil_ind_coa</vt:lpstr>
      <vt:lpstr>def_oil_ind_ele</vt:lpstr>
      <vt:lpstr>def_oil_ind_gas</vt:lpstr>
      <vt:lpstr>def_oil_res_ele</vt:lpstr>
      <vt:lpstr>def_oil_res_gas</vt:lpstr>
      <vt:lpstr>def_oil_tra_ele</vt:lpstr>
      <vt:lpstr>def_oil_tra_gas</vt:lpstr>
      <vt:lpstr>def_sup_coa_dom</vt:lpstr>
      <vt:lpstr>def_sup_coa_imp</vt:lpstr>
      <vt:lpstr>def_sup_ele_coa</vt:lpstr>
      <vt:lpstr>def_sup_ele_gas</vt:lpstr>
      <vt:lpstr>def_sup_ele_hyd</vt:lpstr>
      <vt:lpstr>def_sup_ele_imp</vt:lpstr>
      <vt:lpstr>def_sup_ele_nuc</vt:lpstr>
      <vt:lpstr>def_sup_ele_oil</vt:lpstr>
      <vt:lpstr>def_sup_ele_rnh</vt:lpstr>
      <vt:lpstr>def_sup_ele_sol</vt:lpstr>
      <vt:lpstr>def_sup_ele_wof</vt:lpstr>
      <vt:lpstr>def_sup_ele_won</vt:lpstr>
      <vt:lpstr>def_sup_gas_ala</vt:lpstr>
      <vt:lpstr>def_sup_gas_ala_off</vt:lpstr>
      <vt:lpstr>def_sup_gas_ala_on</vt:lpstr>
      <vt:lpstr>def_sup_gas_con</vt:lpstr>
      <vt:lpstr>def_sup_gas_lng</vt:lpstr>
      <vt:lpstr>def_sup_gas_off</vt:lpstr>
      <vt:lpstr>def_sup_gas_oth</vt:lpstr>
      <vt:lpstr>def_sup_gas_pip</vt:lpstr>
      <vt:lpstr>def_sup_gas_unc</vt:lpstr>
      <vt:lpstr>def_sup_oil_ala_off</vt:lpstr>
      <vt:lpstr>def_sup_oil_ala_on</vt:lpstr>
      <vt:lpstr>def_sup_oil_bio</vt:lpstr>
      <vt:lpstr>def_sup_oil_can</vt:lpstr>
      <vt:lpstr>def_sup_oil_l48</vt:lpstr>
      <vt:lpstr>def_sup_oil_l48_t</vt:lpstr>
      <vt:lpstr>def_sup_oil_off</vt:lpstr>
      <vt:lpstr>def_sup_oil_oth</vt:lpstr>
      <vt:lpstr>def_sup_oil_row</vt:lpstr>
      <vt:lpstr>dis_dem_ele_tot</vt:lpstr>
      <vt:lpstr>'Update Directions'!discount_rate</vt:lpstr>
      <vt:lpstr>discount_rate</vt:lpstr>
      <vt:lpstr>display</vt:lpstr>
      <vt:lpstr>display_ocs</vt:lpstr>
      <vt:lpstr>'Update Directions'!dollars_year</vt:lpstr>
      <vt:lpstr>dollars_year</vt:lpstr>
      <vt:lpstr>e_coa_ind_ele</vt:lpstr>
      <vt:lpstr>e_coa_ind_gas</vt:lpstr>
      <vt:lpstr>e_coa_ind_oil</vt:lpstr>
      <vt:lpstr>e_coa_oth_ele</vt:lpstr>
      <vt:lpstr>e_coa_oth_gas</vt:lpstr>
      <vt:lpstr>e_coa_oth_oil</vt:lpstr>
      <vt:lpstr>e_dem_coa_exp</vt:lpstr>
      <vt:lpstr>e_dem_coa_ind</vt:lpstr>
      <vt:lpstr>e_dem_coa_oth</vt:lpstr>
      <vt:lpstr>e_dem_ele_com</vt:lpstr>
      <vt:lpstr>e_dem_ele_ind</vt:lpstr>
      <vt:lpstr>e_dem_ele_oth</vt:lpstr>
      <vt:lpstr>e_dem_ele_res</vt:lpstr>
      <vt:lpstr>e_dem_ele_tra</vt:lpstr>
      <vt:lpstr>e_dem_gas_com</vt:lpstr>
      <vt:lpstr>e_dem_gas_exp</vt:lpstr>
      <vt:lpstr>e_dem_gas_ind</vt:lpstr>
      <vt:lpstr>e_dem_gas_res</vt:lpstr>
      <vt:lpstr>e_dem_gas_tra</vt:lpstr>
      <vt:lpstr>e_dem_oil_com</vt:lpstr>
      <vt:lpstr>e_dem_oil_ind</vt:lpstr>
      <vt:lpstr>e_dem_oil_res</vt:lpstr>
      <vt:lpstr>e_dem_oil_row_crude</vt:lpstr>
      <vt:lpstr>e_dem_oil_row_non_us</vt:lpstr>
      <vt:lpstr>e_dem_oil_row_nonus</vt:lpstr>
      <vt:lpstr>e_dem_oil_row_ref</vt:lpstr>
      <vt:lpstr>e_dem_oil_tra</vt:lpstr>
      <vt:lpstr>e_ele_com_gas</vt:lpstr>
      <vt:lpstr>e_ele_com_oil</vt:lpstr>
      <vt:lpstr>e_ele_ind_coa</vt:lpstr>
      <vt:lpstr>e_ele_ind_gas</vt:lpstr>
      <vt:lpstr>e_ele_ind_oil</vt:lpstr>
      <vt:lpstr>e_ele_oth_coa</vt:lpstr>
      <vt:lpstr>e_ele_oth_gas</vt:lpstr>
      <vt:lpstr>e_ele_oth_oil</vt:lpstr>
      <vt:lpstr>e_ele_res_gas</vt:lpstr>
      <vt:lpstr>e_ele_res_oil</vt:lpstr>
      <vt:lpstr>e_ele_tra_gas</vt:lpstr>
      <vt:lpstr>e_ele_tra_oil</vt:lpstr>
      <vt:lpstr>e_gas_com_ele</vt:lpstr>
      <vt:lpstr>e_gas_com_oil</vt:lpstr>
      <vt:lpstr>e_gas_ind_coa</vt:lpstr>
      <vt:lpstr>e_gas_ind_ele</vt:lpstr>
      <vt:lpstr>e_gas_ind_oil</vt:lpstr>
      <vt:lpstr>e_gas_res_ele</vt:lpstr>
      <vt:lpstr>e_gas_res_oil</vt:lpstr>
      <vt:lpstr>e_gas_tra_ele</vt:lpstr>
      <vt:lpstr>e_gas_tra_oil</vt:lpstr>
      <vt:lpstr>e_oil_com_ele</vt:lpstr>
      <vt:lpstr>e_oil_com_gas</vt:lpstr>
      <vt:lpstr>e_oil_ind_coa</vt:lpstr>
      <vt:lpstr>e_oil_ind_ele</vt:lpstr>
      <vt:lpstr>e_oil_ind_gas</vt:lpstr>
      <vt:lpstr>e_oil_res_ele</vt:lpstr>
      <vt:lpstr>e_oil_res_gas</vt:lpstr>
      <vt:lpstr>e_oil_tra_ele</vt:lpstr>
      <vt:lpstr>e_oil_tra_gas</vt:lpstr>
      <vt:lpstr>e_sup_coa_dom</vt:lpstr>
      <vt:lpstr>e_sup_coa_imp</vt:lpstr>
      <vt:lpstr>e_sup_ele_coa</vt:lpstr>
      <vt:lpstr>e_sup_ele_gas</vt:lpstr>
      <vt:lpstr>e_sup_ele_hyd</vt:lpstr>
      <vt:lpstr>e_sup_ele_imp</vt:lpstr>
      <vt:lpstr>e_sup_ele_nuc</vt:lpstr>
      <vt:lpstr>e_sup_ele_oil</vt:lpstr>
      <vt:lpstr>e_sup_ele_rnh</vt:lpstr>
      <vt:lpstr>e_sup_ele_sol</vt:lpstr>
      <vt:lpstr>e_sup_ele_wof</vt:lpstr>
      <vt:lpstr>e_sup_ele_won</vt:lpstr>
      <vt:lpstr>e_sup_gas_ala_off</vt:lpstr>
      <vt:lpstr>e_sup_gas_ala_on</vt:lpstr>
      <vt:lpstr>e_sup_gas_con</vt:lpstr>
      <vt:lpstr>e_sup_gas_lng</vt:lpstr>
      <vt:lpstr>e_sup_gas_off</vt:lpstr>
      <vt:lpstr>e_sup_gas_oth</vt:lpstr>
      <vt:lpstr>e_sup_gas_pip</vt:lpstr>
      <vt:lpstr>e_sup_gas_unc</vt:lpstr>
      <vt:lpstr>e_sup_oil_ala_off</vt:lpstr>
      <vt:lpstr>e_sup_oil_ala_on</vt:lpstr>
      <vt:lpstr>e_sup_oil_bio</vt:lpstr>
      <vt:lpstr>e_sup_oil_can</vt:lpstr>
      <vt:lpstr>e_sup_oil_l48</vt:lpstr>
      <vt:lpstr>e_sup_oil_l48_t</vt:lpstr>
      <vt:lpstr>e_sup_oil_off</vt:lpstr>
      <vt:lpstr>e_sup_oil_oth</vt:lpstr>
      <vt:lpstr>e_sup_oil_row</vt:lpstr>
      <vt:lpstr>ed_ocs_gas</vt:lpstr>
      <vt:lpstr>ed_ocs_oil</vt:lpstr>
      <vt:lpstr>elapsed_time</vt:lpstr>
      <vt:lpstr>ele_equil</vt:lpstr>
      <vt:lpstr>elect_forecast</vt:lpstr>
      <vt:lpstr>electricity_price_growth</vt:lpstr>
      <vt:lpstr>end_time</vt:lpstr>
      <vt:lpstr>'Update Directions'!end_year</vt:lpstr>
      <vt:lpstr>end_year</vt:lpstr>
      <vt:lpstr>equ_dem_ele_com</vt:lpstr>
      <vt:lpstr>equ_dem_ele_ind</vt:lpstr>
      <vt:lpstr>equ_dem_ele_oth</vt:lpstr>
      <vt:lpstr>equ_dem_ele_res</vt:lpstr>
      <vt:lpstr>equ_dem_ele_tra</vt:lpstr>
      <vt:lpstr>g_dem_coa_exp</vt:lpstr>
      <vt:lpstr>g_dem_coa_ind</vt:lpstr>
      <vt:lpstr>g_dem_coa_oth</vt:lpstr>
      <vt:lpstr>g_dem_ele_com</vt:lpstr>
      <vt:lpstr>g_dem_ele_ind</vt:lpstr>
      <vt:lpstr>g_dem_ele_oth</vt:lpstr>
      <vt:lpstr>g_dem_ele_res</vt:lpstr>
      <vt:lpstr>g_dem_ele_tra</vt:lpstr>
      <vt:lpstr>g_dem_gas_com</vt:lpstr>
      <vt:lpstr>g_dem_gas_exp</vt:lpstr>
      <vt:lpstr>g_dem_gas_ind</vt:lpstr>
      <vt:lpstr>g_dem_gas_res</vt:lpstr>
      <vt:lpstr>g_dem_gas_tra</vt:lpstr>
      <vt:lpstr>g_dem_oil_com</vt:lpstr>
      <vt:lpstr>g_dem_oil_ind</vt:lpstr>
      <vt:lpstr>g_dem_oil_res</vt:lpstr>
      <vt:lpstr>g_dem_oil_row_crude</vt:lpstr>
      <vt:lpstr>g_dem_oil_row_non_us</vt:lpstr>
      <vt:lpstr>g_dem_oil_row_ref</vt:lpstr>
      <vt:lpstr>g_dem_oil_tra</vt:lpstr>
      <vt:lpstr>g_sup_coa_dom</vt:lpstr>
      <vt:lpstr>g_sup_coa_imp</vt:lpstr>
      <vt:lpstr>g_sup_ele_coa</vt:lpstr>
      <vt:lpstr>g_sup_ele_gas</vt:lpstr>
      <vt:lpstr>g_sup_ele_hyd</vt:lpstr>
      <vt:lpstr>g_sup_ele_imp</vt:lpstr>
      <vt:lpstr>g_sup_ele_nuc</vt:lpstr>
      <vt:lpstr>g_sup_ele_oil</vt:lpstr>
      <vt:lpstr>g_sup_ele_oth</vt:lpstr>
      <vt:lpstr>g_sup_ele_sol</vt:lpstr>
      <vt:lpstr>g_sup_ele_wof</vt:lpstr>
      <vt:lpstr>g_sup_ele_won</vt:lpstr>
      <vt:lpstr>g_sup_gas_ala_off</vt:lpstr>
      <vt:lpstr>g_sup_gas_ala_on</vt:lpstr>
      <vt:lpstr>g_sup_gas_con</vt:lpstr>
      <vt:lpstr>g_sup_gas_lng</vt:lpstr>
      <vt:lpstr>g_sup_gas_off</vt:lpstr>
      <vt:lpstr>g_sup_gas_oth</vt:lpstr>
      <vt:lpstr>g_sup_gas_pip</vt:lpstr>
      <vt:lpstr>g_sup_gas_unc</vt:lpstr>
      <vt:lpstr>g_sup_oil_ala_off</vt:lpstr>
      <vt:lpstr>g_sup_oil_ala_on</vt:lpstr>
      <vt:lpstr>g_sup_oil_bio</vt:lpstr>
      <vt:lpstr>g_sup_oil_can</vt:lpstr>
      <vt:lpstr>g_sup_oil_l48</vt:lpstr>
      <vt:lpstr>g_sup_oil_l48_t</vt:lpstr>
      <vt:lpstr>g_sup_oil_off</vt:lpstr>
      <vt:lpstr>g_sup_oil_oth</vt:lpstr>
      <vt:lpstr>g_sup_oil_row</vt:lpstr>
      <vt:lpstr>gas_boe</vt:lpstr>
      <vt:lpstr>gas_conversion</vt:lpstr>
      <vt:lpstr>gas_forecast</vt:lpstr>
      <vt:lpstr>gas_price_growth</vt:lpstr>
      <vt:lpstr>gom_crude_exp_propensity</vt:lpstr>
      <vt:lpstr>gom_ref_exp_propensity</vt:lpstr>
      <vt:lpstr>import_gas</vt:lpstr>
      <vt:lpstr>import_oil</vt:lpstr>
      <vt:lpstr>indices</vt:lpstr>
      <vt:lpstr>'Update Directions'!inflation_index</vt:lpstr>
      <vt:lpstr>inflation_index</vt:lpstr>
      <vt:lpstr>inflation_multiplier</vt:lpstr>
      <vt:lpstr>'Update Directions'!inflator_year</vt:lpstr>
      <vt:lpstr>inflator_year</vt:lpstr>
      <vt:lpstr>k_coa_ele</vt:lpstr>
      <vt:lpstr>k_gas_ele</vt:lpstr>
      <vt:lpstr>k_oil_ele</vt:lpstr>
      <vt:lpstr>'Update Directions'!length_year</vt:lpstr>
      <vt:lpstr>length_year</vt:lpstr>
      <vt:lpstr>market_equil</vt:lpstr>
      <vt:lpstr>nem_dem_ele_com</vt:lpstr>
      <vt:lpstr>nem_dem_ele_ind</vt:lpstr>
      <vt:lpstr>nem_dem_ele_oth</vt:lpstr>
      <vt:lpstr>nem_dem_ele_res</vt:lpstr>
      <vt:lpstr>nem_dem_ele_tot</vt:lpstr>
      <vt:lpstr>nem_dem_ele_tra</vt:lpstr>
      <vt:lpstr>nps_coa</vt:lpstr>
      <vt:lpstr>nps_ele</vt:lpstr>
      <vt:lpstr>nps_gas</vt:lpstr>
      <vt:lpstr>nps_oil</vt:lpstr>
      <vt:lpstr>'Update Directions'!npv_base_year</vt:lpstr>
      <vt:lpstr>npv_base_year</vt:lpstr>
      <vt:lpstr>ocs_crude_export_high</vt:lpstr>
      <vt:lpstr>ocs_crude_export_low</vt:lpstr>
      <vt:lpstr>ocs_feedstock_percent</vt:lpstr>
      <vt:lpstr>ocs_oil_export_heavy</vt:lpstr>
      <vt:lpstr>ocs_oil_export_heavy_high</vt:lpstr>
      <vt:lpstr>ocs_oil_export_heavy_low</vt:lpstr>
      <vt:lpstr>ocs_oil_export_light</vt:lpstr>
      <vt:lpstr>ocs_oil_export_light_high</vt:lpstr>
      <vt:lpstr>ocs_oil_export_medium</vt:lpstr>
      <vt:lpstr>ocs_oil_export_medium_high</vt:lpstr>
      <vt:lpstr>ocs_oil_export_medium_low</vt:lpstr>
      <vt:lpstr>ocs_oil_percent_export_high</vt:lpstr>
      <vt:lpstr>ocs_oil_percent_export_low</vt:lpstr>
      <vt:lpstr>ocs_oil_percent_heavy</vt:lpstr>
      <vt:lpstr>ocs_oil_percent_light</vt:lpstr>
      <vt:lpstr>ocs_oil_percent_medium</vt:lpstr>
      <vt:lpstr>ocs_oil_sim_plan_area</vt:lpstr>
      <vt:lpstr>oil_forecast</vt:lpstr>
      <vt:lpstr>oil_price_growth</vt:lpstr>
      <vt:lpstr>pacific_crude_exp_propensity</vt:lpstr>
      <vt:lpstr>pacific_ref_exp_propensity</vt:lpstr>
      <vt:lpstr>per_dem_ele_com</vt:lpstr>
      <vt:lpstr>per_dem_ele_ind</vt:lpstr>
      <vt:lpstr>per_dem_ele_oth</vt:lpstr>
      <vt:lpstr>per_dem_ele_res</vt:lpstr>
      <vt:lpstr>per_dem_ele_tra</vt:lpstr>
      <vt:lpstr>ref_exp_by_year</vt:lpstr>
      <vt:lpstr>ref_exp_dist</vt:lpstr>
      <vt:lpstr>scenario_equilibrium</vt:lpstr>
      <vt:lpstr>'Update Directions'!scenario_name</vt:lpstr>
      <vt:lpstr>scenario_name</vt:lpstr>
      <vt:lpstr>schedule_ala</vt:lpstr>
      <vt:lpstr>schedule_atl</vt:lpstr>
      <vt:lpstr>schedule_coo</vt:lpstr>
      <vt:lpstr>schedule_gom</vt:lpstr>
      <vt:lpstr>schedule_pac</vt:lpstr>
      <vt:lpstr>sim_dem_coa_ele</vt:lpstr>
      <vt:lpstr>sim_dem_coa_exp</vt:lpstr>
      <vt:lpstr>sim_dem_coa_ind</vt:lpstr>
      <vt:lpstr>sim_dem_coa_oth</vt:lpstr>
      <vt:lpstr>sim_dem_coa_tot</vt:lpstr>
      <vt:lpstr>sim_dem_ele_com</vt:lpstr>
      <vt:lpstr>sim_dem_ele_ind</vt:lpstr>
      <vt:lpstr>sim_dem_ele_oth</vt:lpstr>
      <vt:lpstr>sim_dem_ele_res</vt:lpstr>
      <vt:lpstr>sim_dem_ele_tot</vt:lpstr>
      <vt:lpstr>sim_dem_ele_tra</vt:lpstr>
      <vt:lpstr>sim_dem_gas_com</vt:lpstr>
      <vt:lpstr>sim_dem_gas_ele</vt:lpstr>
      <vt:lpstr>sim_dem_gas_exp</vt:lpstr>
      <vt:lpstr>sim_dem_gas_ind</vt:lpstr>
      <vt:lpstr>sim_dem_gas_res</vt:lpstr>
      <vt:lpstr>sim_dem_gas_tot</vt:lpstr>
      <vt:lpstr>sim_dem_gas_tra</vt:lpstr>
      <vt:lpstr>sim_dem_oil_com</vt:lpstr>
      <vt:lpstr>sim_dem_oil_ele</vt:lpstr>
      <vt:lpstr>sim_dem_oil_ind</vt:lpstr>
      <vt:lpstr>sim_dem_oil_res</vt:lpstr>
      <vt:lpstr>sim_dem_oil_row</vt:lpstr>
      <vt:lpstr>sim_dem_oil_row_crude</vt:lpstr>
      <vt:lpstr>sim_dem_oil_row_non_us</vt:lpstr>
      <vt:lpstr>sim_dem_oil_row_ref</vt:lpstr>
      <vt:lpstr>sim_dem_oil_tot</vt:lpstr>
      <vt:lpstr>sim_dem_oil_tra</vt:lpstr>
      <vt:lpstr>sim_price_coa</vt:lpstr>
      <vt:lpstr>sim_price_ele</vt:lpstr>
      <vt:lpstr>sim_price_gas</vt:lpstr>
      <vt:lpstr>sim_price_oil</vt:lpstr>
      <vt:lpstr>sim_prices</vt:lpstr>
      <vt:lpstr>sim_sup_coa_dom</vt:lpstr>
      <vt:lpstr>sim_sup_coa_imp</vt:lpstr>
      <vt:lpstr>sim_sup_coa_tot</vt:lpstr>
      <vt:lpstr>sim_sup_ele_coa</vt:lpstr>
      <vt:lpstr>sim_sup_ele_gas</vt:lpstr>
      <vt:lpstr>sim_sup_ele_hyd</vt:lpstr>
      <vt:lpstr>sim_sup_ele_imp</vt:lpstr>
      <vt:lpstr>sim_sup_ele_nuc</vt:lpstr>
      <vt:lpstr>sim_sup_ele_oil</vt:lpstr>
      <vt:lpstr>sim_sup_ele_oth</vt:lpstr>
      <vt:lpstr>sim_sup_ele_sol</vt:lpstr>
      <vt:lpstr>sim_sup_ele_tot</vt:lpstr>
      <vt:lpstr>sim_sup_ele_wof</vt:lpstr>
      <vt:lpstr>sim_sup_ele_won</vt:lpstr>
      <vt:lpstr>sim_sup_gas_ala_off</vt:lpstr>
      <vt:lpstr>sim_sup_gas_ala_on</vt:lpstr>
      <vt:lpstr>sim_sup_gas_con</vt:lpstr>
      <vt:lpstr>sim_sup_gas_lng</vt:lpstr>
      <vt:lpstr>sim_sup_gas_ocs</vt:lpstr>
      <vt:lpstr>sim_sup_gas_ocs_ala</vt:lpstr>
      <vt:lpstr>sim_sup_gas_ocs_alb</vt:lpstr>
      <vt:lpstr>sim_sup_gas_ocs_all</vt:lpstr>
      <vt:lpstr>sim_sup_gas_ocs_atf</vt:lpstr>
      <vt:lpstr>sim_sup_gas_ocs_atm</vt:lpstr>
      <vt:lpstr>sim_sup_gas_ocs_atn</vt:lpstr>
      <vt:lpstr>sim_sup_gas_ocs_ats</vt:lpstr>
      <vt:lpstr>sim_sup_gas_ocs_bea</vt:lpstr>
      <vt:lpstr>sim_sup_gas_ocs_bow</vt:lpstr>
      <vt:lpstr>sim_sup_gas_ocs_chu</vt:lpstr>
      <vt:lpstr>sim_sup_gas_ocs_coo</vt:lpstr>
      <vt:lpstr>sim_sup_gas_ocs_gmc</vt:lpstr>
      <vt:lpstr>sim_sup_gas_ocs_gme</vt:lpstr>
      <vt:lpstr>sim_sup_gas_ocs_gmw</vt:lpstr>
      <vt:lpstr>sim_sup_gas_ocs_goa</vt:lpstr>
      <vt:lpstr>sim_sup_gas_ocs_hop</vt:lpstr>
      <vt:lpstr>sim_sup_gas_ocs_kod</vt:lpstr>
      <vt:lpstr>sim_sup_gas_ocs_nab</vt:lpstr>
      <vt:lpstr>sim_sup_gas_ocs_nav</vt:lpstr>
      <vt:lpstr>sim_sup_gas_ocs_nor</vt:lpstr>
      <vt:lpstr>sim_sup_gas_ocs_pac</vt:lpstr>
      <vt:lpstr>sim_sup_gas_ocs_pan</vt:lpstr>
      <vt:lpstr>sim_sup_gas_ocs_pas</vt:lpstr>
      <vt:lpstr>sim_sup_gas_ocs_paw</vt:lpstr>
      <vt:lpstr>sim_sup_gas_ocs_sgb</vt:lpstr>
      <vt:lpstr>sim_sup_gas_ocs_shu</vt:lpstr>
      <vt:lpstr>sim_sup_gas_ocs_smh</vt:lpstr>
      <vt:lpstr>sim_sup_gas_off</vt:lpstr>
      <vt:lpstr>sim_sup_gas_oth</vt:lpstr>
      <vt:lpstr>sim_sup_gas_pip</vt:lpstr>
      <vt:lpstr>sim_sup_gas_tot</vt:lpstr>
      <vt:lpstr>sim_sup_gas_unc</vt:lpstr>
      <vt:lpstr>sim_sup_oil_ala_off</vt:lpstr>
      <vt:lpstr>sim_sup_oil_ala_on</vt:lpstr>
      <vt:lpstr>sim_sup_oil_bio</vt:lpstr>
      <vt:lpstr>sim_sup_oil_can</vt:lpstr>
      <vt:lpstr>sim_sup_oil_l48</vt:lpstr>
      <vt:lpstr>sim_sup_oil_l48_t</vt:lpstr>
      <vt:lpstr>sim_sup_oil_ocs</vt:lpstr>
      <vt:lpstr>sim_sup_oil_ocs_ala</vt:lpstr>
      <vt:lpstr>sim_sup_oil_ocs_alb</vt:lpstr>
      <vt:lpstr>sim_sup_oil_ocs_all</vt:lpstr>
      <vt:lpstr>sim_sup_oil_ocs_atf</vt:lpstr>
      <vt:lpstr>sim_sup_oil_ocs_atm</vt:lpstr>
      <vt:lpstr>sim_sup_oil_ocs_atn</vt:lpstr>
      <vt:lpstr>sim_sup_oil_ocs_ats</vt:lpstr>
      <vt:lpstr>sim_sup_oil_ocs_bea</vt:lpstr>
      <vt:lpstr>sim_sup_oil_ocs_bow</vt:lpstr>
      <vt:lpstr>sim_sup_oil_ocs_chu</vt:lpstr>
      <vt:lpstr>sim_sup_oil_ocs_coo</vt:lpstr>
      <vt:lpstr>sim_sup_oil_ocs_gmc</vt:lpstr>
      <vt:lpstr>sim_sup_oil_ocs_gme</vt:lpstr>
      <vt:lpstr>sim_sup_oil_ocs_gmw</vt:lpstr>
      <vt:lpstr>sim_sup_oil_ocs_goa</vt:lpstr>
      <vt:lpstr>sim_sup_oil_ocs_hop</vt:lpstr>
      <vt:lpstr>sim_sup_oil_ocs_kod</vt:lpstr>
      <vt:lpstr>sim_sup_oil_ocs_nab</vt:lpstr>
      <vt:lpstr>sim_sup_oil_ocs_nav</vt:lpstr>
      <vt:lpstr>sim_sup_oil_ocs_nor</vt:lpstr>
      <vt:lpstr>sim_sup_oil_ocs_pac</vt:lpstr>
      <vt:lpstr>sim_sup_oil_ocs_pan</vt:lpstr>
      <vt:lpstr>sim_sup_oil_ocs_pas</vt:lpstr>
      <vt:lpstr>sim_sup_oil_ocs_paw</vt:lpstr>
      <vt:lpstr>sim_sup_oil_ocs_sgb</vt:lpstr>
      <vt:lpstr>sim_sup_oil_ocs_shu</vt:lpstr>
      <vt:lpstr>sim_sup_oil_ocs_smh</vt:lpstr>
      <vt:lpstr>sim_sup_oil_off</vt:lpstr>
      <vt:lpstr>sim_sup_oil_oth</vt:lpstr>
      <vt:lpstr>sim_sup_oil_row</vt:lpstr>
      <vt:lpstr>sim_sup_oil_tot</vt:lpstr>
      <vt:lpstr>sim_sup_per_ocs_ala</vt:lpstr>
      <vt:lpstr>sim_sup_per_ocs_alb</vt:lpstr>
      <vt:lpstr>sim_sup_per_ocs_atf</vt:lpstr>
      <vt:lpstr>sim_sup_per_ocs_atm</vt:lpstr>
      <vt:lpstr>sim_sup_per_ocs_atn</vt:lpstr>
      <vt:lpstr>sim_sup_per_ocs_ats</vt:lpstr>
      <vt:lpstr>sim_sup_per_ocs_bea</vt:lpstr>
      <vt:lpstr>sim_sup_per_ocs_bow</vt:lpstr>
      <vt:lpstr>sim_sup_per_ocs_chu</vt:lpstr>
      <vt:lpstr>sim_sup_per_ocs_coo</vt:lpstr>
      <vt:lpstr>sim_sup_per_ocs_gmc</vt:lpstr>
      <vt:lpstr>sim_sup_per_ocs_gme</vt:lpstr>
      <vt:lpstr>sim_sup_per_ocs_gmw</vt:lpstr>
      <vt:lpstr>sim_sup_per_ocs_goa</vt:lpstr>
      <vt:lpstr>sim_sup_per_ocs_hop</vt:lpstr>
      <vt:lpstr>sim_sup_per_ocs_kod</vt:lpstr>
      <vt:lpstr>sim_sup_per_ocs_nab</vt:lpstr>
      <vt:lpstr>sim_sup_per_ocs_nav</vt:lpstr>
      <vt:lpstr>sim_sup_per_ocs_nor</vt:lpstr>
      <vt:lpstr>sim_sup_per_ocs_pac</vt:lpstr>
      <vt:lpstr>sim_sup_per_ocs_pan</vt:lpstr>
      <vt:lpstr>sim_sup_per_ocs_pas</vt:lpstr>
      <vt:lpstr>sim_sup_per_ocs_paw</vt:lpstr>
      <vt:lpstr>sim_sup_per_ocs_sgb</vt:lpstr>
      <vt:lpstr>sim_sup_per_ocs_shu</vt:lpstr>
      <vt:lpstr>sim_sup_per_ocs_smh</vt:lpstr>
      <vt:lpstr>sim_sup_tot_ocs_ala</vt:lpstr>
      <vt:lpstr>sim_sup_tot_ocs_alb</vt:lpstr>
      <vt:lpstr>sim_sup_tot_ocs_atf</vt:lpstr>
      <vt:lpstr>sim_sup_tot_ocs_atm</vt:lpstr>
      <vt:lpstr>sim_sup_tot_ocs_atn</vt:lpstr>
      <vt:lpstr>sim_sup_tot_ocs_ats</vt:lpstr>
      <vt:lpstr>sim_sup_tot_ocs_bea</vt:lpstr>
      <vt:lpstr>sim_sup_tot_ocs_bow</vt:lpstr>
      <vt:lpstr>sim_sup_tot_ocs_chu</vt:lpstr>
      <vt:lpstr>sim_sup_tot_ocs_coo</vt:lpstr>
      <vt:lpstr>sim_sup_tot_ocs_gmc</vt:lpstr>
      <vt:lpstr>sim_sup_tot_ocs_gme</vt:lpstr>
      <vt:lpstr>sim_sup_tot_ocs_gmw</vt:lpstr>
      <vt:lpstr>sim_sup_tot_ocs_goa</vt:lpstr>
      <vt:lpstr>sim_sup_tot_ocs_hop</vt:lpstr>
      <vt:lpstr>sim_sup_tot_ocs_kod</vt:lpstr>
      <vt:lpstr>sim_sup_tot_ocs_nab</vt:lpstr>
      <vt:lpstr>sim_sup_tot_ocs_nav</vt:lpstr>
      <vt:lpstr>sim_sup_tot_ocs_nor</vt:lpstr>
      <vt:lpstr>sim_sup_tot_ocs_pac</vt:lpstr>
      <vt:lpstr>sim_sup_tot_ocs_pan</vt:lpstr>
      <vt:lpstr>sim_sup_tot_ocs_pas</vt:lpstr>
      <vt:lpstr>sim_sup_tot_ocs_paw</vt:lpstr>
      <vt:lpstr>sim_sup_tot_ocs_sgb</vt:lpstr>
      <vt:lpstr>sim_sup_tot_ocs_shu</vt:lpstr>
      <vt:lpstr>sim_sup_tot_ocs_smh</vt:lpstr>
      <vt:lpstr>sou_coa_ind_ele</vt:lpstr>
      <vt:lpstr>sou_coa_ind_gas</vt:lpstr>
      <vt:lpstr>sou_coa_ind_oil</vt:lpstr>
      <vt:lpstr>sou_coa_oth_ele</vt:lpstr>
      <vt:lpstr>sou_coa_oth_gas</vt:lpstr>
      <vt:lpstr>sou_coa_oth_oil</vt:lpstr>
      <vt:lpstr>sou_dem_coa_exp</vt:lpstr>
      <vt:lpstr>sou_dem_coa_ind</vt:lpstr>
      <vt:lpstr>sou_dem_coa_oth</vt:lpstr>
      <vt:lpstr>sou_dem_ele_com</vt:lpstr>
      <vt:lpstr>sou_dem_ele_ind</vt:lpstr>
      <vt:lpstr>sou_dem_ele_oth</vt:lpstr>
      <vt:lpstr>sou_dem_ele_res</vt:lpstr>
      <vt:lpstr>sou_dem_ele_tra</vt:lpstr>
      <vt:lpstr>sou_dem_gas_com</vt:lpstr>
      <vt:lpstr>sou_dem_gas_exp</vt:lpstr>
      <vt:lpstr>sou_dem_gas_ind</vt:lpstr>
      <vt:lpstr>sou_dem_gas_res</vt:lpstr>
      <vt:lpstr>sou_dem_gas_tra</vt:lpstr>
      <vt:lpstr>sou_dem_oil_com</vt:lpstr>
      <vt:lpstr>sou_dem_oil_ind</vt:lpstr>
      <vt:lpstr>sou_dem_oil_res</vt:lpstr>
      <vt:lpstr>sou_dem_oil_row_crude</vt:lpstr>
      <vt:lpstr>sou_dem_oil_row_non_us</vt:lpstr>
      <vt:lpstr>sou_dem_oil_row_ref</vt:lpstr>
      <vt:lpstr>sou_dem_oil_tra</vt:lpstr>
      <vt:lpstr>sou_ele_com_gas</vt:lpstr>
      <vt:lpstr>sou_ele_com_oil</vt:lpstr>
      <vt:lpstr>sou_ele_ind_coa</vt:lpstr>
      <vt:lpstr>sou_ele_ind_gas</vt:lpstr>
      <vt:lpstr>sou_ele_ind_oil</vt:lpstr>
      <vt:lpstr>sou_ele_oth_coa</vt:lpstr>
      <vt:lpstr>sou_ele_oth_gas</vt:lpstr>
      <vt:lpstr>sou_ele_oth_oil</vt:lpstr>
      <vt:lpstr>sou_ele_res_gas</vt:lpstr>
      <vt:lpstr>sou_ele_res_oil</vt:lpstr>
      <vt:lpstr>sou_ele_tra_gas</vt:lpstr>
      <vt:lpstr>sou_ele_tra_oil</vt:lpstr>
      <vt:lpstr>sou_g_dem_coa_exp</vt:lpstr>
      <vt:lpstr>sou_g_dem_coa_ind</vt:lpstr>
      <vt:lpstr>sou_g_dem_coa_oth</vt:lpstr>
      <vt:lpstr>sou_g_dem_ele_com</vt:lpstr>
      <vt:lpstr>sou_g_dem_ele_ind</vt:lpstr>
      <vt:lpstr>sou_g_dem_ele_oth</vt:lpstr>
      <vt:lpstr>sou_g_dem_ele_res</vt:lpstr>
      <vt:lpstr>sou_g_dem_ele_tra</vt:lpstr>
      <vt:lpstr>sou_g_dem_gas_com</vt:lpstr>
      <vt:lpstr>sou_g_dem_gas_exp</vt:lpstr>
      <vt:lpstr>sou_g_dem_gas_ind</vt:lpstr>
      <vt:lpstr>sou_g_dem_gas_res</vt:lpstr>
      <vt:lpstr>sou_g_dem_gas_tra</vt:lpstr>
      <vt:lpstr>sou_g_dem_oil_com</vt:lpstr>
      <vt:lpstr>sou_g_dem_oil_ind</vt:lpstr>
      <vt:lpstr>sou_g_dem_oil_res</vt:lpstr>
      <vt:lpstr>sou_g_dem_oil_row_crude</vt:lpstr>
      <vt:lpstr>sou_g_dem_oil_row_non_us</vt:lpstr>
      <vt:lpstr>sou_g_dem_oil_row_ref</vt:lpstr>
      <vt:lpstr>sou_g_dem_oil_tra</vt:lpstr>
      <vt:lpstr>sou_g_sup_coa_dom</vt:lpstr>
      <vt:lpstr>sou_g_sup_coa_imp</vt:lpstr>
      <vt:lpstr>sou_g_sup_ele_coa</vt:lpstr>
      <vt:lpstr>sou_g_sup_ele_gas</vt:lpstr>
      <vt:lpstr>sou_g_sup_ele_hyd</vt:lpstr>
      <vt:lpstr>sou_g_sup_ele_imp</vt:lpstr>
      <vt:lpstr>sou_g_sup_ele_nuc</vt:lpstr>
      <vt:lpstr>sou_g_sup_ele_oil</vt:lpstr>
      <vt:lpstr>sou_g_sup_ele_oth</vt:lpstr>
      <vt:lpstr>sou_g_sup_ele_sol</vt:lpstr>
      <vt:lpstr>sou_g_sup_ele_wof</vt:lpstr>
      <vt:lpstr>sou_g_sup_ele_won</vt:lpstr>
      <vt:lpstr>sou_g_sup_gas_ala_off</vt:lpstr>
      <vt:lpstr>sou_g_sup_gas_ala_on</vt:lpstr>
      <vt:lpstr>sou_g_sup_gas_con</vt:lpstr>
      <vt:lpstr>sou_g_sup_gas_lng</vt:lpstr>
      <vt:lpstr>sou_g_sup_gas_off</vt:lpstr>
      <vt:lpstr>sou_g_sup_gas_oth</vt:lpstr>
      <vt:lpstr>sou_g_sup_gas_pip</vt:lpstr>
      <vt:lpstr>sou_g_sup_gas_unc</vt:lpstr>
      <vt:lpstr>sou_g_sup_oil_ala_off</vt:lpstr>
      <vt:lpstr>sou_g_sup_oil_ala_on</vt:lpstr>
      <vt:lpstr>sou_g_sup_oil_bio</vt:lpstr>
      <vt:lpstr>sou_g_sup_oil_can</vt:lpstr>
      <vt:lpstr>sou_g_sup_oil_l48</vt:lpstr>
      <vt:lpstr>sou_g_sup_oil_l48_t</vt:lpstr>
      <vt:lpstr>sou_g_sup_oil_off</vt:lpstr>
      <vt:lpstr>sou_g_sup_oil_oth</vt:lpstr>
      <vt:lpstr>sou_g_sup_oil_row</vt:lpstr>
      <vt:lpstr>sou_gas_com_ele</vt:lpstr>
      <vt:lpstr>sou_gas_com_oil</vt:lpstr>
      <vt:lpstr>sou_gas_ind_coa</vt:lpstr>
      <vt:lpstr>sou_gas_ind_ele</vt:lpstr>
      <vt:lpstr>sou_gas_ind_oil</vt:lpstr>
      <vt:lpstr>sou_gas_res_ele</vt:lpstr>
      <vt:lpstr>sou_gas_res_oil</vt:lpstr>
      <vt:lpstr>sou_gas_tra_ele</vt:lpstr>
      <vt:lpstr>sou_gas_tra_oil</vt:lpstr>
      <vt:lpstr>sou_oil_com_ele</vt:lpstr>
      <vt:lpstr>sou_oil_com_gas</vt:lpstr>
      <vt:lpstr>sou_oil_ind_coa</vt:lpstr>
      <vt:lpstr>sou_oil_ind_ele</vt:lpstr>
      <vt:lpstr>sou_oil_ind_gas</vt:lpstr>
      <vt:lpstr>sou_oil_res_ele</vt:lpstr>
      <vt:lpstr>sou_oil_res_gas</vt:lpstr>
      <vt:lpstr>sou_oil_tra_ele</vt:lpstr>
      <vt:lpstr>sou_oil_tra_gas</vt:lpstr>
      <vt:lpstr>sou_sup_coa_dom</vt:lpstr>
      <vt:lpstr>sou_sup_coa_imp</vt:lpstr>
      <vt:lpstr>sou_sup_ele_coa</vt:lpstr>
      <vt:lpstr>sou_sup_ele_gas</vt:lpstr>
      <vt:lpstr>sou_sup_ele_hyd</vt:lpstr>
      <vt:lpstr>sou_sup_ele_imp</vt:lpstr>
      <vt:lpstr>sou_sup_ele_nuc</vt:lpstr>
      <vt:lpstr>sou_sup_ele_oil</vt:lpstr>
      <vt:lpstr>sou_sup_ele_rnh</vt:lpstr>
      <vt:lpstr>sou_sup_ele_sol</vt:lpstr>
      <vt:lpstr>sou_sup_ele_wof</vt:lpstr>
      <vt:lpstr>sou_sup_ele_won</vt:lpstr>
      <vt:lpstr>sou_sup_gas_ala</vt:lpstr>
      <vt:lpstr>sou_sup_gas_ala_off</vt:lpstr>
      <vt:lpstr>sou_sup_gas_ala_on</vt:lpstr>
      <vt:lpstr>sou_sup_gas_con</vt:lpstr>
      <vt:lpstr>sou_sup_gas_lng</vt:lpstr>
      <vt:lpstr>sou_sup_gas_off</vt:lpstr>
      <vt:lpstr>sou_sup_gas_oth</vt:lpstr>
      <vt:lpstr>sou_sup_gas_pip</vt:lpstr>
      <vt:lpstr>sou_sup_gas_unc</vt:lpstr>
      <vt:lpstr>sou_sup_oil_ala_off</vt:lpstr>
      <vt:lpstr>sou_sup_oil_ala_on</vt:lpstr>
      <vt:lpstr>sou_sup_oil_bio</vt:lpstr>
      <vt:lpstr>sou_sup_oil_can</vt:lpstr>
      <vt:lpstr>sou_sup_oil_l48</vt:lpstr>
      <vt:lpstr>sou_sup_oil_l48_t</vt:lpstr>
      <vt:lpstr>sou_sup_oil_off</vt:lpstr>
      <vt:lpstr>sou_sup_oil_oth</vt:lpstr>
      <vt:lpstr>sou_sup_oil_row</vt:lpstr>
      <vt:lpstr>start_time</vt:lpstr>
      <vt:lpstr>year_gas</vt:lpstr>
      <vt:lpstr>year_oil</vt:lpstr>
    </vt:vector>
  </TitlesOfParts>
  <Manager/>
  <Company>Foster SF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 Plater</dc:creator>
  <cp:keywords/>
  <dc:description/>
  <cp:lastModifiedBy>Rose, Connie L</cp:lastModifiedBy>
  <cp:revision/>
  <dcterms:created xsi:type="dcterms:W3CDTF">1999-10-13T18:28:45Z</dcterms:created>
  <dcterms:modified xsi:type="dcterms:W3CDTF">2026-08-10T11:55:21Z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0x010100D79346A6FE3BBB43881B522B27317A42</vt:lpwstr>
  </property>
</Properties>
</file>